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Override PartName="/xl/threadedComments/threadedComment1.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fileSharing readOnlyRecommended="1"/>
  <workbookPr codeName="ThisWorkbook" defaultThemeVersion="124226"/>
  <mc:AlternateContent xmlns:mc="http://schemas.openxmlformats.org/markup-compatibility/2006">
    <mc:Choice Requires="x15">
      <x15ac:absPath xmlns:x15ac="http://schemas.microsoft.com/office/spreadsheetml/2010/11/ac" url="C:\Program Files (x86)\Mimecast\PATI\temp\0fdbf29a-770f-4160-a977-26106aa38289\"/>
    </mc:Choice>
  </mc:AlternateContent>
  <xr:revisionPtr revIDLastSave="0" documentId="8_{CD6802B1-B2D9-4E88-B241-E0EA084CDE07}" xr6:coauthVersionLast="36" xr6:coauthVersionMax="36" xr10:uidLastSave="{00000000-0000-0000-0000-000000000000}"/>
  <bookViews>
    <workbookView xWindow="-120" yWindow="-120" windowWidth="38640" windowHeight="21120" firstSheet="14" activeTab="17" xr2:uid="{2A5A92FF-D6FA-49A7-8F8E-410D7BD9CA64}"/>
  </bookViews>
  <sheets>
    <sheet name="Index" sheetId="4" state="hidden" r:id="rId1"/>
    <sheet name="Contents" sheetId="1" r:id="rId2"/>
    <sheet name="ROE Calculation" sheetId="2" r:id="rId3"/>
    <sheet name="Income Statement" sheetId="5" r:id="rId4"/>
    <sheet name="Income Statement (2)" sheetId="94" state="hidden" r:id="rId5"/>
    <sheet name="FIT Calculation" sheetId="6" r:id="rId6"/>
    <sheet name="Cap Int Pref" sheetId="7" r:id="rId7"/>
    <sheet name="Rate Base" sheetId="8" r:id="rId8"/>
    <sheet name="Working Capital" sheetId="9" r:id="rId9"/>
    <sheet name="Detail Other Rev" sheetId="10" r:id="rId10"/>
    <sheet name="Detail Other Int Exp" sheetId="11" r:id="rId11"/>
    <sheet name="Detail Non-Op Inc" sheetId="12" r:id="rId12"/>
    <sheet name="LTD Interest" sheetId="13" r:id="rId13"/>
    <sheet name="Short-term Interest" sheetId="14" r:id="rId14"/>
    <sheet name="2006 Hold Harmless RB Credit" sheetId="109" r:id="rId15"/>
    <sheet name="Projected Defrd. Tax" sheetId="16" r:id="rId16"/>
    <sheet name="Comparison to Finance ROE" sheetId="59" state="hidden" r:id="rId17"/>
    <sheet name="Recon of ESM to Annual- IS" sheetId="45" r:id="rId18"/>
    <sheet name="2022 Gas Hold Harmless" sheetId="108" r:id="rId19"/>
    <sheet name="RIGASD PJ1 FERC IS CY21" sheetId="64" state="hidden" r:id="rId20"/>
    <sheet name="RIGASD PJ1 FERC IS CY20" sheetId="3" state="hidden" r:id="rId21"/>
    <sheet name="94081000" sheetId="19" state="hidden" r:id="rId22"/>
    <sheet name="94171000" sheetId="20" state="hidden" r:id="rId23"/>
    <sheet name="94190000" sheetId="21" state="hidden" r:id="rId24"/>
    <sheet name="94310000" sheetId="22" state="hidden" r:id="rId25"/>
    <sheet name="Customer Deposit" sheetId="102" state="hidden" r:id="rId26"/>
    <sheet name="94800000" sheetId="84" state="hidden" r:id="rId27"/>
    <sheet name="94800000 CY20" sheetId="23" state="hidden" r:id="rId28"/>
    <sheet name="94893000" sheetId="85" state="hidden" r:id="rId29"/>
    <sheet name="94893000 CY20" sheetId="47" state="hidden" r:id="rId30"/>
    <sheet name="94950000" sheetId="86" state="hidden" r:id="rId31"/>
    <sheet name="94950000 CY21" sheetId="70" state="hidden" r:id="rId32"/>
    <sheet name="94950000 CY20" sheetId="24" state="hidden" r:id="rId33"/>
    <sheet name="Unbilled Rollforward CY 2022" sheetId="89" state="hidden" r:id="rId34"/>
    <sheet name="Unbilled revenue (Bal Sht)_CY22" sheetId="83" state="hidden" r:id="rId35"/>
    <sheet name="Unbilled revenue (Bal Sht)_CY21" sheetId="74" state="hidden" r:id="rId36"/>
    <sheet name="Unbilled Rollforward_20" sheetId="27" state="hidden" r:id="rId37"/>
    <sheet name="Unbilled revenue (Bal Sht)_20" sheetId="26" state="hidden" r:id="rId38"/>
    <sheet name="Unbilled revenue entry_Dec 22" sheetId="77" state="hidden" r:id="rId39"/>
    <sheet name="Unbilled revenue entry_Dec 21" sheetId="75" state="hidden" r:id="rId40"/>
    <sheet name="Unbilled revenue entry_20" sheetId="25" state="hidden" r:id="rId41"/>
    <sheet name="Band A Variable Pay_20" sheetId="46" state="hidden" r:id="rId42"/>
    <sheet name="Amort of Excess ADIT_20" sheetId="53" state="hidden" r:id="rId43"/>
    <sheet name="Regulatory GAAP BS Q2.21-Q3.21" sheetId="52" state="hidden" r:id="rId44"/>
    <sheet name="Regulatory GAAP BS Q3.21-Q4.21" sheetId="60" state="hidden" r:id="rId45"/>
    <sheet name="Regulatory GAAP BS Q1.22-Q2.22" sheetId="61" state="hidden" r:id="rId46"/>
    <sheet name="Regulatory GAAP BS Q2.22-Q3.22" sheetId="63" state="hidden" r:id="rId47"/>
    <sheet name="Regulatory GAAP BS Q4.22-Q1.23" sheetId="79" state="hidden" r:id="rId48"/>
    <sheet name="ADIT 2020" sheetId="39" state="hidden" r:id="rId49"/>
  </sheets>
  <definedNames>
    <definedName name="_______________________________BUV2">#REF!</definedName>
    <definedName name="_______________________________SEG2">#REF!</definedName>
    <definedName name="_________________BUV2">#REF!</definedName>
    <definedName name="_________________H1" localSheetId="14">{"'Metretek HTML'!$A$7:$W$42"}</definedName>
    <definedName name="_________________H1">{"'Metretek HTML'!$A$7:$W$42"}</definedName>
    <definedName name="_________________SEG2">#REF!</definedName>
    <definedName name="________________BUV2">#REF!</definedName>
    <definedName name="________________SEG2">#REF!</definedName>
    <definedName name="_______________BUV2">#REF!</definedName>
    <definedName name="_______________SEG2">#REF!</definedName>
    <definedName name="______________BUV2">#REF!</definedName>
    <definedName name="______________SEG2">#REF!</definedName>
    <definedName name="_____________BUV2">#REF!</definedName>
    <definedName name="_____________SEG2">#REF!</definedName>
    <definedName name="____________BUV2">#REF!</definedName>
    <definedName name="____________SEG2">#REF!</definedName>
    <definedName name="___________CNG1">#REF!</definedName>
    <definedName name="___________STA65">#REF!</definedName>
    <definedName name="___________ZN1">#REF!</definedName>
    <definedName name="__________BUV2">#REF!</definedName>
    <definedName name="__________SEG2">#REF!</definedName>
    <definedName name="__________SET2">#REF!</definedName>
    <definedName name="__________www1" localSheetId="14">{#N/A,#N/A,FALSE,"schA"}</definedName>
    <definedName name="__________www1">{#N/A,#N/A,FALSE,"schA"}</definedName>
    <definedName name="_________BUV2">#REF!</definedName>
    <definedName name="_________CNG1">#REF!</definedName>
    <definedName name="_________SEG2">#REF!</definedName>
    <definedName name="_________SET2">#REF!</definedName>
    <definedName name="_________STA65">#REF!</definedName>
    <definedName name="_________ZN1">#REF!</definedName>
    <definedName name="________CNG1">#REF!</definedName>
    <definedName name="________seg3">#REF!</definedName>
    <definedName name="________SET2">#REF!</definedName>
    <definedName name="________STA65">#REF!</definedName>
    <definedName name="________ZN1">#REF!</definedName>
    <definedName name="_______CNG1">#REF!</definedName>
    <definedName name="_______seg3">#REF!</definedName>
    <definedName name="_______SET2">#REF!</definedName>
    <definedName name="_______STA65">#REF!</definedName>
    <definedName name="_______www1" localSheetId="14">{#N/A,#N/A,FALSE,"schA"}</definedName>
    <definedName name="_______www1">{#N/A,#N/A,FALSE,"schA"}</definedName>
    <definedName name="_______ZN1">#REF!</definedName>
    <definedName name="______BUV2">#REF!</definedName>
    <definedName name="______CNG1">#REF!</definedName>
    <definedName name="______FYR12">#REF!</definedName>
    <definedName name="______H1" localSheetId="14">{"'Metretek HTML'!$A$7:$W$42"}</definedName>
    <definedName name="______H1">{"'Metretek HTML'!$A$7:$W$42"}</definedName>
    <definedName name="______PC12">#REF!</definedName>
    <definedName name="______PER12">#REF!</definedName>
    <definedName name="______SEG2">#REF!</definedName>
    <definedName name="______seg3">#REF!</definedName>
    <definedName name="______SET2">#REF!</definedName>
    <definedName name="______STA65">#REF!</definedName>
    <definedName name="______www1" localSheetId="14">{#N/A,#N/A,FALSE,"schA"}</definedName>
    <definedName name="______www1">{#N/A,#N/A,FALSE,"schA"}</definedName>
    <definedName name="______ZN1">#REF!</definedName>
    <definedName name="_____BUV2">#REF!</definedName>
    <definedName name="_____CNG1">#REF!</definedName>
    <definedName name="_____end1">40008.1499768519</definedName>
    <definedName name="_____H1" localSheetId="14">{"'Metretek HTML'!$A$7:$W$42"}</definedName>
    <definedName name="_____H1">{"'Metretek HTML'!$A$7:$W$42"}</definedName>
    <definedName name="_____ryr56565" localSheetId="14">{#N/A,#N/A,FALSE,"Monthly SAIFI";#N/A,#N/A,FALSE,"Yearly SAIFI";#N/A,#N/A,FALSE,"Monthly CAIDI";#N/A,#N/A,FALSE,"Yearly CAIDI";#N/A,#N/A,FALSE,"Monthly SAIDI";#N/A,#N/A,FALSE,"Yearly SAIDI";#N/A,#N/A,FALSE,"Monthly MAIFI";#N/A,#N/A,FALSE,"Yearly MAIFI";#N/A,#N/A,FALSE,"Monthly Cust &gt;=4 Int"}</definedName>
    <definedName name="_____ryr56565">{#N/A,#N/A,FALSE,"Monthly SAIFI";#N/A,#N/A,FALSE,"Yearly SAIFI";#N/A,#N/A,FALSE,"Monthly CAIDI";#N/A,#N/A,FALSE,"Yearly CAIDI";#N/A,#N/A,FALSE,"Monthly SAIDI";#N/A,#N/A,FALSE,"Yearly SAIDI";#N/A,#N/A,FALSE,"Monthly MAIFI";#N/A,#N/A,FALSE,"Yearly MAIFI";#N/A,#N/A,FALSE,"Monthly Cust &gt;=4 Int"}</definedName>
    <definedName name="_____SEG2">#REF!</definedName>
    <definedName name="_____seg3">#REF!</definedName>
    <definedName name="_____SET2">#REF!</definedName>
    <definedName name="_____STA65">#REF!</definedName>
    <definedName name="_____ZN1">#REF!</definedName>
    <definedName name="____BDD0811">#REF!</definedName>
    <definedName name="____BUV2">#REF!</definedName>
    <definedName name="____CCN04">#REF!</definedName>
    <definedName name="____CGP1">#REF!</definedName>
    <definedName name="____CGP10">#REF!</definedName>
    <definedName name="____CGP11">#REF!</definedName>
    <definedName name="____CGP13">#REF!</definedName>
    <definedName name="____CGP14">#REF!</definedName>
    <definedName name="____CGP16">#REF!</definedName>
    <definedName name="____CGP17">#REF!</definedName>
    <definedName name="____CGP18">#REF!</definedName>
    <definedName name="____CGP19">#REF!</definedName>
    <definedName name="____CGP2">#REF!</definedName>
    <definedName name="____CGP20">#REF!</definedName>
    <definedName name="____CGP21">#REF!</definedName>
    <definedName name="____CGP22">#REF!</definedName>
    <definedName name="____CGP3">#REF!</definedName>
    <definedName name="____CGP7">#REF!</definedName>
    <definedName name="____CGP8">#REF!</definedName>
    <definedName name="____CGP9">#REF!</definedName>
    <definedName name="____CNG1">#REF!</definedName>
    <definedName name="____end1">40008.1499768519</definedName>
    <definedName name="____H1" localSheetId="14">{"'Metretek HTML'!$A$7:$W$42"}</definedName>
    <definedName name="____H1">{"'Metretek HTML'!$A$7:$W$42"}</definedName>
    <definedName name="____LDP1">#REF!</definedName>
    <definedName name="____LDP2">#REF!</definedName>
    <definedName name="____LDP3">#REF!</definedName>
    <definedName name="____LDP6">#REF!</definedName>
    <definedName name="____LDP7">#REF!</definedName>
    <definedName name="____LDP8">#REF!</definedName>
    <definedName name="____LDP9">#REF!</definedName>
    <definedName name="____qtr1">#REF!</definedName>
    <definedName name="____qtr2">#REF!</definedName>
    <definedName name="____ryr56565" localSheetId="14">{#N/A,#N/A,FALSE,"Monthly SAIFI";#N/A,#N/A,FALSE,"Yearly SAIFI";#N/A,#N/A,FALSE,"Monthly CAIDI";#N/A,#N/A,FALSE,"Yearly CAIDI";#N/A,#N/A,FALSE,"Monthly SAIDI";#N/A,#N/A,FALSE,"Yearly SAIDI";#N/A,#N/A,FALSE,"Monthly MAIFI";#N/A,#N/A,FALSE,"Yearly MAIFI";#N/A,#N/A,FALSE,"Monthly Cust &gt;=4 Int"}</definedName>
    <definedName name="____ryr56565">{#N/A,#N/A,FALSE,"Monthly SAIFI";#N/A,#N/A,FALSE,"Yearly SAIFI";#N/A,#N/A,FALSE,"Monthly CAIDI";#N/A,#N/A,FALSE,"Yearly CAIDI";#N/A,#N/A,FALSE,"Monthly SAIDI";#N/A,#N/A,FALSE,"Yearly SAIDI";#N/A,#N/A,FALSE,"Monthly MAIFI";#N/A,#N/A,FALSE,"Yearly MAIFI";#N/A,#N/A,FALSE,"Monthly Cust &gt;=4 Int"}</definedName>
    <definedName name="____SEG2">#REF!</definedName>
    <definedName name="____seg3">#REF!</definedName>
    <definedName name="____SET2">#REF!</definedName>
    <definedName name="____STA65">#REF!</definedName>
    <definedName name="____www1" localSheetId="14">{#N/A,#N/A,FALSE,"schA"}</definedName>
    <definedName name="____www1">{#N/A,#N/A,FALSE,"schA"}</definedName>
    <definedName name="____ZN1">#REF!</definedName>
    <definedName name="___BDD0811">#REF!</definedName>
    <definedName name="___CCN04">#REF!</definedName>
    <definedName name="___CGP1">#REF!</definedName>
    <definedName name="___CGP10">#REF!</definedName>
    <definedName name="___CGP11">#REF!</definedName>
    <definedName name="___CGP13">#REF!</definedName>
    <definedName name="___CGP14">#REF!</definedName>
    <definedName name="___CGP16">#REF!</definedName>
    <definedName name="___CGP17">#REF!</definedName>
    <definedName name="___CGP18">#REF!</definedName>
    <definedName name="___CGP19">#REF!</definedName>
    <definedName name="___CGP2">#REF!</definedName>
    <definedName name="___CGP20">#REF!</definedName>
    <definedName name="___CGP21">#REF!</definedName>
    <definedName name="___CGP22">#REF!</definedName>
    <definedName name="___CGP3">#REF!</definedName>
    <definedName name="___CGP7">#REF!</definedName>
    <definedName name="___CGP8">#REF!</definedName>
    <definedName name="___CGP9">#REF!</definedName>
    <definedName name="___CNG1">#REF!</definedName>
    <definedName name="___end1">40008.1499768519</definedName>
    <definedName name="___H1" localSheetId="14">{"'Metretek HTML'!$A$7:$W$42"}</definedName>
    <definedName name="___H1">{"'Metretek HTML'!$A$7:$W$42"}</definedName>
    <definedName name="___LDP1">#REF!</definedName>
    <definedName name="___LDP2">#REF!</definedName>
    <definedName name="___LDP3">#REF!</definedName>
    <definedName name="___LDP6">#REF!</definedName>
    <definedName name="___LDP7">#REF!</definedName>
    <definedName name="___LDP8">#REF!</definedName>
    <definedName name="___LDP9">#REF!</definedName>
    <definedName name="___qtr1">#REF!</definedName>
    <definedName name="___qtr2">#REF!</definedName>
    <definedName name="___ryr56565" localSheetId="14">{#N/A,#N/A,FALSE,"Monthly SAIFI";#N/A,#N/A,FALSE,"Yearly SAIFI";#N/A,#N/A,FALSE,"Monthly CAIDI";#N/A,#N/A,FALSE,"Yearly CAIDI";#N/A,#N/A,FALSE,"Monthly SAIDI";#N/A,#N/A,FALSE,"Yearly SAIDI";#N/A,#N/A,FALSE,"Monthly MAIFI";#N/A,#N/A,FALSE,"Yearly MAIFI";#N/A,#N/A,FALSE,"Monthly Cust &gt;=4 Int"}</definedName>
    <definedName name="___ryr56565">{#N/A,#N/A,FALSE,"Monthly SAIFI";#N/A,#N/A,FALSE,"Yearly SAIFI";#N/A,#N/A,FALSE,"Monthly CAIDI";#N/A,#N/A,FALSE,"Yearly CAIDI";#N/A,#N/A,FALSE,"Monthly SAIDI";#N/A,#N/A,FALSE,"Yearly SAIDI";#N/A,#N/A,FALSE,"Monthly MAIFI";#N/A,#N/A,FALSE,"Yearly MAIFI";#N/A,#N/A,FALSE,"Monthly Cust &gt;=4 Int"}</definedName>
    <definedName name="___seg3">#REF!</definedName>
    <definedName name="___SET2">#REF!</definedName>
    <definedName name="___STA65">#REF!</definedName>
    <definedName name="___ZN1">#REF!</definedName>
    <definedName name="__1_3NvsInstSpec70ė_00_̒⍘̒__⍴̒000000000耀_____NvsInstSpec80ė__䅥lC_\Document">","</definedName>
    <definedName name="__123Graph_A">#REF!</definedName>
    <definedName name="__123Graph_ACITYGATE">#REF!</definedName>
    <definedName name="__123Graph_ACNG">#REF!</definedName>
    <definedName name="__123Graph_AGRAPH2">#REF!</definedName>
    <definedName name="__123Graph_AMARGIN">#REF!</definedName>
    <definedName name="__123Graph_AMINBD">#REF!</definedName>
    <definedName name="__123Graph_AMINTAKE">#REF!</definedName>
    <definedName name="__123Graph_ASTORE">#REF!</definedName>
    <definedName name="__123Graph_ASTOREBD">#REF!</definedName>
    <definedName name="__123Graph_ATENN">#REF!</definedName>
    <definedName name="__123Graph_ATETCO">#REF!</definedName>
    <definedName name="__123Graph_ATOTAL">#REF!</definedName>
    <definedName name="__123Graph_ATRANSCO">#REF!</definedName>
    <definedName name="__123Graph_B">#REF!</definedName>
    <definedName name="__123Graph_BCITYGATE">#REF!</definedName>
    <definedName name="__123Graph_BCNG">#REF!</definedName>
    <definedName name="__123Graph_BGRAPH2">#REF!</definedName>
    <definedName name="__123Graph_BSTOREBD">#REF!</definedName>
    <definedName name="__123Graph_BTENN">#REF!</definedName>
    <definedName name="__123Graph_BTETCO">#REF!</definedName>
    <definedName name="__123Graph_BTOTAL">#REF!</definedName>
    <definedName name="__123Graph_BTRANSCO">#REF!</definedName>
    <definedName name="__123Graph_C">#REF!</definedName>
    <definedName name="__123Graph_CCITYGATE">#REF!</definedName>
    <definedName name="__123Graph_CGRAPH2">#REF!</definedName>
    <definedName name="__123Graph_CMINBD">#REF!</definedName>
    <definedName name="__123Graph_CSTOREBD">#REF!</definedName>
    <definedName name="__123Graph_DCITYGATE">#REF!</definedName>
    <definedName name="__123Graph_DSTOREBD">#REF!</definedName>
    <definedName name="__123Graph_ECITYGATE">#REF!</definedName>
    <definedName name="__123Graph_X">#REF!</definedName>
    <definedName name="__123Graph_XCITYGATE">#REF!</definedName>
    <definedName name="__123Graph_XCNG">#REF!</definedName>
    <definedName name="__123Graph_XGRAPH2">#REF!</definedName>
    <definedName name="__123Graph_XMARGIN">#REF!</definedName>
    <definedName name="__123Graph_XMINBD">#REF!</definedName>
    <definedName name="__123Graph_XMINTAKE">#REF!</definedName>
    <definedName name="__123Graph_XSTORE">#REF!</definedName>
    <definedName name="__123Graph_XSTOREBD">#REF!</definedName>
    <definedName name="__123Graph_XTENN">#REF!</definedName>
    <definedName name="__123Graph_XTETCO">#REF!</definedName>
    <definedName name="__123Graph_XTOTAL">#REF!</definedName>
    <definedName name="__123Graph_XTRANSCO">#REF!</definedName>
    <definedName name="__14PREPARED_BY">#REF!</definedName>
    <definedName name="__19NvsInstSpec70ė_00_̒⍘̒__⍴̒000000000耀_____NvsInstSpec80ė__䅥lC_\Document">","</definedName>
    <definedName name="__bb2" localSheetId="14">{#N/A,#N/A,FALSE,"PRJCTED MNTHLY QTY's"}</definedName>
    <definedName name="__bb2">{#N/A,#N/A,FALSE,"PRJCTED MNTHLY QTY's"}</definedName>
    <definedName name="__BDD0811">#REF!</definedName>
    <definedName name="__BUV2">#REF!</definedName>
    <definedName name="__CCN04">#REF!</definedName>
    <definedName name="__CGP1">#REF!</definedName>
    <definedName name="__CGP10">#REF!</definedName>
    <definedName name="__CGP11">#REF!</definedName>
    <definedName name="__CGP13">#REF!</definedName>
    <definedName name="__CGP14">#REF!</definedName>
    <definedName name="__CGP16">#REF!</definedName>
    <definedName name="__CGP17">#REF!</definedName>
    <definedName name="__CGP18">#REF!</definedName>
    <definedName name="__CGP19">#REF!</definedName>
    <definedName name="__CGP2">#REF!</definedName>
    <definedName name="__CGP20">#REF!</definedName>
    <definedName name="__CGP21">#REF!</definedName>
    <definedName name="__CGP22">#REF!</definedName>
    <definedName name="__CGP3">#REF!</definedName>
    <definedName name="__CGP7">#REF!</definedName>
    <definedName name="__CGP8">#REF!</definedName>
    <definedName name="__CGP9">#REF!</definedName>
    <definedName name="__CNG1">#REF!</definedName>
    <definedName name="__end1">40008.1499768519</definedName>
    <definedName name="__FAS133">#REF!</definedName>
    <definedName name="__FDS_HYPERLINK_TOGGLE_STATE__">"ON"</definedName>
    <definedName name="__H1" localSheetId="14">{"'Metretek HTML'!$A$7:$W$42"}</definedName>
    <definedName name="__H1">{"'Metretek HTML'!$A$7:$W$42"}</definedName>
    <definedName name="__hom1" localSheetId="14">{#N/A,#N/A,FALSE,"Assessment";#N/A,#N/A,FALSE,"Staffing";#N/A,#N/A,FALSE,"Hires";#N/A,#N/A,FALSE,"Assumptions"}</definedName>
    <definedName name="__hom1">{#N/A,#N/A,FALSE,"Assessment";#N/A,#N/A,FALSE,"Staffing";#N/A,#N/A,FALSE,"Hires";#N/A,#N/A,FALSE,"Assumptions"}</definedName>
    <definedName name="__IntlFixup">TRUE</definedName>
    <definedName name="__k1" localSheetId="14">{#N/A,#N/A,FALSE,"Assessment";#N/A,#N/A,FALSE,"Staffing";#N/A,#N/A,FALSE,"Hires";#N/A,#N/A,FALSE,"Assumptions"}</definedName>
    <definedName name="__k1">{#N/A,#N/A,FALSE,"Assessment";#N/A,#N/A,FALSE,"Staffing";#N/A,#N/A,FALSE,"Hires";#N/A,#N/A,FALSE,"Assumptions"}</definedName>
    <definedName name="__kk1" localSheetId="14">{#N/A,#N/A,FALSE,"Assessment";#N/A,#N/A,FALSE,"Staffing";#N/A,#N/A,FALSE,"Hires";#N/A,#N/A,FALSE,"Assumptions"}</definedName>
    <definedName name="__kk1">{#N/A,#N/A,FALSE,"Assessment";#N/A,#N/A,FALSE,"Staffing";#N/A,#N/A,FALSE,"Hires";#N/A,#N/A,FALSE,"Assumptions"}</definedName>
    <definedName name="__KKK1" localSheetId="14">{#N/A,#N/A,FALSE,"Assessment";#N/A,#N/A,FALSE,"Staffing";#N/A,#N/A,FALSE,"Hires";#N/A,#N/A,FALSE,"Assumptions"}</definedName>
    <definedName name="__KKK1">{#N/A,#N/A,FALSE,"Assessment";#N/A,#N/A,FALSE,"Staffing";#N/A,#N/A,FALSE,"Hires";#N/A,#N/A,FALSE,"Assumptions"}</definedName>
    <definedName name="__LDP1">#REF!</definedName>
    <definedName name="__LDP2">#REF!</definedName>
    <definedName name="__LDP3">#REF!</definedName>
    <definedName name="__LDP6">#REF!</definedName>
    <definedName name="__LDP7">#REF!</definedName>
    <definedName name="__LDP8">#REF!</definedName>
    <definedName name="__LDP9">#REF!</definedName>
    <definedName name="__Lee5" localSheetId="14">{#VALUE!,#N/A,FALSE,0}</definedName>
    <definedName name="__Lee5">{#VALUE!,#N/A,FALSE,0}</definedName>
    <definedName name="__PER1">#REF!</definedName>
    <definedName name="__qtr1">#REF!</definedName>
    <definedName name="__qtr2">#REF!</definedName>
    <definedName name="__ryr56565" localSheetId="14">{#N/A,#N/A,FALSE,"Monthly SAIFI";#N/A,#N/A,FALSE,"Yearly SAIFI";#N/A,#N/A,FALSE,"Monthly CAIDI";#N/A,#N/A,FALSE,"Yearly CAIDI";#N/A,#N/A,FALSE,"Monthly SAIDI";#N/A,#N/A,FALSE,"Yearly SAIDI";#N/A,#N/A,FALSE,"Monthly MAIFI";#N/A,#N/A,FALSE,"Yearly MAIFI";#N/A,#N/A,FALSE,"Monthly Cust &gt;=4 Int"}</definedName>
    <definedName name="__ryr56565">{#N/A,#N/A,FALSE,"Monthly SAIFI";#N/A,#N/A,FALSE,"Yearly SAIFI";#N/A,#N/A,FALSE,"Monthly CAIDI";#N/A,#N/A,FALSE,"Yearly CAIDI";#N/A,#N/A,FALSE,"Monthly SAIDI";#N/A,#N/A,FALSE,"Yearly SAIDI";#N/A,#N/A,FALSE,"Monthly MAIFI";#N/A,#N/A,FALSE,"Yearly MAIFI";#N/A,#N/A,FALSE,"Monthly Cust &gt;=4 Int"}</definedName>
    <definedName name="__SCH9">#REF!</definedName>
    <definedName name="__SEG2">#REF!</definedName>
    <definedName name="__seg3">#REF!</definedName>
    <definedName name="__SET2">#REF!</definedName>
    <definedName name="__STA65">#REF!</definedName>
    <definedName name="__www1" localSheetId="14">{#N/A,#N/A,FALSE,"schA"}</definedName>
    <definedName name="__www1">{#N/A,#N/A,FALSE,"schA"}</definedName>
    <definedName name="__www1_1" localSheetId="14">{#N/A,#N/A,FALSE,"schA"}</definedName>
    <definedName name="__www1_1">{#N/A,#N/A,FALSE,"schA"}</definedName>
    <definedName name="__www1_1_1" localSheetId="14">{#N/A,#N/A,FALSE,"schA"}</definedName>
    <definedName name="__www1_1_1">{#N/A,#N/A,FALSE,"schA"}</definedName>
    <definedName name="__www1_2" localSheetId="14">{#N/A,#N/A,FALSE,"schA"}</definedName>
    <definedName name="__www1_2">{#N/A,#N/A,FALSE,"schA"}</definedName>
    <definedName name="__YR1">#REF!</definedName>
    <definedName name="__YR2">#REF!</definedName>
    <definedName name="__YR3">#REF!</definedName>
    <definedName name="__YR4">#REF!</definedName>
    <definedName name="__YR5">#REF!</definedName>
    <definedName name="__YR6">#REF!</definedName>
    <definedName name="__ZN1">#REF!</definedName>
    <definedName name="_1_3NvsInstSpec70ė_00_̒⍘̒__⍴̒000000000耀_____NvsInstSpec80ė__䅥lC_\Document">","</definedName>
    <definedName name="_10__123Graph_ASUPPLIES_BY_B_U">#REF!</definedName>
    <definedName name="_10__123Graph_AWAGES_BY_B_U">#REF!</definedName>
    <definedName name="_102__123Graph_XQRE_S_BY_CO.">#REF!</definedName>
    <definedName name="_105__123Graph_XQRE_S_BY_TYPE">#REF!</definedName>
    <definedName name="_108__123Graph_XSUPPLIES_BY_B_U">#REF!</definedName>
    <definedName name="_10PREPARED_BY">#REF!</definedName>
    <definedName name="_11__123Graph_BCONTRACT_BY_B_U">#REF!</definedName>
    <definedName name="_111__123Graph_XTAX_CREDIT">#REF!</definedName>
    <definedName name="_114117">#REF!</definedName>
    <definedName name="_114117PM">#REF!</definedName>
    <definedName name="_12__123Graph_ASENS_COMPARISON">#REF!</definedName>
    <definedName name="_12__123Graph_ATAX_CREDIT">#REF!</definedName>
    <definedName name="_12__123Graph_BQRE_S_BY_CO.">#REF!</definedName>
    <definedName name="_12NvsInstSpec70ė_00_̒⍘̒__⍴̒000000000耀_____NvsInstSpec80ė__䅥lC_\Document">","</definedName>
    <definedName name="_13__123Graph_BQRE_S_BY_TYPE">#REF!</definedName>
    <definedName name="_14__123Graph_AWAGES_BY_B_U">#REF!</definedName>
    <definedName name="_14__123Graph_BSENS_COMPARISON">#REF!</definedName>
    <definedName name="_14CALC_Q1">#REF!</definedName>
    <definedName name="_14PREPARED_BY">#REF!</definedName>
    <definedName name="_15__123Graph_ASUPPLIES_BY_B_U">#REF!</definedName>
    <definedName name="_15__123Graph_BSUPPLIES_BY_B_U">#REF!</definedName>
    <definedName name="_16__123Graph_BCONTRACT_BY_B_U">#REF!</definedName>
    <definedName name="_16__123Graph_BTAX_CREDIT">#REF!</definedName>
    <definedName name="_17__123Graph_BWAGES_BY_B_U">#REF!</definedName>
    <definedName name="_18__123Graph_ATAX_CREDIT">#REF!</definedName>
    <definedName name="_18__123Graph_BQRE_S_BY_CO.">#REF!</definedName>
    <definedName name="_18__123Graph_CCONTRACT_BY_B_U">#REF!</definedName>
    <definedName name="_18NvsInstSpec70ė_00_̒⍘̒__⍴̒000000000耀_____NvsInstSpec80ė__䅥lC_\Document">","</definedName>
    <definedName name="_19__123Graph_CQRE_S_BY_CO.">#REF!</definedName>
    <definedName name="_19NvsInstSpec70ė_00_̒⍘̒__⍴̒000000000耀_____NvsInstSpec80ė__䅥lC_\Document">","</definedName>
    <definedName name="_1st_sales00">#REF!</definedName>
    <definedName name="_2__123Graph_ACONTRACT_BY_B_U">#REF!</definedName>
    <definedName name="_20__123Graph_BQRE_S_BY_TYPE">#REF!</definedName>
    <definedName name="_20__123Graph_CQRE_S_BY_TYPE">#REF!</definedName>
    <definedName name="_20NvsInstSpec70ė_00_̒⍘̒__⍴̒000000000耀_____NvsInstSpec80ė__䅥lC_\Document">","</definedName>
    <definedName name="_21__123Graph_AWAGES_BY_B_U">#REF!</definedName>
    <definedName name="_21__123Graph_CSENS_COMPARISON">#REF!</definedName>
    <definedName name="_22__123Graph_BSENS_COMPARISON">#REF!</definedName>
    <definedName name="_22__123Graph_CSUPPLIES_BY_B_U">#REF!</definedName>
    <definedName name="_23__123Graph_CWAGES_BY_B_U">#REF!</definedName>
    <definedName name="_24__123Graph_BCONTRACT_BY_B_U">#REF!</definedName>
    <definedName name="_24__123Graph_BSUPPLIES_BY_B_U">#REF!</definedName>
    <definedName name="_24__123Graph_DCONTRACT_BY_B_U">#REF!</definedName>
    <definedName name="_25__123Graph_DQRE_S_BY_CO.">#REF!</definedName>
    <definedName name="_26__123Graph_BTAX_CREDIT">#REF!</definedName>
    <definedName name="_26__123Graph_DSUPPLIES_BY_B_U">#REF!</definedName>
    <definedName name="_262263">#REF!</definedName>
    <definedName name="_262263PM">#REF!</definedName>
    <definedName name="_266267">#REF!</definedName>
    <definedName name="_27__123Graph_BQRE_S_BY_CO.">#REF!</definedName>
    <definedName name="_27__123Graph_DWAGES_BY_B_U">#REF!</definedName>
    <definedName name="_28__123Graph_BWAGES_BY_B_U">#REF!</definedName>
    <definedName name="_28__123Graph_ECONTRACT_BY_B_U">#REF!</definedName>
    <definedName name="_29__123Graph_EQRE_S_BY_CO.">#REF!</definedName>
    <definedName name="_2NvsInstSpec7_ė____̒⍘̒__⍴̒_________耀_____NvsInstSpec8_ė__䅥lC_\Document">","</definedName>
    <definedName name="_2PREPARED_BY">#REF!</definedName>
    <definedName name="_3__123Graph_ACONTRACT_BY_B_U">#REF!</definedName>
    <definedName name="_30__123Graph_BQRE_S_BY_TYPE">#REF!</definedName>
    <definedName name="_30__123Graph_CCONTRACT_BY_B_U">#REF!</definedName>
    <definedName name="_30__123Graph_ESUPPLIES_BY_B_U">#REF!</definedName>
    <definedName name="_31__123Graph_EWAGES_BY_B_U">#REF!</definedName>
    <definedName name="_31PREPARED_BY">#REF!</definedName>
    <definedName name="_32__123Graph_CQRE_S_BY_CO.">#REF!</definedName>
    <definedName name="_32__123Graph_FCONTRACT_BY_B_U">#REF!</definedName>
    <definedName name="_328330">#REF!</definedName>
    <definedName name="_328330PM">#REF!</definedName>
    <definedName name="_33__123Graph_BSENS_COMPARISON">#REF!</definedName>
    <definedName name="_33__123Graph_FQRE_S_BY_CO.">#REF!</definedName>
    <definedName name="_33SUMMARY_Q1">#REF!</definedName>
    <definedName name="_34__123Graph_CQRE_S_BY_TYPE">#REF!</definedName>
    <definedName name="_34__123Graph_FSUPPLIES_BY_B_U">#REF!</definedName>
    <definedName name="_34PREPARED_BY">#REF!</definedName>
    <definedName name="_35__123Graph_FWAGES_BY_B_U">#REF!</definedName>
    <definedName name="_36__123Graph_BSUPPLIES_BY_B_U">#REF!</definedName>
    <definedName name="_36__123Graph_CSENS_COMPARISON">#REF!</definedName>
    <definedName name="_36__123Graph_XCONTRACT_BY_B_U">#REF!</definedName>
    <definedName name="_37__123Graph_XQRE_S_BY_CO.">#REF!</definedName>
    <definedName name="_38__123Graph_CSUPPLIES_BY_B_U">#REF!</definedName>
    <definedName name="_38__123Graph_XQRE_S_BY_TYPE">#REF!</definedName>
    <definedName name="_39__123Graph_BTAX_CREDIT">#REF!</definedName>
    <definedName name="_39__123Graph_XSUPPLIES_BY_B_U">#REF!</definedName>
    <definedName name="_3NvsInstSpec7_ė____̒⍘̒__⍴̒_________耀_____NvsInstSpec8_ė__䅥lC_\Document">","</definedName>
    <definedName name="_3NvsInstSpec70ė_00_̒⍘̒__⍴̒000000000耀_____NvsInstSpec80ė__䅥lC_\Document">","</definedName>
    <definedName name="_3PREPARED_BY">#REF!</definedName>
    <definedName name="_4__123Graph_ACONTRACT_BY_B_U">#REF!</definedName>
    <definedName name="_4__123Graph_AQRE_S_BY_CO.">#REF!</definedName>
    <definedName name="_40__123Graph_CWAGES_BY_B_U">#REF!</definedName>
    <definedName name="_40__123Graph_XTAX_CREDIT">#REF!</definedName>
    <definedName name="_42__123Graph_BWAGES_BY_B_U">#REF!</definedName>
    <definedName name="_42__123Graph_DCONTRACT_BY_B_U">#REF!</definedName>
    <definedName name="_44__123Graph_DQRE_S_BY_CO.">#REF!</definedName>
    <definedName name="_45__123Graph_CCONTRACT_BY_B_U">#REF!</definedName>
    <definedName name="_46__123Graph_DSUPPLIES_BY_B_U">#REF!</definedName>
    <definedName name="_48__123Graph_CQRE_S_BY_CO.">#REF!</definedName>
    <definedName name="_48__123Graph_DWAGES_BY_B_U">#REF!</definedName>
    <definedName name="_4NvsInstSpec7_ė____̒⍘̒__⍴̒_________耀_____NvsInstSpec8_ė__䅥lC_\Document">","</definedName>
    <definedName name="_4PREPARED_BY">#REF!</definedName>
    <definedName name="_5__123Graph_AQRE_S_BY_CO.">#REF!</definedName>
    <definedName name="_50__123Graph_ECONTRACT_BY_B_U">#REF!</definedName>
    <definedName name="_51__123Graph_CQRE_S_BY_TYPE">#REF!</definedName>
    <definedName name="_52__123Graph_EQRE_S_BY_CO.">#REF!</definedName>
    <definedName name="_54__123Graph_CSENS_COMPARISON">#REF!</definedName>
    <definedName name="_54__123Graph_ESUPPLIES_BY_B_U">#REF!</definedName>
    <definedName name="_56__123Graph_EWAGES_BY_B_U">#REF!</definedName>
    <definedName name="_57__123Graph_CSUPPLIES_BY_B_U">#REF!</definedName>
    <definedName name="_58__123Graph_FCONTRACT_BY_B_U">#REF!</definedName>
    <definedName name="_5NvsInstSpec7_ė____̒⍘̒__⍴̒_________耀_____NvsInstSpec8_ė__䅥lC_\Document">","</definedName>
    <definedName name="_5NvsInstSpec70ė_00_̒⍘̒__⍴̒000000000耀_____NvsInstSpec80ė__䅥lC_\Document">","</definedName>
    <definedName name="_5PREPARED_BY">#REF!</definedName>
    <definedName name="_6__123Graph_AQRE_S_BY_CO.">#REF!</definedName>
    <definedName name="_6__123Graph_AQRE_S_BY_TYPE">#REF!</definedName>
    <definedName name="_60__123Graph_CWAGES_BY_B_U">#REF!</definedName>
    <definedName name="_60__123Graph_FQRE_S_BY_CO.">#REF!</definedName>
    <definedName name="_62__123Graph_FSUPPLIES_BY_B_U">#REF!</definedName>
    <definedName name="_63__123Graph_DCONTRACT_BY_B_U">#REF!</definedName>
    <definedName name="_64__123Graph_FWAGES_BY_B_U">#REF!</definedName>
    <definedName name="_66__123Graph_DQRE_S_BY_CO.">#REF!</definedName>
    <definedName name="_66__123Graph_XCONTRACT_BY_B_U">#REF!</definedName>
    <definedName name="_68__123Graph_XQRE_S_BY_CO.">#REF!</definedName>
    <definedName name="_69__123Graph_DSUPPLIES_BY_B_U">#REF!</definedName>
    <definedName name="_6PREPARED_BY">#REF!</definedName>
    <definedName name="_7__123Graph_ASENS_COMPARISON">#REF!</definedName>
    <definedName name="_70__123Graph_XQRE_S_BY_TYPE">#REF!</definedName>
    <definedName name="_72__123Graph_DWAGES_BY_B_U">#REF!</definedName>
    <definedName name="_72__123Graph_XSUPPLIES_BY_B_U">#REF!</definedName>
    <definedName name="_74__123Graph_XTAX_CREDIT">#REF!</definedName>
    <definedName name="_75__123Graph_ECONTRACT_BY_B_U">#REF!</definedName>
    <definedName name="_78__123Graph_EQRE_S_BY_CO.">#REF!</definedName>
    <definedName name="_7PREPARED_BY">#REF!</definedName>
    <definedName name="_8__123Graph_ASENS_COMPARISON">#REF!</definedName>
    <definedName name="_8__123Graph_ASUPPLIES_BY_B_U">#REF!</definedName>
    <definedName name="_81__123Graph_ESUPPLIES_BY_B_U">#REF!</definedName>
    <definedName name="_84__123Graph_EWAGES_BY_B_U">#REF!</definedName>
    <definedName name="_87__123Graph_FCONTRACT_BY_B_U">#REF!</definedName>
    <definedName name="_8PREPARED_BY">#REF!</definedName>
    <definedName name="_9__123Graph_AQRE_S_BY_TYPE">#REF!</definedName>
    <definedName name="_9__123Graph_ATAX_CREDIT">#REF!</definedName>
    <definedName name="_90__123Graph_FQRE_S_BY_CO.">#REF!</definedName>
    <definedName name="_93__123Graph_FSUPPLIES_BY_B_U">#REF!</definedName>
    <definedName name="_96__123Graph_FWAGES_BY_B_U">#REF!</definedName>
    <definedName name="_99__123Graph_XCONTRACT_BY_B_U">#REF!</definedName>
    <definedName name="_bb2" localSheetId="14">{#N/A,#N/A,FALSE,"PRJCTED MNTHLY QTY's"}</definedName>
    <definedName name="_bb2">{#N/A,#N/A,FALSE,"PRJCTED MNTHLY QTY's"}</definedName>
    <definedName name="_BDD0811">#REF!</definedName>
    <definedName name="_BUV2">#REF!</definedName>
    <definedName name="_CCN04">#REF!</definedName>
    <definedName name="_CGP1">#REF!</definedName>
    <definedName name="_CGP10">#REF!</definedName>
    <definedName name="_CGP11">#REF!</definedName>
    <definedName name="_CGP13">#REF!</definedName>
    <definedName name="_CGP14">#REF!</definedName>
    <definedName name="_CGP16">#REF!</definedName>
    <definedName name="_CGP17">#REF!</definedName>
    <definedName name="_CGP18">#REF!</definedName>
    <definedName name="_CGP19">#REF!</definedName>
    <definedName name="_CGP2">#REF!</definedName>
    <definedName name="_CGP20">#REF!</definedName>
    <definedName name="_CGP21">#REF!</definedName>
    <definedName name="_CGP22">#REF!</definedName>
    <definedName name="_CGP3">#REF!</definedName>
    <definedName name="_CGP7">#REF!</definedName>
    <definedName name="_CGP8">#REF!</definedName>
    <definedName name="_CGP9">#REF!</definedName>
    <definedName name="_CNG1">#REF!</definedName>
    <definedName name="_dec2007" localSheetId="25">#REF!,#REF!,#REF!,#REF!</definedName>
    <definedName name="_dec2007" localSheetId="4">#REF!,#REF!,#REF!,#REF!</definedName>
    <definedName name="_dec2007" localSheetId="33">#REF!,#REF!,#REF!,#REF!</definedName>
    <definedName name="_dec2007">#REF!,#REF!,#REF!,#REF!</definedName>
    <definedName name="_end1">40008.1499768519</definedName>
    <definedName name="_FAS133">#REF!</definedName>
    <definedName name="_xlnm._FilterDatabase" localSheetId="30" hidden="1">'94950000'!$A$398:$P$709</definedName>
    <definedName name="_xlnm._FilterDatabase" localSheetId="31" hidden="1">'94950000 CY21'!$A$397:$O$512</definedName>
    <definedName name="_xlnm._FilterDatabase" localSheetId="20" hidden="1">'RIGASD PJ1 FERC IS CY20'!$A$7:$AJ$610</definedName>
    <definedName name="_xlnm._FilterDatabase" localSheetId="37" hidden="1">'Unbilled revenue (Bal Sht)_20'!$A$21:$Y$93</definedName>
    <definedName name="_xlnm._FilterDatabase" localSheetId="35" hidden="1">'Unbilled revenue (Bal Sht)_CY21'!$B$19:$N$80</definedName>
    <definedName name="_xlnm._FilterDatabase" localSheetId="34" hidden="1">'Unbilled revenue (Bal Sht)_CY22'!$B$21:$P$89</definedName>
    <definedName name="_xlnm._FilterDatabase" hidden="1">#REF!</definedName>
    <definedName name="_FOC1">#REF!</definedName>
    <definedName name="_H1" localSheetId="14">{"'Metretek HTML'!$A$7:$W$42"}</definedName>
    <definedName name="_H1">{"'Metretek HTML'!$A$7:$W$42"}</definedName>
    <definedName name="_hom1" localSheetId="14">{#N/A,#N/A,FALSE,"Assessment";#N/A,#N/A,FALSE,"Staffing";#N/A,#N/A,FALSE,"Hires";#N/A,#N/A,FALSE,"Assumptions"}</definedName>
    <definedName name="_hom1">{#N/A,#N/A,FALSE,"Assessment";#N/A,#N/A,FALSE,"Staffing";#N/A,#N/A,FALSE,"Hires";#N/A,#N/A,FALSE,"Assumptions"}</definedName>
    <definedName name="_JE103103">#REF!</definedName>
    <definedName name="_k1" localSheetId="14">{#N/A,#N/A,FALSE,"Assessment";#N/A,#N/A,FALSE,"Staffing";#N/A,#N/A,FALSE,"Hires";#N/A,#N/A,FALSE,"Assumptions"}</definedName>
    <definedName name="_k1">{#N/A,#N/A,FALSE,"Assessment";#N/A,#N/A,FALSE,"Staffing";#N/A,#N/A,FALSE,"Hires";#N/A,#N/A,FALSE,"Assumptions"}</definedName>
    <definedName name="_kk1" localSheetId="14">{#N/A,#N/A,FALSE,"Assessment";#N/A,#N/A,FALSE,"Staffing";#N/A,#N/A,FALSE,"Hires";#N/A,#N/A,FALSE,"Assumptions"}</definedName>
    <definedName name="_kk1">{#N/A,#N/A,FALSE,"Assessment";#N/A,#N/A,FALSE,"Staffing";#N/A,#N/A,FALSE,"Hires";#N/A,#N/A,FALSE,"Assumptions"}</definedName>
    <definedName name="_KKK1" localSheetId="14">{#N/A,#N/A,FALSE,"Assessment";#N/A,#N/A,FALSE,"Staffing";#N/A,#N/A,FALSE,"Hires";#N/A,#N/A,FALSE,"Assumptions"}</definedName>
    <definedName name="_KKK1">{#N/A,#N/A,FALSE,"Assessment";#N/A,#N/A,FALSE,"Staffing";#N/A,#N/A,FALSE,"Hires";#N/A,#N/A,FALSE,"Assumptions"}</definedName>
    <definedName name="_LDP1">#REF!</definedName>
    <definedName name="_LDP2">#REF!</definedName>
    <definedName name="_LDP3">#REF!</definedName>
    <definedName name="_LDP6">#REF!</definedName>
    <definedName name="_LDP7">#REF!</definedName>
    <definedName name="_LDP8">#REF!</definedName>
    <definedName name="_LDP9">#REF!</definedName>
    <definedName name="_Lee5" localSheetId="14">{#VALUE!,#N/A,FALSE,0}</definedName>
    <definedName name="_Lee5">{#VALUE!,#N/A,FALSE,0}</definedName>
    <definedName name="_LoB2">#REF!</definedName>
    <definedName name="_Oil2">#REF!</definedName>
    <definedName name="_Oil3">#REF!</definedName>
    <definedName name="_Oil4">#REF!</definedName>
    <definedName name="_Oil5">#REF!</definedName>
    <definedName name="_Oil6">#REF!</definedName>
    <definedName name="_Order1">255</definedName>
    <definedName name="_Order1_1">0</definedName>
    <definedName name="_Order2">0</definedName>
    <definedName name="_Order2_1">255</definedName>
    <definedName name="_Order2_1_1">0</definedName>
    <definedName name="_Order2_1_1_1">255</definedName>
    <definedName name="_pc2">#REF!</definedName>
    <definedName name="_Per1">#REF!</definedName>
    <definedName name="_PG81">#REF!</definedName>
    <definedName name="_PG93">#REF!</definedName>
    <definedName name="_qtr1">#REF!</definedName>
    <definedName name="_qtr2">#REF!</definedName>
    <definedName name="_RES05">#REF!</definedName>
    <definedName name="_ryr56565" localSheetId="14">{#N/A,#N/A,FALSE,"Monthly SAIFI";#N/A,#N/A,FALSE,"Yearly SAIFI";#N/A,#N/A,FALSE,"Monthly CAIDI";#N/A,#N/A,FALSE,"Yearly CAIDI";#N/A,#N/A,FALSE,"Monthly SAIDI";#N/A,#N/A,FALSE,"Yearly SAIDI";#N/A,#N/A,FALSE,"Monthly MAIFI";#N/A,#N/A,FALSE,"Yearly MAIFI";#N/A,#N/A,FALSE,"Monthly Cust &gt;=4 Int"}</definedName>
    <definedName name="_ryr56565">{#N/A,#N/A,FALSE,"Monthly SAIFI";#N/A,#N/A,FALSE,"Yearly SAIFI";#N/A,#N/A,FALSE,"Monthly CAIDI";#N/A,#N/A,FALSE,"Yearly CAIDI";#N/A,#N/A,FALSE,"Monthly SAIDI";#N/A,#N/A,FALSE,"Yearly SAIDI";#N/A,#N/A,FALSE,"Monthly MAIFI";#N/A,#N/A,FALSE,"Yearly MAIFI";#N/A,#N/A,FALSE,"Monthly Cust &gt;=4 Int"}</definedName>
    <definedName name="_SAP2">#REF!</definedName>
    <definedName name="_SCH9">#REF!</definedName>
    <definedName name="_SEG2">#REF!</definedName>
    <definedName name="_seg3">#REF!</definedName>
    <definedName name="_SET2">#REF!</definedName>
    <definedName name="_STA65">#REF!</definedName>
    <definedName name="_tc0492">#N/A</definedName>
    <definedName name="_UK1">#REF!</definedName>
    <definedName name="_www1" localSheetId="14">{#N/A,#N/A,FALSE,"schA"}</definedName>
    <definedName name="_www1">{#N/A,#N/A,FALSE,"schA"}</definedName>
    <definedName name="_www1_1" localSheetId="14">{#N/A,#N/A,FALSE,"schA"}</definedName>
    <definedName name="_www1_1">{#N/A,#N/A,FALSE,"schA"}</definedName>
    <definedName name="_www1_1_1" localSheetId="14">{#N/A,#N/A,FALSE,"schA"}</definedName>
    <definedName name="_www1_1_1">{#N/A,#N/A,FALSE,"schA"}</definedName>
    <definedName name="_www1_2" localSheetId="14">{#N/A,#N/A,FALSE,"schA"}</definedName>
    <definedName name="_www1_2">{#N/A,#N/A,FALSE,"schA"}</definedName>
    <definedName name="_YR1">#REF!</definedName>
    <definedName name="_YR2">#REF!</definedName>
    <definedName name="_YR3">#REF!</definedName>
    <definedName name="_YR4">#REF!</definedName>
    <definedName name="_YR5">#REF!</definedName>
    <definedName name="_YR6">#REF!</definedName>
    <definedName name="_ZN1">#REF!</definedName>
    <definedName name="a" localSheetId="14">{"Index",#N/A,FALSE,"Index"}</definedName>
    <definedName name="a">{"Index",#N/A,FALSE,"Index"}</definedName>
    <definedName name="aa" localSheetId="14">{#N/A,#N/A,FALSE,"PRJCTED MNTHLY QTY's"}</definedName>
    <definedName name="aa">{#N/A,#N/A,FALSE,"PRJCTED MNTHLY QTY's"}</definedName>
    <definedName name="aa_1" localSheetId="14">{#N/A,#N/A,FALSE,"Totals";#N/A,#N/A,FALSE,"First-Of-Month";#N/A,#N/A,FALSE,"March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aa_1">{#N/A,#N/A,FALSE,"Totals";#N/A,#N/A,FALSE,"First-Of-Month";#N/A,#N/A,FALSE,"March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aa_1_1" localSheetId="14">{#N/A,#N/A,FALSE,"Totals";#N/A,#N/A,FALSE,"First-Of-Month";#N/A,#N/A,FALSE,"March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aa_1_1">{#N/A,#N/A,FALSE,"Totals";#N/A,#N/A,FALSE,"First-Of-Month";#N/A,#N/A,FALSE,"March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aa_1_1_1" localSheetId="14">{#N/A,#N/A,FALSE,"Totals";#N/A,#N/A,FALSE,"First-Of-Month";#N/A,#N/A,FALSE,"March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aa_1_1_1">{#N/A,#N/A,FALSE,"Totals";#N/A,#N/A,FALSE,"First-Of-Month";#N/A,#N/A,FALSE,"March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aa_1_1_1_1" localSheetId="14">{#N/A,#N/A,FALSE,"Totals";#N/A,#N/A,FALSE,"First-Of-Month";#N/A,#N/A,FALSE,"March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aa_1_1_1_1">{#N/A,#N/A,FALSE,"Totals";#N/A,#N/A,FALSE,"First-Of-Month";#N/A,#N/A,FALSE,"March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aa_1_1_1_1_1" localSheetId="14">{#N/A,#N/A,FALSE,"Totals";#N/A,#N/A,FALSE,"First-Of-Month";#N/A,#N/A,FALSE,"March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aa_1_1_1_1_1">{#N/A,#N/A,FALSE,"Totals";#N/A,#N/A,FALSE,"First-Of-Month";#N/A,#N/A,FALSE,"March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aa_1_1_1_2" localSheetId="14">{#N/A,#N/A,FALSE,"Totals";#N/A,#N/A,FALSE,"First-Of-Month";#N/A,#N/A,FALSE,"March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aa_1_1_1_2">{#N/A,#N/A,FALSE,"Totals";#N/A,#N/A,FALSE,"First-Of-Month";#N/A,#N/A,FALSE,"March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aa_1_1_2" localSheetId="14">{#N/A,#N/A,FALSE,"Totals";#N/A,#N/A,FALSE,"First-Of-Month";#N/A,#N/A,FALSE,"March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aa_1_1_2">{#N/A,#N/A,FALSE,"Totals";#N/A,#N/A,FALSE,"First-Of-Month";#N/A,#N/A,FALSE,"March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aa_1_1_2_1" localSheetId="14">{#N/A,#N/A,FALSE,"Totals";#N/A,#N/A,FALSE,"First-Of-Month";#N/A,#N/A,FALSE,"March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aa_1_1_2_1">{#N/A,#N/A,FALSE,"Totals";#N/A,#N/A,FALSE,"First-Of-Month";#N/A,#N/A,FALSE,"March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aa_1_1_3" localSheetId="14">{#N/A,#N/A,FALSE,"Totals";#N/A,#N/A,FALSE,"First-Of-Month";#N/A,#N/A,FALSE,"March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aa_1_1_3">{#N/A,#N/A,FALSE,"Totals";#N/A,#N/A,FALSE,"First-Of-Month";#N/A,#N/A,FALSE,"March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aa_1_1_3_1" localSheetId="14">{#N/A,#N/A,FALSE,"Totals";#N/A,#N/A,FALSE,"First-Of-Month";#N/A,#N/A,FALSE,"March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aa_1_1_3_1">{#N/A,#N/A,FALSE,"Totals";#N/A,#N/A,FALSE,"First-Of-Month";#N/A,#N/A,FALSE,"March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aa_1_1_4" localSheetId="14">{#N/A,#N/A,FALSE,"Totals";#N/A,#N/A,FALSE,"First-Of-Month";#N/A,#N/A,FALSE,"March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aa_1_1_4">{#N/A,#N/A,FALSE,"Totals";#N/A,#N/A,FALSE,"First-Of-Month";#N/A,#N/A,FALSE,"March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aa_1_1_4_1" localSheetId="14">{#N/A,#N/A,FALSE,"Totals";#N/A,#N/A,FALSE,"First-Of-Month";#N/A,#N/A,FALSE,"March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aa_1_1_4_1">{#N/A,#N/A,FALSE,"Totals";#N/A,#N/A,FALSE,"First-Of-Month";#N/A,#N/A,FALSE,"March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aa_1_1_5" localSheetId="14">{#N/A,#N/A,FALSE,"Totals";#N/A,#N/A,FALSE,"First-Of-Month";#N/A,#N/A,FALSE,"March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aa_1_1_5">{#N/A,#N/A,FALSE,"Totals";#N/A,#N/A,FALSE,"First-Of-Month";#N/A,#N/A,FALSE,"March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aa_1_2" localSheetId="14">{#N/A,#N/A,FALSE,"Totals";#N/A,#N/A,FALSE,"First-Of-Month";#N/A,#N/A,FALSE,"March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aa_1_2">{#N/A,#N/A,FALSE,"Totals";#N/A,#N/A,FALSE,"First-Of-Month";#N/A,#N/A,FALSE,"March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aa_1_2_1" localSheetId="14">{#N/A,#N/A,FALSE,"Totals";#N/A,#N/A,FALSE,"First-Of-Month";#N/A,#N/A,FALSE,"March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aa_1_2_1">{#N/A,#N/A,FALSE,"Totals";#N/A,#N/A,FALSE,"First-Of-Month";#N/A,#N/A,FALSE,"March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aa_1_2_1_1" localSheetId="14">{#N/A,#N/A,FALSE,"Totals";#N/A,#N/A,FALSE,"First-Of-Month";#N/A,#N/A,FALSE,"March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aa_1_2_1_1">{#N/A,#N/A,FALSE,"Totals";#N/A,#N/A,FALSE,"First-Of-Month";#N/A,#N/A,FALSE,"March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aa_1_2_1_1_1" localSheetId="14">{#N/A,#N/A,FALSE,"Totals";#N/A,#N/A,FALSE,"First-Of-Month";#N/A,#N/A,FALSE,"March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aa_1_2_1_1_1">{#N/A,#N/A,FALSE,"Totals";#N/A,#N/A,FALSE,"First-Of-Month";#N/A,#N/A,FALSE,"March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aa_1_2_1_2" localSheetId="14">{#N/A,#N/A,FALSE,"Totals";#N/A,#N/A,FALSE,"First-Of-Month";#N/A,#N/A,FALSE,"March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aa_1_2_1_2">{#N/A,#N/A,FALSE,"Totals";#N/A,#N/A,FALSE,"First-Of-Month";#N/A,#N/A,FALSE,"March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aa_1_2_2" localSheetId="14">{#N/A,#N/A,FALSE,"Totals";#N/A,#N/A,FALSE,"First-Of-Month";#N/A,#N/A,FALSE,"March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aa_1_2_2">{#N/A,#N/A,FALSE,"Totals";#N/A,#N/A,FALSE,"First-Of-Month";#N/A,#N/A,FALSE,"March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aa_1_2_2_1" localSheetId="14">{#N/A,#N/A,FALSE,"Totals";#N/A,#N/A,FALSE,"First-Of-Month";#N/A,#N/A,FALSE,"March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aa_1_2_2_1">{#N/A,#N/A,FALSE,"Totals";#N/A,#N/A,FALSE,"First-Of-Month";#N/A,#N/A,FALSE,"March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aa_1_2_3" localSheetId="14">{#N/A,#N/A,FALSE,"Totals";#N/A,#N/A,FALSE,"First-Of-Month";#N/A,#N/A,FALSE,"March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aa_1_2_3">{#N/A,#N/A,FALSE,"Totals";#N/A,#N/A,FALSE,"First-Of-Month";#N/A,#N/A,FALSE,"March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aa_1_2_3_1" localSheetId="14">{#N/A,#N/A,FALSE,"Totals";#N/A,#N/A,FALSE,"First-Of-Month";#N/A,#N/A,FALSE,"March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aa_1_2_3_1">{#N/A,#N/A,FALSE,"Totals";#N/A,#N/A,FALSE,"First-Of-Month";#N/A,#N/A,FALSE,"March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aa_1_2_4" localSheetId="14">{#N/A,#N/A,FALSE,"Totals";#N/A,#N/A,FALSE,"First-Of-Month";#N/A,#N/A,FALSE,"March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aa_1_2_4">{#N/A,#N/A,FALSE,"Totals";#N/A,#N/A,FALSE,"First-Of-Month";#N/A,#N/A,FALSE,"March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aa_1_2_4_1" localSheetId="14">{#N/A,#N/A,FALSE,"Totals";#N/A,#N/A,FALSE,"First-Of-Month";#N/A,#N/A,FALSE,"March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aa_1_2_4_1">{#N/A,#N/A,FALSE,"Totals";#N/A,#N/A,FALSE,"First-Of-Month";#N/A,#N/A,FALSE,"March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aa_1_2_5" localSheetId="14">{#N/A,#N/A,FALSE,"Totals";#N/A,#N/A,FALSE,"First-Of-Month";#N/A,#N/A,FALSE,"March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aa_1_2_5">{#N/A,#N/A,FALSE,"Totals";#N/A,#N/A,FALSE,"First-Of-Month";#N/A,#N/A,FALSE,"March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aa_1_3" localSheetId="14">{#N/A,#N/A,FALSE,"Totals";#N/A,#N/A,FALSE,"First-Of-Month";#N/A,#N/A,FALSE,"March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aa_1_3">{#N/A,#N/A,FALSE,"Totals";#N/A,#N/A,FALSE,"First-Of-Month";#N/A,#N/A,FALSE,"March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aa_1_3_1" localSheetId="14">{#N/A,#N/A,FALSE,"Totals";#N/A,#N/A,FALSE,"First-Of-Month";#N/A,#N/A,FALSE,"March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aa_1_3_1">{#N/A,#N/A,FALSE,"Totals";#N/A,#N/A,FALSE,"First-Of-Month";#N/A,#N/A,FALSE,"March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aa_1_3_1_1" localSheetId="14">{#N/A,#N/A,FALSE,"Totals";#N/A,#N/A,FALSE,"First-Of-Month";#N/A,#N/A,FALSE,"March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aa_1_3_1_1">{#N/A,#N/A,FALSE,"Totals";#N/A,#N/A,FALSE,"First-Of-Month";#N/A,#N/A,FALSE,"March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aa_1_3_1_1_1" localSheetId="14">{#N/A,#N/A,FALSE,"Totals";#N/A,#N/A,FALSE,"First-Of-Month";#N/A,#N/A,FALSE,"March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aa_1_3_1_1_1">{#N/A,#N/A,FALSE,"Totals";#N/A,#N/A,FALSE,"First-Of-Month";#N/A,#N/A,FALSE,"March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aa_1_3_1_2" localSheetId="14">{#N/A,#N/A,FALSE,"Totals";#N/A,#N/A,FALSE,"First-Of-Month";#N/A,#N/A,FALSE,"March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aa_1_3_1_2">{#N/A,#N/A,FALSE,"Totals";#N/A,#N/A,FALSE,"First-Of-Month";#N/A,#N/A,FALSE,"March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aa_1_3_2" localSheetId="14">{#N/A,#N/A,FALSE,"Totals";#N/A,#N/A,FALSE,"First-Of-Month";#N/A,#N/A,FALSE,"March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aa_1_3_2">{#N/A,#N/A,FALSE,"Totals";#N/A,#N/A,FALSE,"First-Of-Month";#N/A,#N/A,FALSE,"March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aa_1_3_2_1" localSheetId="14">{#N/A,#N/A,FALSE,"Totals";#N/A,#N/A,FALSE,"First-Of-Month";#N/A,#N/A,FALSE,"March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aa_1_3_2_1">{#N/A,#N/A,FALSE,"Totals";#N/A,#N/A,FALSE,"First-Of-Month";#N/A,#N/A,FALSE,"March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aa_1_3_3" localSheetId="14">{#N/A,#N/A,FALSE,"Totals";#N/A,#N/A,FALSE,"First-Of-Month";#N/A,#N/A,FALSE,"March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aa_1_3_3">{#N/A,#N/A,FALSE,"Totals";#N/A,#N/A,FALSE,"First-Of-Month";#N/A,#N/A,FALSE,"March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aa_1_3_3_1" localSheetId="14">{#N/A,#N/A,FALSE,"Totals";#N/A,#N/A,FALSE,"First-Of-Month";#N/A,#N/A,FALSE,"March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aa_1_3_3_1">{#N/A,#N/A,FALSE,"Totals";#N/A,#N/A,FALSE,"First-Of-Month";#N/A,#N/A,FALSE,"March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aa_1_3_4" localSheetId="14">{#N/A,#N/A,FALSE,"Totals";#N/A,#N/A,FALSE,"First-Of-Month";#N/A,#N/A,FALSE,"March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aa_1_3_4">{#N/A,#N/A,FALSE,"Totals";#N/A,#N/A,FALSE,"First-Of-Month";#N/A,#N/A,FALSE,"March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aa_1_3_4_1" localSheetId="14">{#N/A,#N/A,FALSE,"Totals";#N/A,#N/A,FALSE,"First-Of-Month";#N/A,#N/A,FALSE,"March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aa_1_3_4_1">{#N/A,#N/A,FALSE,"Totals";#N/A,#N/A,FALSE,"First-Of-Month";#N/A,#N/A,FALSE,"March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aa_1_3_5" localSheetId="14">{#N/A,#N/A,FALSE,"Totals";#N/A,#N/A,FALSE,"First-Of-Month";#N/A,#N/A,FALSE,"March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aa_1_3_5">{#N/A,#N/A,FALSE,"Totals";#N/A,#N/A,FALSE,"First-Of-Month";#N/A,#N/A,FALSE,"March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aa_1_4" localSheetId="14">{#N/A,#N/A,FALSE,"Totals";#N/A,#N/A,FALSE,"First-Of-Month";#N/A,#N/A,FALSE,"March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aa_1_4">{#N/A,#N/A,FALSE,"Totals";#N/A,#N/A,FALSE,"First-Of-Month";#N/A,#N/A,FALSE,"March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aa_1_4_1" localSheetId="14">{#N/A,#N/A,FALSE,"Totals";#N/A,#N/A,FALSE,"First-Of-Month";#N/A,#N/A,FALSE,"March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aa_1_4_1">{#N/A,#N/A,FALSE,"Totals";#N/A,#N/A,FALSE,"First-Of-Month";#N/A,#N/A,FALSE,"March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aa_1_4_1_1" localSheetId="14">{#N/A,#N/A,FALSE,"Totals";#N/A,#N/A,FALSE,"First-Of-Month";#N/A,#N/A,FALSE,"March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aa_1_4_1_1">{#N/A,#N/A,FALSE,"Totals";#N/A,#N/A,FALSE,"First-Of-Month";#N/A,#N/A,FALSE,"March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aa_1_4_1_1_1" localSheetId="14">{#N/A,#N/A,FALSE,"Totals";#N/A,#N/A,FALSE,"First-Of-Month";#N/A,#N/A,FALSE,"March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aa_1_4_1_1_1">{#N/A,#N/A,FALSE,"Totals";#N/A,#N/A,FALSE,"First-Of-Month";#N/A,#N/A,FALSE,"March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aa_1_4_1_2" localSheetId="14">{#N/A,#N/A,FALSE,"Totals";#N/A,#N/A,FALSE,"First-Of-Month";#N/A,#N/A,FALSE,"March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aa_1_4_1_2">{#N/A,#N/A,FALSE,"Totals";#N/A,#N/A,FALSE,"First-Of-Month";#N/A,#N/A,FALSE,"March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aa_1_4_2" localSheetId="14">{#N/A,#N/A,FALSE,"Totals";#N/A,#N/A,FALSE,"First-Of-Month";#N/A,#N/A,FALSE,"March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aa_1_4_2">{#N/A,#N/A,FALSE,"Totals";#N/A,#N/A,FALSE,"First-Of-Month";#N/A,#N/A,FALSE,"March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aa_1_4_2_1" localSheetId="14">{#N/A,#N/A,FALSE,"Totals";#N/A,#N/A,FALSE,"First-Of-Month";#N/A,#N/A,FALSE,"March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aa_1_4_2_1">{#N/A,#N/A,FALSE,"Totals";#N/A,#N/A,FALSE,"First-Of-Month";#N/A,#N/A,FALSE,"March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aa_1_4_3" localSheetId="14">{#N/A,#N/A,FALSE,"Totals";#N/A,#N/A,FALSE,"First-Of-Month";#N/A,#N/A,FALSE,"March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aa_1_4_3">{#N/A,#N/A,FALSE,"Totals";#N/A,#N/A,FALSE,"First-Of-Month";#N/A,#N/A,FALSE,"March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aa_1_4_3_1" localSheetId="14">{#N/A,#N/A,FALSE,"Totals";#N/A,#N/A,FALSE,"First-Of-Month";#N/A,#N/A,FALSE,"March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aa_1_4_3_1">{#N/A,#N/A,FALSE,"Totals";#N/A,#N/A,FALSE,"First-Of-Month";#N/A,#N/A,FALSE,"March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aa_1_4_4" localSheetId="14">{#N/A,#N/A,FALSE,"Totals";#N/A,#N/A,FALSE,"First-Of-Month";#N/A,#N/A,FALSE,"March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aa_1_4_4">{#N/A,#N/A,FALSE,"Totals";#N/A,#N/A,FALSE,"First-Of-Month";#N/A,#N/A,FALSE,"March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aa_1_4_4_1" localSheetId="14">{#N/A,#N/A,FALSE,"Totals";#N/A,#N/A,FALSE,"First-Of-Month";#N/A,#N/A,FALSE,"March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aa_1_4_4_1">{#N/A,#N/A,FALSE,"Totals";#N/A,#N/A,FALSE,"First-Of-Month";#N/A,#N/A,FALSE,"March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aa_1_4_5" localSheetId="14">{#N/A,#N/A,FALSE,"Totals";#N/A,#N/A,FALSE,"First-Of-Month";#N/A,#N/A,FALSE,"March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aa_1_4_5">{#N/A,#N/A,FALSE,"Totals";#N/A,#N/A,FALSE,"First-Of-Month";#N/A,#N/A,FALSE,"March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aa_1_5" localSheetId="14">{#N/A,#N/A,FALSE,"Totals";#N/A,#N/A,FALSE,"First-Of-Month";#N/A,#N/A,FALSE,"March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aa_1_5">{#N/A,#N/A,FALSE,"Totals";#N/A,#N/A,FALSE,"First-Of-Month";#N/A,#N/A,FALSE,"March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aa_1_5_1" localSheetId="14">{#N/A,#N/A,FALSE,"Totals";#N/A,#N/A,FALSE,"First-Of-Month";#N/A,#N/A,FALSE,"March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aa_1_5_1">{#N/A,#N/A,FALSE,"Totals";#N/A,#N/A,FALSE,"First-Of-Month";#N/A,#N/A,FALSE,"March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aa_1_5_1_1" localSheetId="14">{#N/A,#N/A,FALSE,"Totals";#N/A,#N/A,FALSE,"First-Of-Month";#N/A,#N/A,FALSE,"March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aa_1_5_1_1">{#N/A,#N/A,FALSE,"Totals";#N/A,#N/A,FALSE,"First-Of-Month";#N/A,#N/A,FALSE,"March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aa_1_5_1_1_1" localSheetId="14">{#N/A,#N/A,FALSE,"Totals";#N/A,#N/A,FALSE,"First-Of-Month";#N/A,#N/A,FALSE,"March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aa_1_5_1_1_1">{#N/A,#N/A,FALSE,"Totals";#N/A,#N/A,FALSE,"First-Of-Month";#N/A,#N/A,FALSE,"March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aa_1_5_1_2" localSheetId="14">{#N/A,#N/A,FALSE,"Totals";#N/A,#N/A,FALSE,"First-Of-Month";#N/A,#N/A,FALSE,"March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aa_1_5_1_2">{#N/A,#N/A,FALSE,"Totals";#N/A,#N/A,FALSE,"First-Of-Month";#N/A,#N/A,FALSE,"March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aa_1_5_2" localSheetId="14">{#N/A,#N/A,FALSE,"Totals";#N/A,#N/A,FALSE,"First-Of-Month";#N/A,#N/A,FALSE,"March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aa_1_5_2">{#N/A,#N/A,FALSE,"Totals";#N/A,#N/A,FALSE,"First-Of-Month";#N/A,#N/A,FALSE,"March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aa_1_5_2_1" localSheetId="14">{#N/A,#N/A,FALSE,"Totals";#N/A,#N/A,FALSE,"First-Of-Month";#N/A,#N/A,FALSE,"March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aa_1_5_2_1">{#N/A,#N/A,FALSE,"Totals";#N/A,#N/A,FALSE,"First-Of-Month";#N/A,#N/A,FALSE,"March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aa_1_5_3" localSheetId="14">{#N/A,#N/A,FALSE,"Totals";#N/A,#N/A,FALSE,"First-Of-Month";#N/A,#N/A,FALSE,"March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aa_1_5_3">{#N/A,#N/A,FALSE,"Totals";#N/A,#N/A,FALSE,"First-Of-Month";#N/A,#N/A,FALSE,"March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aa_1_5_3_1" localSheetId="14">{#N/A,#N/A,FALSE,"Totals";#N/A,#N/A,FALSE,"First-Of-Month";#N/A,#N/A,FALSE,"March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aa_1_5_3_1">{#N/A,#N/A,FALSE,"Totals";#N/A,#N/A,FALSE,"First-Of-Month";#N/A,#N/A,FALSE,"March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aa_1_5_4" localSheetId="14">{#N/A,#N/A,FALSE,"Totals";#N/A,#N/A,FALSE,"First-Of-Month";#N/A,#N/A,FALSE,"March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aa_1_5_4">{#N/A,#N/A,FALSE,"Totals";#N/A,#N/A,FALSE,"First-Of-Month";#N/A,#N/A,FALSE,"March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aa_1_5_4_1" localSheetId="14">{#N/A,#N/A,FALSE,"Totals";#N/A,#N/A,FALSE,"First-Of-Month";#N/A,#N/A,FALSE,"March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aa_1_5_4_1">{#N/A,#N/A,FALSE,"Totals";#N/A,#N/A,FALSE,"First-Of-Month";#N/A,#N/A,FALSE,"March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aa_1_5_5" localSheetId="14">{#N/A,#N/A,FALSE,"Totals";#N/A,#N/A,FALSE,"First-Of-Month";#N/A,#N/A,FALSE,"March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aa_1_5_5">{#N/A,#N/A,FALSE,"Totals";#N/A,#N/A,FALSE,"First-Of-Month";#N/A,#N/A,FALSE,"March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aa_2" localSheetId="14">{#N/A,#N/A,FALSE,"Totals";#N/A,#N/A,FALSE,"First-Of-Month";#N/A,#N/A,FALSE,"March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aa_2">{#N/A,#N/A,FALSE,"Totals";#N/A,#N/A,FALSE,"First-Of-Month";#N/A,#N/A,FALSE,"March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aa_2_1" localSheetId="14">{#N/A,#N/A,FALSE,"Totals";#N/A,#N/A,FALSE,"First-Of-Month";#N/A,#N/A,FALSE,"March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aa_2_1">{#N/A,#N/A,FALSE,"Totals";#N/A,#N/A,FALSE,"First-Of-Month";#N/A,#N/A,FALSE,"March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aa_2_1_1" localSheetId="14">{#N/A,#N/A,FALSE,"Totals";#N/A,#N/A,FALSE,"First-Of-Month";#N/A,#N/A,FALSE,"March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aa_2_1_1">{#N/A,#N/A,FALSE,"Totals";#N/A,#N/A,FALSE,"First-Of-Month";#N/A,#N/A,FALSE,"March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aa_2_1_1_1" localSheetId="14">{#N/A,#N/A,FALSE,"Totals";#N/A,#N/A,FALSE,"First-Of-Month";#N/A,#N/A,FALSE,"March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aa_2_1_1_1">{#N/A,#N/A,FALSE,"Totals";#N/A,#N/A,FALSE,"First-Of-Month";#N/A,#N/A,FALSE,"March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aa_2_1_2" localSheetId="14">{#N/A,#N/A,FALSE,"Totals";#N/A,#N/A,FALSE,"First-Of-Month";#N/A,#N/A,FALSE,"March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aa_2_1_2">{#N/A,#N/A,FALSE,"Totals";#N/A,#N/A,FALSE,"First-Of-Month";#N/A,#N/A,FALSE,"March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aa_2_2" localSheetId="14">{#N/A,#N/A,FALSE,"Totals";#N/A,#N/A,FALSE,"First-Of-Month";#N/A,#N/A,FALSE,"March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aa_2_2">{#N/A,#N/A,FALSE,"Totals";#N/A,#N/A,FALSE,"First-Of-Month";#N/A,#N/A,FALSE,"March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aa_2_2_1" localSheetId="14">{#N/A,#N/A,FALSE,"Totals";#N/A,#N/A,FALSE,"First-Of-Month";#N/A,#N/A,FALSE,"March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aa_2_2_1">{#N/A,#N/A,FALSE,"Totals";#N/A,#N/A,FALSE,"First-Of-Month";#N/A,#N/A,FALSE,"March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aa_2_3" localSheetId="14">{#N/A,#N/A,FALSE,"Totals";#N/A,#N/A,FALSE,"First-Of-Month";#N/A,#N/A,FALSE,"March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aa_2_3">{#N/A,#N/A,FALSE,"Totals";#N/A,#N/A,FALSE,"First-Of-Month";#N/A,#N/A,FALSE,"March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aa_2_3_1" localSheetId="14">{#N/A,#N/A,FALSE,"Totals";#N/A,#N/A,FALSE,"First-Of-Month";#N/A,#N/A,FALSE,"March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aa_2_3_1">{#N/A,#N/A,FALSE,"Totals";#N/A,#N/A,FALSE,"First-Of-Month";#N/A,#N/A,FALSE,"March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aa_2_4" localSheetId="14">{#N/A,#N/A,FALSE,"Totals";#N/A,#N/A,FALSE,"First-Of-Month";#N/A,#N/A,FALSE,"March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aa_2_4">{#N/A,#N/A,FALSE,"Totals";#N/A,#N/A,FALSE,"First-Of-Month";#N/A,#N/A,FALSE,"March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aa_2_4_1" localSheetId="14">{#N/A,#N/A,FALSE,"Totals";#N/A,#N/A,FALSE,"First-Of-Month";#N/A,#N/A,FALSE,"March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aa_2_4_1">{#N/A,#N/A,FALSE,"Totals";#N/A,#N/A,FALSE,"First-Of-Month";#N/A,#N/A,FALSE,"March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aa_2_5" localSheetId="14">{#N/A,#N/A,FALSE,"Totals";#N/A,#N/A,FALSE,"First-Of-Month";#N/A,#N/A,FALSE,"March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aa_2_5">{#N/A,#N/A,FALSE,"Totals";#N/A,#N/A,FALSE,"First-Of-Month";#N/A,#N/A,FALSE,"March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aa_3" localSheetId="14">{#N/A,#N/A,FALSE,"Totals";#N/A,#N/A,FALSE,"First-Of-Month";#N/A,#N/A,FALSE,"March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aa_3">{#N/A,#N/A,FALSE,"Totals";#N/A,#N/A,FALSE,"First-Of-Month";#N/A,#N/A,FALSE,"March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aa_3_1" localSheetId="14">{#N/A,#N/A,FALSE,"Totals";#N/A,#N/A,FALSE,"First-Of-Month";#N/A,#N/A,FALSE,"March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aa_3_1">{#N/A,#N/A,FALSE,"Totals";#N/A,#N/A,FALSE,"First-Of-Month";#N/A,#N/A,FALSE,"March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aa_3_1_1" localSheetId="14">{#N/A,#N/A,FALSE,"Totals";#N/A,#N/A,FALSE,"First-Of-Month";#N/A,#N/A,FALSE,"March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aa_3_1_1">{#N/A,#N/A,FALSE,"Totals";#N/A,#N/A,FALSE,"First-Of-Month";#N/A,#N/A,FALSE,"March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aa_3_1_1_1" localSheetId="14">{#N/A,#N/A,FALSE,"Totals";#N/A,#N/A,FALSE,"First-Of-Month";#N/A,#N/A,FALSE,"March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aa_3_1_1_1">{#N/A,#N/A,FALSE,"Totals";#N/A,#N/A,FALSE,"First-Of-Month";#N/A,#N/A,FALSE,"March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aa_3_1_2" localSheetId="14">{#N/A,#N/A,FALSE,"Totals";#N/A,#N/A,FALSE,"First-Of-Month";#N/A,#N/A,FALSE,"March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aa_3_1_2">{#N/A,#N/A,FALSE,"Totals";#N/A,#N/A,FALSE,"First-Of-Month";#N/A,#N/A,FALSE,"March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aa_3_2" localSheetId="14">{#N/A,#N/A,FALSE,"Totals";#N/A,#N/A,FALSE,"First-Of-Month";#N/A,#N/A,FALSE,"March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aa_3_2">{#N/A,#N/A,FALSE,"Totals";#N/A,#N/A,FALSE,"First-Of-Month";#N/A,#N/A,FALSE,"March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aa_3_2_1" localSheetId="14">{#N/A,#N/A,FALSE,"Totals";#N/A,#N/A,FALSE,"First-Of-Month";#N/A,#N/A,FALSE,"March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aa_3_2_1">{#N/A,#N/A,FALSE,"Totals";#N/A,#N/A,FALSE,"First-Of-Month";#N/A,#N/A,FALSE,"March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aa_3_3" localSheetId="14">{#N/A,#N/A,FALSE,"Totals";#N/A,#N/A,FALSE,"First-Of-Month";#N/A,#N/A,FALSE,"March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aa_3_3">{#N/A,#N/A,FALSE,"Totals";#N/A,#N/A,FALSE,"First-Of-Month";#N/A,#N/A,FALSE,"March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aa_3_3_1" localSheetId="14">{#N/A,#N/A,FALSE,"Totals";#N/A,#N/A,FALSE,"First-Of-Month";#N/A,#N/A,FALSE,"March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aa_3_3_1">{#N/A,#N/A,FALSE,"Totals";#N/A,#N/A,FALSE,"First-Of-Month";#N/A,#N/A,FALSE,"March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aa_3_4" localSheetId="14">{#N/A,#N/A,FALSE,"Totals";#N/A,#N/A,FALSE,"First-Of-Month";#N/A,#N/A,FALSE,"March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aa_3_4">{#N/A,#N/A,FALSE,"Totals";#N/A,#N/A,FALSE,"First-Of-Month";#N/A,#N/A,FALSE,"March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aa_3_4_1" localSheetId="14">{#N/A,#N/A,FALSE,"Totals";#N/A,#N/A,FALSE,"First-Of-Month";#N/A,#N/A,FALSE,"March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aa_3_4_1">{#N/A,#N/A,FALSE,"Totals";#N/A,#N/A,FALSE,"First-Of-Month";#N/A,#N/A,FALSE,"March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aa_3_5" localSheetId="14">{#N/A,#N/A,FALSE,"Totals";#N/A,#N/A,FALSE,"First-Of-Month";#N/A,#N/A,FALSE,"March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aa_3_5">{#N/A,#N/A,FALSE,"Totals";#N/A,#N/A,FALSE,"First-Of-Month";#N/A,#N/A,FALSE,"March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aa_4" localSheetId="14">{#N/A,#N/A,FALSE,"Totals";#N/A,#N/A,FALSE,"First-Of-Month";#N/A,#N/A,FALSE,"March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aa_4">{#N/A,#N/A,FALSE,"Totals";#N/A,#N/A,FALSE,"First-Of-Month";#N/A,#N/A,FALSE,"March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aa_4_1" localSheetId="14">{#N/A,#N/A,FALSE,"Totals";#N/A,#N/A,FALSE,"First-Of-Month";#N/A,#N/A,FALSE,"March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aa_4_1">{#N/A,#N/A,FALSE,"Totals";#N/A,#N/A,FALSE,"First-Of-Month";#N/A,#N/A,FALSE,"March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aa_4_1_1" localSheetId="14">{#N/A,#N/A,FALSE,"Totals";#N/A,#N/A,FALSE,"First-Of-Month";#N/A,#N/A,FALSE,"March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aa_4_1_1">{#N/A,#N/A,FALSE,"Totals";#N/A,#N/A,FALSE,"First-Of-Month";#N/A,#N/A,FALSE,"March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aa_4_1_1_1" localSheetId="14">{#N/A,#N/A,FALSE,"Totals";#N/A,#N/A,FALSE,"First-Of-Month";#N/A,#N/A,FALSE,"March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aa_4_1_1_1">{#N/A,#N/A,FALSE,"Totals";#N/A,#N/A,FALSE,"First-Of-Month";#N/A,#N/A,FALSE,"March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aa_4_1_2" localSheetId="14">{#N/A,#N/A,FALSE,"Totals";#N/A,#N/A,FALSE,"First-Of-Month";#N/A,#N/A,FALSE,"March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aa_4_1_2">{#N/A,#N/A,FALSE,"Totals";#N/A,#N/A,FALSE,"First-Of-Month";#N/A,#N/A,FALSE,"March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aa_4_2" localSheetId="14">{#N/A,#N/A,FALSE,"Totals";#N/A,#N/A,FALSE,"First-Of-Month";#N/A,#N/A,FALSE,"March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aa_4_2">{#N/A,#N/A,FALSE,"Totals";#N/A,#N/A,FALSE,"First-Of-Month";#N/A,#N/A,FALSE,"March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aa_4_2_1" localSheetId="14">{#N/A,#N/A,FALSE,"Totals";#N/A,#N/A,FALSE,"First-Of-Month";#N/A,#N/A,FALSE,"March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aa_4_2_1">{#N/A,#N/A,FALSE,"Totals";#N/A,#N/A,FALSE,"First-Of-Month";#N/A,#N/A,FALSE,"March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aa_4_3" localSheetId="14">{#N/A,#N/A,FALSE,"Totals";#N/A,#N/A,FALSE,"First-Of-Month";#N/A,#N/A,FALSE,"March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aa_4_3">{#N/A,#N/A,FALSE,"Totals";#N/A,#N/A,FALSE,"First-Of-Month";#N/A,#N/A,FALSE,"March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aa_4_3_1" localSheetId="14">{#N/A,#N/A,FALSE,"Totals";#N/A,#N/A,FALSE,"First-Of-Month";#N/A,#N/A,FALSE,"March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aa_4_3_1">{#N/A,#N/A,FALSE,"Totals";#N/A,#N/A,FALSE,"First-Of-Month";#N/A,#N/A,FALSE,"March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aa_4_4" localSheetId="14">{#N/A,#N/A,FALSE,"Totals";#N/A,#N/A,FALSE,"First-Of-Month";#N/A,#N/A,FALSE,"March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aa_4_4">{#N/A,#N/A,FALSE,"Totals";#N/A,#N/A,FALSE,"First-Of-Month";#N/A,#N/A,FALSE,"March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aa_4_4_1" localSheetId="14">{#N/A,#N/A,FALSE,"Totals";#N/A,#N/A,FALSE,"First-Of-Month";#N/A,#N/A,FALSE,"March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aa_4_4_1">{#N/A,#N/A,FALSE,"Totals";#N/A,#N/A,FALSE,"First-Of-Month";#N/A,#N/A,FALSE,"March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aa_4_5" localSheetId="14">{#N/A,#N/A,FALSE,"Totals";#N/A,#N/A,FALSE,"First-Of-Month";#N/A,#N/A,FALSE,"March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aa_4_5">{#N/A,#N/A,FALSE,"Totals";#N/A,#N/A,FALSE,"First-Of-Month";#N/A,#N/A,FALSE,"March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aa_5" localSheetId="14">{#N/A,#N/A,FALSE,"Totals";#N/A,#N/A,FALSE,"First-Of-Month";#N/A,#N/A,FALSE,"March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aa_5">{#N/A,#N/A,FALSE,"Totals";#N/A,#N/A,FALSE,"First-Of-Month";#N/A,#N/A,FALSE,"March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aa_5_1" localSheetId="14">{#N/A,#N/A,FALSE,"Totals";#N/A,#N/A,FALSE,"First-Of-Month";#N/A,#N/A,FALSE,"March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aa_5_1">{#N/A,#N/A,FALSE,"Totals";#N/A,#N/A,FALSE,"First-Of-Month";#N/A,#N/A,FALSE,"March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aa_5_1_1" localSheetId="14">{#N/A,#N/A,FALSE,"Totals";#N/A,#N/A,FALSE,"First-Of-Month";#N/A,#N/A,FALSE,"March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aa_5_1_1">{#N/A,#N/A,FALSE,"Totals";#N/A,#N/A,FALSE,"First-Of-Month";#N/A,#N/A,FALSE,"March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aa_5_1_1_1" localSheetId="14">{#N/A,#N/A,FALSE,"Totals";#N/A,#N/A,FALSE,"First-Of-Month";#N/A,#N/A,FALSE,"March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aa_5_1_1_1">{#N/A,#N/A,FALSE,"Totals";#N/A,#N/A,FALSE,"First-Of-Month";#N/A,#N/A,FALSE,"March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aa_5_1_2" localSheetId="14">{#N/A,#N/A,FALSE,"Totals";#N/A,#N/A,FALSE,"First-Of-Month";#N/A,#N/A,FALSE,"March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aa_5_1_2">{#N/A,#N/A,FALSE,"Totals";#N/A,#N/A,FALSE,"First-Of-Month";#N/A,#N/A,FALSE,"March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aa_5_2" localSheetId="14">{#N/A,#N/A,FALSE,"Totals";#N/A,#N/A,FALSE,"First-Of-Month";#N/A,#N/A,FALSE,"March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aa_5_2">{#N/A,#N/A,FALSE,"Totals";#N/A,#N/A,FALSE,"First-Of-Month";#N/A,#N/A,FALSE,"March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aa_5_2_1" localSheetId="14">{#N/A,#N/A,FALSE,"Totals";#N/A,#N/A,FALSE,"First-Of-Month";#N/A,#N/A,FALSE,"March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aa_5_2_1">{#N/A,#N/A,FALSE,"Totals";#N/A,#N/A,FALSE,"First-Of-Month";#N/A,#N/A,FALSE,"March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aa_5_3" localSheetId="14">{#N/A,#N/A,FALSE,"Totals";#N/A,#N/A,FALSE,"First-Of-Month";#N/A,#N/A,FALSE,"March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aa_5_3">{#N/A,#N/A,FALSE,"Totals";#N/A,#N/A,FALSE,"First-Of-Month";#N/A,#N/A,FALSE,"March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aa_5_3_1" localSheetId="14">{#N/A,#N/A,FALSE,"Totals";#N/A,#N/A,FALSE,"First-Of-Month";#N/A,#N/A,FALSE,"March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aa_5_3_1">{#N/A,#N/A,FALSE,"Totals";#N/A,#N/A,FALSE,"First-Of-Month";#N/A,#N/A,FALSE,"March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aa_5_4" localSheetId="14">{#N/A,#N/A,FALSE,"Totals";#N/A,#N/A,FALSE,"First-Of-Month";#N/A,#N/A,FALSE,"March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aa_5_4">{#N/A,#N/A,FALSE,"Totals";#N/A,#N/A,FALSE,"First-Of-Month";#N/A,#N/A,FALSE,"March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aa_5_4_1" localSheetId="14">{#N/A,#N/A,FALSE,"Totals";#N/A,#N/A,FALSE,"First-Of-Month";#N/A,#N/A,FALSE,"March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aa_5_4_1">{#N/A,#N/A,FALSE,"Totals";#N/A,#N/A,FALSE,"First-Of-Month";#N/A,#N/A,FALSE,"March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aa_5_5" localSheetId="14">{#N/A,#N/A,FALSE,"Totals";#N/A,#N/A,FALSE,"First-Of-Month";#N/A,#N/A,FALSE,"March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aa_5_5">{#N/A,#N/A,FALSE,"Totals";#N/A,#N/A,FALSE,"First-Of-Month";#N/A,#N/A,FALSE,"March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aaa" localSheetId="14">{#N/A,#N/A,FALSE,"PRJCTED QTRLY QTY's"}</definedName>
    <definedName name="aaa">{#N/A,#N/A,FALSE,"PRJCTED QTRLY QTY's"}</definedName>
    <definedName name="aaaaaaaaaaaaaaa" localSheetId="14">{#N/A,#N/A,FALSE,"O&amp;M by processes";#N/A,#N/A,FALSE,"Elec Act vs Bud";#N/A,#N/A,FALSE,"G&amp;A";#N/A,#N/A,FALSE,"BGS";#N/A,#N/A,FALSE,"Res Cost"}</definedName>
    <definedName name="aaaaaaaaaaaaaaa">{#N/A,#N/A,FALSE,"O&amp;M by processes";#N/A,#N/A,FALSE,"Elec Act vs Bud";#N/A,#N/A,FALSE,"G&amp;A";#N/A,#N/A,FALSE,"BGS";#N/A,#N/A,FALSE,"Res Cost"}</definedName>
    <definedName name="aaaq" localSheetId="14">{#N/A,#N/A,FALSE,"Expenditures";#N/A,#N/A,FALSE,"Property Placed In-Service";#N/A,#N/A,FALSE,"CWIP Balances"}</definedName>
    <definedName name="aaaq">{#N/A,#N/A,FALSE,"Expenditures";#N/A,#N/A,FALSE,"Property Placed In-Service";#N/A,#N/A,FALSE,"CWIP Balances"}</definedName>
    <definedName name="ab" localSheetId="14">{"'Metretek HTML'!$A$7:$W$42"}</definedName>
    <definedName name="ab">{"'Metretek HTML'!$A$7:$W$42"}</definedName>
    <definedName name="abc" localSheetId="14">{#N/A,#N/A,FALSE,"JE051 PAGE 1 OF 3";#N/A,#N/A,FALSE,"JE051 PAGE 2 OF 3";#N/A,#N/A,FALSE,"JE051 PAGE 3 OF 3"}</definedName>
    <definedName name="abc">{#N/A,#N/A,FALSE,"JE051 PAGE 1 OF 3";#N/A,#N/A,FALSE,"JE051 PAGE 2 OF 3";#N/A,#N/A,FALSE,"JE051 PAGE 3 OF 3"}</definedName>
    <definedName name="abs_roic">#REF!</definedName>
    <definedName name="abs_rtree">#REF!</definedName>
    <definedName name="abs_rtree3">#REF!</definedName>
    <definedName name="abs_sales">#REF!</definedName>
    <definedName name="abs_tree">#REF!</definedName>
    <definedName name="abs_wacc">#REF!</definedName>
    <definedName name="abs3_roic">#REF!</definedName>
    <definedName name="ac">#REF!</definedName>
    <definedName name="Access_Button">"MKTTERM_DATA_List"</definedName>
    <definedName name="AccessDatabase">"C:\DATA\KEVIN\MODELS\Model 0218.mdb"</definedName>
    <definedName name="ACCOUNT">#REF!</definedName>
    <definedName name="ACCOUNTEDPERIODTYPE1">#REF!</definedName>
    <definedName name="Acct">#REF!</definedName>
    <definedName name="Acct_Type">#REF!</definedName>
    <definedName name="Acct_Type2">#REF!</definedName>
    <definedName name="Act">#REF!</definedName>
    <definedName name="ACT_KS_Electricity_Dist">#REF!</definedName>
    <definedName name="ActFcst1b">#REF!,#REF!,#REF!</definedName>
    <definedName name="ActFcst1c">#REF!,#REF!,#REF!</definedName>
    <definedName name="ActFcst4a">#REF!,#REF!,#REF!</definedName>
    <definedName name="ActFcst4b">#REF!,#REF!,#REF!</definedName>
    <definedName name="ActFcst4c">#REF!,#REF!,#REF!</definedName>
    <definedName name="ActFcst4d">#REF!,#REF!,#REF!</definedName>
    <definedName name="ActFcst4e">#REF!,#REF!,#REF!</definedName>
    <definedName name="ActFcst4f">#REF!,#REF!,#REF!</definedName>
    <definedName name="ActFcst4g">#REF!,#REF!,#REF!</definedName>
    <definedName name="ActFcst4h">#REF!,#REF!,#REF!</definedName>
    <definedName name="ActFcst4i">#REF!,#REF!,#REF!</definedName>
    <definedName name="ActFcst4j">#REF!,#REF!,#REF!</definedName>
    <definedName name="ActFcst4k">#REF!,#REF!,#REF!</definedName>
    <definedName name="ActFcst4l">#REF!,#REF!,#REF!</definedName>
    <definedName name="ActFcst4m">#REF!,#REF!,#REF!</definedName>
    <definedName name="ActFcst4n">#REF!,#REF!,#REF!</definedName>
    <definedName name="ActFcst4o">#REF!,#REF!,#REF!</definedName>
    <definedName name="ActFcst4p">#REF!,#REF!,#REF!</definedName>
    <definedName name="ActFcst4q">#REF!,#REF!,#REF!</definedName>
    <definedName name="ActFcst8a2">#REF!,#REF!</definedName>
    <definedName name="ActFcst8a3">#REF!,#REF!,#REF!</definedName>
    <definedName name="ActFcst8b1">#REF!,#REF!,#REF!</definedName>
    <definedName name="ActFcst8b2">#REF!,#REF!</definedName>
    <definedName name="ActFcst8b3">#REF!,#REF!,#REF!</definedName>
    <definedName name="ACTIV">#REF!</definedName>
    <definedName name="activity">#REF!</definedName>
    <definedName name="Actual">#REF!</definedName>
    <definedName name="ACTUALACCT">OFFSET(#REF!,0,0,COUNTA(#REF!),1)</definedName>
    <definedName name="ACTUALACODE">OFFSET(#REF!,0,0,COUNTA(#REF!),1)</definedName>
    <definedName name="ACTUALAMOUNT">OFFSET(#REF!,0,0,COUNTA(#REF!),1)</definedName>
    <definedName name="ActualCategory">#REF!</definedName>
    <definedName name="ACTUALCOUNT">OFFSET(#REF!,0,0,COUNTA(#REF!),1)</definedName>
    <definedName name="ACTUALMONTH">OFFSET(#REF!,0,0,COUNTA(#REF!),1)</definedName>
    <definedName name="ACTUALROLLUP">OFFSET(#REF!,0,0,COUNTA(#REF!),1)</definedName>
    <definedName name="ActualsOpt">#REF!</definedName>
    <definedName name="acx" localSheetId="14">{#N/A,#N/A,FALSE,"Monthly SAIFI";#N/A,#N/A,FALSE,"Yearly SAIFI";#N/A,#N/A,FALSE,"Monthly CAIDI";#N/A,#N/A,FALSE,"Yearly CAIDI";#N/A,#N/A,FALSE,"Monthly SAIDI";#N/A,#N/A,FALSE,"Yearly SAIDI";#N/A,#N/A,FALSE,"Monthly MAIFI";#N/A,#N/A,FALSE,"Yearly MAIFI";#N/A,#N/A,FALSE,"Monthly Cust &gt;=4 Int"}</definedName>
    <definedName name="acx">{#N/A,#N/A,FALSE,"Monthly SAIFI";#N/A,#N/A,FALSE,"Yearly SAIFI";#N/A,#N/A,FALSE,"Monthly CAIDI";#N/A,#N/A,FALSE,"Yearly CAIDI";#N/A,#N/A,FALSE,"Monthly SAIDI";#N/A,#N/A,FALSE,"Yearly SAIDI";#N/A,#N/A,FALSE,"Monthly MAIFI";#N/A,#N/A,FALSE,"Yearly MAIFI";#N/A,#N/A,FALSE,"Monthly Cust &gt;=4 Int"}</definedName>
    <definedName name="adfsadfds" localSheetId="14">{#N/A,#N/A,FALSE,"Monthly SAIFI";#N/A,#N/A,FALSE,"Yearly SAIFI";#N/A,#N/A,FALSE,"Monthly CAIDI";#N/A,#N/A,FALSE,"Yearly CAIDI";#N/A,#N/A,FALSE,"Monthly SAIDI";#N/A,#N/A,FALSE,"Yearly SAIDI";#N/A,#N/A,FALSE,"Monthly MAIFI";#N/A,#N/A,FALSE,"Yearly MAIFI";#N/A,#N/A,FALSE,"Monthly Cust &gt;=4 Int"}</definedName>
    <definedName name="adfsadfds">{#N/A,#N/A,FALSE,"Monthly SAIFI";#N/A,#N/A,FALSE,"Yearly SAIFI";#N/A,#N/A,FALSE,"Monthly CAIDI";#N/A,#N/A,FALSE,"Yearly CAIDI";#N/A,#N/A,FALSE,"Monthly SAIDI";#N/A,#N/A,FALSE,"Yearly SAIDI";#N/A,#N/A,FALSE,"Monthly MAIFI";#N/A,#N/A,FALSE,"Yearly MAIFI";#N/A,#N/A,FALSE,"Monthly Cust &gt;=4 Int"}</definedName>
    <definedName name="Adj_to_total_assets">#REF!</definedName>
    <definedName name="AE_AA">OFFSET(#REF!,0,5,,#REF!)</definedName>
    <definedName name="AG" localSheetId="14">{#N/A,#N/A,FALSE,"OIT summ";#N/A,#N/A,FALSE,"otb summ-dental";#N/A,#N/A,FALSE,"otb summ-vision"}</definedName>
    <definedName name="AG">{#N/A,#N/A,FALSE,"OIT summ";#N/A,#N/A,FALSE,"otb summ-dental";#N/A,#N/A,FALSE,"otb summ-vision"}</definedName>
    <definedName name="Aging">#REF!</definedName>
    <definedName name="agings" localSheetId="14">{#N/A,#N/A,FALSE,"Aging Summary";#N/A,#N/A,FALSE,"Ratio Analysis";#N/A,#N/A,FALSE,"Test 120 Day Accts";#N/A,#N/A,FALSE,"Tickmarks"}</definedName>
    <definedName name="agings">{#N/A,#N/A,FALSE,"Aging Summary";#N/A,#N/A,FALSE,"Ratio Analysis";#N/A,#N/A,FALSE,"Test 120 Day Accts";#N/A,#N/A,FALSE,"Tickmarks"}</definedName>
    <definedName name="AGL_OR">OFFSET(#REF!,0,5,,#REF!)</definedName>
    <definedName name="AGSS_OR">OFFSET(#REF!,0,5,,#REF!)</definedName>
    <definedName name="agtFuel">#REF!</definedName>
    <definedName name="ahmy_roic">#REF!</definedName>
    <definedName name="ahmy_rtree">#REF!</definedName>
    <definedName name="ahmy_rtree3">#REF!</definedName>
    <definedName name="ahmy_sales">#REF!</definedName>
    <definedName name="ahmy_wacc">#REF!</definedName>
    <definedName name="ahmy2_roic">#REF!</definedName>
    <definedName name="AIP" localSheetId="14">{#N/A,#N/A,FALSE,"Monthly SAIFI";#N/A,#N/A,FALSE,"Yearly SAIFI";#N/A,#N/A,FALSE,"Monthly CAIDI";#N/A,#N/A,FALSE,"Yearly CAIDI";#N/A,#N/A,FALSE,"Monthly SAIDI";#N/A,#N/A,FALSE,"Yearly SAIDI";#N/A,#N/A,FALSE,"Monthly MAIFI";#N/A,#N/A,FALSE,"Yearly MAIFI";#N/A,#N/A,FALSE,"Monthly Cust &gt;=4 Int"}</definedName>
    <definedName name="AIP">{#N/A,#N/A,FALSE,"Monthly SAIFI";#N/A,#N/A,FALSE,"Yearly SAIFI";#N/A,#N/A,FALSE,"Monthly CAIDI";#N/A,#N/A,FALSE,"Yearly CAIDI";#N/A,#N/A,FALSE,"Monthly SAIDI";#N/A,#N/A,FALSE,"Yearly SAIDI";#N/A,#N/A,FALSE,"Monthly MAIFI";#N/A,#N/A,FALSE,"Yearly MAIFI";#N/A,#N/A,FALSE,"Monthly Cust &gt;=4 Int"}</definedName>
    <definedName name="AirCanada_WACC">#REF!</definedName>
    <definedName name="AirFrance_WACC">#REF!</definedName>
    <definedName name="AirTran_WACC">#REF!</definedName>
    <definedName name="Alaska_WACC">#REF!</definedName>
    <definedName name="Alitalia_WACC">#REF!</definedName>
    <definedName name="Allocation" localSheetId="14">{"Index",#N/A,FALSE,"Index"}</definedName>
    <definedName name="Allocation">{"Index",#N/A,FALSE,"Index"}</definedName>
    <definedName name="AllocUS">#REF!</definedName>
    <definedName name="allow_cost">#REF!</definedName>
    <definedName name="AllTables" localSheetId="14">{9}</definedName>
    <definedName name="AllTables">{9}</definedName>
    <definedName name="alsdfa" localSheetId="14">{#N/A,#N/A,FALSE,"Monthly SAIFI";#N/A,#N/A,FALSE,"Yearly SAIFI";#N/A,#N/A,FALSE,"Monthly CAIDI";#N/A,#N/A,FALSE,"Yearly CAIDI";#N/A,#N/A,FALSE,"Monthly SAIDI";#N/A,#N/A,FALSE,"Yearly SAIDI";#N/A,#N/A,FALSE,"Monthly MAIFI";#N/A,#N/A,FALSE,"Yearly MAIFI";#N/A,#N/A,FALSE,"Monthly Cust &gt;=4 Int"}</definedName>
    <definedName name="alsdfa">{#N/A,#N/A,FALSE,"Monthly SAIFI";#N/A,#N/A,FALSE,"Yearly SAIFI";#N/A,#N/A,FALSE,"Monthly CAIDI";#N/A,#N/A,FALSE,"Yearly CAIDI";#N/A,#N/A,FALSE,"Monthly SAIDI";#N/A,#N/A,FALSE,"Yearly SAIDI";#N/A,#N/A,FALSE,"Monthly MAIFI";#N/A,#N/A,FALSE,"Yearly MAIFI";#N/A,#N/A,FALSE,"Monthly Cust &gt;=4 Int"}</definedName>
    <definedName name="Alt_Chk_1_Hdg">#REF!</definedName>
    <definedName name="Alt_Chk_14_Hdg">#REF!</definedName>
    <definedName name="Alt_Chk_15_Hdg">#REF!</definedName>
    <definedName name="Alt_Chk_2_Hdg">#REF!</definedName>
    <definedName name="Alt_Chks_Msg">#REF!</definedName>
    <definedName name="Alt_Chks_Ttl_Areas">#REF!</definedName>
    <definedName name="American_WACC">#REF!</definedName>
    <definedName name="AmericanAirlines_WACC">#REF!</definedName>
    <definedName name="AmericaWest_WACC">#REF!</definedName>
    <definedName name="amortized_option">#REF!</definedName>
    <definedName name="AMTRange">#REF!,#REF!,#REF!,#REF!</definedName>
    <definedName name="analystlist">#REF!</definedName>
    <definedName name="Ancill2">#REF!</definedName>
    <definedName name="Ancill3">#REF!</definedName>
    <definedName name="Ancill4">#REF!</definedName>
    <definedName name="Ancill5">#REF!</definedName>
    <definedName name="Ancill6">#REF!</definedName>
    <definedName name="ANE_KEY">#REF!</definedName>
    <definedName name="ANE_MONTH">#REF!</definedName>
    <definedName name="ANE_PL">#REF!</definedName>
    <definedName name="Annual">#REF!</definedName>
    <definedName name="anscount">1</definedName>
    <definedName name="AOG_OR">OFFSET(#REF!,0,5,,#REF!)</definedName>
    <definedName name="App">#REF!</definedName>
    <definedName name="Application">#REF!</definedName>
    <definedName name="Appor_percent">#REF!</definedName>
    <definedName name="APPSUSERNAME1">#REF!</definedName>
    <definedName name="apr">#REF!</definedName>
    <definedName name="Apr_10">#REF!</definedName>
    <definedName name="Apr3Vol">#REF!</definedName>
    <definedName name="AprVol">#REF!</definedName>
    <definedName name="AROCapEx">#REF!</definedName>
    <definedName name="Arrays">#REF!</definedName>
    <definedName name="AS2DocOpenMode">"AS2DocumentEdit"</definedName>
    <definedName name="AS2NamedRange">5</definedName>
    <definedName name="ASD">#REF!</definedName>
    <definedName name="ASD_1">#REF!</definedName>
    <definedName name="asdasdadad">40975.0845486111</definedName>
    <definedName name="ASDD">#REF!</definedName>
    <definedName name="asdf" localSheetId="14">{#N/A,#N/A,FALSE,"Monthly SAIFI";#N/A,#N/A,FALSE,"Yearly SAIFI";#N/A,#N/A,FALSE,"Monthly CAIDI";#N/A,#N/A,FALSE,"Yearly CAIDI";#N/A,#N/A,FALSE,"Monthly SAIDI";#N/A,#N/A,FALSE,"Yearly SAIDI";#N/A,#N/A,FALSE,"Monthly MAIFI";#N/A,#N/A,FALSE,"Yearly MAIFI";#N/A,#N/A,FALSE,"Monthly Cust &gt;=4 Int"}</definedName>
    <definedName name="asdf">{#N/A,#N/A,FALSE,"Monthly SAIFI";#N/A,#N/A,FALSE,"Yearly SAIFI";#N/A,#N/A,FALSE,"Monthly CAIDI";#N/A,#N/A,FALSE,"Yearly CAIDI";#N/A,#N/A,FALSE,"Monthly SAIDI";#N/A,#N/A,FALSE,"Yearly SAIDI";#N/A,#N/A,FALSE,"Monthly MAIFI";#N/A,#N/A,FALSE,"Yearly MAIFI";#N/A,#N/A,FALSE,"Monthly Cust &gt;=4 Int"}</definedName>
    <definedName name="asdfasdf" localSheetId="14">{"Tax Computation Current Month",#N/A,FALSE,"TAX COMPUTATION"}</definedName>
    <definedName name="asdfasdf">{"Tax Computation Current Month",#N/A,FALSE,"TAX COMPUTATION"}</definedName>
    <definedName name="asdfasdfasdfasdfsdfa" localSheetId="14">{#N/A,#N/A,FALSE,"Monthly SAIFI";#N/A,#N/A,FALSE,"Yearly SAIFI";#N/A,#N/A,FALSE,"Monthly CAIDI";#N/A,#N/A,FALSE,"Yearly CAIDI";#N/A,#N/A,FALSE,"Monthly SAIDI";#N/A,#N/A,FALSE,"Yearly SAIDI";#N/A,#N/A,FALSE,"Monthly MAIFI";#N/A,#N/A,FALSE,"Yearly MAIFI";#N/A,#N/A,FALSE,"Monthly Cust &gt;=4 Int"}</definedName>
    <definedName name="asdfasdfasdfasdfsdfa">{#N/A,#N/A,FALSE,"Monthly SAIFI";#N/A,#N/A,FALSE,"Yearly SAIFI";#N/A,#N/A,FALSE,"Monthly CAIDI";#N/A,#N/A,FALSE,"Yearly CAIDI";#N/A,#N/A,FALSE,"Monthly SAIDI";#N/A,#N/A,FALSE,"Yearly SAIDI";#N/A,#N/A,FALSE,"Monthly MAIFI";#N/A,#N/A,FALSE,"Yearly MAIFI";#N/A,#N/A,FALSE,"Monthly Cust &gt;=4 Int"}</definedName>
    <definedName name="ashaita" localSheetId="14">{#N/A,#N/A,FALSE,"Monthly SAIFI";#N/A,#N/A,FALSE,"Yearly SAIFI";#N/A,#N/A,FALSE,"Monthly CAIDI";#N/A,#N/A,FALSE,"Yearly CAIDI";#N/A,#N/A,FALSE,"Monthly SAIDI";#N/A,#N/A,FALSE,"Yearly SAIDI";#N/A,#N/A,FALSE,"Monthly MAIFI";#N/A,#N/A,FALSE,"Yearly MAIFI";#N/A,#N/A,FALSE,"Monthly Cust &gt;=4 Int"}</definedName>
    <definedName name="ashaita">{#N/A,#N/A,FALSE,"Monthly SAIFI";#N/A,#N/A,FALSE,"Yearly SAIFI";#N/A,#N/A,FALSE,"Monthly CAIDI";#N/A,#N/A,FALSE,"Yearly CAIDI";#N/A,#N/A,FALSE,"Monthly SAIDI";#N/A,#N/A,FALSE,"Yearly SAIDI";#N/A,#N/A,FALSE,"Monthly MAIFI";#N/A,#N/A,FALSE,"Yearly MAIFI";#N/A,#N/A,FALSE,"Monthly Cust &gt;=4 Int"}</definedName>
    <definedName name="asndasda">0.0013425925935735</definedName>
    <definedName name="asof">#REF!</definedName>
    <definedName name="assd" localSheetId="14">{#N/A,#N/A,FALSE,"Monthly SAIFI";#N/A,#N/A,FALSE,"Yearly SAIFI";#N/A,#N/A,FALSE,"Monthly CAIDI";#N/A,#N/A,FALSE,"Yearly CAIDI";#N/A,#N/A,FALSE,"Monthly SAIDI";#N/A,#N/A,FALSE,"Yearly SAIDI";#N/A,#N/A,FALSE,"Monthly MAIFI";#N/A,#N/A,FALSE,"Yearly MAIFI";#N/A,#N/A,FALSE,"Monthly Cust &gt;=4 Int"}</definedName>
    <definedName name="assd">{#N/A,#N/A,FALSE,"Monthly SAIFI";#N/A,#N/A,FALSE,"Yearly SAIFI";#N/A,#N/A,FALSE,"Monthly CAIDI";#N/A,#N/A,FALSE,"Yearly CAIDI";#N/A,#N/A,FALSE,"Monthly SAIDI";#N/A,#N/A,FALSE,"Yearly SAIDI";#N/A,#N/A,FALSE,"Monthly MAIFI";#N/A,#N/A,FALSE,"Yearly MAIFI";#N/A,#N/A,FALSE,"Monthly Cust &gt;=4 Int"}</definedName>
    <definedName name="assessments">#REF!</definedName>
    <definedName name="asset">#REF!</definedName>
    <definedName name="Asset_Types">#REF!</definedName>
    <definedName name="AssetClass">#REF!</definedName>
    <definedName name="associates">#REF!</definedName>
    <definedName name="asss" localSheetId="14">{#N/A,#N/A,FALSE,"schA"}</definedName>
    <definedName name="asss">{#N/A,#N/A,FALSE,"schA"}</definedName>
    <definedName name="Assumptions" localSheetId="14">{"Index",#N/A,FALSE,"Index"}</definedName>
    <definedName name="Assumptions">{"Index",#N/A,FALSE,"Index"}</definedName>
    <definedName name="AtlanticCoast_WACC">#REF!</definedName>
    <definedName name="Attainment">#REF!</definedName>
    <definedName name="AttName">#REF!</definedName>
    <definedName name="ATXQAVersion">1</definedName>
    <definedName name="audit">#REF!</definedName>
    <definedName name="Audit_Impact">#REF!</definedName>
    <definedName name="aug">#REF!</definedName>
    <definedName name="Aug3Vol">#REF!</definedName>
    <definedName name="AugVol">#REF!</definedName>
    <definedName name="Aventis2">#REF!</definedName>
    <definedName name="AvgCap">#REF!</definedName>
    <definedName name="awfewfw">"V2003-11-05"</definedName>
    <definedName name="az" localSheetId="14">{"'Metretek HTML'!$A$7:$W$42"}</definedName>
    <definedName name="az">{"'Metretek HTML'!$A$7:$W$42"}</definedName>
    <definedName name="b" localSheetId="14">{#N/A,#N/A,FALSE,"Monthly SAIFI";#N/A,#N/A,FALSE,"Yearly SAIFI";#N/A,#N/A,FALSE,"Monthly CAIDI";#N/A,#N/A,FALSE,"Yearly CAIDI";#N/A,#N/A,FALSE,"Monthly SAIDI";#N/A,#N/A,FALSE,"Yearly SAIDI";#N/A,#N/A,FALSE,"Monthly MAIFI";#N/A,#N/A,FALSE,"Yearly MAIFI";#N/A,#N/A,FALSE,"Monthly Cust &gt;=4 Int"}</definedName>
    <definedName name="b">{#N/A,#N/A,FALSE,"Monthly SAIFI";#N/A,#N/A,FALSE,"Yearly SAIFI";#N/A,#N/A,FALSE,"Monthly CAIDI";#N/A,#N/A,FALSE,"Yearly CAIDI";#N/A,#N/A,FALSE,"Monthly SAIDI";#N/A,#N/A,FALSE,"Yearly SAIDI";#N/A,#N/A,FALSE,"Monthly MAIFI";#N/A,#N/A,FALSE,"Yearly MAIFI";#N/A,#N/A,FALSE,"Monthly Cust &gt;=4 Int"}</definedName>
    <definedName name="b_icurve">#REF!</definedName>
    <definedName name="BadCash">#REF!</definedName>
    <definedName name="balancesheet_junfcst">#REF!</definedName>
    <definedName name="Barra">OFFSET(#REF!,0,0,COUNTA(#REF!)-1)</definedName>
    <definedName name="BASIS_MONTH">#REF!</definedName>
    <definedName name="BASIS_POINT">#REF!</definedName>
    <definedName name="Bayer2">#REF!</definedName>
    <definedName name="bb" localSheetId="14">{#N/A,#N/A,FALSE,"PRJCTED MNTHLY QTY's"}</definedName>
    <definedName name="bb">{#N/A,#N/A,FALSE,"PRJCTED MNTHLY QTY's"}</definedName>
    <definedName name="bbb">#REF!</definedName>
    <definedName name="bbbb" localSheetId="14">{#N/A,#N/A,FALSE,"PRJCTED QTRLY QTY's"}</definedName>
    <definedName name="bbbb">{#N/A,#N/A,FALSE,"PRJCTED QTRLY QTY's"}</definedName>
    <definedName name="bbbbb" localSheetId="14">{#N/A,#N/A,FALSE,"O&amp;M by processes";#N/A,#N/A,FALSE,"Elec Act vs Bud";#N/A,#N/A,FALSE,"G&amp;A";#N/A,#N/A,FALSE,"BGS";#N/A,#N/A,FALSE,"Res Cost"}</definedName>
    <definedName name="bbbbb">{#N/A,#N/A,FALSE,"O&amp;M by processes";#N/A,#N/A,FALSE,"Elec Act vs Bud";#N/A,#N/A,FALSE,"G&amp;A";#N/A,#N/A,FALSE,"BGS";#N/A,#N/A,FALSE,"Res Cost"}</definedName>
    <definedName name="bbbbbbbbbbbbbbbbbb">#REF!</definedName>
    <definedName name="bbbbhhh" localSheetId="14">{#N/A,#N/A,FALSE,"Month";#N/A,#N/A,FALSE,"Period";#N/A,#N/A,FALSE,"12 Month";#N/A,#N/A,FALSE,"Quarter"}</definedName>
    <definedName name="bbbbhhh">{#N/A,#N/A,FALSE,"Month";#N/A,#N/A,FALSE,"Period";#N/A,#N/A,FALSE,"12 Month";#N/A,#N/A,FALSE,"Quarter"}</definedName>
    <definedName name="bbbnb" localSheetId="14">{#N/A,#N/A,FALSE,"schA"}</definedName>
    <definedName name="bbbnb">{#N/A,#N/A,FALSE,"schA"}</definedName>
    <definedName name="bbbnbn" localSheetId="14">{#N/A,#N/A,FALSE,"Expenditures";#N/A,#N/A,FALSE,"Property Placed In-Service";#N/A,#N/A,FALSE,"Removals";#N/A,#N/A,FALSE,"Retirements";#N/A,#N/A,FALSE,"CWIP Balances";#N/A,#N/A,FALSE,"CWIP_Expend_Ratios";#N/A,#N/A,FALSE,"CWIP_Yr_End";#N/A,#N/A,FALSE,"Nuc_Fuel";#N/A,#N/A,FALSE,"New_Gen";#N/A,#N/A,FALSE,"New_Trans";#N/A,#N/A,FALSE,"DSM";#N/A,#N/A,FALSE,"Factors"}</definedName>
    <definedName name="bbbnbn">{#N/A,#N/A,FALSE,"Expenditures";#N/A,#N/A,FALSE,"Property Placed In-Service";#N/A,#N/A,FALSE,"Removals";#N/A,#N/A,FALSE,"Retirements";#N/A,#N/A,FALSE,"CWIP Balances";#N/A,#N/A,FALSE,"CWIP_Expend_Ratios";#N/A,#N/A,FALSE,"CWIP_Yr_End";#N/A,#N/A,FALSE,"Nuc_Fuel";#N/A,#N/A,FALSE,"New_Gen";#N/A,#N/A,FALSE,"New_Trans";#N/A,#N/A,FALSE,"DSM";#N/A,#N/A,FALSE,"Factors"}</definedName>
    <definedName name="bbbnnn" localSheetId="14">{#N/A,#N/A,FALSE,"Expenditures";#N/A,#N/A,FALSE,"Property Placed In-Service";#N/A,#N/A,FALSE,"Removals";#N/A,#N/A,FALSE,"Retirements";#N/A,#N/A,FALSE,"CWIP Balances";#N/A,#N/A,FALSE,"CWIP_Expend_Ratios";#N/A,#N/A,FALSE,"CWIP_Yr_End";#N/A,#N/A,FALSE,"Nuc_Fuel";#N/A,#N/A,FALSE,"New_Gen";#N/A,#N/A,FALSE,"New_Trans";#N/A,#N/A,FALSE,"DSM";#N/A,#N/A,FALSE,"Factors"}</definedName>
    <definedName name="bbbnnn">{#N/A,#N/A,FALSE,"Expenditures";#N/A,#N/A,FALSE,"Property Placed In-Service";#N/A,#N/A,FALSE,"Removals";#N/A,#N/A,FALSE,"Retirements";#N/A,#N/A,FALSE,"CWIP Balances";#N/A,#N/A,FALSE,"CWIP_Expend_Ratios";#N/A,#N/A,FALSE,"CWIP_Yr_End";#N/A,#N/A,FALSE,"Nuc_Fuel";#N/A,#N/A,FALSE,"New_Gen";#N/A,#N/A,FALSE,"New_Trans";#N/A,#N/A,FALSE,"DSM";#N/A,#N/A,FALSE,"Factors"}</definedName>
    <definedName name="bbc" localSheetId="14">{#N/A,#N/A,FALSE,"O&amp;M by processes";#N/A,#N/A,FALSE,"Elec Act vs Bud";#N/A,#N/A,FALSE,"G&amp;A";#N/A,#N/A,FALSE,"BGS";#N/A,#N/A,FALSE,"Res Cost"}</definedName>
    <definedName name="bbc">{#N/A,#N/A,FALSE,"O&amp;M by processes";#N/A,#N/A,FALSE,"Elec Act vs Bud";#N/A,#N/A,FALSE,"G&amp;A";#N/A,#N/A,FALSE,"BGS";#N/A,#N/A,FALSE,"Res Cost"}</definedName>
    <definedName name="BBF">#REF!</definedName>
    <definedName name="bbhjm" localSheetId="14">{#N/A,#N/A,FALSE,"Expenditures";#N/A,#N/A,FALSE,"Property Placed In-Service";#N/A,#N/A,FALSE,"Removals";#N/A,#N/A,FALSE,"Retirements";#N/A,#N/A,FALSE,"CWIP Balances";#N/A,#N/A,FALSE,"CWIP_Expend_Ratios";#N/A,#N/A,FALSE,"CWIP_Yr_End";#N/A,#N/A,FALSE,"Nuc_Fuel";#N/A,#N/A,FALSE,"New_Gen";#N/A,#N/A,FALSE,"New_Trans";#N/A,#N/A,FALSE,"DSM";#N/A,#N/A,FALSE,"Factors"}</definedName>
    <definedName name="bbhjm">{#N/A,#N/A,FALSE,"Expenditures";#N/A,#N/A,FALSE,"Property Placed In-Service";#N/A,#N/A,FALSE,"Removals";#N/A,#N/A,FALSE,"Retirements";#N/A,#N/A,FALSE,"CWIP Balances";#N/A,#N/A,FALSE,"CWIP_Expend_Ratios";#N/A,#N/A,FALSE,"CWIP_Yr_End";#N/A,#N/A,FALSE,"Nuc_Fuel";#N/A,#N/A,FALSE,"New_Gen";#N/A,#N/A,FALSE,"New_Trans";#N/A,#N/A,FALSE,"DSM";#N/A,#N/A,FALSE,"Factors"}</definedName>
    <definedName name="bbnnn" localSheetId="14">{#N/A,#N/A,FALSE,"Expenditures";#N/A,#N/A,FALSE,"Property Placed In-Service";#N/A,#N/A,FALSE,"Removals";#N/A,#N/A,FALSE,"Retirements";#N/A,#N/A,FALSE,"CWIP Balances";#N/A,#N/A,FALSE,"CWIP_Expend_Ratios";#N/A,#N/A,FALSE,"CWIP_Yr_End"}</definedName>
    <definedName name="bbnnn">{#N/A,#N/A,FALSE,"Expenditures";#N/A,#N/A,FALSE,"Property Placed In-Service";#N/A,#N/A,FALSE,"Removals";#N/A,#N/A,FALSE,"Retirements";#N/A,#N/A,FALSE,"CWIP Balances";#N/A,#N/A,FALSE,"CWIP_Expend_Ratios";#N/A,#N/A,FALSE,"CWIP_Yr_End"}</definedName>
    <definedName name="bbvcvc" localSheetId="14">{#N/A,#N/A,FALSE,"Expenditures";#N/A,#N/A,FALSE,"Property Placed In-Service";#N/A,#N/A,FALSE,"CWIP Balances"}</definedName>
    <definedName name="bbvcvc">{#N/A,#N/A,FALSE,"Expenditures";#N/A,#N/A,FALSE,"Property Placed In-Service";#N/A,#N/A,FALSE,"CWIP Balances"}</definedName>
    <definedName name="beg_CWIP">#REF!</definedName>
    <definedName name="ben_frac_ot_ibew">#REF!</definedName>
    <definedName name="ben_frac_ot_mcp">#REF!</definedName>
    <definedName name="ben_frac_st_ibew">#REF!</definedName>
    <definedName name="ben_frac_st_mcp">#REF!</definedName>
    <definedName name="beny" localSheetId="14">{#N/A,#N/A,FALSE,"Monthly SAIFI";#N/A,#N/A,FALSE,"Yearly SAIFI";#N/A,#N/A,FALSE,"Monthly CAIDI";#N/A,#N/A,FALSE,"Yearly CAIDI";#N/A,#N/A,FALSE,"Monthly SAIDI";#N/A,#N/A,FALSE,"Yearly SAIDI";#N/A,#N/A,FALSE,"Monthly MAIFI";#N/A,#N/A,FALSE,"Yearly MAIFI";#N/A,#N/A,FALSE,"Monthly Cust &gt;=4 Int"}</definedName>
    <definedName name="beny">{#N/A,#N/A,FALSE,"Monthly SAIFI";#N/A,#N/A,FALSE,"Yearly SAIFI";#N/A,#N/A,FALSE,"Monthly CAIDI";#N/A,#N/A,FALSE,"Yearly CAIDI";#N/A,#N/A,FALSE,"Monthly SAIDI";#N/A,#N/A,FALSE,"Yearly SAIDI";#N/A,#N/A,FALSE,"Monthly MAIFI";#N/A,#N/A,FALSE,"Yearly MAIFI";#N/A,#N/A,FALSE,"Monthly Cust &gt;=4 Int"}</definedName>
    <definedName name="BEx00B8R2WI8RX5J97HO5LPU3L8B">#REF!</definedName>
    <definedName name="BEx00CQNUHLSQIK18AITDNBXZU9M">#REF!</definedName>
    <definedName name="BEx00D1GT2FO9YR99W4A8H027ZBB">#REF!</definedName>
    <definedName name="BEx00EZPFE7T0NSFUL49GTI7IMEZ">#REF!</definedName>
    <definedName name="BEx00FAHPFP0IZIE6Q2HYKFNIIB5">#REF!</definedName>
    <definedName name="BEx00FL9NBC03X7APX807CYY1VR2">#REF!</definedName>
    <definedName name="BEx00GXQ223VSF4A8TIS678ZXM0N">#REF!</definedName>
    <definedName name="BEx00KOJ5OBJVMYWQXE2421J60T5">#REF!</definedName>
    <definedName name="BEx00M6MQGRZ5ZIIGV5IGTLHTK58">#REF!</definedName>
    <definedName name="BEx014RF2EDEL1FRJCNBG5KLRMP1">#REF!</definedName>
    <definedName name="BEx01ALX2MJKBB1ZFES9DQCGVFII">#REF!</definedName>
    <definedName name="BEx01FUM58JJKB44DGWO27Z27K78">#REF!</definedName>
    <definedName name="BEx01H79PZK9RFFJ0GHR4XV8UZ1W">#REF!</definedName>
    <definedName name="BEx01R8OJKQ47JOSQ4SQNMNTCI9G">#REF!</definedName>
    <definedName name="BEx01Y4SYEXBC7XHZF1E6AE7OL61">#REF!</definedName>
    <definedName name="BEx02X76IRGDFUOPA59RXXEPE1MY">#REF!</definedName>
    <definedName name="BEx031P2RYF8GO61KM46UHK3UJCY">#REF!</definedName>
    <definedName name="BEx1EZLJ4OTPAQPHB6I38RK4702P">#REF!</definedName>
    <definedName name="BEx1F739APLZ0X4VTCG9DL1U2PQE">#REF!</definedName>
    <definedName name="BEx1G3GKCWN7CDX0K8K4Q18T1IEY">#REF!</definedName>
    <definedName name="BEx1G9LN0Y97ULAOFDT3V3UYRC8L">#REF!</definedName>
    <definedName name="BEx1GANH6HB6DB5GB9GBR3LHZ08N">#REF!</definedName>
    <definedName name="BEx1GF5CQPLAZEP2KQEV79DOH8AM">#REF!</definedName>
    <definedName name="BEx1GXQA7OFSHSNS1VQFHSG5C38Y">#REF!</definedName>
    <definedName name="BEx1H1H30U9JU85RXU5CGK52TWPR">#REF!</definedName>
    <definedName name="BEx1HJB5CJB7EC6ADJ7FFNFX7NOB">#REF!</definedName>
    <definedName name="BEx1HP5GWSCV7USEV7XCU9RK5PK7">#REF!</definedName>
    <definedName name="BEx1HQSW0WNYRWLH6A8A7S0DMXK1">#REF!</definedName>
    <definedName name="BEx1HTNBBU5LL5AR8NS2TC2IG0KG">#REF!</definedName>
    <definedName name="BEx1I1FU37H9HJUOYEI41LDG4A91">#REF!</definedName>
    <definedName name="BEx1ICOJOZB9QGB9HGISBKMYSTY6">#REF!</definedName>
    <definedName name="BEx1IITNP17AVZYI3SD7DGW2GUJE">#REF!</definedName>
    <definedName name="BEx1IJKIR3SB0715Y9LKU8K88NFV">#REF!</definedName>
    <definedName name="BEx1IOTGCDDIPKC75AVEQT63UUFK">#REF!</definedName>
    <definedName name="BEx1JHFR1J2LANUVB0B78KQT40EM">#REF!</definedName>
    <definedName name="BEx1JIS89AHDF4RREYGSGK8RLZ4B">#REF!</definedName>
    <definedName name="BEx1JR117VHI06Q5A1ELPTNSOPOM">#REF!</definedName>
    <definedName name="BEx1JX6513L1X4IO6FHJ372I5X3O">#REF!</definedName>
    <definedName name="BEx1JXX7DG0CL58DI7HCTKW0MH9U">#REF!</definedName>
    <definedName name="BEx1JZF4LO81Y9AFMVS601KUD07D">#REF!</definedName>
    <definedName name="BEx1KB98Z0U3KJ3ZAW9E9KERHMOO">#REF!</definedName>
    <definedName name="BEx1KEUQ4SUSEPHP2DEYD80XKD6U">#REF!</definedName>
    <definedName name="BEx1KM75ZNSNC7TKUABQCSXY3TXK">#REF!</definedName>
    <definedName name="BEx1KN8UY8HFWFWLYKT29C12Z9F7">#REF!</definedName>
    <definedName name="BEx1KP1KYFFDRNHZZCC4F6LRZQM2">#REF!</definedName>
    <definedName name="BEx1L8O89JRNGPJNG44K1B3P4SVS">#REF!</definedName>
    <definedName name="BEx1LABNN9R2GABY7NF6RLK0L8XJ">#REF!</definedName>
    <definedName name="BEx1LEIQFBNN1N5IEUUKN1DFYB9W">#REF!</definedName>
    <definedName name="BEx1LGX07UXHGE7HAM4GN8MJ3SWP">#REF!</definedName>
    <definedName name="BEx1LI9I33BHC4Q65Q598XLBSW3Q">#REF!</definedName>
    <definedName name="BEx1LMB7LXQZ7TMFBSS1WAN594M2">#REF!</definedName>
    <definedName name="BEx1LQCU5UCFX0YVPLFN54KM2LRE">#REF!</definedName>
    <definedName name="BEx1LW1TPHCGISW8OEXJ037NCG8U">#REF!</definedName>
    <definedName name="BEx1LXEAP4VKKRKYNUXVIHPBN6LW">#REF!</definedName>
    <definedName name="BEx1LY00YQGXNOQI9AGLR4DJYQBX">#REF!</definedName>
    <definedName name="BEx1M38RIOST3SWBAK9Z5MRXHBD5">#REF!</definedName>
    <definedName name="BEx1MPF8FKY8IZ16R40XUV1VAFKN">#REF!</definedName>
    <definedName name="BEx1MV9JIC3VGAO9FKHL2OQ204I5">#REF!</definedName>
    <definedName name="BEx1NEQVTBXZ16ECJQHJFGHAXT9X">#REF!</definedName>
    <definedName name="BEx1NHQQXWEJ5TG8SS19FG7E45TX">#REF!</definedName>
    <definedName name="BEx1NHW2KN6137AK7CHRNDW9PODU">#REF!</definedName>
    <definedName name="BEx1NQVQK8A0AS3GAZ0EOYNFGG69">#REF!</definedName>
    <definedName name="BEx1NSZGKIZTXR48KF9BGSOF68OT">#REF!</definedName>
    <definedName name="BEx1O1DEXK437UP317ZT0R8JSFH6">#REF!</definedName>
    <definedName name="BEx1O6614IFKXRV5R66AEUA4OVAM">#REF!</definedName>
    <definedName name="BEx1O6GUBMIPGHJ61BC8TKKUW22W">#REF!</definedName>
    <definedName name="BEx1O7D711X0K4W2PHZPRUKEHX56">#REF!</definedName>
    <definedName name="BEx1O8PT3TJWB3ZQMNB3CO1X769Q">#REF!</definedName>
    <definedName name="BEx1OHUUJFXWBYQMCTXDTFM7398B">#REF!</definedName>
    <definedName name="BEx1OJYCP70EV45S2RQMZ102FCST">#REF!</definedName>
    <definedName name="BEx1OOG7N8G18H5T04E1DQPZ75S1">#REF!</definedName>
    <definedName name="BEx1OV6WEEQ5AXCSQENZVRW4ALRL">#REF!</definedName>
    <definedName name="BEx1OVXXM7QS2TUIR58T0NCN4SL5">#REF!</definedName>
    <definedName name="BEx1OY1GWPXCLQCYQJPFG5PTWX2T">#REF!</definedName>
    <definedName name="BEx1PD0YCG6L494302EIQ0Z5QLK2">#REF!</definedName>
    <definedName name="BEx1PDBQS1DMXNHXQCS0LWCC4XXI">#REF!</definedName>
    <definedName name="BEx1PEIXHT5I9IAAHMGUFFK63TVS">#REF!</definedName>
    <definedName name="BEx1PG65EN5EP93O3JDE5BK6WZ9Y">#REF!</definedName>
    <definedName name="BEx1POV1Q600IQVOY6W0829S3IJC">#REF!</definedName>
    <definedName name="BEx1PRK6ZJASH2B0PUGUSX9LGT31">#REF!</definedName>
    <definedName name="BEx1Q9E3KUY0R92RGIJS96P13U50">#REF!</definedName>
    <definedName name="BEx1QB1H4V3PGWKVYBGRZSP4MFNB">#REF!</definedName>
    <definedName name="BEx1QCJGPDGG7A86SGA0WUFAO74J">#REF!</definedName>
    <definedName name="BEx1QD50V5QCROW70YEU8EWC9Y2N">#REF!</definedName>
    <definedName name="BEx1QGL03C74XUESK584HESLNI2V">#REF!</definedName>
    <definedName name="BEx1R67G9WLJSJ9CF2NOC0OZNC5Z">#REF!</definedName>
    <definedName name="BEx1RAPGDMCALWNPDBPWEUXWD5G3">#REF!</definedName>
    <definedName name="BEx1RIHZF0NWO6R650FM8WEJFKI3">#REF!</definedName>
    <definedName name="BEx1RMOWXZEV0FHPEAL9HQ2TVR70">#REF!</definedName>
    <definedName name="BEx1RO1HU2SURX6WDATS0GDEF9NO">#REF!</definedName>
    <definedName name="BEx1RQFUAMNY89ILCUHAINS4NBZT">#REF!</definedName>
    <definedName name="BEx1S24NOHQJ66DGHDE5FW2VWZ4X">#REF!</definedName>
    <definedName name="BEx1S7O5TIUC4H56D7N42POWYBW9">#REF!</definedName>
    <definedName name="BEx1SC0PJJH88CDYX1D6ZCJQW9VU">#REF!</definedName>
    <definedName name="BEx1SC5YS301SA75E6RNLVMTU6DV">#REF!</definedName>
    <definedName name="BEx1SEEZUUQDK0UCQVNOCNE4JS00">#REF!</definedName>
    <definedName name="BEx1SLGGYUCU3YH254D7DNFMYXIK">#REF!</definedName>
    <definedName name="BEx1SNEQ0QWJKQS5NDTO59KE7TTZ">#REF!</definedName>
    <definedName name="BEx1SO04X0MU8TYTG98PBXTKL448">#REF!</definedName>
    <definedName name="BEx1SR5I6FSB2AEFQCPJM4IDRGEZ">#REF!</definedName>
    <definedName name="BEx1ST90ILAAFIZAEGI91OC41H11">#REF!</definedName>
    <definedName name="BEx1T0QRQDNZFGBNY5JF6CHMCOES">#REF!</definedName>
    <definedName name="BEx1T2JHUU77ELR71GLA4ZOQV0XX">#REF!</definedName>
    <definedName name="BEx1T9FN599KJFLF4NNQMER1DML4">#REF!</definedName>
    <definedName name="BEx1TW27H83R412SWSDWZ3ZABQBP">#REF!</definedName>
    <definedName name="BEx1U6JSJHRQJLLZC9ZBM5KQ01CR">#REF!</definedName>
    <definedName name="BEx1U93M0KKPPEMF1A764APTWH6T">#REF!</definedName>
    <definedName name="BEx1UGFWDLDESO34820P8SHQI9UO">#REF!</definedName>
    <definedName name="BEx1UNC2DEIHJ0588XJGAPI58SQF">#REF!</definedName>
    <definedName name="BEx1UP4RPWT1W3LD9ZV93N5SS3ET">#REF!</definedName>
    <definedName name="BEx1UR8BAG18KWHAOZZL82OPNKJN">#REF!</definedName>
    <definedName name="BEx1UV4LLMO1JFJ6TO2D775DOHOF">#REF!</definedName>
    <definedName name="BEx1UZRR6S300ZOVD9TNTLUVHVI8">#REF!</definedName>
    <definedName name="BEx1V0DAC2USPLFE2OGY1FQEZLZ7">#REF!</definedName>
    <definedName name="BEx1VSZMXQ830670YRFSM9GYLHXS">#REF!</definedName>
    <definedName name="BEx1VUCA46LS7XKXUPLDK806C9CW">#REF!</definedName>
    <definedName name="BEx1VY38IT54LUKK3VJSB56PVFEU">#REF!</definedName>
    <definedName name="BEx1VZ4WFTXXZ1ES2K5VS9HV5OZF" localSheetId="14">In #REF! #REF!</definedName>
    <definedName name="BEx1VZ4WFTXXZ1ES2K5VS9HV5OZF" localSheetId="25">In #REF! #REF!</definedName>
    <definedName name="BEx1VZ4WFTXXZ1ES2K5VS9HV5OZF" localSheetId="4">In #REF! #REF!</definedName>
    <definedName name="BEx1VZ4WFTXXZ1ES2K5VS9HV5OZF" localSheetId="39">In #REF! #REF!</definedName>
    <definedName name="BEx1VZ4WFTXXZ1ES2K5VS9HV5OZF" localSheetId="33">In #REF! #REF!</definedName>
    <definedName name="BEx1VZ4WFTXXZ1ES2K5VS9HV5OZF">In #REF! #REF!</definedName>
    <definedName name="BEx1W7DJIX75DMAJARTBFP57PEJO">#REF!</definedName>
    <definedName name="BEx1WHV7AHHW88YKLT2PUJ7NOE5J">#REF!</definedName>
    <definedName name="BEx1WLGNT0AT2YYE64E9GXHXOAHO">#REF!</definedName>
    <definedName name="BEx1WNPP1417ZVFBCQL8RDNHL3AR">#REF!</definedName>
    <definedName name="BEx1WSYG12GUSSBDDFOM038QFXDP">#REF!</definedName>
    <definedName name="BEx1WTURTMX52EC1YEWT1NCXI2Y9">#REF!</definedName>
    <definedName name="BEx1X177IQHX23RRZ6ILU6C3LUKD">#REF!</definedName>
    <definedName name="BEx1X1HYO0U2F70J47T6Q99O74V7">#REF!</definedName>
    <definedName name="BEx1X5UCXP57P2XQFR7XNOLGTTVI">#REF!</definedName>
    <definedName name="BEx1YI3IVANBLS8UKDNBKI9CVP07">#REF!</definedName>
    <definedName name="BEx1YIP1RMSXN17YYHH61DGLEQ4Y">#REF!</definedName>
    <definedName name="BEx1ZB6388ZWNAOKXHEJ6GH45R5S">#REF!</definedName>
    <definedName name="BEx1ZFD5YLFS8FFCJ5CZ259RD9I0">#REF!</definedName>
    <definedName name="BEx3AAAYCDQWI4AMTEWZA2A4RBQ9">#REF!</definedName>
    <definedName name="BEx3AJLFTYNO9LGRCY5A49KI4NAH">#REF!</definedName>
    <definedName name="BEx3AVL1R97J27BM6P44XVEL6IHV">#REF!</definedName>
    <definedName name="BEx3BHGP8ACXRP6V99V6ZZ8W15A0">#REF!</definedName>
    <definedName name="BEx3BPUS8UVMDIIO91V9YDD3IXDE">#REF!</definedName>
    <definedName name="BEx3BWG5444GH53TRC7ZP2FVQ0NK">#REF!</definedName>
    <definedName name="BEx3BXY44KFAVQSVQ7W1NQVBGN7C">#REF!</definedName>
    <definedName name="BEx3C6XSG3R23IFNNZSLW4NUQWFG">#REF!</definedName>
    <definedName name="BEx3CNVCB5AY62YN5PASHT55HOND">#REF!</definedName>
    <definedName name="BEx3CRRLV8EPA84MV9VBT450EGQ3">#REF!</definedName>
    <definedName name="BEx3D008TEZBVETMR71ZAWQK7ECR">#REF!</definedName>
    <definedName name="BEx3D1IC6YAE2OF3IME1R68OYMV4" localSheetId="14">Prior #REF!</definedName>
    <definedName name="BEx3D1IC6YAE2OF3IME1R68OYMV4" localSheetId="25">Prior #REF!</definedName>
    <definedName name="BEx3D1IC6YAE2OF3IME1R68OYMV4" localSheetId="4">Prior #REF!</definedName>
    <definedName name="BEx3D1IC6YAE2OF3IME1R68OYMV4" localSheetId="33">Prior #REF!</definedName>
    <definedName name="BEx3D1IC6YAE2OF3IME1R68OYMV4">Prior #REF!</definedName>
    <definedName name="BEx3D2UUHJPY3JOHERM1NQJVTFRC">#REF!</definedName>
    <definedName name="BEx3D9G73UC67IL3LWAZ7EW41WQT">#REF!</definedName>
    <definedName name="BEx3D9G78BMZA2MQBKQ54ONV4LHT">#REF!</definedName>
    <definedName name="BEx3D9LO3IJK3GWHEP0O4Y0HTRA1">#REF!</definedName>
    <definedName name="BEx3DA1RD97ESBV28AU1CUCTXZRD">#REF!</definedName>
    <definedName name="BEx3DCAQNDICWRYI3Z91M78C7KSE">#REF!</definedName>
    <definedName name="BEx3DJ1FTWUX0Q8TI67K2V5JBTD7">#REF!</definedName>
    <definedName name="BEx3DPMU1TEB4T939V1UQ2J362C9">#REF!</definedName>
    <definedName name="BEx3DPXM2GWOCLX2Y20RKHKIQF2L">#REF!</definedName>
    <definedName name="BEx3E69LJ6XOLHS390DP8SEZH8HK">#REF!</definedName>
    <definedName name="BEx3E8D44QFM1ZC6EJ8QKYPQ3IWU">#REF!</definedName>
    <definedName name="BEx3EA5UB44G4J2LPJCN1HKGYUQ1">#REF!</definedName>
    <definedName name="BEx3ELUN300KXBA2R3RYRWOJ6X6G">#REF!</definedName>
    <definedName name="BEx3EZSA366RAD0QTT0VQN4CNTDH">#REF!</definedName>
    <definedName name="BEx3F08ISEGUU8SZSI7BNFFGGCOV">#REF!</definedName>
    <definedName name="BEx3F68CLRVEZ8RIOV9D27GW6L1D">#REF!</definedName>
    <definedName name="BEx3F8BU3MMBDJ330I9EB25KEJ8V">#REF!</definedName>
    <definedName name="BEx3FGF0OR7SUL5O1GSJ4FCR4ROT">#REF!</definedName>
    <definedName name="BEx3FWLNM38PHY8X1EZUGZ0JQI04">#REF!</definedName>
    <definedName name="BEx3FX7DGJGCC2309WQ74WZ8YHBJ">#REF!</definedName>
    <definedName name="BEx3FZR1BQ6ZGW8R4M5WOPN2RBFJ">#REF!</definedName>
    <definedName name="BEx3G0SUO0XAZM18EHWFC0QDTQFC">#REF!</definedName>
    <definedName name="BEx3G2QYBI8FB6UYAOHOX4JXUB06">#REF!</definedName>
    <definedName name="BEx3G78S62MA5XBADKES54ZNQ5F4">#REF!</definedName>
    <definedName name="BEx3G9CA7ZG3YAB7GH2HS6HH5OK0">#REF!</definedName>
    <definedName name="BEx3GCC7W36VUNZ9FZMR0WENUALI">#REF!</definedName>
    <definedName name="BEx3GX0NQHMLOQQX21H27BQX4FKN">#REF!</definedName>
    <definedName name="BEx3GY7O86HZNPSKVAQ6IT03NLLJ">#REF!</definedName>
    <definedName name="BEx3GZV30KBNC4YC1ZG2B0S34TA7">#REF!</definedName>
    <definedName name="BEx3HWZ9SQ9ZTXNSIRARR6MH75GK">#REF!</definedName>
    <definedName name="BEx3IA60XLJ41F8GT5VN092C29F1">#REF!</definedName>
    <definedName name="BEx3ICPSZW6I2Y2YVWOS4AHN2U8L">#REF!</definedName>
    <definedName name="BEx3ILPI0E73CO0VKMX3F5F8K332">#REF!</definedName>
    <definedName name="BEx3IMWO04UB4X7BEEA1W5RU3JO5">#REF!</definedName>
    <definedName name="BEx3IR902FQUE3NNEDKAWFPGP9L8">#REF!</definedName>
    <definedName name="BEx3IS5EBC9XBT1379FK8UW7CYIO">#REF!</definedName>
    <definedName name="BEx3ISG6N35ZGNI02FH7WHDLR9BX">#REF!</definedName>
    <definedName name="BEx3J3JFD12VDKVZIK2EW3KVZTUP">#REF!</definedName>
    <definedName name="BEx3JDFHS4V57X1FW2WHK8GW1KZT">#REF!</definedName>
    <definedName name="BEx3JFIZE1KVYETRCTG80VLNA1EF">#REF!</definedName>
    <definedName name="BEx3JJ9RPPK8QIVQJFJDARBCIKL8">#REF!</definedName>
    <definedName name="BEx3JJ9SRWHEDV23BHI1OZ07ZOYV">#REF!</definedName>
    <definedName name="BEx3JR2C2OT90PZH7QEOL3XO7HFQ">#REF!</definedName>
    <definedName name="BEx3JSV2Y8XO5ONUESH7RYGFLOV4">#REF!</definedName>
    <definedName name="BEx3JWM04PFUPS9TKTL1SVDUTB91">#REF!</definedName>
    <definedName name="BEx3JXI88XX84MLMPDDQH0K3CPUD">#REF!</definedName>
    <definedName name="BEx3K7E8PMVJGKVYEL0OIFKGDM26">#REF!</definedName>
    <definedName name="BEx3KRRY4ZS35AC43ZJEHER1I6WB">#REF!</definedName>
    <definedName name="BEx3KTKOJ9PLGRRE06LJL14PEM5J">#REF!</definedName>
    <definedName name="BEx3KZKHTNG13G4BVBTNR6XOUEIK">#REF!</definedName>
    <definedName name="BEx3L00QO7PZA9AF86BW8JOP815C">#REF!</definedName>
    <definedName name="BEx3L35YT8PLZEGUIMIVQTSXTHRK">#REF!</definedName>
    <definedName name="BEx3LBK1YPVVPJ4KCUC32TZ2L2ZD">#REF!</definedName>
    <definedName name="BEx3LC0C3L0J7MXB48FTLOUIYPLJ">#REF!</definedName>
    <definedName name="BEx3LD7HNQZDPSW561VDZY7TWVG5">#REF!</definedName>
    <definedName name="BEx3LGSSVH2TDVCRLHB5IFSD68ZS">#REF!</definedName>
    <definedName name="BEx3M3KTUQN2R5SA88S7ASA6OOOQ">#REF!</definedName>
    <definedName name="BEx3M99TBE35JQ3K6HUJANZNBHMM">#REF!</definedName>
    <definedName name="BEx3MDGW8S0JV7VVW1QYBFKLMVXY">#REF!</definedName>
    <definedName name="BEx3MF9LW62DU1COLPMWO0NSNEGU">#REF!</definedName>
    <definedName name="BEx3MJ0KNDRZB70401VWBWQPP3SP">#REF!</definedName>
    <definedName name="BEx3MMRDN5RGVU4EAO5TUFF8CJ8X">#REF!</definedName>
    <definedName name="BEx3MMWV4BTQYG0LWQUSTH66QSD3">#REF!</definedName>
    <definedName name="BEx3MUUORCEHVKXMES1KOJNT2L6J">#REF!</definedName>
    <definedName name="BEx3N03KXEHUHNLAHIREVHOZRTGP">#REF!</definedName>
    <definedName name="BEx3NBC4NGXMNBKXANVCSKSOKOH2">#REF!</definedName>
    <definedName name="BEx3NF2Y6NV5XX969J2RB3GMUVH0">#REF!</definedName>
    <definedName name="BEx3NY45AKM9NPK57E78B9M7LCDH">#REF!</definedName>
    <definedName name="BEx3O0CZEDL21RJCERCGQKJ2NMLU">#REF!</definedName>
    <definedName name="BEx3O4K0VHLPYPQ914G426H6AHFX">#REF!</definedName>
    <definedName name="BEx3OFHXDZNBSXXH5KGPNO8W4X05">#REF!</definedName>
    <definedName name="BEx3OG3JI6R83HGWKF7BOOKC4EYG">#REF!</definedName>
    <definedName name="BEx3OJUAHMR83PLOBIIZR9RC5EIA">#REF!</definedName>
    <definedName name="BEx3ON4ZJCDGNDUAKF81G886RJBH">#REF!</definedName>
    <definedName name="BEx3ONFSGUSFNU50CGL3Q1GEADFE">#REF!</definedName>
    <definedName name="BEx3OPDSWH5ZJR37VXFS0W4MC350">#REF!</definedName>
    <definedName name="BEx3OTVOCV5DQVHDCU2VZTQC0C1D">#REF!</definedName>
    <definedName name="BEx3OZKO9Y2WLPH6VCA1KE3DGW96" localSheetId="14">YTD #REF!</definedName>
    <definedName name="BEx3OZKO9Y2WLPH6VCA1KE3DGW96" localSheetId="25">YTD #REF!</definedName>
    <definedName name="BEx3OZKO9Y2WLPH6VCA1KE3DGW96" localSheetId="4">YTD #REF!</definedName>
    <definedName name="BEx3OZKO9Y2WLPH6VCA1KE3DGW96" localSheetId="33">YTD #REF!</definedName>
    <definedName name="BEx3OZKO9Y2WLPH6VCA1KE3DGW96">YTD #REF!</definedName>
    <definedName name="BEx3PH3YYUYQTDVTA7H98C5ZS59F">#REF!</definedName>
    <definedName name="BEx3PI5N8WA5TSG4CYA41428H4E1">#REF!</definedName>
    <definedName name="BEx3PN3Q0L521TLXQYPBO2PWNIEC">#REF!</definedName>
    <definedName name="BEx3PT3JBLWW6MU7967OX5YU2IJU">#REF!</definedName>
    <definedName name="BEx3PZE3SCDOHMVDDPWH3LRIFWHG">#REF!</definedName>
    <definedName name="BEx3Q2U4W5UDZR0M9C9GEPOFMNML">#REF!</definedName>
    <definedName name="BEx3QEDGZWBWI7NKDDN68Z5S2T6R">#REF!</definedName>
    <definedName name="BEx3QF4IMFBZUTLUBMCTVGP2QNM0">#REF!</definedName>
    <definedName name="BEx3QGBO7G0CHF6Z1LXKCEGK1TPW">#REF!</definedName>
    <definedName name="BEx3QIVAWLIIW8J3ALZOQ2GX655T">#REF!</definedName>
    <definedName name="BEx3QK7WTTGY5S46BVZOB8729UJV">#REF!</definedName>
    <definedName name="BEx3QKIPSLYSB2BUYKN6EF995T8K">#REF!</definedName>
    <definedName name="BEx3QKTITJ92AK46SXOQBX7OAOVS">#REF!</definedName>
    <definedName name="BEx3QNTENHSE59KIAJQU0MCYETW1">#REF!</definedName>
    <definedName name="BEx3QR9EJKKPPUJYQ395WMQXV7IS">#REF!</definedName>
    <definedName name="BEx3R0930NKF1D3M1AZMPY7FROKU">#REF!</definedName>
    <definedName name="BEx3R33I0HLZPRORK37TP3Q8896E">#REF!</definedName>
    <definedName name="BEx3R81LWAJU27FBTDYJSSWHTL1G">#REF!</definedName>
    <definedName name="BEx3RAW7EG78YVFE6MOZ4N3Q0ENK">#REF!</definedName>
    <definedName name="BEx3RB6T2YSV591KTYZ4HD7F015X">#REF!</definedName>
    <definedName name="BEx3RC8P3HT7BV4SHNQ3ITV2LVG2">#REF!</definedName>
    <definedName name="BEx3RODKOOWOS61KLK4Q1Y18P81C">#REF!</definedName>
    <definedName name="BEx3RPVJFR8HGALSH62YTS8KZJ85">#REF!</definedName>
    <definedName name="BEx3RQMKFGC6A833OHLD2MN3VM2Z">#REF!</definedName>
    <definedName name="BEx3S67MDZGCNN4QSTUBPK92G4IS">#REF!</definedName>
    <definedName name="BEx3S6I8RW4SON9Q5GUI2MR57ZHG">#REF!</definedName>
    <definedName name="BEx3S97EKOF7XGEXK0H85T3BIEGY">#REF!</definedName>
    <definedName name="BEx3SD93N3FHSQGKYXO9QWF05GRN">#REF!</definedName>
    <definedName name="BEx3SPZR99F8259FZCXTP4HNFNQU">#REF!</definedName>
    <definedName name="BEx3T1OJKAJ2MDKD9PRQFY6GPLDU">#REF!</definedName>
    <definedName name="BEx3TF5WG8KZ83N2LPKLQO9DFJAS">#REF!</definedName>
    <definedName name="BEx3TMIC54F9XBTC6JUN2JZB1DAG">#REF!</definedName>
    <definedName name="BEx3TXLL8PXVT94L2UFFF63B2UYF">#REF!</definedName>
    <definedName name="BEx3UPMCEA6UEIUJ3EHH319RZQMY">#REF!</definedName>
    <definedName name="BEx3UR4A3SN5YCUCTMIHBUMEN57I">#REF!</definedName>
    <definedName name="BEx3UUPRN88NSVNPEUJVTVLELUMD">#REF!</definedName>
    <definedName name="BEx3V93N8SFYC8F8WLCCVJN7CJHL">#REF!</definedName>
    <definedName name="BEx3VHHQUP330ISOTZNPIC78CZ1Q">#REF!</definedName>
    <definedName name="BEx3VI3C28YMR16BBTN5SK1DCJXH">#REF!</definedName>
    <definedName name="BEx574LT955LIWNP6TYB3OP3GN9A">#REF!</definedName>
    <definedName name="BEx57PL2IZ8G86WDA9IFFR7VYJ4B">#REF!</definedName>
    <definedName name="BEx57QHEZG1SQBYDZBM68DIP1BB1">#REF!</definedName>
    <definedName name="BEx57ROM5FN5D5VFFD56LBZYIMJ0">#REF!</definedName>
    <definedName name="BEx57UOI435JJ1N20H120UI0LWNV">#REF!</definedName>
    <definedName name="BEx582H2D0HEUA3L1V377L0G41FY">#REF!</definedName>
    <definedName name="BEx58KAY3M2JAME7Y8PA7UM3Y9LH">#REF!</definedName>
    <definedName name="BEx58O1VSMU70S0RVKHUKB0EZTY3">#REF!</definedName>
    <definedName name="BEx58UCH60JCN5H2S72VRU7N4TB7">#REF!</definedName>
    <definedName name="BEx58VJLWQGZ25C8Q8QPGPT557UX">#REF!</definedName>
    <definedName name="BEx58Y8QG2NCFI89SVPS8N5YZ35R">#REF!</definedName>
    <definedName name="BEx595QHPZTW035WXEF14P1EFFZ2">#REF!</definedName>
    <definedName name="BEx59BFHW1D1LWW0C8GR6H4M1GL9">#REF!</definedName>
    <definedName name="BEx59EVGHTAACIM7XGJLKWO9MFFP">#REF!</definedName>
    <definedName name="BEx59IRQE9WO908W6XQCHI6N394W" localSheetId="14">In #REF! #REF!</definedName>
    <definedName name="BEx59IRQE9WO908W6XQCHI6N394W" localSheetId="25">In #REF! #REF!</definedName>
    <definedName name="BEx59IRQE9WO908W6XQCHI6N394W" localSheetId="4">In #REF! #REF!</definedName>
    <definedName name="BEx59IRQE9WO908W6XQCHI6N394W" localSheetId="39">In #REF! #REF!</definedName>
    <definedName name="BEx59IRQE9WO908W6XQCHI6N394W" localSheetId="33">In #REF! #REF!</definedName>
    <definedName name="BEx59IRQE9WO908W6XQCHI6N394W">In #REF! #REF!</definedName>
    <definedName name="BEx59K4F2XC9969F3UDZRPU7PDPE">#REF!</definedName>
    <definedName name="BEx59NF2KB4EOG8X2GP2Y2WWXD07">#REF!</definedName>
    <definedName name="BEx59R5VMN89LWYZB68XNNRVS4DL">#REF!</definedName>
    <definedName name="BEx59TEPPLGSJ883TATAD94AMY6D">#REF!</definedName>
    <definedName name="BEx59WPDQ6K3NLQ17R6I5BBA6N5L">#REF!</definedName>
    <definedName name="BEx59XGG536J69PQ99VGJ3NXC1LC">#REF!</definedName>
    <definedName name="BEx5A3AR6CK4RHQH6RYZD27RMP75">#REF!</definedName>
    <definedName name="BEx5A4SOJP5ERLFYTQNZYHO6A8O1">#REF!</definedName>
    <definedName name="BEx5A65BGJUUDG47R05EWMHPUX5F">#REF!</definedName>
    <definedName name="BEx5AAN7SQDYG4ZBSR5XX4GLE3XF">#REF!</definedName>
    <definedName name="BEx5AOQADKXZQD5ADUV4J8GZLR8H">#REF!</definedName>
    <definedName name="BEx5B10OTNVLRUQZ94FLRGSKDOEH">#REF!</definedName>
    <definedName name="BEx5B825KF93Y56G2Y848RYIIK4N">#REF!</definedName>
    <definedName name="BEx5BCEO2HK2PHRPEFTD5K7OB4R0">#REF!</definedName>
    <definedName name="BEx5BDR661HYOLUZ8JUKPF8ERXJ1">#REF!</definedName>
    <definedName name="BEx5BJAOVJZGMAS5J4NP0JN6FVQW">#REF!</definedName>
    <definedName name="BEx5BR8OFCESESTT3WYBN0SN6T64">#REF!</definedName>
    <definedName name="BEx5BT6RO3P2C0Z9W35UNUKNXUNR">#REF!</definedName>
    <definedName name="BEx5C0ZAQS6HK3DYCHNX1NBM681C">#REF!</definedName>
    <definedName name="BEx5C79U0F00K9ALYSJY9EY1932S">#REF!</definedName>
    <definedName name="BEx5CH5W2XKLD5YO9OL3380UFAHU">#REF!</definedName>
    <definedName name="BEx5CR1YSHRWTASJKUN1TPXJL7HY">#REF!</definedName>
    <definedName name="BEx5CS3SVOC5Y7WJCUP5R4JGQD2R">#REF!</definedName>
    <definedName name="BEx5CU7B3RWJSFUD8PH0HQEVHS8M">#REF!</definedName>
    <definedName name="BEx5CYUIWIGD2YGZPP3VHOX9D9WY">#REF!</definedName>
    <definedName name="BEx5D6HJDWQTDJQO1W1WNJECONBO">#REF!</definedName>
    <definedName name="BEx5DNKKBM1IX2POL2U8M4LN1VGI">#REF!</definedName>
    <definedName name="BEx5DNKL05EPMT96T50ZDH6KZHPA">#REF!</definedName>
    <definedName name="BEx5DZEODNJNLDXICK8ABDQ86OB8">#REF!</definedName>
    <definedName name="BEx5E0B1C98HRUOR9HWPV8ULIPYX">#REF!</definedName>
    <definedName name="BEx5E1CW46TZVL4IBRJA08CFPTIN">#REF!</definedName>
    <definedName name="BEx5E4T26URGJ8W4J3GT9VXW3KV9">#REF!</definedName>
    <definedName name="BEx5E6R4XOUNSKJABLWUINS6VEEA">#REF!</definedName>
    <definedName name="BEx5EIL8F18B9A3US234N5P8198F">#REF!</definedName>
    <definedName name="BEx5EIQPT7SZIPT04HKJ9MGY9GYJ">#REF!</definedName>
    <definedName name="BEx5EQJ7HYUJ6VSBLSXDQZH231K0">#REF!</definedName>
    <definedName name="BEx5F1GZ763PSXZO24BCYVPZBZRJ">#REF!</definedName>
    <definedName name="BEx5FD5R4R93XPX4V5IUJOHILTTL">#REF!</definedName>
    <definedName name="BEx5FJGC2CKG7ACH8FV8MKN3DJ1L">#REF!</definedName>
    <definedName name="BEx5FOUJBQEMUCXFQ5W3DBHMY6N4">#REF!</definedName>
    <definedName name="BEx5G1QIRGZZNX081HX2AP8YZQ3V">#REF!</definedName>
    <definedName name="BEx5GIIQJCCMCQEE9K3ERM4N5ENS">#REF!</definedName>
    <definedName name="BEx5GIYU8G0I75OVEBE1S30KIL8P">#REF!</definedName>
    <definedName name="BEx5H0CM8VHX5YW9ACCYP8JO2SI0">#REF!</definedName>
    <definedName name="BEx5HDU59P9ZTNVKWD471WJ7QXOI">#REF!</definedName>
    <definedName name="BEx5HJ2W3WB72VAJUXD110JLACRJ">#REF!</definedName>
    <definedName name="BEx5HJDNZ7RI7R6UJTQFI9M8861D">#REF!</definedName>
    <definedName name="BEx5HLMOYCWHO5GR5J2GE0U63IYJ">#REF!</definedName>
    <definedName name="BEx5HTF8RA5E6NGAMZFNGFITSIC6">#REF!</definedName>
    <definedName name="BEx5I4CYRVXNNZKB1X6Y4GSOQN9Q">#REF!</definedName>
    <definedName name="BEx5IEJSRFFGTAQSV06QJHO4385J">#REF!</definedName>
    <definedName name="BEx5II5AJEB3ZV1E2ZNCRDZGXNB6">#REF!</definedName>
    <definedName name="BEx5IIQVWA7IO95J1H6ZF0YQS9DI">#REF!</definedName>
    <definedName name="BEx5J1BUAR0B9OUWLB56R4RV8PX1">#REF!</definedName>
    <definedName name="BEx5J1BV645YRMKNHUMDWXKRQW5M">#REF!</definedName>
    <definedName name="BEx5J7RQ81HRVPIYPEUHMV2I2RBP">#REF!</definedName>
    <definedName name="BEx5J7X6SS0DOAA99ACWC10VN3KH">#REF!</definedName>
    <definedName name="BEx5JHIFMWGIF3J1Q5C6HOA5GFMV">#REF!</definedName>
    <definedName name="BEx5JL3YUXKPI0F14E9JOCTD3IF1">#REF!</definedName>
    <definedName name="BEx5JMB3Z3EU0L0KVOQ5RLZTH8VB">#REF!</definedName>
    <definedName name="BEx5JWHZMT1C57PSCIE8PZ03RN01">#REF!</definedName>
    <definedName name="BEx5K03FRO7CHS6XLB25RU7YG5XH">#REF!</definedName>
    <definedName name="BEx5K1W0RB74TZVP8FSF73K1ZZOS">#REF!</definedName>
    <definedName name="BEx5K51CYBPR9OSZC6ST2GQUTGTR">#REF!</definedName>
    <definedName name="BEx5K6OSQZDUJXBOUP87WW8PO3GL">#REF!</definedName>
    <definedName name="BEx5K819IJ2A8GZF2ARH7V7JUQFX">#REF!</definedName>
    <definedName name="BEx5K9OJ9XKSQPLEAX9PFVGQ2EJ9">#REF!</definedName>
    <definedName name="BEx5KDVLBBC38IWAP4GVFJREXNT8">#REF!</definedName>
    <definedName name="BEx5L0CSYK556ZF57UELOJYYRLN4">#REF!</definedName>
    <definedName name="BEx5L91PKR1WJHH03INMWB51IXQL">#REF!</definedName>
    <definedName name="BEx5LC1LX9UK8UEQTZS0C7H99UOI">#REF!</definedName>
    <definedName name="BEx5LCCEXRSJYE2MIZ65OWNVDQ28">#REF!</definedName>
    <definedName name="BEx5LOS2BXU33Y3QY6Y8X69IZIZO">#REF!</definedName>
    <definedName name="BEx5LXX8J5JM29G8TA6XB1AISQUV">#REF!</definedName>
    <definedName name="BEx5M1TIT23245L6C21ZGSSSM28B">#REF!</definedName>
    <definedName name="BEx5M2F3932AY26TKMO3KF9HX5TY">#REF!</definedName>
    <definedName name="BEx5M5PTAFH1AXEEZ1OGWDEPRE0D">#REF!</definedName>
    <definedName name="BEx5M5V38KRCZHP45019IY3AFOKT">#REF!</definedName>
    <definedName name="BEx5MSCC4MMGACHEEHTZCT1M1011">#REF!</definedName>
    <definedName name="BEx5N6FFPBMOVHZX0O5W4Q034WH6">#REF!</definedName>
    <definedName name="BEx5N8IY0MFUF9AVRVEKAVEJ7XKR">#REF!</definedName>
    <definedName name="BEx5NJRIRTF6153OAIHENE4KY1LA">#REF!</definedName>
    <definedName name="BEx5NMWVACQSF88XLBV3U7OVEBCZ">#REF!</definedName>
    <definedName name="BEx5NWCMQIAYECGK4LQ9W4C5JJU6">#REF!</definedName>
    <definedName name="BEx5OQ0U72V3CBU14DNUR58LJ41A">#REF!</definedName>
    <definedName name="BEx5OQGXQMUVGNZMJURX3ZA4ZBDF">#REF!</definedName>
    <definedName name="BEx5OW5Y3XJ3TPV65HAGD4JI1F5I">#REF!</definedName>
    <definedName name="BEx5P61ZK99OM3DY0Y2JN6MNVCOP">#REF!</definedName>
    <definedName name="BEx5P61ZV50T7D2WMMDXA9MEFIAE">#REF!</definedName>
    <definedName name="BEx5P9NIHEN26Y1D7UTY28YNOXU5">#REF!</definedName>
    <definedName name="BEx5PWQ9P3LOQZD48YXALK5ZOA6Z">#REF!</definedName>
    <definedName name="BEx5QIB4POUOU1RT08VQUU4PK5BR">#REF!</definedName>
    <definedName name="BEx5QKPHEZMZ9M9QHO1JKLDXZYYQ">#REF!</definedName>
    <definedName name="BEx5QZ3D6IWNYI5MOCQHCKCPR650">#REF!</definedName>
    <definedName name="BEx74UOCEASNVZP783I03ZE4NAGF">#REF!</definedName>
    <definedName name="BEx74XZ0K7Y3DB8Z78K4X2O87C31">#REF!</definedName>
    <definedName name="BEx75AUZUETDTYP42ME63B0IK0DC">#REF!</definedName>
    <definedName name="BEx75C25Z9SUV2JZ7KHFYBV045HU">#REF!</definedName>
    <definedName name="BEx75H5L58B4Q8ZBL70SPWV1SGLR">#REF!</definedName>
    <definedName name="BEx75ICQZFAGU911EBG0TD6O5MEG">#REF!</definedName>
    <definedName name="BEx75RSIFKVI9C0HUV2KEVTECWAO">#REF!</definedName>
    <definedName name="BEx75ZA90BO3EB4IJVX9G86NIJ4B">#REF!</definedName>
    <definedName name="BEx7606NPNNR3S6XJV65P9ICMMOU">#REF!</definedName>
    <definedName name="BEx764DOB6TP48AKJHWHPSZDN1FZ">#REF!</definedName>
    <definedName name="BEx76FBF7DH38IEOOZFQ5JB8OK9W">#REF!</definedName>
    <definedName name="BEx76N9FPXVTWK2NI0AAXOVLH47R">#REF!</definedName>
    <definedName name="BEx76O5STNX7T6U33C0S51ZAJMXF">#REF!</definedName>
    <definedName name="BEx76TK18FYJK1WOAYD05FCUTV3O">#REF!</definedName>
    <definedName name="BEx76YNFKJ34ZDB3EPFBTNISO4DU">#REF!</definedName>
    <definedName name="BEx77PBQ9UTJ0GVOG2INPRDJ13RS">#REF!</definedName>
    <definedName name="BEx780PQHVX01DL3XII2A7YMSPWH">#REF!</definedName>
    <definedName name="BEx780V21FH79PAA1ZKY9IORWOT3">#REF!</definedName>
    <definedName name="BEx785YFKA8L6RHX11WYWFYA8F1J">#REF!</definedName>
    <definedName name="BEx78AGC1STEQHNI9QOK5OD3L4FW">#REF!</definedName>
    <definedName name="BEx78GW73AS2L24PPEISFCDX90QN">#REF!</definedName>
    <definedName name="BEx78R8JISDO6BQ6CZOAM3XZ4FX4">#REF!</definedName>
    <definedName name="BEx78W15VPSUOLEM0TMIX6E7NVX7">#REF!</definedName>
    <definedName name="BEx78WS2IR8RX2VQREI71XTPBS75">#REF!</definedName>
    <definedName name="BEx78XOF5ET4VO4EOM5GV7UL4REE">#REF!</definedName>
    <definedName name="BEx78ZRYEF87CYP0N47JSOZRMM1P">#REF!</definedName>
    <definedName name="BEx792XARU7KI7F9C8E1M2UPENMV">#REF!</definedName>
    <definedName name="BEx798RNSSIPET7RTFJ7KVK5Z9JG">#REF!</definedName>
    <definedName name="BEx79J9AGGFXWTEL52GCVZUW10EU">#REF!</definedName>
    <definedName name="BEx79JUUVUE3XNL6FLXYSJ2L7H98">#REF!</definedName>
    <definedName name="BEx79P3M44EA839DY2UMVC3UC8NG">#REF!</definedName>
    <definedName name="BEx79T5CHHA21C9AHZ7S5NTJQE0H">#REF!</definedName>
    <definedName name="BEx79W57Q3OGCP8Q60EM3EEFW9OS">#REF!</definedName>
    <definedName name="BEx7AFRVII8IX2QYJNYAFF8RH5DP">#REF!</definedName>
    <definedName name="BEx7AKV9WIHOB7E13II5RM2GG74C">#REF!</definedName>
    <definedName name="BEx7AMIR1E4R5KQD6L2JP0V3L2PZ">#REF!</definedName>
    <definedName name="BEx7AQV2C637PEWPGAH4E4Q5RBMW">#REF!</definedName>
    <definedName name="BEx7AR5UPU50SN0X1DISAQ7EOPF9">#REF!</definedName>
    <definedName name="BEx7AVIFMJ2J61L9HI61ZD0BN7FV">#REF!</definedName>
    <definedName name="BEx7AX07QD4V9U9E2TUACQBIL30T">#REF!</definedName>
    <definedName name="BEx7AX0CC71BEXKGJV6QJKSXTXK8" localSheetId="14">In #REF! #REF!</definedName>
    <definedName name="BEx7AX0CC71BEXKGJV6QJKSXTXK8" localSheetId="25">In #REF! #REF!</definedName>
    <definedName name="BEx7AX0CC71BEXKGJV6QJKSXTXK8" localSheetId="4">In #REF! #REF!</definedName>
    <definedName name="BEx7AX0CC71BEXKGJV6QJKSXTXK8" localSheetId="39">In #REF! #REF!</definedName>
    <definedName name="BEx7AX0CC71BEXKGJV6QJKSXTXK8" localSheetId="33">In #REF! #REF!</definedName>
    <definedName name="BEx7AX0CC71BEXKGJV6QJKSXTXK8">In #REF! #REF!</definedName>
    <definedName name="BEx7AXGFSZ6F9N0T137P3VJIW20Y">#REF!</definedName>
    <definedName name="BEx7B0WGAE2NX5BCITMS2MMIAU1R">#REF!</definedName>
    <definedName name="BEx7B2EEKT9JOZ4A8A134GB47N3H">#REF!</definedName>
    <definedName name="BEx7B35GQR9EL6QDFZENY0BGOFIF">#REF!</definedName>
    <definedName name="BEx7B3LKG2NXCFD4GYWA8S3BEMFN">#REF!</definedName>
    <definedName name="BEx7BIVV3ZDPQP8E4J1QTENLJKPF">#REF!</definedName>
    <definedName name="BEx7BW82C3BJ3PVIN5J5X4QBB4UA">#REF!</definedName>
    <definedName name="BEx7C4M64M2V0NCG87QJDY9OKQQ8">#REF!</definedName>
    <definedName name="BEx7C4WZDNA96BLTV03A4ZCH4TQI">#REF!</definedName>
    <definedName name="BEx7C5D2QDGZ8VPK37P92EUT31QL">#REF!</definedName>
    <definedName name="BEx7CLZT71RJ6II80TF722TC1R93">#REF!</definedName>
    <definedName name="BEx7CR8PQ4F3M7HZGQN5B64WCWNZ">#REF!</definedName>
    <definedName name="BEx7D6OA0NO1NXZFW3F2GTJMA33N">#REF!</definedName>
    <definedName name="BEx7D9DDRTUX2HEVMIT46HRR8NN4">#REF!</definedName>
    <definedName name="BEx7DA4ABGGC1GC4Z21VVKBO2M1P">#REF!</definedName>
    <definedName name="BEx7DBBF4QJ3WXG4Z162N776UA2T">#REF!</definedName>
    <definedName name="BEx7DCINAS9CQJU5ZXQDR0T43146">#REF!</definedName>
    <definedName name="BEx7DJPRIWFQCK4OX71OBLUZC8BI">#REF!</definedName>
    <definedName name="BEx7DO233X4TY66EG590C35KNXDJ">#REF!</definedName>
    <definedName name="BEx7DQ5LNJHVFU5CWO8AK7XDLF3A">#REF!</definedName>
    <definedName name="BEx7E070RKZSUX36V78YWX6SSRZ1">#REF!</definedName>
    <definedName name="BEx7EAJC9CZFE3EIZIB0XQT5PUPH">#REF!</definedName>
    <definedName name="BEx7EEQDM7CMIGP5HTFZFQQHEFQ7">#REF!</definedName>
    <definedName name="BEx7EHVKI7KDTEBZF029COYL6CC3">#REF!</definedName>
    <definedName name="BEx7EYIBWLKHRTE28UJ83EA9SIZW">#REF!</definedName>
    <definedName name="BEx7F3AYPYEC8NW91XCP66ZIY91W">#REF!</definedName>
    <definedName name="BEx7FNOO1WFU7WB0U95WBRN1LCQT">#REF!</definedName>
    <definedName name="BEx7FT2VYR74IJYR8HD8HLIP5VMS">#REF!</definedName>
    <definedName name="BEx7FZDG0CBFUBU8QKSSJL436B31">#REF!</definedName>
    <definedName name="BEx7G39PY30ZTDC2CWIDMPEGI4RM">#REF!</definedName>
    <definedName name="BEx7G3VBMX1YWH7XXCPGAEF5MAKY">#REF!</definedName>
    <definedName name="BEx7G7BH6DOBU4LCE265T116IN83">#REF!</definedName>
    <definedName name="BEx7GENQZ4S915Q3873VO84PIKAB">#REF!</definedName>
    <definedName name="BEx7GNCNX26SK8CL9P4NJPM709S6">#REF!</definedName>
    <definedName name="BEx7H0ZIEVBGW2O7B0SX3XM67H22">#REF!</definedName>
    <definedName name="BEx7H3JAU6IOH6Q07DSF4PNCMP32">#REF!</definedName>
    <definedName name="BEx7HIIRTHBJCXZO96RJZPNX1ORI">#REF!</definedName>
    <definedName name="BEx7HTRA69EXYNM7DFFG3UF6S33U">#REF!</definedName>
    <definedName name="BEx7HVEQ668BALK7ORH5HXUB7SQS">#REF!</definedName>
    <definedName name="BEx7I5G404KZXIHJU56Z20ANQ66D">#REF!</definedName>
    <definedName name="BEx7I8QRHXQEPY5NT9VK3ZNJWU94">#REF!</definedName>
    <definedName name="BEx7ICC8Z8J8ZD63BYM7G2OJ3L2Q">#REF!</definedName>
    <definedName name="BEx7IIMSZYVYUDH1TX9W59GOB0OI">#REF!</definedName>
    <definedName name="BEx7IORWPKEQ1E8BSJC6EZEL8MEH">#REF!</definedName>
    <definedName name="BEx7ISO67B030E194TUCDZRUD7FG">#REF!</definedName>
    <definedName name="BEx7IU64W0UZM4FRPMHGSAT18NWN">#REF!</definedName>
    <definedName name="BEx7J1YNW54N1TJ3HXPHYEQBGXIL">#REF!</definedName>
    <definedName name="BEx7J2PL72WL5LWZCCIR4YUSL4Z9">#REF!</definedName>
    <definedName name="BEx7J6RAW43RCA6QB3I06XD9IW82">#REF!</definedName>
    <definedName name="BEx7J724FE0FSDDYU3RTYDX4PBSW">#REF!</definedName>
    <definedName name="BEx7J7NNNGNAK8CV6CIYDJXWSIH3">#REF!</definedName>
    <definedName name="BEx7JANLDWWD3ZKMHHMM05GX7ZKC">#REF!</definedName>
    <definedName name="BEx7JJN9S0C8F046VN3X44X78PZK">#REF!</definedName>
    <definedName name="BEx7JNZN8VNRP9NBKJYJ5G516WT4">#REF!</definedName>
    <definedName name="BEx7K1MNQVJ9WG9V9KEP0WKT9RJJ">#REF!</definedName>
    <definedName name="BEx7K1RYPXNE694AH50HCOB13YZ6">#REF!</definedName>
    <definedName name="BEx7K765YGSP0R9QP830PGHFZPWU">#REF!</definedName>
    <definedName name="BEx7KL3ZC9LM8LRRQN0EV3Z9XOP2">#REF!</definedName>
    <definedName name="BEx7KL9ASLWLI9OQQQ71DY91Y1GR">#REF!</definedName>
    <definedName name="BEx7KO96UW0CLDJDUAYP1BPJ1JNR">#REF!</definedName>
    <definedName name="BEx7L0ZMJB7OCEVT4Z6KTPAUP5VZ">#REF!</definedName>
    <definedName name="BEx7LO2GMP9U8SY7HW2GYOIWHC89">#REF!</definedName>
    <definedName name="BEx7LOTHFZY92Q8XNYGD48MRIUWX">#REF!</definedName>
    <definedName name="BEx7LTWXITD6993AE7RVS9K2EKEL">#REF!</definedName>
    <definedName name="BEx7M0T3XK66JT57A8S4E7AJHUKT">#REF!</definedName>
    <definedName name="BEx7MAUI0OTKSOGR1DS5KQHGPVOW">#REF!</definedName>
    <definedName name="BEx7MC1N8H94D0WA1CEIE4R7LUE9">#REF!</definedName>
    <definedName name="BEx7MDUDTSMPM4S444VQ1U924087">#REF!</definedName>
    <definedName name="BEx7MKFR05A6T7MDNF4IABA982KN">#REF!</definedName>
    <definedName name="BEx7MUMLIGR3QFNFL1K5JPXKCLJC">#REF!</definedName>
    <definedName name="BEx8Z24B07BAM2L2KOFEN1ORKU2Y">#REF!</definedName>
    <definedName name="BEx8ZBPLO1LLA2219XELS9IV7LQ8">#REF!</definedName>
    <definedName name="BEx8ZFWNOSAUMXWZVC490RTEUT1H">#REF!</definedName>
    <definedName name="BEx8ZY6TOQBV0984E8EEY9F1T2RP">#REF!</definedName>
    <definedName name="BEx905DSY7OPN1I84ZGINRVAN27S">#REF!</definedName>
    <definedName name="BEx90FF5OHBS94YX2ROETN89G6Z4">#REF!</definedName>
    <definedName name="BEx90I49JA4UNN1M2SDXDZPM6MEF">#REF!</definedName>
    <definedName name="BEx90MRMBXJVOIMYOKWRFHF74GLO">#REF!</definedName>
    <definedName name="BEx90TCYW3DWGHWQXHDOWJMBP0BM">#REF!</definedName>
    <definedName name="BEx90VLT2GHPLIF8KEX51RNHAQ6G">#REF!</definedName>
    <definedName name="BEx911G9W83GBT8XT217WG2DYH8T">#REF!</definedName>
    <definedName name="BEx91D527OJM2T20P90HD3KJ2J6L">#REF!</definedName>
    <definedName name="BEx91KS4XY1408K476M2V6RQ7CEQ">#REF!</definedName>
    <definedName name="BEx91OZ7SK3GZT8MUH0RCCGCLPMD">#REF!</definedName>
    <definedName name="BEx9225WV69ZX7H3KC01341E7T25">#REF!</definedName>
    <definedName name="BEx922RHTJUDSN4OYVS1W4R8VI0R">#REF!</definedName>
    <definedName name="BEx926YK6VRH7F61KGMPNNJG0TA6">#REF!</definedName>
    <definedName name="BEx92HQZN5F6XUOIGHU8LFTJ1T60">#REF!</definedName>
    <definedName name="BEx92QAG0RMGRWCEVUH67KN8FS3S">#REF!</definedName>
    <definedName name="BEx92R1GWMGMMTS4WYZC8Y9Q83BM">#REF!</definedName>
    <definedName name="BEx92W4W79XWOMR2FJFSU6XGDXTI">#REF!</definedName>
    <definedName name="BEx92WFJRUWB4MLXS7FEU8D1L4Q0">#REF!</definedName>
    <definedName name="BEx934IUM881MMPU4EUMKLQFC2RV">#REF!</definedName>
    <definedName name="BEx934TNMATHN6L7CKKBD9851AIB">#REF!</definedName>
    <definedName name="BEx935KNZ60U2ZR80RC5BCHD687V">#REF!</definedName>
    <definedName name="BEx9389SZD0A8YVBZCRU3GWO7Y5K">#REF!</definedName>
    <definedName name="BEx939RR6KYHYHSBTLCLUYVWG03Y">#REF!</definedName>
    <definedName name="BEx93BF0EKIMFTZA410FXJ4EQYSP">#REF!</definedName>
    <definedName name="BEx93C619SAYAUDIHV6L1TUWAO2A">#REF!</definedName>
    <definedName name="BEx93KK5VR37TMN419OEP8AJ9OQK">#REF!</definedName>
    <definedName name="BEx93LWRMS9FN5UOVVUKVTGI410W">#REF!</definedName>
    <definedName name="BEx93VCLN46DYWQ5ASUV5EXYBQCA">#REF!</definedName>
    <definedName name="BEx93VSQ882TFRCL18A71DDQO8QE">#REF!</definedName>
    <definedName name="BEx940W4QPMZNC7XRJ0LPNBX0PW2">#REF!</definedName>
    <definedName name="BEx945DZ0UR9RAFTS55263EOK0Q5">#REF!</definedName>
    <definedName name="BEx945JGMXHO38JF6CCT4VIEAUVS">#REF!</definedName>
    <definedName name="BEx949QHI2CQUM57LWANY1GHZTCY">#REF!</definedName>
    <definedName name="BEx94DBUB6QK56KTU4NZSLKS5ZPX">#REF!</definedName>
    <definedName name="BEx94UKB9CU2TP6KZ5I8RTRDUUQS">#REF!</definedName>
    <definedName name="BEx95GL9HRMSO6II8TMHFG6JLPT3">#REF!</definedName>
    <definedName name="BEx95H6UNECO6QTQD2TJ2WBT7BTR">#REF!</definedName>
    <definedName name="BEx95HN2XWMF42XM2YM75L5E6828">#REF!</definedName>
    <definedName name="BEx95LDWG8TV6592N8VI4T9OPQUH">#REF!</definedName>
    <definedName name="BEx95S4QKZM93FUG3B0NI4FRARIX">#REF!</definedName>
    <definedName name="BEx95SVMEDEKR1Q2UX4RA9RTOG6L">#REF!</definedName>
    <definedName name="BEx95W6BI063363XINRTLRQE99V5">#REF!</definedName>
    <definedName name="BEx962GVU1O6WM2BOUFX246C88H5">#REF!</definedName>
    <definedName name="BEx962ROS73O2FF5KKWPAQMKSDR3">#REF!</definedName>
    <definedName name="BEx9649M8BIYSK0Z8B4GUDP35BHU">#REF!</definedName>
    <definedName name="BEx96AK7R8Z53P3QHZ7H76I49LFA">#REF!</definedName>
    <definedName name="BEx96DK4ENJ8C1PLDG2KDFUN5SUB">#REF!</definedName>
    <definedName name="BEx96O1QUMW0GISW8ROA21FECOFH">#REF!</definedName>
    <definedName name="BEx96SEAB9LM0RX5I7SAND56U59K">#REF!</definedName>
    <definedName name="BEx96VJIIN28VYJ5YURAZ3GC1S4E">#REF!</definedName>
    <definedName name="BEx96WVZR1IOS52J3B928QUNUGXL" localSheetId="14">Non #REF!</definedName>
    <definedName name="BEx96WVZR1IOS52J3B928QUNUGXL" localSheetId="25">Non #REF!</definedName>
    <definedName name="BEx96WVZR1IOS52J3B928QUNUGXL" localSheetId="4">Non #REF!</definedName>
    <definedName name="BEx96WVZR1IOS52J3B928QUNUGXL" localSheetId="33">Non #REF!</definedName>
    <definedName name="BEx96WVZR1IOS52J3B928QUNUGXL">Non #REF!</definedName>
    <definedName name="BEx96X1GAHZ5EZNZ2IYRJM4837DT">#REF!</definedName>
    <definedName name="BEx970XOH30ZK5CCSG0NKFP4AKWA">#REF!</definedName>
    <definedName name="BEx97UAWIVXE61TZHC4H3FL3UV9Y">#REF!</definedName>
    <definedName name="BEx97VYDZ2OV9S6WTNYB1PP2Z00C">#REF!</definedName>
    <definedName name="BEx988ZMU6L4LUNE6CZL7E6J0THP">#REF!</definedName>
    <definedName name="BEx98AN1SYVDDHKDEG3PQ0N9PFOW">#REF!</definedName>
    <definedName name="BEx98BU7JBKKSI59JYHHU8TP0ZGK">#REF!</definedName>
    <definedName name="BEx98QO7FYMVMCN6O9UBQTFSKBNN">#REF!</definedName>
    <definedName name="BEx98TDBR6W66R0ZS7SN9A95V7FE">#REF!</definedName>
    <definedName name="BEx99IZQEHUSF46UA24VCRN2TY93">#REF!</definedName>
    <definedName name="BEx9A2XCQ36AAXVC9C858JCT89TJ">#REF!</definedName>
    <definedName name="BEx9A3O8THZBB9JJ1HIWDIU4I41D">#REF!</definedName>
    <definedName name="BEx9A8GWBTK9EM36L66K9OJC7RPQ">#REF!</definedName>
    <definedName name="BEx9AAPW5CU67O4N8LMZLDY8ZAKD">#REF!</definedName>
    <definedName name="BEx9AC2DJ3D2M9DAVPAAJC9N7EM1">#REF!</definedName>
    <definedName name="BEx9ALNMCKQMMPMUXCJIX75WUVU0">#REF!</definedName>
    <definedName name="BEx9AS3IN3HTF3MAYNJ1RLY8IFUQ">#REF!</definedName>
    <definedName name="BEx9AYOV1A7IRXVPKWSYKQZ8B4MV">#REF!</definedName>
    <definedName name="BEx9B251KDLUDRGMBUUQ8OUO1O2K">#REF!</definedName>
    <definedName name="BEx9BATSLBI2XVC1ZNS693UN18LH">#REF!</definedName>
    <definedName name="BEx9BDZ6HZWKPF8USMSHHP2GB0OK">#REF!</definedName>
    <definedName name="BEx9BH4J28OYOP80XD16BVR8S2L2">#REF!</definedName>
    <definedName name="BEx9BNKFOHWA9I5DS9VM8LNKVFJV">#REF!</definedName>
    <definedName name="BEx9BVNQPHBKM0ELY0CSTOCLHCX8">#REF!</definedName>
    <definedName name="BEx9BVYIBMH9BRYPQ0Z2DTB09OHH">#REF!</definedName>
    <definedName name="BEx9BYCV2UDKW2SB14KEDBTRZTU7">#REF!</definedName>
    <definedName name="BEx9BZUTITB2ROZZNK57TQ15BPTO">#REF!</definedName>
    <definedName name="BEx9C6QYQVVDLWRMPFHEX6BCJCXZ" localSheetId="14">Non #REF!</definedName>
    <definedName name="BEx9C6QYQVVDLWRMPFHEX6BCJCXZ" localSheetId="25">Non #REF!</definedName>
    <definedName name="BEx9C6QYQVVDLWRMPFHEX6BCJCXZ" localSheetId="4">Non #REF!</definedName>
    <definedName name="BEx9C6QYQVVDLWRMPFHEX6BCJCXZ" localSheetId="33">Non #REF!</definedName>
    <definedName name="BEx9C6QYQVVDLWRMPFHEX6BCJCXZ">Non #REF!</definedName>
    <definedName name="BEx9CE38X2VHYSFDX8B07UGQ6PHL">#REF!</definedName>
    <definedName name="BEx9CHJE9I10BK2M45QMVMRR99SO">#REF!</definedName>
    <definedName name="BEx9CIVV4VXIF16KVI01PBVMIRZB">#REF!</definedName>
    <definedName name="BEx9CKDTUO68YRYZUGXRRJ7027Z9">#REF!</definedName>
    <definedName name="BEx9CYMENSC1NRZ4I4I8C5G3G86I">#REF!</definedName>
    <definedName name="BEx9CZ7Z1GTRSI24PTX93IBXR5AP">#REF!</definedName>
    <definedName name="BEx9DKY5Q2X2NR4Z59TM80MM03KV">#REF!</definedName>
    <definedName name="BEx9DMAMG4TDNW039QUZ93O7XEYJ">#REF!</definedName>
    <definedName name="BEx9DVFS3PUQO1M1O1ZXE9WOHCAT">#REF!</definedName>
    <definedName name="BEx9DZS5C1X7T4K1FX193VLRI3F3">#REF!</definedName>
    <definedName name="BEx9E3TWG2Z7WBOF2A04EYVVNWS8">#REF!</definedName>
    <definedName name="BEx9E56CQK4BZZQWPVH7LWT1ZVQP">#REF!</definedName>
    <definedName name="BEx9E5RZ0ILSP7RD6O2YB6G5EQ26">#REF!</definedName>
    <definedName name="BEx9EFNZUNI2JC8XVRSNDLPIZ9GJ">#REF!</definedName>
    <definedName name="BEx9EZG45G37FRKRLQ3MAVGXHN5T">#REF!</definedName>
    <definedName name="BEx9F1ZRXUYBMCJ33VWPIII345OO">#REF!</definedName>
    <definedName name="BEx9F9SARKTH0875T0J4QVN4A9SA">#REF!</definedName>
    <definedName name="BEx9FAE07IORHRREK827O1Q2TJAN">#REF!</definedName>
    <definedName name="BEx9FCHD3R6ND91LBC104FL1WA7N">#REF!</definedName>
    <definedName name="BEx9FD8GYAOQBX763L6V6XL1VEMB">#REF!</definedName>
    <definedName name="BEx9FJ2RZ4Q6CPT4DOORNDIGKUQ7">#REF!</definedName>
    <definedName name="BEx9FSO14RYZ1X0088RH027Z7K0B">#REF!</definedName>
    <definedName name="BEx9G4YE6I3MK0IAWEMAS70GLRYF">#REF!</definedName>
    <definedName name="BEx9G8JUPG7F96FV9HL54E4CL3GZ">#REF!</definedName>
    <definedName name="BEx9G8UNOVQONXKJ02XMJTWPWLZU">#REF!</definedName>
    <definedName name="BEx9G9ASZDPYLA6TRVK60AF1MO4X">#REF!</definedName>
    <definedName name="BEx9GACLFVXQRLA50H3PVKJAJ0QR">#REF!</definedName>
    <definedName name="BEx9GC5DYJQLG1TUR8U5QRCFDM6I">#REF!</definedName>
    <definedName name="BEx9GGCFULFLT4MYKBUF46OUZNL9">#REF!</definedName>
    <definedName name="BEx9GLW4BRDQLYO38ZMVXZJ4QIJU">#REF!</definedName>
    <definedName name="BEx9GNZH9A08CQ8OXZLPO6U8WU53">#REF!</definedName>
    <definedName name="BEx9GNZICBOHUHZ3CFZ16YHIMPJA">#REF!</definedName>
    <definedName name="BEx9GUVMO6D745YNC0B6NX0R33R7">#REF!</definedName>
    <definedName name="BEx9H4X01281SK8ZQJS8FAWA3ZLD">#REF!</definedName>
    <definedName name="BEx9H7WY2LV5KB4MNXJ3DVVCYAAO">#REF!</definedName>
    <definedName name="BEx9HJ5LPYVMN4FURSOGWCHY6ZS2">#REF!</definedName>
    <definedName name="BEx9HJGDMS2X505SWD7JHH7II3MH">#REF!</definedName>
    <definedName name="BEx9HL95FES8OGKBG5ZKZF3UOMBF">#REF!</definedName>
    <definedName name="BEx9HVQRVE6WPBK9Z71MYEFAUIO5">#REF!</definedName>
    <definedName name="BEx9I330HH16KJSPQW4D1RE8GY3A">#REF!</definedName>
    <definedName name="BEx9I8MR8S8I0HGTOFO702RPF910">#REF!</definedName>
    <definedName name="BEx9ITGINSOO7S2V1YUUM95WC3H6">#REF!</definedName>
    <definedName name="BEx9J07EFUUOY4EWX3I86HZVRF78">#REF!</definedName>
    <definedName name="BEx9JCXTRH69PL77A43DCXI9NIZP">#REF!</definedName>
    <definedName name="BEx9JSTOQI77W6IYYFZ8RBB54QJF">#REF!</definedName>
    <definedName name="BEx9K8ERASSBG3Q8O1V2MMF7XVJM">#REF!</definedName>
    <definedName name="BEx9K90CBB7318ELKVCIXCQ1KO3O">#REF!</definedName>
    <definedName name="BExAWFLPYZI48F7WMQO4E3MYT9SK">#REF!</definedName>
    <definedName name="BExAWMSNL5I1QBLDJQOJZSUO5VSP">#REF!</definedName>
    <definedName name="BExAWXVWPLPSZBQII92K81MEMJ38">#REF!</definedName>
    <definedName name="BExAXI9LJETVERKT5AAA6OTRHHBL">#REF!</definedName>
    <definedName name="BExAXNYJY2ZG2LWOMRBXT3D2W9WA">#REF!</definedName>
    <definedName name="BExAY5HO2R3OHRUQIESNRVDHZJ5Q" localSheetId="14">Non #REF!</definedName>
    <definedName name="BExAY5HO2R3OHRUQIESNRVDHZJ5Q" localSheetId="25">Non #REF!</definedName>
    <definedName name="BExAY5HO2R3OHRUQIESNRVDHZJ5Q" localSheetId="4">Non #REF!</definedName>
    <definedName name="BExAY5HO2R3OHRUQIESNRVDHZJ5Q" localSheetId="33">Non #REF!</definedName>
    <definedName name="BExAY5HO2R3OHRUQIESNRVDHZJ5Q">Non #REF!</definedName>
    <definedName name="BExAYDVSW6QKHQN93E50TZ5O5ZUQ">#REF!</definedName>
    <definedName name="BExAYG4N95ZOD6QQCBO0G0FIPDSN">#REF!</definedName>
    <definedName name="BExAYHH9WMPNCNLD7GO5YHL1Y7LU">#REF!</definedName>
    <definedName name="BExAYS4DOG69N9QLQ1Q9YEDAXQ3O">#REF!</definedName>
    <definedName name="BExAYZ0EOK3CO3UX138LEVUW1PO7">#REF!</definedName>
    <definedName name="BExAZ07JXMLYT8FOWZBP3BBOU3C1">#REF!</definedName>
    <definedName name="BExAZ37GGJUPZH4PRFVEASPMYZ5L">#REF!</definedName>
    <definedName name="BExAZ8GBUNO2DLGPWP9BIADWRA9O">#REF!</definedName>
    <definedName name="BExAZ9YBLCSR4Y333PHGGI5DZTDJ">#REF!</definedName>
    <definedName name="BExAZDZW1Q6RF73666FLMJS746CC">#REF!</definedName>
    <definedName name="BExAZISIZKCQ7A3SEO4UAD45I8KR">#REF!</definedName>
    <definedName name="BExAZWKTUUUNE3ENX7N23WTSZ7HM">#REF!</definedName>
    <definedName name="BExAZZF9A1XEUEQG8TC656DNUBHE" localSheetId="14">In #REF! #REF!</definedName>
    <definedName name="BExAZZF9A1XEUEQG8TC656DNUBHE" localSheetId="25">In #REF! #REF!</definedName>
    <definedName name="BExAZZF9A1XEUEQG8TC656DNUBHE" localSheetId="4">In #REF! #REF!</definedName>
    <definedName name="BExAZZF9A1XEUEQG8TC656DNUBHE" localSheetId="39">In #REF! #REF!</definedName>
    <definedName name="BExAZZF9A1XEUEQG8TC656DNUBHE" localSheetId="33">In #REF! #REF!</definedName>
    <definedName name="BExAZZF9A1XEUEQG8TC656DNUBHE">In #REF! #REF!</definedName>
    <definedName name="BExAZZVHUDILFF5GRJBWS3R4L2KK">#REF!</definedName>
    <definedName name="BExB0N93OLR30H9Z6OQXZAYBTEBX" localSheetId="14">In #REF! #REF!</definedName>
    <definedName name="BExB0N93OLR30H9Z6OQXZAYBTEBX" localSheetId="25">In #REF! #REF!</definedName>
    <definedName name="BExB0N93OLR30H9Z6OQXZAYBTEBX" localSheetId="4">In #REF! #REF!</definedName>
    <definedName name="BExB0N93OLR30H9Z6OQXZAYBTEBX" localSheetId="39">In #REF! #REF!</definedName>
    <definedName name="BExB0N93OLR30H9Z6OQXZAYBTEBX" localSheetId="33">In #REF! #REF!</definedName>
    <definedName name="BExB0N93OLR30H9Z6OQXZAYBTEBX">In #REF! #REF!</definedName>
    <definedName name="BExB0QEBU9R3RC5LOOQ2UT9XLB41">#REF!</definedName>
    <definedName name="BExB0TJOA188KEKRZ5CNI278UPFF">#REF!</definedName>
    <definedName name="BExB0UG2JSG3SWF28YSGWNNGNJVO">#REF!</definedName>
    <definedName name="BExB0ULEXF371KX8JMAV7UJ9LU43">#REF!</definedName>
    <definedName name="BExB0YHN2XPGT77VQ6SC62XKOSWN">#REF!</definedName>
    <definedName name="BExB15ZF16J7VS30MV1TUF0V9XIN">#REF!</definedName>
    <definedName name="BExB1PRHO0OFQ4EN2FUTACAUHIY9">#REF!</definedName>
    <definedName name="BExB1QIEEOQAP06P1J2QAIDYYNE5">#REF!</definedName>
    <definedName name="BExB1VRAU4T5LM5E1JMRKAYL8Z39">#REF!</definedName>
    <definedName name="BExB1W234698PC760UECSZ56XHD9">#REF!</definedName>
    <definedName name="BExB1XPCMM7H7YE46JP3PUA2IK41">#REF!</definedName>
    <definedName name="BExB2FDXSGACRIDQIVTU652H1PG5">#REF!</definedName>
    <definedName name="BExB2VQ2OVNCKXAE6GP16YFL7T8N">#REF!</definedName>
    <definedName name="BExB30D84WOO5GLY6VVY9R0E1RRF">#REF!</definedName>
    <definedName name="BExB32GRAAIIVGIN9Z2Z7W5NLW54">#REF!</definedName>
    <definedName name="BExB397FZ4CABHAN54JUNAYHCUUD">#REF!</definedName>
    <definedName name="BExB39SZJS65TTW99F7AHTL0HJDI">#REF!</definedName>
    <definedName name="BExB3BR84M880PQNXP1DLGFX3CRC">#REF!</definedName>
    <definedName name="BExB3GP5QUHVTN6CWHO8Z7ZT8N8C">#REF!</definedName>
    <definedName name="BExB3NQUA8CF0CTRLHTG2KGEIJDA">#REF!</definedName>
    <definedName name="BExB3SDYA75DTJWYZQ9FA02DIBOR">#REF!</definedName>
    <definedName name="BExB4016FIW0K8VHUETDNAQB5OV1">#REF!</definedName>
    <definedName name="BExB418D4FYVUF22Y50MN9QP8V4M">#REF!</definedName>
    <definedName name="BExB49RRXINN38R36TSD2F8OWSN2">#REF!</definedName>
    <definedName name="BExB49X3TFPNC3KWFJ6M268XTUEZ">#REF!</definedName>
    <definedName name="BExB4HKAXMX0CK09KIIFXP6V2LJP">#REF!</definedName>
    <definedName name="BExB4UARWSBD225FHNKX724V4B7L">#REF!</definedName>
    <definedName name="BExB535520B3XCZIU51OAKQBGEL7">#REF!</definedName>
    <definedName name="BExB57MUJPD9SKC5ORGG0T6ZTYRP">#REF!</definedName>
    <definedName name="BExB5H89P3XUQSOHV9BCZ4YPOKRO">#REF!</definedName>
    <definedName name="BExB5N2LNFYPCFGS09P48184VBNW">#REF!</definedName>
    <definedName name="BExB5RV79259OH1P15JS4VMT9GGZ">#REF!</definedName>
    <definedName name="BExB5Z272LKYNYW4QA8KHTSCAGWM">#REF!</definedName>
    <definedName name="BExB65NJR10O4UU12V273AO1X6NN">#REF!</definedName>
    <definedName name="BExB6JQN0EXDAQEI6CFMXD1TFJC8">#REF!</definedName>
    <definedName name="BExB6RZAP9N28KP4WCBLE1DOUXGQ">#REF!</definedName>
    <definedName name="BExB6TMP2XHCU29R5TG2KFJVLMNV">#REF!</definedName>
    <definedName name="BExB6TRZSLNCXWHDO3S9FBKVMU33">#REF!</definedName>
    <definedName name="BExB6WH56NXN04B1DPYWF59AKWS9">#REF!</definedName>
    <definedName name="BExB6YFC21SEHWADAISJNYHL2UMW">#REF!</definedName>
    <definedName name="BExB6YKNXJG7I4UXVRA6GRS2WH10">#REF!</definedName>
    <definedName name="BExB6YVGIGOW7LNAC1W3DTOS5JX1">#REF!</definedName>
    <definedName name="BExB7GK0O8MZ7LV81OWGOR0367U0">#REF!</definedName>
    <definedName name="BExB7L1X3U1PYETAVGYRGC2S8XOS">#REF!</definedName>
    <definedName name="BExB7T582OOCEVG3QEVM2KUFDHI0">#REF!</definedName>
    <definedName name="BExB7TLB565MQ5H1KSH1WMI29LOP">#REF!</definedName>
    <definedName name="BExB889ZYP3RCK55U0VPOLZ2B93Z">#REF!</definedName>
    <definedName name="BExB8B9VWA7CMP4IC5LNUY2UCYMY">#REF!</definedName>
    <definedName name="BExB8IRNOK07H12TK7G7P5YZOS9E">#REF!</definedName>
    <definedName name="BExB8WUQGNPHW5MDMY5S4XW9AXB2">#REF!</definedName>
    <definedName name="BExB9MRZ6NJA8R082HHWBX1NIDM8">#REF!</definedName>
    <definedName name="BExBA4GJQIHDN7KOLI3L5SZC49BK">#REF!</definedName>
    <definedName name="BExBALZOW3FW4H99QOI1HELRU4EF">#REF!</definedName>
    <definedName name="BExBB3DHATKRVD12802AG3VTM2OK">#REF!</definedName>
    <definedName name="BExBB5RRSQX9WJ6PAZUS4JE02LAN">#REF!</definedName>
    <definedName name="BExBB6O5FVXR1TRTCVV2CCQC4A80">#REF!</definedName>
    <definedName name="BExBB7KIQNI62II3UX4YTT9LQN3U">#REF!</definedName>
    <definedName name="BExBBFD2E8PAJ0L4VZADZXJEFR37">#REF!</definedName>
    <definedName name="BExBBMUU0JEUEMRW95A123MS52LO">#REF!</definedName>
    <definedName name="BExBBT02H36VY8GW60QXC5GHOXJS">#REF!</definedName>
    <definedName name="BExBBYUERDBGQD0ED0B16R77XM12">#REF!</definedName>
    <definedName name="BExBC01JJL1APNTZJNE15HTW2SGW">#REF!</definedName>
    <definedName name="BExBC0N43G9NBQC8MO6686P07VQU">#REF!</definedName>
    <definedName name="BExBCGIZFX8QUL3G8H1BHVMAYBDJ">#REF!</definedName>
    <definedName name="BExBCMYV1OY45X614KC5SVR3FAB2">#REF!</definedName>
    <definedName name="BExBD1I4LULSKWA9QNRFFLDYA5G1">#REF!</definedName>
    <definedName name="BExBD9LLOAVMM6UBUUBWGRNHMBEJ">#REF!</definedName>
    <definedName name="BExBDEJJTY40LHSXFGGZ9HH73D4E">#REF!</definedName>
    <definedName name="BExBDHJE1VC3067FMAUY00ZXT976">#REF!</definedName>
    <definedName name="BExBDO4T0VFLE5KV4OW8Z1FCCOP6">#REF!</definedName>
    <definedName name="BExBDS6E1Q8BQ39DK477HBFPNI6B">#REF!</definedName>
    <definedName name="BExBDZTLBH5NLOAOEOYZDCCGIM7C">#REF!</definedName>
    <definedName name="BExBE1624385KZTBEPGDIUK05CU7">#REF!</definedName>
    <definedName name="BExBE22FXUE3DZE46KTU9O3GA7I1">#REF!</definedName>
    <definedName name="BExBE4GS3Q6LO2JTDUBH3U0L4G7U">#REF!</definedName>
    <definedName name="BExBE8286GJ03O00ROAVI8ZTFXKP">#REF!</definedName>
    <definedName name="BExBEKNEKUFYA2JDPTWQT72GI7WS">#REF!</definedName>
    <definedName name="BExCRC829O1EZIW2IU1F996FFBV6">#REF!</definedName>
    <definedName name="BExCS0HZEBTCJYYSESP3KPL2UITR">#REF!</definedName>
    <definedName name="BExCS2AQDIH2C3IZJ9HJCPQ436QO">#REF!</definedName>
    <definedName name="BExCS6708WP6HUTPLOSOJXNR7OVT">#REF!</definedName>
    <definedName name="BExCSDJ9AZN9E1CY4KA2XFFYF79L">#REF!</definedName>
    <definedName name="BExCSPOCC0BYQMOTZ4WTUE299E5B">#REF!</definedName>
    <definedName name="BExCSS2NXU2S4VZDHQ1SH20CFK7N">#REF!</definedName>
    <definedName name="BExCSVYWROEBZI9XJDTBCQKX2JJY">#REF!</definedName>
    <definedName name="BExCT05YQ2L2N6NUC3K1T1VM9TMV">#REF!</definedName>
    <definedName name="BExCT6RBICA3HNWUCMBT9H4ZTNQO">#REF!</definedName>
    <definedName name="BExCTHJMK8V2R099EOED2YW9ECMH">#REF!</definedName>
    <definedName name="BExCTJCIX7PF4DK2JSDNX1W6HFV9">#REF!</definedName>
    <definedName name="BExCTJSMHU2QJXYS7A1JJONAC9AK">#REF!</definedName>
    <definedName name="BExCTTJD481Y36A97KCEASJAR3J6">#REF!</definedName>
    <definedName name="BExCTUVT0M7AWHWMC891B427399T">#REF!</definedName>
    <definedName name="BExCTXFHFFND3M6ETHLV4ZJHW8KK">#REF!</definedName>
    <definedName name="BExCTYBZESZ1E0LYV5V8QAHC68KV">#REF!</definedName>
    <definedName name="BExCU2Z6T8USMVIXPKWKHMCN0BBM" localSheetId="14">Non #REF!</definedName>
    <definedName name="BExCU2Z6T8USMVIXPKWKHMCN0BBM" localSheetId="25">Non #REF!</definedName>
    <definedName name="BExCU2Z6T8USMVIXPKWKHMCN0BBM" localSheetId="4">Non #REF!</definedName>
    <definedName name="BExCU2Z6T8USMVIXPKWKHMCN0BBM" localSheetId="33">Non #REF!</definedName>
    <definedName name="BExCU2Z6T8USMVIXPKWKHMCN0BBM">Non #REF!</definedName>
    <definedName name="BExCU6KLUUNQ1R6KD5XVNHXEWNBQ">#REF!</definedName>
    <definedName name="BExCUENY4FGHEU4CD3Z76S1XR6U0">#REF!</definedName>
    <definedName name="BExCUM5OD0FBHF5281M6PHDYJMUY">#REF!</definedName>
    <definedName name="BExCUR8Y9GD7T172NHQXMCOF1BSE">#REF!</definedName>
    <definedName name="BExCUSR28YU0H9N6NGNYNIY93RR7">#REF!</definedName>
    <definedName name="BExCUWCIRHLPA5EHZDHV8GL3EZ75">#REF!</definedName>
    <definedName name="BExCV26U3MQMWL7AQ79TLL7S63P3">#REF!</definedName>
    <definedName name="BExCVBC0PKG22USM4GFDQEGDEBRI">#REF!</definedName>
    <definedName name="BExCVGKR4EFW6HER3NJZ7N7NI2I1">#REF!</definedName>
    <definedName name="BExCVKRS94WZFMNDJPFHQOKJO7VX">#REF!</definedName>
    <definedName name="BExCW0NNZ9HFV6U5KNMT6KFAK5X1">#REF!</definedName>
    <definedName name="BExCW2WJK73F42XYDAJ5NEGEHB28">#REF!</definedName>
    <definedName name="BExCWP2XV7H92SE5S803HZYLNA6P">#REF!</definedName>
    <definedName name="BExCXFWIRN2LZTS1XWAP64X1EQ4B">#REF!</definedName>
    <definedName name="BExCXKJUZLFH79GF90ZSKLYI287K">#REF!</definedName>
    <definedName name="BExCXVN334RLMSOFJZTJ8OZ2NMMA">#REF!</definedName>
    <definedName name="BExCY0VTH41W3B9XU4BEK8X3IXAQ">#REF!</definedName>
    <definedName name="BExCY410UM4UD6243OXG7PSNMVMX">#REF!</definedName>
    <definedName name="BExCYI4BOXZB01BK63XTA4FUM5QC">#REF!</definedName>
    <definedName name="BExCYLV2G2DEAZ0SCXNU57OONNWO">#REF!</definedName>
    <definedName name="BExCYNICVSLRUUJLXT7DTS6S4ZGT">#REF!</definedName>
    <definedName name="BExCZ5HQN6XZF5R261T7JYSL5LGC">#REF!</definedName>
    <definedName name="BExCZCZGQ86NY068TOWPFAB1NT5F">#REF!</definedName>
    <definedName name="BExCZM9XH4XUD9QRY91GAM9RK768">#REF!</definedName>
    <definedName name="BExCZQ66N5428XESTJIZ9SGA69OX">#REF!</definedName>
    <definedName name="BExCZU2H25ZRULUF0IBI1KKCMO8U">#REF!</definedName>
    <definedName name="BExCZYPNYGYA2T3R2JYDTXL3SL1G">#REF!</definedName>
    <definedName name="BExD00D2W6UZOOXXQTL454X9HU8E">#REF!</definedName>
    <definedName name="BExD07USQ1SQJR2V0X3ARSA7Q98A">#REF!</definedName>
    <definedName name="BExD0CY8L6P71U7HVJQG5GAI2UIN">#REF!</definedName>
    <definedName name="BExD0KQLH2A8EKGMCWGTBV8WS6JH">#REF!</definedName>
    <definedName name="BExD1M7GJL1TOP2R6Q8N78F8V253">#REF!</definedName>
    <definedName name="BExD1MSVDAL0PVZE52S9O8VMDRYZ">#REF!</definedName>
    <definedName name="BExD1NPDQJ71L4W827RZP1ZEIWU9">#REF!</definedName>
    <definedName name="BExD1T3G07TFT6ZM4AZOJNNW6YKD">#REF!</definedName>
    <definedName name="BExD29A40LJKA6UOU3PT3JTE3RN0">#REF!</definedName>
    <definedName name="BExD2BZ7J8ITY5CGCF7Z43Y7C4GR">#REF!</definedName>
    <definedName name="BExD2FQ5VQ82Y7ZK7G6I6ZPINUKE">#REF!</definedName>
    <definedName name="BExD2GRUIS4WRTAPTERVBI3N9GQZ">#REF!</definedName>
    <definedName name="BExD2P0G5LGQ88NPF18RZ0HYI8CM">#REF!</definedName>
    <definedName name="BExD2WT0TGJJEOJKKR6FLVAFE0FP">#REF!</definedName>
    <definedName name="BExD35CL7KIVAFUMUULT3P95ULBA">#REF!</definedName>
    <definedName name="BExD3HS9Q2CVDJXS8JKWYQ3F0QAX">#REF!</definedName>
    <definedName name="BExD3IDW6F9VNAJ3NMHL064MIKWZ">#REF!</definedName>
    <definedName name="BExD3L8FRNV8IO627589LYZOE77W">#REF!</definedName>
    <definedName name="BExD3LDRHE6EDTIOJI77OI3FSTN1">#REF!</definedName>
    <definedName name="BExD3M4NOUXPJ1SZT73XO2IBWWRO">#REF!</definedName>
    <definedName name="BExD3O8BH53MQRGVF9PYLZEVBDN0">#REF!</definedName>
    <definedName name="BExD3QMNXOZ96NWQTHT8NKQHRLSB">#REF!</definedName>
    <definedName name="BExD3UIQPFG8IJ1FUOVI0VDQBRX0">#REF!</definedName>
    <definedName name="BExD45M5YRDPEWV06C0LF0Y5K4HF">#REF!</definedName>
    <definedName name="BExD47K7Z4YT8C2OO4JSEQ80KPXR">#REF!</definedName>
    <definedName name="BExD48LVZ5A8K6J2OIDSDVAB7PMI">#REF!</definedName>
    <definedName name="BExD49I9J34JPYCXQX8YBZIA7D4I">#REF!</definedName>
    <definedName name="BExD4CNMEFBHRAZKJQJDP6957OIW">#REF!</definedName>
    <definedName name="BExD4H5GRCAQ0C4HO2CNS6FMCWD2">#REF!</definedName>
    <definedName name="BExD4I75INT062HRVRUJO2ZBKF3D">#REF!</definedName>
    <definedName name="BExD4RXVZPQGV1RIDPUC6XKL1ZSF">#REF!</definedName>
    <definedName name="BExD51Z92ZWISIWAHHFL279NF7UI">#REF!</definedName>
    <definedName name="BExD52VNX0VM6EK4VO6QOHECU3AI">#REF!</definedName>
    <definedName name="BExD54Z5YAO22HZQLRV6KBGJ4DL2">#REF!</definedName>
    <definedName name="BExD5EPPSRBSUQFCES2DK5FTGMR3" localSheetId="14">Non #REF!</definedName>
    <definedName name="BExD5EPPSRBSUQFCES2DK5FTGMR3" localSheetId="25">Non #REF!</definedName>
    <definedName name="BExD5EPPSRBSUQFCES2DK5FTGMR3" localSheetId="4">Non #REF!</definedName>
    <definedName name="BExD5EPPSRBSUQFCES2DK5FTGMR3" localSheetId="33">Non #REF!</definedName>
    <definedName name="BExD5EPPSRBSUQFCES2DK5FTGMR3">Non #REF!</definedName>
    <definedName name="BExD5LGJSLH6BF88EH87B3IHDTN4">#REF!</definedName>
    <definedName name="BExD5NUWCK8UGT3W8VZIVAJ3HNKR">#REF!</definedName>
    <definedName name="BExD5S1YHKJHQCAZZBJ8YYO93AH0">#REF!</definedName>
    <definedName name="BExD616YN3S94HSOETKLLWC1ENQS">#REF!</definedName>
    <definedName name="BExD65JCGKBKSHYY190CX32A8F5E">#REF!</definedName>
    <definedName name="BExD6F4S8L3OJGJEQMXXG1ADSLCE">#REF!</definedName>
    <definedName name="BExD6NO7DLWZFNRWNCHQFHSW06BN" localSheetId="14">Acc #REF!</definedName>
    <definedName name="BExD6NO7DLWZFNRWNCHQFHSW06BN" localSheetId="25">Acc #REF!</definedName>
    <definedName name="BExD6NO7DLWZFNRWNCHQFHSW06BN" localSheetId="4">Acc #REF!</definedName>
    <definedName name="BExD6NO7DLWZFNRWNCHQFHSW06BN" localSheetId="33">Acc #REF!</definedName>
    <definedName name="BExD6NO7DLWZFNRWNCHQFHSW06BN">Acc #REF!</definedName>
    <definedName name="BExD6PRQXXHEI6G1NWJXWGWS89YS">#REF!</definedName>
    <definedName name="BExD6Q7TFPVN94AKBZIG56PYL1FV">#REF!</definedName>
    <definedName name="BExD6TIGZVI65RT6I01ELYOKT1DY">#REF!</definedName>
    <definedName name="BExD6VBEU6NU2JUE8BXGTNZMTKT8">#REF!</definedName>
    <definedName name="BExD73994GJ0DB18YA7NM1DY2FCN">#REF!</definedName>
    <definedName name="BExD77AUQ82GP19743T12QBPBDWR">#REF!</definedName>
    <definedName name="BExD7AG827EBH7WWGQPJJXRD9FKI">#REF!</definedName>
    <definedName name="BExD7CP0VX7EDKU0K9I39L3UDJYM">#REF!</definedName>
    <definedName name="BExD7ECHCWJBC7IGWT5N5GE9L8PK">#REF!</definedName>
    <definedName name="BExD7LZIYMKCD15EY0CMSBBTCONN">#REF!</definedName>
    <definedName name="BExD7NHHX5R9W0UD7S1KIKLQWXPP">#REF!</definedName>
    <definedName name="BExD7UDN6Q38P4B30LB8E8VZ8LYI">#REF!</definedName>
    <definedName name="BExD7XOBXZBJQNPUKG626DIV0XK8">#REF!</definedName>
    <definedName name="BExD7YKOOWI9383WWYJDIX9UXFV9">#REF!</definedName>
    <definedName name="BExD7ZXBJ71UMPOVJ0JW7PUF2V2G">#REF!</definedName>
    <definedName name="BExD84VAC3KJQIUMFA7KI07C4VGN">#REF!</definedName>
    <definedName name="BExD86D83BFY465E8CX64Y5MGMOD">#REF!</definedName>
    <definedName name="BExD8GUVENZR3TPGD9LHXEQM0JFD">#REF!</definedName>
    <definedName name="BExD8ICTEF35I30QVHQPYFU4161V">#REF!</definedName>
    <definedName name="BExD8INM7NVAI7X57HY3ALIUXF1N">#REF!</definedName>
    <definedName name="BExD8ONDD8CKIE84GW594SQRRJU8">#REF!</definedName>
    <definedName name="BExD8RY1HVDPIK3TG5D2MU2O8S22">#REF!</definedName>
    <definedName name="BExD9A2RP153JW139NKMTZQCHD6B">#REF!</definedName>
    <definedName name="BExD9DZ15HNUI5R6AXPSRB1EFM89">#REF!</definedName>
    <definedName name="BExD9MIGOT57G0FDO7JNGXE1LJUR">#REF!</definedName>
    <definedName name="BExD9RGL4O515LOJFGL43J2D6H0C">#REF!</definedName>
    <definedName name="BExD9T3SLABSQSCS3BWNRJDHNY0P">#REF!</definedName>
    <definedName name="BExD9YI1CNK2HPEX0T3GTNF2WXNY">#REF!</definedName>
    <definedName name="BExD9YI2ONU6MTQM6I19KV5K7F30">#REF!</definedName>
    <definedName name="BExD9Z3LSOIOJCMTFZ4JT62GUY5G">#REF!</definedName>
    <definedName name="BExDA5ZS8HQTV4VT9FM69MHPHXG2">#REF!</definedName>
    <definedName name="BExDAE8K36CCWPDYBR8Z87O8TPUY">#REF!</definedName>
    <definedName name="BExDAEZGIYMU67SZ6BTTL3QIX4P6">#REF!</definedName>
    <definedName name="BExDALQAMFC9XBGPNB9MO100FD8L">#REF!</definedName>
    <definedName name="BExDAO9Y3YHX29A1J6J2EST4J6L9">#REF!</definedName>
    <definedName name="BExDAQO9K8JV8NH67FU45N2FGAL9">#REF!</definedName>
    <definedName name="BExDAUKK1TLN9GNOMBSK4RRU8N3L">#REF!</definedName>
    <definedName name="BExDB0V3OOOGSQXAO0ZK2JXEPSU5">#REF!</definedName>
    <definedName name="BExDB3K6Y5E3FQ70Q003LFG6M6LZ">#REF!</definedName>
    <definedName name="BExDB998FK58EHRCMQSCLWGOWVQ7">#REF!</definedName>
    <definedName name="BExDBXTYVTBH2WB65VT62Q7L7AAU">#REF!</definedName>
    <definedName name="BExDCHBB70SJKJ4HPFJIKH4LLB4Z">#REF!</definedName>
    <definedName name="BExEOBMBB9H7171OHOR141DQWO9O">#REF!</definedName>
    <definedName name="BExEONLVNSQTLBA9ZVOG33L0YKLR">#REF!</definedName>
    <definedName name="BExEPGDOU6N6328FFYVYL1HXPCKO" localSheetId="14">YTD #REF!</definedName>
    <definedName name="BExEPGDOU6N6328FFYVYL1HXPCKO" localSheetId="25">YTD #REF!</definedName>
    <definedName name="BExEPGDOU6N6328FFYVYL1HXPCKO" localSheetId="4">YTD #REF!</definedName>
    <definedName name="BExEPGDOU6N6328FFYVYL1HXPCKO" localSheetId="33">YTD #REF!</definedName>
    <definedName name="BExEPGDOU6N6328FFYVYL1HXPCKO">YTD #REF!</definedName>
    <definedName name="BExEPH4KUTL81HVAE90JL61PFGZV">#REF!</definedName>
    <definedName name="BExEQ0B4D7OTS2SFUO6W61BZEKXO">#REF!</definedName>
    <definedName name="BExEQB907LRD9AB9IAPM7GU31M29">#REF!</definedName>
    <definedName name="BExEQKJCJAPKT075LMAMGY6R4ADY">#REF!</definedName>
    <definedName name="BExEQKJI5M5FGPA58HPYYGP5IQMT">#REF!</definedName>
    <definedName name="BExEQMSCTH5M99AWDR1692KETIFX">#REF!</definedName>
    <definedName name="BExEQNU6J04MFN8IE4Z1WYHWW3YV">#REF!</definedName>
    <definedName name="BExEQT88GIX9FUDQN4MWBE77U6P9">#REF!</definedName>
    <definedName name="BExER1BQ7Q7AX8VY3FULP7ANOHZJ">#REF!</definedName>
    <definedName name="BExERGRBIYKR9B2YS1T35BNWO62A">#REF!</definedName>
    <definedName name="BExES26QDR0APGF9YJMKEOLUHTAU">#REF!</definedName>
    <definedName name="BExES3ZFEB5NF61W2AB6Q2TUP6SW">#REF!</definedName>
    <definedName name="BExESFDEYNO2C4NPBUGSOW86IEN4">#REF!</definedName>
    <definedName name="BExESHX3IT33Q7MN7DEXNXKKGKQ9">#REF!</definedName>
    <definedName name="BExESRNTU3MIP45S0T9YMID02VN1">#REF!</definedName>
    <definedName name="BExESTLUUUGB8I29VSYV9O4TPWZX">#REF!</definedName>
    <definedName name="BExESTRBTG9MZ57NRPFH2YV8N5N7">#REF!</definedName>
    <definedName name="BExET1ZZZL7AK3VGX2BOW382ZPY1">#REF!</definedName>
    <definedName name="BExET8AK7SF1XO9IVVTLEOT1XFB6">#REF!</definedName>
    <definedName name="BExETHL0EN5VMLQDHTNHSCIWLWMB">#REF!</definedName>
    <definedName name="BExETZ44PACY5HH5BKHD8I56DWJS">#REF!</definedName>
    <definedName name="BExEU4T60AOLOAO0QJRMS5UQMN33">#REF!</definedName>
    <definedName name="BExEUEEEHM8E5Y8PYM0ZQHPV6X81">#REF!</definedName>
    <definedName name="BExEUVS825W9NBS5SUMIEME6LLWR">#REF!</definedName>
    <definedName name="BExEUXKZ7BN0TNMHZOIEYC0XB8EF">#REF!</definedName>
    <definedName name="BExEV3KR1UT6UVRYRGRE1LEUGARQ">#REF!</definedName>
    <definedName name="BExEV8YZ1P57TR576JVSHP4SPB36">#REF!</definedName>
    <definedName name="BExEVCV8AH50MPYV0146WM3WAN8B">#REF!</definedName>
    <definedName name="BExEVN7FK2SD8W8HAD10FSAPPT4V">#REF!</definedName>
    <definedName name="BExEVPWHOSCBV6O3HUWT0H8IIYDI">#REF!</definedName>
    <definedName name="BExEVWSNWX1NG92NMBVWD5W47MAQ">#REF!</definedName>
    <definedName name="BExEW1AIA9DL62P478KOI9NJFT4X">#REF!</definedName>
    <definedName name="BExEW5SDWERKDRHE0M5X6IJDE346">#REF!</definedName>
    <definedName name="BExEW6U0EV33DZAG4YU3T795K8C0">#REF!</definedName>
    <definedName name="BExEWNX6JB4D6ZTFW2U43XSLFIJT">#REF!</definedName>
    <definedName name="BExEWTM17AUWFGZ0AT57XU5JOWBB">#REF!</definedName>
    <definedName name="BExEWUYPV3KI5A9K1AX5CWHSG5J6">#REF!</definedName>
    <definedName name="BExEWYUY8IERPFIRBLKOZ5RX18ZF">#REF!</definedName>
    <definedName name="BExEX07EZMOLKDTZ1HP7GDR1Y2ZP">#REF!</definedName>
    <definedName name="BExEX0T0IX06WH4SDJ530LE2BVWS">#REF!</definedName>
    <definedName name="BExEX2055L02MIWFBPQFVTT0CG5J">#REF!</definedName>
    <definedName name="BExEX320TISS771UPS6ATJCJ6X82">#REF!</definedName>
    <definedName name="BExEX3I4ZWPR8T8NJ3NLDRXL3TEN">#REF!</definedName>
    <definedName name="BExEX5ATK91VX4NW7FTQ5T0PSEAL">#REF!</definedName>
    <definedName name="BExEX7P5W3XP5XM4B2J4Q4WMFBY8">#REF!</definedName>
    <definedName name="BExEXIC4KDWVIH1IGUIMNXC5IRG7">#REF!</definedName>
    <definedName name="BExEXNA7X76UM5XYRD4N1QJ5HZSS">#REF!</definedName>
    <definedName name="BExEXU133A982EUBANVB9ZLA15L6">#REF!</definedName>
    <definedName name="BExEXUBWFIO9J0X318OS229R3P3P">#REF!</definedName>
    <definedName name="BExEXVIVPW7YKV5LFJRFE5U7KGLN">#REF!</definedName>
    <definedName name="BExEXVTO4EZYJVEA0PH3796OOXNG">#REF!</definedName>
    <definedName name="BExEXY2N7X5OTSGHL9FC6TY90CK3">#REF!</definedName>
    <definedName name="BExEXZVF5GI4MKJNN98CVTGZPJ86">#REF!</definedName>
    <definedName name="BExEYANTYGWRL9W4J83RSWMP4H33">#REF!</definedName>
    <definedName name="BExEYNEATCNKX8B6R5NUU1OVJ22G">#REF!</definedName>
    <definedName name="BExEYNP3QFPUGVZA253MXJAQXFR8">#REF!</definedName>
    <definedName name="BExEYRLCN9KPNE29UUBRR2VTIAU3">#REF!</definedName>
    <definedName name="BExEYSY01M6IGDQ5ET0A63UOGUUN">#REF!</definedName>
    <definedName name="BExEYWE013UK6UU9EHLSIG8LEABK">#REF!</definedName>
    <definedName name="BExEYXL4SW6WR6AJK6RP35POP1O4">#REF!</definedName>
    <definedName name="BExEZ1XNZPIW4KJAWUU0AV40PACT">#REF!</definedName>
    <definedName name="BExEZ46I7ZSQURAMUQ1OIUXBG8Z2">#REF!</definedName>
    <definedName name="BExEZ5Z9JRMWPO4E5J4415LQQ6BM">#REF!</definedName>
    <definedName name="BExEZLEUVFEJIZZUY47EE1E6F0W5">#REF!</definedName>
    <definedName name="BExEZNT5R80RCQYR93CY6VWWKZIK">#REF!</definedName>
    <definedName name="BExEZSGI25WJM1EC8PFR5WWIUSYN" localSheetId="14">UKD #REF!</definedName>
    <definedName name="BExEZSGI25WJM1EC8PFR5WWIUSYN" localSheetId="25">UKD #REF!</definedName>
    <definedName name="BExEZSGI25WJM1EC8PFR5WWIUSYN" localSheetId="4">UKD #REF!</definedName>
    <definedName name="BExEZSGI25WJM1EC8PFR5WWIUSYN" localSheetId="33">UKD #REF!</definedName>
    <definedName name="BExEZSGI25WJM1EC8PFR5WWIUSYN">UKD #REF!</definedName>
    <definedName name="BExEZWSV60NIBC0Z18TFHAHJPOP1">#REF!</definedName>
    <definedName name="BExF03ZS00Q4TZZZGG0JUTRCF8CY">#REF!</definedName>
    <definedName name="BExF09U97VA6AKEU33JPJFI32NYT">#REF!</definedName>
    <definedName name="BExF0J4LOGWE5G1CR2KKVMY3SDXQ">#REF!</definedName>
    <definedName name="BExF0NH493FKHVUTPDSSEGVTITSJ">#REF!</definedName>
    <definedName name="BExF0NH4EN439CDADEWUYY03DBVY">#REF!</definedName>
    <definedName name="BExF0Y9J82V8JTRRNES0T03EWCEQ">#REF!</definedName>
    <definedName name="BExF0Z0HELH83PA6YJG6B8N2JBRQ">#REF!</definedName>
    <definedName name="BExF1AP8HO84K1Y64ILMPQKCKQUE">#REF!</definedName>
    <definedName name="BExF1S30JT6EAW2GKCRMK2JZM1NS">#REF!</definedName>
    <definedName name="BExF27O3LDYA48QEP0O862GS4XUV">#REF!</definedName>
    <definedName name="BExF2BKD0S1D77CQU4KS1KN68F2S">#REF!</definedName>
    <definedName name="BExF2BKD93M4A55RMB2C3ELP339U">#REF!</definedName>
    <definedName name="BExF2H9CO9B73UDGRVV3WG3V3MMK">#REF!</definedName>
    <definedName name="BExF2I0FD6Y1NDFMI354PLRN55YR">#REF!</definedName>
    <definedName name="BExF2KELR7LGOO89IDH60ZI4JC7S">#REF!</definedName>
    <definedName name="BExF2NUR8JEQJFNNUC4CMGJQUVDY">#REF!</definedName>
    <definedName name="BExF2PNH8INKMVA05C098RADQB5Z">#REF!</definedName>
    <definedName name="BExF2U5BXT41P4OI5A0DY796ESB5">#REF!</definedName>
    <definedName name="BExF2UG4UOH3DD34E0GCP17FHXQ9">#REF!</definedName>
    <definedName name="BExF2UG55CJSY7AK82QY191PQG1U">#REF!</definedName>
    <definedName name="BExF2ZJJ5265K9QM4GNC69VZBBYS">#REF!</definedName>
    <definedName name="BExF382YMVVA6H14A2Y6K6THLKLS">#REF!</definedName>
    <definedName name="BExF3BDNEKHHTUEXNK3BXYYXGZHK">#REF!</definedName>
    <definedName name="BExF3EIVGLWM22QNSCUXE9L49SGV">#REF!</definedName>
    <definedName name="BExF3N7RRA0V2IN6Q8LYNFVAIHUM">#REF!</definedName>
    <definedName name="BExF3P5ZREZ59K26C6N21E61OG5K">#REF!</definedName>
    <definedName name="BExF3S0DNZNI59XIFO1O9PD0MA64">#REF!</definedName>
    <definedName name="BExF3ZCTEDASIGRJ2OLTZKMU49UZ">#REF!</definedName>
    <definedName name="BExF40EIADT23HX1KAJMXD9EPSXX">#REF!</definedName>
    <definedName name="BExF43JWV67SGAOBISV9HITQXACN">#REF!</definedName>
    <definedName name="BExF46ZUURAKBDNTHWCTA72Z2HJ8">#REF!</definedName>
    <definedName name="BExF48SMCAKKAZ4NTIDVGS8IGL4P">#REF!</definedName>
    <definedName name="BExF4BHQODJC8GFNBQ6QQ8DNWLJX">#REF!</definedName>
    <definedName name="BExF4DQPY2GP57J0T5DEBFGQQAB0">#REF!</definedName>
    <definedName name="BExF4MKXDK4PKLCTFUDL9DZ9KVAF">#REF!</definedName>
    <definedName name="BExF4S4M3OO4TH73RGLRECVVLMLN">#REF!</definedName>
    <definedName name="BExF4ZGW8TA648C0QD013E7UL3RI">#REF!</definedName>
    <definedName name="BExF50IL88PGSWD5NIQ8PDGKH0HO">#REF!</definedName>
    <definedName name="BExF684E068I8S8TD1YOL05REUCG">#REF!</definedName>
    <definedName name="BExF69RSIYG1MQ6X9PEKRSMOVCDH">#REF!</definedName>
    <definedName name="BExF6BF2FP1ERXZWVN8VTBNZ8VET">#REF!</definedName>
    <definedName name="BExF6KV0JXMVADRDMYDI8U2M9UIU">#REF!</definedName>
    <definedName name="BExF6M27JB3VO427B2LT6HWRMF2P" localSheetId="14">Non #REF!</definedName>
    <definedName name="BExF6M27JB3VO427B2LT6HWRMF2P" localSheetId="25">Non #REF!</definedName>
    <definedName name="BExF6M27JB3VO427B2LT6HWRMF2P" localSheetId="4">Non #REF!</definedName>
    <definedName name="BExF6M27JB3VO427B2LT6HWRMF2P" localSheetId="33">Non #REF!</definedName>
    <definedName name="BExF6M27JB3VO427B2LT6HWRMF2P">Non #REF!</definedName>
    <definedName name="BExF6TUPXVJO0W0I6JNQU1PCYY2D">#REF!</definedName>
    <definedName name="BExF6WP4N1I5LRHGHFTLSSL2DEJZ">#REF!</definedName>
    <definedName name="BExF6X5DU70SDMCPQDKZ5OX499LF">#REF!</definedName>
    <definedName name="BExF6XQYTN06FAHKUTUISQCAWVB1">#REF!</definedName>
    <definedName name="BExF6ZZT6EKEKSEHNIG75AIX2L82">#REF!</definedName>
    <definedName name="BExF74XWV60TZKSQQ3RM2A4DWI42">#REF!</definedName>
    <definedName name="BExF7539LDU8G1TOX9N1K5WH6BI8">#REF!</definedName>
    <definedName name="BExF7653KARTHX4RQF2QVNHHH6K0">#REF!</definedName>
    <definedName name="BExF76QNMO6IL1RZCGLYQVTLF50V">#REF!</definedName>
    <definedName name="BExF77SBSV8HCVNX4DQ4T6K6DR1M">#REF!</definedName>
    <definedName name="BExF8B1TLBWMA2L7GQ6MITOXYHVY">#REF!</definedName>
    <definedName name="BExF8L8NEOMM9EHSS5D2X5HVIBYA">#REF!</definedName>
    <definedName name="BExF8UTYJDQMCSN8O4GRDP8RTM4T">#REF!</definedName>
    <definedName name="BExGK45MXNY103PVYN3VMFFHK1DC">#REF!</definedName>
    <definedName name="BExGLLCPNU0DD0ZGBKXIKGXXO14A">#REF!</definedName>
    <definedName name="BExGLPUKNSJYL3K0LKTSQ20N5HQY">#REF!</definedName>
    <definedName name="BExGLSZXSB1VHZ9YEXQYB6PXXV2L">#REF!</definedName>
    <definedName name="BExGLWAMIHVJ4MVF8ZV6JPNSBQ2X">#REF!</definedName>
    <definedName name="BExGLY3CAD7OJOCI5Z0JB295CY2S">#REF!</definedName>
    <definedName name="BExGM4DXMOJNB8HM7JPCFPUAFPDC">#REF!</definedName>
    <definedName name="BExGM8VRVYX4TF2ZKNTIPCXGNLIO">#REF!</definedName>
    <definedName name="BExGMADR85PB5GZ10SUMUY0WA6QU">#REF!</definedName>
    <definedName name="BExGMC6H9MP8EM5CK7VA74LOOIO1">#REF!</definedName>
    <definedName name="BExGMYT0OQLR7G7BWCIB39GVKZQB">#REF!</definedName>
    <definedName name="BExGN477ME0RJFQC6LOXPIL1VO3R">#REF!</definedName>
    <definedName name="BExGN6R0PT7HL80B9OVLG9Z0S47A">#REF!</definedName>
    <definedName name="BExGN7SP2EQNS4JZO0QFMK4BDQ2V">#REF!</definedName>
    <definedName name="BExGNG6U28T6UDUY1X5MW3XZUFD3">#REF!</definedName>
    <definedName name="BExGNLA93AMDTFH61Y2NW6J7PCWQ">#REF!</definedName>
    <definedName name="BExGNQOFCMCX2W6NFJ97670FC4IL">#REF!</definedName>
    <definedName name="BExGNZTMB5896X56Y51DFWTLVK6I">#REF!</definedName>
    <definedName name="BExGO0F2XAJ79KYH7IXBDM6RZW7L">#REF!</definedName>
    <definedName name="BExGONCJPRPHYC2THE8M4R8RFQWA">#REF!</definedName>
    <definedName name="BExGOR3BGIXGA8H84OZDP26X8GVJ">#REF!</definedName>
    <definedName name="BExGORZQ5N82YD8AYB7O7A9QZU11">#REF!</definedName>
    <definedName name="BExGOUJGKETARU1DO07M1LVRKIB7">#REF!</definedName>
    <definedName name="BExGOW19OQBYNRG8DSCXYGJL5SEV">#REF!</definedName>
    <definedName name="BExGOXU0VT76X0CZBJFHYGZ2YVA8">#REF!</definedName>
    <definedName name="BExGPEGWVLQTND09G1JXA440HTN1">#REF!</definedName>
    <definedName name="BExGPFTECR64ISHJPYWYSZ96D10R">#REF!</definedName>
    <definedName name="BExGPGKFWQ04UEAW5BB4WJE9TRE1" localSheetId="14">YTD #REF!</definedName>
    <definedName name="BExGPGKFWQ04UEAW5BB4WJE9TRE1" localSheetId="25">YTD #REF!</definedName>
    <definedName name="BExGPGKFWQ04UEAW5BB4WJE9TRE1" localSheetId="4">YTD #REF!</definedName>
    <definedName name="BExGPGKFWQ04UEAW5BB4WJE9TRE1" localSheetId="33">YTD #REF!</definedName>
    <definedName name="BExGPGKFWQ04UEAW5BB4WJE9TRE1">YTD #REF!</definedName>
    <definedName name="BExGQ6CDFZ6KQZ2LSKCFPMKV5PPH">#REF!</definedName>
    <definedName name="BExGQ7ZMM1KFFUP5VI1VQMN8FYKP">#REF!</definedName>
    <definedName name="BExGQFS45GL33UXMCKKDAAKVDFV3">#REF!</definedName>
    <definedName name="BExGQNVH3KS6I3BX715YBJ739EF1">#REF!</definedName>
    <definedName name="BExGQT9NSH6QFRE9XG3N3APHW70F">#REF!</definedName>
    <definedName name="BExGQXM22D6XT9W18I3Y1JNDOSP9">#REF!</definedName>
    <definedName name="BExGR0LXDJR1MY2CALLJ02X4O6QN">#REF!</definedName>
    <definedName name="BExGR127GHRYN3TPZ7OUHL53ZLYX">#REF!</definedName>
    <definedName name="BExGR5K26UNQNUZ6WMWFSNEVMM3J">#REF!</definedName>
    <definedName name="BExGR9AUQU7IODF247NZDT9LTGB7">#REF!</definedName>
    <definedName name="BExGRBP67JMOUPMCPP5USE57N7JG">#REF!</definedName>
    <definedName name="BExGRFLGB1PVNXAFMPQ4MC8IFVUL">#REF!</definedName>
    <definedName name="BExGRJHQ60LS4OTRPJRB48JE3JQN">#REF!</definedName>
    <definedName name="BExGRMCAAVUPONGU0GT81SR98HNA">#REF!</definedName>
    <definedName name="BExGRVBY9TYME44YM94HMZHJ6A9V">#REF!</definedName>
    <definedName name="BExGS10SQCUFNMS6XXEN1YT0FIPE">#REF!</definedName>
    <definedName name="BExGS22NJKICHLVB9XRHHHWSAN8S">#REF!</definedName>
    <definedName name="BExGS4GZ2710YLA90XX5RW3Z8VHC" localSheetId="14">In #REF! #REF!</definedName>
    <definedName name="BExGS4GZ2710YLA90XX5RW3Z8VHC" localSheetId="25">In #REF! #REF!</definedName>
    <definedName name="BExGS4GZ2710YLA90XX5RW3Z8VHC" localSheetId="4">In #REF! #REF!</definedName>
    <definedName name="BExGS4GZ2710YLA90XX5RW3Z8VHC" localSheetId="39">In #REF! #REF!</definedName>
    <definedName name="BExGS4GZ2710YLA90XX5RW3Z8VHC" localSheetId="33">In #REF! #REF!</definedName>
    <definedName name="BExGS4GZ2710YLA90XX5RW3Z8VHC">In #REF! #REF!</definedName>
    <definedName name="BExGS9V70JLRMQSIM1QQ8BV3J267">#REF!</definedName>
    <definedName name="BExGSWHQB68JHLHT5CNZAK2BXSA7">#REF!</definedName>
    <definedName name="BExGT0ZLEBZPW1QUM5SZSPG8SBDT">#REF!</definedName>
    <definedName name="BExGT3OOVH776JFHWTAUMYWUMHI9">#REF!</definedName>
    <definedName name="BExGT56L7P8IE4384YTWCPJ0LG29">#REF!</definedName>
    <definedName name="BExGT5HE3I7LV7VEUG6LHLIB1E4Z">#REF!</definedName>
    <definedName name="BExGTONYTF9H5NNAHLJJPDPJP90X">#REF!</definedName>
    <definedName name="BExGTQ5WQ6UOH65UBI2F06NOYTXX">#REF!</definedName>
    <definedName name="BExGU18X55OXS31H4BYGFZ94DQMM">#REF!</definedName>
    <definedName name="BExGU2LKQZ4HX8KFNAV5YKSUZQU1">#REF!</definedName>
    <definedName name="BExGU9HRDEGN76AULVWYIQOX2GEJ">#REF!</definedName>
    <definedName name="BExGUCCC70RUHB69V60WIPFRY7AI">#REF!</definedName>
    <definedName name="BExGUQ4IGWOXCKJHAFWP4ZBZ9HM9">#REF!</definedName>
    <definedName name="BExGUSOAPLT86DNBAPZOA9MRDUS3">#REF!</definedName>
    <definedName name="BExGUVIU4NNY9H4ZBQQFKV3GML3F">#REF!</definedName>
    <definedName name="BExGV12E9LCC0VC05RWXNP23STQ7">#REF!</definedName>
    <definedName name="BExGV4YN25JCL5V1N4P8Y8Q79R77">#REF!</definedName>
    <definedName name="BExGVHECBQVXT4TOZ976CGY8V65V">#REF!</definedName>
    <definedName name="BExGVUVVJEH9COKL28RZI2HE6KU0">#REF!</definedName>
    <definedName name="BExGVVXKDHTTNHM9PCAHT1JRSUJX">#REF!</definedName>
    <definedName name="BExGW39YLGQB53LCV70C9MLA9BII">#REF!</definedName>
    <definedName name="BExGW69UO67LRR0X9ERMX2M8X0J2">#REF!</definedName>
    <definedName name="BExGW6PZMAN7ZXI3TJ2GAPWOD4K8">#REF!</definedName>
    <definedName name="BExGWBYVYYVCTA7HQLMYL6BEVN5H">#REF!</definedName>
    <definedName name="BExGWHYOC9ZRSC4FFC2EBARM7PWW">#REF!</definedName>
    <definedName name="BExGWR3ODBWOL814VAQ7SIELHU89">#REF!</definedName>
    <definedName name="BExGWRP9D77R1ECGPX30MKMGL7B5">#REF!</definedName>
    <definedName name="BExGX2XXV2PK0VPF82JVXJKX5M4V">#REF!</definedName>
    <definedName name="BExGX3OUK8YD78OX3HBVEOQH0X3A">#REF!</definedName>
    <definedName name="BExGXCOJJGW4UTFVETMB7H08FO9G">#REF!</definedName>
    <definedName name="BExGY2WJC6WHGRUVR6ST68QU22US">#REF!</definedName>
    <definedName name="BExGY5LP1CK903BVYXC8XZ1WW0XS">#REF!</definedName>
    <definedName name="BExGYEW532YT58LU5S13RUV7S93R">#REF!</definedName>
    <definedName name="BExGYGJDX78JTZID0HVUEKAKV9ZT">#REF!</definedName>
    <definedName name="BExGYH54QUUXSQ2NAEDNL4Y8GF6B">#REF!</definedName>
    <definedName name="BExGYTQ4DJ56ZWFQIWAIGGOJC6VO">#REF!</definedName>
    <definedName name="BExGYVTNHMXZ55CV3UZAAOJ4BODA">#REF!</definedName>
    <definedName name="BExGZ0MBA77U0834PL76JYVB0HNY">#REF!</definedName>
    <definedName name="BExGZ72DOBJTHI6S8TH7X6RW2QU6">#REF!</definedName>
    <definedName name="BExGZ8V3TMTB2V881TNE5ZXKCF87">#REF!</definedName>
    <definedName name="BExGZA29MC0TG6TO9OUXWQZFU88N">#REF!</definedName>
    <definedName name="BExGZC0ASU8J5LOGTRBKJAI6FWN2">#REF!</definedName>
    <definedName name="BExGZE9B7XCNNG608P09XMMSYNO3">#REF!</definedName>
    <definedName name="BExGZFGHCD0X51RI9C91W70DADO8">#REF!</definedName>
    <definedName name="BExGZG23DS9UDP9E1RF0MXSABJB0">#REF!</definedName>
    <definedName name="BExGZIR6IZBW4G4Y1NEMDYEAPSXL">#REF!</definedName>
    <definedName name="BExGZKEFA41O8N6LGAWNRXLTAJ69">#REF!</definedName>
    <definedName name="BExGZLG9DAMZT2O2AARU9CF0PU41">#REF!</definedName>
    <definedName name="BExGZV6V4W1ZL7FSD9IMVY52RMIF">#REF!</definedName>
    <definedName name="BExH016MZMWYB0LF5APO7WS97XY7">#REF!</definedName>
    <definedName name="BExH02J92EKGDUKQH1ZNUBO4CJBT">#REF!</definedName>
    <definedName name="BExH09VJUD22KXX0871H55FLOR51">#REF!</definedName>
    <definedName name="BExH0ARX4WWVG65GMYT8L8Y00NS9">#REF!</definedName>
    <definedName name="BExH0G0NT4V8WLK4XPYX9SAREWVC">#REF!</definedName>
    <definedName name="BExH0T22I8Q9IZMCG1313O0U89HY">#REF!</definedName>
    <definedName name="BExH0TNOFTPYFF6K340RC0JXCQX1">#REF!</definedName>
    <definedName name="BExH10EC7SL7KIVEJL7O4BVCW6GR">#REF!</definedName>
    <definedName name="BExH15HRPWXR6PSM3TVMPUTOQZ2D">#REF!</definedName>
    <definedName name="BExH1TX7KRJOWL70M1D3197HZ4UZ">#REF!</definedName>
    <definedName name="BExH1Z5WZ418ABYPZQGMUK6CYX40">#REF!</definedName>
    <definedName name="BExH1ZB8G3EAYY98TEFIJVDFX30R">#REF!</definedName>
    <definedName name="BExH202B80JQV9LDG0IYODYPUGI9">#REF!</definedName>
    <definedName name="BExH2O1HS33M5NVSUL21J9N4AG5Q">#REF!</definedName>
    <definedName name="BExH2US6LLVZT7I5AX2XIEYND6A9">#REF!</definedName>
    <definedName name="BExH2YDN9W1QSKM9NRJTT9X89USG">#REF!</definedName>
    <definedName name="BExH359T6XBO8T7XCHX2813Z1EVH">#REF!</definedName>
    <definedName name="BExH3BV638YRBU3LD9FW63FZ0Z3Y">#REF!</definedName>
    <definedName name="BExH3F5WBF5VVXUYLBMBMNQFCLUW">#REF!</definedName>
    <definedName name="BExH3V1OL5K33VRFFI1T43L9HU9Z">#REF!</definedName>
    <definedName name="BExH471AKD7NN332LU7YEAEDVXGZ">#REF!</definedName>
    <definedName name="BExIG2U9CGY1QGO8XUPI9SMPMQHE">#REF!</definedName>
    <definedName name="BExIGPRL8G4E57ZUH3V8RS1JP5T9">#REF!</definedName>
    <definedName name="BExIGSBDGAIFIA7FVQGX7RDEIVAF">#REF!</definedName>
    <definedName name="BExIGV0HPDYTOEK16GRW5Q8FLVB7">#REF!</definedName>
    <definedName name="BExIH0PIZJLF0YXYA36A2DNL11QV">#REF!</definedName>
    <definedName name="BExIH2CSC84925D7XHU5F75NTPE4">#REF!</definedName>
    <definedName name="BExIHBY020SFEJOFWASKI9RG27US">#REF!</definedName>
    <definedName name="BExIHIE229UY1VVEFSM6JKI0EPFK">#REF!</definedName>
    <definedName name="BExIHJAGY0ATMTPKKLGO0LK8DTWV">#REF!</definedName>
    <definedName name="BExIHPQB3PRDHAOL8YT99VEDNF03">#REF!</definedName>
    <definedName name="BExIHS4O68S5A1NMVX5EKBANHH6U">#REF!</definedName>
    <definedName name="BExIHSA4O7FLHL9AMHPIIV2X4YH5">#REF!</definedName>
    <definedName name="BExIHSFGS8DX73724ETZMHN4V629">#REF!</definedName>
    <definedName name="BExIHTBSP2IDBKGKIUGX0NMXKO3N">#REF!</definedName>
    <definedName name="BExIHV4IR6JQQZXGQ5IFV1JA58KW">#REF!</definedName>
    <definedName name="BExIHYF8VATC23UC821MPPNK41EU">#REF!</definedName>
    <definedName name="BExII3O0NUIYP6PVJZEL4LKM9W34">#REF!</definedName>
    <definedName name="BExII67RXZ9DRH1UR53P9DJZHX1R">#REF!</definedName>
    <definedName name="BExII7V0TDMPEOJXC5HDCML8IGHX">#REF!</definedName>
    <definedName name="BExIIA41DDEGUGVTD6ASDRQVYZRN">#REF!</definedName>
    <definedName name="BExIIOY1YZ5IDZ0F8IO7GDKROFM0">#REF!</definedName>
    <definedName name="BExIIPULPXHN6STMSIWQRNOVKZQ3">#REF!</definedName>
    <definedName name="BExIIUXZ7I70CPX310TFB6W1JB6X">#REF!</definedName>
    <definedName name="BExIIWFXW0CNKCAPGMD5WBUEH9LP">#REF!</definedName>
    <definedName name="BExIIZADAKDLXJYDWG755994NQZI">#REF!</definedName>
    <definedName name="BExIJ4ZE25Q0FWKE09GF92XHKS23">#REF!</definedName>
    <definedName name="BExIJ6HC6LU5GB9HCHIQSCOLARXT">#REF!</definedName>
    <definedName name="BExIJCH498W3NOUARW0GCIUKIDFR">#REF!</definedName>
    <definedName name="BExIJF0Q68HZ3A4YH3Y05M2LMBJ1" localSheetId="14">YTD #REF!</definedName>
    <definedName name="BExIJF0Q68HZ3A4YH3Y05M2LMBJ1" localSheetId="25">YTD #REF!</definedName>
    <definedName name="BExIJF0Q68HZ3A4YH3Y05M2LMBJ1" localSheetId="4">YTD #REF!</definedName>
    <definedName name="BExIJF0Q68HZ3A4YH3Y05M2LMBJ1" localSheetId="33">YTD #REF!</definedName>
    <definedName name="BExIJF0Q68HZ3A4YH3Y05M2LMBJ1">YTD #REF!</definedName>
    <definedName name="BExIJG2KOZTRL2TJY7JJ7F290ISS">#REF!</definedName>
    <definedName name="BExIJKPRDTWKR47B6QHQLU6MWL2Y">#REF!</definedName>
    <definedName name="BExIJMD5WEFULHYZPETIPY5I8KPX">#REF!</definedName>
    <definedName name="BExIJMT8S9SI6CYPKKO5SWJCD1C2">#REF!</definedName>
    <definedName name="BExIK3G1F96B76LTK6MD7EU64R70">#REF!</definedName>
    <definedName name="BExIK53F9AC079JUHU55K53ENTRK">#REF!</definedName>
    <definedName name="BExIK6G3KHV5DVZPNH4DB7LX9A7C">#REF!</definedName>
    <definedName name="BExIK83C585BI2IARFMJ12R697IV">#REF!</definedName>
    <definedName name="BExIKEJF2C3EFD1EHOUSBEKJ7W1L">#REF!</definedName>
    <definedName name="BExIKU9SK72NHZIV2T5LN08HK9XE">#REF!</definedName>
    <definedName name="BExIKY0LHETZ080U9DDY5E6ZUXL3">#REF!</definedName>
    <definedName name="BExIKYGT23OIRM10NI2SFPGBG6P7">#REF!</definedName>
    <definedName name="BExIL27M6ZYPJ91TL2OKB171IDBZ">#REF!</definedName>
    <definedName name="BExIL69CLUMORCEWVDVJTP88XRB1">#REF!</definedName>
    <definedName name="BExIL7GJNCVHFONYG6QPV3GGNJ7C">#REF!</definedName>
    <definedName name="BExILAR6TN8G0MDLGMWWT1QB05T8">#REF!</definedName>
    <definedName name="BExILB7BNPQK7JS55NLPF7480B2U">#REF!</definedName>
    <definedName name="BExILCEGH7IN5AG2KP3XGPSI0995">#REF!</definedName>
    <definedName name="BExILD0351AUUUQN7B7K9WZGVA2P">#REF!</definedName>
    <definedName name="BExILNN16WQLVHIS03HDTM68N6IH">#REF!</definedName>
    <definedName name="BExILSABLKLSKPW96TB53XJXFTKL">#REF!</definedName>
    <definedName name="BExILT6NES3TSVEU0SVZEEB18CW0">#REF!</definedName>
    <definedName name="BExILU30TLL866YHU7UEU2PICP9O">#REF!</definedName>
    <definedName name="BExILZS1OLU1AUNC6N9O9BCMN8EM">#REF!</definedName>
    <definedName name="BExIMD9LG3R973K1W4M4NL7GBSHQ">#REF!</definedName>
    <definedName name="BExIMD9LGQT5RZ1383KQ2P07Q1FD">#REF!</definedName>
    <definedName name="BExIMDV7014CDMT4KHAFJAWTDVYC">#REF!</definedName>
    <definedName name="BExIMFNWIXW07MLJRKIOALXF29OP">#REF!</definedName>
    <definedName name="BExIMK5R5VVSCIFE455REV3M5CJD">#REF!</definedName>
    <definedName name="BExIMKWOQMZRJ0S6YKJQIEHMW5ZD">#REF!</definedName>
    <definedName name="BExIMPPADYMU17QMW2T3GNB1UQS3">#REF!</definedName>
    <definedName name="BExIMY8VSCHQZO6URJYVRQ6IYD3O">#REF!</definedName>
    <definedName name="BExIN0SHPRF3OR1IYV3DOBSSHXKZ">#REF!</definedName>
    <definedName name="BExINGDKV6GLD0CRPM84RL1OA4BV">#REF!</definedName>
    <definedName name="BExINVIBMNHCK1WXCK846UY5GFPD">#REF!</definedName>
    <definedName name="BExIO5EEKBIET3AAIJHMKK46OGPM">#REF!</definedName>
    <definedName name="BExIO83IMDIVIG6DXSHBLQ0Z9ZS9">#REF!</definedName>
    <definedName name="BExIO9FZ6VNIFOLBGW89KGPO9OGI">#REF!</definedName>
    <definedName name="BExIOAN5Y58EY6USF01YTFOV44XK">#REF!</definedName>
    <definedName name="BExIODSI4IPZ185TEZ5SXVESO7P3">#REF!</definedName>
    <definedName name="BExIOEE3DCNSSGAO3CQUU487QAV3">#REF!</definedName>
    <definedName name="BExIOHE04T5QCZURL8VEUHVHUQTT">#REF!</definedName>
    <definedName name="BExIOJ6PGW443DVRFIV1B13TQQAK">#REF!</definedName>
    <definedName name="BExIOPMNAGM0SLCZT1AJ3QFLKSV8">#REF!</definedName>
    <definedName name="BExIOQZA8DQER2EZXU4CI4KMQ4SG">#REF!</definedName>
    <definedName name="BExIOZDDRAUEBO7K3O1Y96B60S62">#REF!</definedName>
    <definedName name="BExIOZIPB22UHOOSM9AOT0FWCNYM">#REF!</definedName>
    <definedName name="BExIP4M43CYX2GUTG7JA5SRIK7F1">#REF!</definedName>
    <definedName name="BExIPP59G75PR4NXF396MNDUQI6M">#REF!</definedName>
    <definedName name="BExIPWSBI4ZCMYL8P11O8RWUTFAM">#REF!</definedName>
    <definedName name="BExIQ5XIHILHI84U81R6EGJACP7C">#REF!</definedName>
    <definedName name="BExIQA4KZYU9NM0N173MJWRFYFY2">#REF!</definedName>
    <definedName name="BExIQC83IB5394E5BX8MW8VNMQ1M">#REF!</definedName>
    <definedName name="BExIQGKGKGGEGW8W694KJITJ7V8F">#REF!</definedName>
    <definedName name="BExIQUSW4P30ZG4ZUW2ILABI8366">#REF!</definedName>
    <definedName name="BExIQX1VWYASHAWC9EK52L01G8HX">#REF!</definedName>
    <definedName name="BExIR2W7VXBXMVCO9WAY8A7XL9GD">#REF!</definedName>
    <definedName name="BExIR96TQL8ZBEI69KVIINM67AS3">#REF!</definedName>
    <definedName name="BExIRKVKQOFN0TODF0ZAP20SIACA">#REF!</definedName>
    <definedName name="BExIROH130FJVH6M8XDMPDFTZ8S8">#REF!</definedName>
    <definedName name="BExIRURN3V2YX94DHBRTA1DZWG70">#REF!</definedName>
    <definedName name="BExIRV7XBPSVMPOH9SABYLFSP8OO">#REF!</definedName>
    <definedName name="BExISA1XV6R2R11PHKKTT7HK5EID">#REF!</definedName>
    <definedName name="BExISUKXIAKQK9D7VKCDJTF0NMYZ">#REF!</definedName>
    <definedName name="BExISWOHMGGJGBMI541VRGM4VT1U">#REF!</definedName>
    <definedName name="BExISXA1IFEX67PSETZPP2ZZPK3C">#REF!</definedName>
    <definedName name="BExIT4RT4AQXIAC9UAK7MD2T5UVM">#REF!</definedName>
    <definedName name="BExIT57VUU1YCJQISXX6IAP5M2UA">#REF!</definedName>
    <definedName name="BExITC41Q5WHFD986R2991AVKRQW">#REF!</definedName>
    <definedName name="BExITFV0F14MMTU5SHU0LX8IWNG0">#REF!</definedName>
    <definedName name="BExITGRD8IH16S02ZEJOAEBAPOZB">#REF!</definedName>
    <definedName name="BExITKNMUQEEDD5ZGN69JHYMUAYL">#REF!</definedName>
    <definedName name="BExITNSTNBOY1IX3TLZIELKN9PKJ">#REF!</definedName>
    <definedName name="BExITNSUV2D2PH6ZLL6BDKDPIW8W">#REF!</definedName>
    <definedName name="BExIU5MRH8SK5I29Y8V2BHW62OWS">#REF!</definedName>
    <definedName name="BExIUAA24NJWGQ2P7NG9UHW9MV4A">#REF!</definedName>
    <definedName name="BExIUF7ZFD1NNKUKG201SOYTDBJW">#REF!</definedName>
    <definedName name="BExIUKBG2VJ2NJM5SQQCIAZJYF5W">#REF!</definedName>
    <definedName name="BExIUV3U57RUPJ7AX2QRPE5NIK1M">#REF!</definedName>
    <definedName name="BExIV7JOVSIVG0SG6CE19ME1M5X1">#REF!</definedName>
    <definedName name="BExIV8LFFRHH4I8E87QZA4I6JL7X">#REF!</definedName>
    <definedName name="BExIVFXOLWDMK69YTQ0O8U8YUD6F">#REF!</definedName>
    <definedName name="BExIVO6HMTTM5BJAQ20V4HPJ9SOF">#REF!</definedName>
    <definedName name="BExIVOS0YQQHD2260WHLMY43I5O0">#REF!</definedName>
    <definedName name="BExIVS2QYLD1Z8RAF9OD7B65KH5F">#REF!</definedName>
    <definedName name="BExIWFGBA750QJY443MI4F6G5U7R">#REF!</definedName>
    <definedName name="BExIWOW44HUS7QQVW2HMVR853814">#REF!</definedName>
    <definedName name="BExIWSSC8Y2YMB0BLWU3OPM8PQ63">#REF!</definedName>
    <definedName name="BExIWT8HU43WLSMEDUQ5SONSMP28">#REF!</definedName>
    <definedName name="BExIWUABBBJC8EEKCW492VLQVZ05">#REF!</definedName>
    <definedName name="BExIWUL4W36QMFUMS0HZRN1CKJK3">#REF!</definedName>
    <definedName name="BExIWV1CVI1C2NCK85ONRKSJXVJZ">#REF!</definedName>
    <definedName name="BExIWYS57T15SDG93VIZE1MB3EQP">#REF!</definedName>
    <definedName name="BExIXD0LU8LVTQ2SQKMI4RSLFOQR">#REF!</definedName>
    <definedName name="BExIXD63BMEXZ2SVFG9LZEGPN1L8">#REF! #REF!</definedName>
    <definedName name="BExIXEO0RJ5BB3W0J2OAFFXY84UZ">#REF!</definedName>
    <definedName name="BExIXOK2HVWTNI5E25NE7W2PWNJZ">#REF!</definedName>
    <definedName name="BExIXUJVWBLHLGR3MON94VWPJFXE">#REF!</definedName>
    <definedName name="BExIY33AXI64T5FQCYE9E2LZMCKB">#REF!</definedName>
    <definedName name="BExIY33B98MUK7MGUFIMLIDNDTBN">#REF!</definedName>
    <definedName name="BExIY3UD0GLJD0B2AJTTIAIQL29W">#REF!</definedName>
    <definedName name="BExIY6U7XZLXD6JS5O396CDN8DCY">#REF!</definedName>
    <definedName name="BExIYEHBANLTPOTS8TF0RK659URI">#REF!</definedName>
    <definedName name="BExIYH0X94ZGLXPST7TL8BJBH69J">#REF!</definedName>
    <definedName name="BExIYH6EWX6OCOY2EEH69D4JN2RI">#REF!</definedName>
    <definedName name="BExIYZGKUB1P1B8A0B13VHCV482P">#REF!</definedName>
    <definedName name="BExIZ43QWYBAQW1OOFX5SKEV7FCN">#REF!</definedName>
    <definedName name="BExIZ496OVV2YFWC0SG3RFEHEYU1">#REF!</definedName>
    <definedName name="BExIZJUAHZJHQ8ED6LM4WHZTLGJS">#REF!</definedName>
    <definedName name="BExIZOC4QUJLRLRTXXCBIYP00IBA">#REF!</definedName>
    <definedName name="BExIZRC1BWLL16YVS9WJF5N2NT31">#REF!</definedName>
    <definedName name="BExIZZ4J96VKZ3B6T8F1PO45KFJQ">#REF!</definedName>
    <definedName name="BExJ0GNO566ZBC0WOLOLH8H84OFP">#REF!</definedName>
    <definedName name="BExJ0S1NZZ2MZ2O0L1LFCO8RY9MK">#REF!</definedName>
    <definedName name="BExJ111CANMFNSGGQNW3GZ6WCFEA">#REF!</definedName>
    <definedName name="BExJ1JMBB3LK58HGFPAPAP0YG8EJ">#REF!</definedName>
    <definedName name="BExKCD27C0UE6ZKTORYIHGM1NX48">#REF!</definedName>
    <definedName name="BExKCQ8XK17IS7NGG3Y1A5E0SEJ3">#REF!</definedName>
    <definedName name="BExKD7BZ9H2KVJM2J013LX5H853L">#REF!</definedName>
    <definedName name="BExKDEIVGN756FZ8FWVTNU0BLPOV">#REF!</definedName>
    <definedName name="BExKDT7LVKFVBPKTYQ7PRXZ647ED">#REF!</definedName>
    <definedName name="BExKE4WESSEBGZFH1U5FOT04DL9O">#REF!</definedName>
    <definedName name="BExKEAQP9CPIFLHBOLT4K2ZD0E60">#REF!</definedName>
    <definedName name="BExKEH6S446YPJD5ZZI50MXHGKEU" localSheetId="14">Directorate #REF! #REF!</definedName>
    <definedName name="BExKEH6S446YPJD5ZZI50MXHGKEU" localSheetId="25">Directorate #REF! #REF!</definedName>
    <definedName name="BExKEH6S446YPJD5ZZI50MXHGKEU" localSheetId="4">Directorate #REF! #REF!</definedName>
    <definedName name="BExKEH6S446YPJD5ZZI50MXHGKEU" localSheetId="33">Directorate #REF! #REF!</definedName>
    <definedName name="BExKEH6S446YPJD5ZZI50MXHGKEU">Directorate #REF! #REF!</definedName>
    <definedName name="BExKEO2X977FOQ3WU5OE0N5D4GZV">#REF!</definedName>
    <definedName name="BExKEZBGQY333B4VKJG5C23N9460">#REF!</definedName>
    <definedName name="BExKEZM8YUQOZLF2I4NSV5OFWHRB">#REF!</definedName>
    <definedName name="BExKF79GMOMRE6405NN28NLKHLRY">#REF!</definedName>
    <definedName name="BExKF7ESUJULX7BYFR7T21G59W9D">#REF!</definedName>
    <definedName name="BExKF97IO4MN12C1UODNLHPL930H">#REF!</definedName>
    <definedName name="BExKFHWFV0NDIFC7L0CRYHLQ6IDK">#REF!</definedName>
    <definedName name="BExKFOSL20T7GWAUUOUJJANUTJ9L">#REF!</definedName>
    <definedName name="BExKFP8OV6EZ670E5SX7O1E14OXH">#REF!</definedName>
    <definedName name="BExKFQLC0ZS3I5S9O2U7C4P02FRZ">#REF!</definedName>
    <definedName name="BExKFQQSOI5JC674ZJUWZ8QWB6ZO">#REF!</definedName>
    <definedName name="BExKGIM287CCJ6EF1N4MP8LOGFTO">#REF!</definedName>
    <definedName name="BExKGPNJKAUVL46CNH2FH9QK5K2Z">#REF!</definedName>
    <definedName name="BExKGYY6OU9O07MASHIFPA215X7X">#REF!</definedName>
    <definedName name="BExKH0ANXVS7BCGMB951D7F4EB7M">#REF!</definedName>
    <definedName name="BExKH3LCMD68O81MGOOB2CY81BFR">#REF!</definedName>
    <definedName name="BExKHDXNTWHWB4V6ZM4IMWJJ8YPL">#REF!</definedName>
    <definedName name="BExKHQ2JVJ12BWOC20PPX6PUBXLI">#REF!</definedName>
    <definedName name="BExKI7R5T3OKR4IU3R96LZ9Y1ZO1">#REF!</definedName>
    <definedName name="BExKI8SU17X1TNFH3UEPLJTMA1MQ">#REF!</definedName>
    <definedName name="BExKI93NC68GT48B24RLJ494RPBC">#REF!</definedName>
    <definedName name="BExKIFUBABWAGILR95NYLJJHQ9KY">#REF!</definedName>
    <definedName name="BExKIKN3T7EJJPKVQ04C5WR0KAWM">#REF!</definedName>
    <definedName name="BExKIT128DCJLRPO0KUMHD9DPA5P">#REF!</definedName>
    <definedName name="BExKIUJ0A1M32Z2U78NFAAPSR1LV">#REF!</definedName>
    <definedName name="BExKJ19UCV9HE7ER0EJREFQLXAI6">#REF!</definedName>
    <definedName name="BExKJ1VG4H6A2CZHLKYGJG0NOZJP">#REF!</definedName>
    <definedName name="BExKJIYEXSLMXYXJ2CLOXLX1M0CB">#REF!</definedName>
    <definedName name="BExKJPP3SDSKTKKO5S2VQ8DGX5ZJ">#REF!</definedName>
    <definedName name="BExKJSE8VZNT9ZOXWXXS885DE7VK">#REF!</definedName>
    <definedName name="BExKJSE99UYMVAV1HZD4YFOW9XBW" localSheetId="14">YTD #REF!</definedName>
    <definedName name="BExKJSE99UYMVAV1HZD4YFOW9XBW" localSheetId="25">YTD #REF!</definedName>
    <definedName name="BExKJSE99UYMVAV1HZD4YFOW9XBW" localSheetId="4">YTD #REF!</definedName>
    <definedName name="BExKJSE99UYMVAV1HZD4YFOW9XBW" localSheetId="33">YTD #REF!</definedName>
    <definedName name="BExKJSE99UYMVAV1HZD4YFOW9XBW">YTD #REF!</definedName>
    <definedName name="BExKJY386VQKMIMK9PV85C0GZ170">#REF!</definedName>
    <definedName name="BExKK2FMB80KS4XP44OYF7OQS7W5">#REF!</definedName>
    <definedName name="BExKKEPYZ2VLOHRW4M7ZWCI6DYYN">#REF!</definedName>
    <definedName name="BExKKO0FWTFIB04W3AAUWCS6ET25">#REF!</definedName>
    <definedName name="BExKKSYLLP6PHJ2CWAM6OV9GSFC2">#REF!</definedName>
    <definedName name="BExKL001OCK2KCNYH6ALQ679B7NI">#REF!</definedName>
    <definedName name="BExKLC4ZDI7VD9LULEBJGVARNFCQ">#REF!</definedName>
    <definedName name="BExKLFVVP8MHOWY2DWNT5G5Y79BY">#REF!</definedName>
    <definedName name="BExKLMXD85XBWQ75LEE33JE7NG4L">#REF!</definedName>
    <definedName name="BExKLSX5SXVTGLJI9G1RRID9TOVM">#REF!</definedName>
    <definedName name="BExKLZ7PTO9DECN55XREGMZRWMHH">#REF!</definedName>
    <definedName name="BExKLZO0PUMEEZ2M57TWTF3T7XZP">#REF!</definedName>
    <definedName name="BExKM27O29EJYADXY2SZFURNOQSO">#REF!</definedName>
    <definedName name="BExKM4LYS2YOERE6RCH0E6C0SPJP">#REF!</definedName>
    <definedName name="BExKM63WU6L0UJAP35L2HD9CEXE8">#REF!</definedName>
    <definedName name="BExKME1XEGHEUO3QXIAZV59V9DP4">#REF!</definedName>
    <definedName name="BExKMNHQEXXCV0R2NHFR4WS44ZET">#REF!</definedName>
    <definedName name="BExKMOOVHM01M09P3XMBHEQMSMUS">#REF!</definedName>
    <definedName name="BExKMVL1FI0D8ICX6QPNR4ZB3QJ2">#REF!</definedName>
    <definedName name="BExKN3DKPFMXCCWCBDF0QZPY8B8O">#REF!</definedName>
    <definedName name="BExKNE0INOGWEEI9DCWITY4MO75M">#REF!</definedName>
    <definedName name="BExKNJEPC5JTWNSQU1BB38M595GZ">#REF!</definedName>
    <definedName name="BExKNNR8IJJF1XIWAFN7D39SMQQU">#REF!</definedName>
    <definedName name="BExKNWW9ORX486DPBTAMCRIZVZKR">#REF!</definedName>
    <definedName name="BExKNX1KE0PXPAM5NFW1WNGZ7G74">#REF!</definedName>
    <definedName name="BExKNZLCC1QUY8X5RE63RXDDQ8UT">#REF!</definedName>
    <definedName name="BExKO0XZPYZHQE1QMCQIDMU8PGMD">#REF!</definedName>
    <definedName name="BExKO8FJZ7Y6QOPC29UQR6HW88H5">#REF!</definedName>
    <definedName name="BExKODJ09XK1FORB1ZN51NA3JP1B">#REF!</definedName>
    <definedName name="BExKODOHBQLKZIC5XCEM0GCOCYBQ">#REF!</definedName>
    <definedName name="BExKOG83NG7RIYNVQTIYUFR1HR14">#REF!</definedName>
    <definedName name="BExKOI0U42LGP2SSTDMLPQ46ULU1">#REF!</definedName>
    <definedName name="BExKOOWZTUONJJ6O4AA3A08LPIUO">#REF!</definedName>
    <definedName name="BExKP777KQQ1BA8NA31BTK6YMUYI">#REF!</definedName>
    <definedName name="BExKPMHGQGESLRPQVN6GH3371QPR">#REF!</definedName>
    <definedName name="BExKQ1X0VFW9PMJ3EZ3NTF3P4G7A">#REF!</definedName>
    <definedName name="BExKQB26YTC868W7B0G0BHVI71DW">#REF!</definedName>
    <definedName name="BExKQGR764XAQI09J4XG7FU9OHOQ">#REF!</definedName>
    <definedName name="BExKQPW7K7F3YWH55HPALES3Z6XB">#REF!</definedName>
    <definedName name="BExKQU8QHUG89H98YQZB8KX9S0W6">#REF!</definedName>
    <definedName name="BExKR4A43WLNOUBZRRL08OO9BW6X">#REF!</definedName>
    <definedName name="BExKRCO86119D5C9G397SRSXDIKQ">#REF!</definedName>
    <definedName name="BExKRRI90618HS68OFM5FXA7LLT2">#REF!</definedName>
    <definedName name="BExKRSK2JXMLOJ1BSS23VLIXGDDJ">#REF!</definedName>
    <definedName name="BExKS1P2RLNQMV9LV668BM3N4WK2">#REF!</definedName>
    <definedName name="BExKS1UJTENIUCSHQ4QQ9U3HWOEE">#REF!</definedName>
    <definedName name="BExKS2W8KAV76KKMFJRX8NOLXOR8">#REF!</definedName>
    <definedName name="BExKSEQD2K3XPUQRCHSL5IO2UW67">#REF!</definedName>
    <definedName name="BExKSLRZJ1TKGMK4TIQM7KEJGZ32">#REF!</definedName>
    <definedName name="BExKSSYXETFQYIZ88J4M3B7JMNNU">#REF!</definedName>
    <definedName name="BExKSXWUSARLRBAZ3WQ8PS86FLFO">#REF!</definedName>
    <definedName name="BExKTFG0C6D8ES0HBG0NEXXRFW93">#REF!</definedName>
    <definedName name="BExKTZZ5YM87D1ILC6ANKVT657NR">#REF!</definedName>
    <definedName name="BExKUAGTVAW0MG73S65S29TIUYH7">#REF!</definedName>
    <definedName name="BExKUK22GW2MTHL5SH47QUMJ98UY">#REF!</definedName>
    <definedName name="BExKUMWGX3FQWXZMWG9NQ3BJK42Y">#REF!</definedName>
    <definedName name="BExKV0E0QASXOUIW9JQ90NJAWG9Q">#REF!</definedName>
    <definedName name="BExKV5S8T4NUHTMXYASSTCXR89B4">#REF!</definedName>
    <definedName name="BExKVCZ7SL0UWWUX7JLGCR88JVXI">#REF!</definedName>
    <definedName name="BExKVEH4ZYIPUNEZ15F5U2495U5T">#REF!</definedName>
    <definedName name="BExKVPV5AJTROE0PI02DNQTPAAEO">#REF!</definedName>
    <definedName name="BExKW7JPVOT783U58QC3TOBKVS5Z">#REF!</definedName>
    <definedName name="BExKWMJ9BYPFT82JTT7TPVXUYUC4">#REF!</definedName>
    <definedName name="BExM9L5C4FZJI88LS1YI6E97SQN5">#REF!</definedName>
    <definedName name="BExM9NUH6ZGO56LOGYX73U8PAKPG">#REF!</definedName>
    <definedName name="BExM9PN7B8CFQPRPDZ1PGNCFBUZQ">#REF!</definedName>
    <definedName name="BExMAAX97HDJ64VGZBSP7E99JLIL">#REF!</definedName>
    <definedName name="BExMAS09FSMYREXLHDYZIBPOATJB">#REF!</definedName>
    <definedName name="BExMAVR29DTZRXZ48MQ3WDBJIJ8I">#REF!</definedName>
    <definedName name="BExMB0ZYNZ5PXBAC0H3O7A39MJAE">#REF!</definedName>
    <definedName name="BExMB8C8LF8Z01B9BMPVTTCD1IDN">#REF!</definedName>
    <definedName name="BExMBDVXILAHC1N6NO8C3HTMOYTK">#REF!</definedName>
    <definedName name="BExMBITUQB6ZXF0JCYSNGQGV3P45">#REF!</definedName>
    <definedName name="BExMBKS2FZSJGF58S8RHDQSWICLZ">#REF!</definedName>
    <definedName name="BExMBL86HGZYWD66WREIIMKFGOT8">#REF!</definedName>
    <definedName name="BExMBLOFF0TT2RKSQLQZE79ZK2JD">#REF!</definedName>
    <definedName name="BExMC07OIBQB7DXPFVDJ4ZOGPTDH">#REF!</definedName>
    <definedName name="BExMCG3IKX7MMMOAPGEO6W9KV4L6">#REF!</definedName>
    <definedName name="BExMCL1GMQ73NUFG7J9BZUMQCJQQ">#REF!</definedName>
    <definedName name="BExMCRMVCRNA8IYKJO2BXJD2TGVR">#REF!</definedName>
    <definedName name="BExMCRXMEFG2OFIUSDRW119GKVKR">#REF!</definedName>
    <definedName name="BExMCSU6ITP9BQ8A0O9CS7TNAKES">#REF!</definedName>
    <definedName name="BExMCZVLT3HFEFQXRJ92WGUISQTD">#REF!</definedName>
    <definedName name="BExMD0RZN2B9J8F8FSGU3Q3CXXPX">#REF!</definedName>
    <definedName name="BExMD60QS53NT7FYQF6Y34QF1A23">#REF!</definedName>
    <definedName name="BExMD6RSKUTX33YJKI9CPAPD8C7T">#REF!</definedName>
    <definedName name="BExMDATDWT27H4ZYBAT2THVWGFZF">#REF!</definedName>
    <definedName name="BExMDDYR97S1R1UW9GGX22YRGBFI">#REF!</definedName>
    <definedName name="BExMDGT717PCQZ6IJVKK1GEKBIYF">#REF!</definedName>
    <definedName name="BExMDJ251VWXAWY1S4GMYLWEQIX3">#REF!</definedName>
    <definedName name="BExMDL5JAZFNHS3HP5ZM85WYXFT0">#REF!</definedName>
    <definedName name="BExMDR018V3SLL5AOI19QD2TBH85">#REF!</definedName>
    <definedName name="BExMDWZT2JKQJAY1172I72XR5MJO">#REF!</definedName>
    <definedName name="BExMDXLEZP70G8SFKS747989GPYB">#REF!</definedName>
    <definedName name="BExME0FSM160GL8F0Q4DVDQK0ADI">#REF!</definedName>
    <definedName name="BExME3FPV76DMS3378YOTP613TGZ">#REF!</definedName>
    <definedName name="BExME7S7CKBNQ4D3KLAFQBOG65EZ">#REF!</definedName>
    <definedName name="BExMEE2U6NB4IC14AGT84S3Q6ZPX">#REF!</definedName>
    <definedName name="BExMEFVKJ03M009GAN2MA1LGFCDY">#REF!</definedName>
    <definedName name="BExMEFVKRYPKLJ3M11RU7Y6GFRHS">#REF!</definedName>
    <definedName name="BExMEMM9VQ70SLPX9U8MDLJ5E7VW">#REF!</definedName>
    <definedName name="BExMEN7T6D04IQKZTRVKUCV35MJU">#REF!</definedName>
    <definedName name="BExMF3EH6J19BLRNYT92DOBXD9UA">#REF!</definedName>
    <definedName name="BExMFNS5XCKZNSRU8FRH55W9LGKJ">#REF!</definedName>
    <definedName name="BExMFQ0ZLKTA7OG9FOCIYA60Z5WV">#REF!</definedName>
    <definedName name="BExMFTH5B862N4PR5DG262HNGVSZ">#REF!</definedName>
    <definedName name="BExMFWRUZCC1WU4PW42LQ2N1Z4VK">#REF!</definedName>
    <definedName name="BExMG0O4KHV5T3ELQNQSZT1CK0LE">#REF!</definedName>
    <definedName name="BExMG148AGA5NEYOPRJKM7XSFW2I">#REF!</definedName>
    <definedName name="BExMG5WTYMO0016UVKRA4PBF6YPG">#REF!</definedName>
    <definedName name="BExMGD99I6HYAIWWNPO783ITZ6G2">#REF!</definedName>
    <definedName name="BExMGEAXRKSW7UID9W5R99HBOEWC">#REF!</definedName>
    <definedName name="BExMGHLLU30KRWHIEOR6SUUUS5FT">#REF!</definedName>
    <definedName name="BExMGMP1W9ETKUPZ510N3OIRV8P6">#REF!</definedName>
    <definedName name="BExMGT54U83BW5QAE2KH16XRV9G5">#REF!</definedName>
    <definedName name="BExMGTQKYG6DJ3VA8PR9LXSYMZTB">#REF!</definedName>
    <definedName name="BExMGX1DB1VQT2EDEJCKJUG9931L">#REF!</definedName>
    <definedName name="BExMHFM7AQ7SOCK1RZBNFMWFUTQ3">#REF!</definedName>
    <definedName name="BExMHL5VII6X3X5ZB0NS44DS2JSA">#REF!</definedName>
    <definedName name="BExMHYHXY62ZLF0EFCTGE9D1I8FP">#REF!</definedName>
    <definedName name="BExMI4HQHNZBU3DZLSVIRU96RV29">#REF!</definedName>
    <definedName name="BExMIBTZV1ZY025CKDYF6HPGLKT6">#REF!</definedName>
    <definedName name="BExMID15TILBEULSY5RX0HX53Q9J">#REF!</definedName>
    <definedName name="BExMIGHAMIQOJUR3ZC8SBGSIP9UF">#REF!</definedName>
    <definedName name="BExMISGX30LARJ50D4QTZ96IBZ4W">#REF!</definedName>
    <definedName name="BExMITYV8J3W1TBBWYW4Q2WSZHQS">#REF!</definedName>
    <definedName name="BExMJ1REJQT45H3YXNIT6X0Q04GM">#REF!</definedName>
    <definedName name="BExMJ27I1DN5MDDI490UF7YFHP1N">#REF!</definedName>
    <definedName name="BExMJ39CP9BCZCG5EH4XILNVUUGF">#REF!</definedName>
    <definedName name="BExMJ408CGBMIC3SYJGYTWSZW152">#REF!</definedName>
    <definedName name="BExMJ57D3LLZRCDTQMFN2O7FCR9L">#REF!</definedName>
    <definedName name="BExMJJAHVE9EGHQ2UV155YVY0JD5">#REF!</definedName>
    <definedName name="BExMJTS4MH2BG8EMC8IE10H4ZLNN">#REF!</definedName>
    <definedName name="BExMJXOEIXOBDMQBY5V27LDLZOLT">#REF!</definedName>
    <definedName name="BExMKHB1XWCH9H75KNE03XW74M5S">#REF!</definedName>
    <definedName name="BExMKICVYB15MIO3GYEZ17S34WG1">#REF!</definedName>
    <definedName name="BExMKPEDB1KZJCPU0ZWJSW7IFQ4O">#REF!</definedName>
    <definedName name="BExMKPZY3NREKM03JA813YN83BGU">#REF!</definedName>
    <definedName name="BExMKTG4I26RYW93GGDE0PDMMUZ1">#REF!</definedName>
    <definedName name="BExMKUHSX7W5LDZD6DVN0V8ZKYY8">#REF!</definedName>
    <definedName name="BExML0XNYXIGCQ719EEMR7FCEZ22">#REF!</definedName>
    <definedName name="BExML2L4O0R7B50VBQAFA7MI54KD">#REF!</definedName>
    <definedName name="BExMLL0LE2B3MRK0JARA52PY8R1E">#REF!</definedName>
    <definedName name="BExMLPNX688N95YPO3HR92TETU8R">#REF!</definedName>
    <definedName name="BExMM2P62M8GBY6AH7X8HM42DFAC">#REF!</definedName>
    <definedName name="BExMMCW0LD1OFXQSP9ZRPQO3P3D6">#REF!</definedName>
    <definedName name="BExMMGC0355ZHJWCBHZGAOUZDQ5T">#REF!</definedName>
    <definedName name="BExMMGC1FD59DJ6REHNMAM346L3G">#REF!</definedName>
    <definedName name="BExMMN871QC5PBV4X1RZHM8EHHC1">#REF!</definedName>
    <definedName name="BExMMR9Y3EWV55YFKY7RWDQAZGKW">#REF!</definedName>
    <definedName name="BExMNROSB1GEYTT2KKJX7T82GXM2">#REF!</definedName>
    <definedName name="BExMNSQMOOFY2B0VAM42A6BH0JNE">#REF!</definedName>
    <definedName name="BExMOJV0NBF5XB5EEUYSMYBXYISR">#REF!</definedName>
    <definedName name="BExMOOSYJKP6650ZAM44BG1Z6GN1">#REF!</definedName>
    <definedName name="BExMOXNCWR250RK2KONS32SP0NKX">#REF!</definedName>
    <definedName name="BExMOXY41EBJKRDV9G0ZMPWDFTHG">#REF!</definedName>
    <definedName name="BExMOYJP78QP3AYIAQ877E8V8349">#REF!</definedName>
    <definedName name="BExMP96NU0YB47D5MWBM1SJ31BM9">#REF!</definedName>
    <definedName name="BExMPVD4JG9VUX04IPZRP84CO2YA">#REF!</definedName>
    <definedName name="BExMPW3ZG6S8H5CA3D442AYPMZY5">#REF!</definedName>
    <definedName name="BExMQ35MPP4YYDHGPC7OQ3XWE42O">#REF!</definedName>
    <definedName name="BExMQ4NKLM0R6TUI27UP9K572NWD">#REF!</definedName>
    <definedName name="BExMQANCMYZZKRR8AWQ6RLJG80L7">#REF!</definedName>
    <definedName name="BExMQB8XHXN5236FL303CI19YIU1">#REF!</definedName>
    <definedName name="BExMQDSLB79IJYQ1UR5O13378RN6">#REF!</definedName>
    <definedName name="BExMQF51H73OF5J9RMDKN0MKX4DO">#REF!</definedName>
    <definedName name="BExMQL4UMVUXC2AL9ZPOP8Q6JEYY">#REF!</definedName>
    <definedName name="BExMQTIXWUCE9BAIRQWG370CH8C0">#REF!</definedName>
    <definedName name="BExMQXVGT7ASVXFZV5896G9V7CZH">#REF!</definedName>
    <definedName name="BExMR2TFQ5RJRVIQUE1O5MHZHITE">#REF!</definedName>
    <definedName name="BExMR5TBTXMVSHS62P3GDG3CR34M">#REF!</definedName>
    <definedName name="BExMRKSS83ZCEGCY9FGYNCGAUULV">#REF!</definedName>
    <definedName name="BExMRL92GLPUR1O3L6Y581XEUW89">#REF!</definedName>
    <definedName name="BExMRYFU41A6PKQ3KJYOME8U7WX2">#REF!</definedName>
    <definedName name="BExMSS9AZ4DHUBKNRN9XJ77T75KS">#REF!</definedName>
    <definedName name="BExO59CBFDAQHGWPRHLLF6K0XSSI">#REF!</definedName>
    <definedName name="BExO5F1CZJYAR9M09GRFRQ6ZOYQ3">#REF!</definedName>
    <definedName name="BExO5IXM8YZUZ6PE3Y3YBLBMPD2H">#REF!</definedName>
    <definedName name="BExO5SIVC21XPNDFVDAOG5LR0CWG">#REF!</definedName>
    <definedName name="BExO6EEHRQZC4VYA6XJ343NRL7I9">#REF!</definedName>
    <definedName name="BExO6IASTE3UER8FE24UENMJMI53">#REF!</definedName>
    <definedName name="BExO6JSP4RF2ZO1EKA515P06VHLV">#REF!</definedName>
    <definedName name="BExO6PSH6C2PXMRI6ADX1WBJ2GS6">#REF!</definedName>
    <definedName name="BExO6V18Q4V1CDARE5050ZAYZ5KC">#REF!</definedName>
    <definedName name="BExO70KY28LT35IQ8RPGMABUGSV9">#REF!</definedName>
    <definedName name="BExO75DLRTCVLW7NGH5DQF7ANL2Z">#REF!</definedName>
    <definedName name="BExO7CPTQULRABHBEB5KUGMSNLJH">#REF!</definedName>
    <definedName name="BExO7REIGBMM2S0EV6BXKD9QE5EL">#REF!</definedName>
    <definedName name="BExO86U3ZG8NRVC38D7AMP24L9RK">#REF!</definedName>
    <definedName name="BExO87FPAMP5E8757D8PCAPM0QJG">#REF!</definedName>
    <definedName name="BExO8C30E1JPMAQ57E1Y1MJZLCAK">#REF!</definedName>
    <definedName name="BExO8IOEVC46J66OO3WG1JFFBYXU">#REF!</definedName>
    <definedName name="BExO8YERFHFIZ5RQCR0ICPGE3CL1">#REF!</definedName>
    <definedName name="BExO90I9U73Z1K72YXBW1YFO5IHY">#REF!</definedName>
    <definedName name="BExO9DE7RBBC0YJ48FDN4GF6HQ2Z">#REF!</definedName>
    <definedName name="BExO9PTXNQKMJV83U9P47OMPXMB8">#REF!</definedName>
    <definedName name="BExO9PZEYXJQZ5LN9DZ2BZ5M8GRM">#REF!</definedName>
    <definedName name="BExO9UH8APYD6ZFVOW70WNNPPFLS">#REF!</definedName>
    <definedName name="BExO9VDMA0UFXUANX3H1VU2K0Q8D">#REF!</definedName>
    <definedName name="BExOA3RQK1H4G0OANBUWP0CL5F4H">#REF!</definedName>
    <definedName name="BExOA60L3UJZQH4ZS6J4646XQ7CO">#REF!</definedName>
    <definedName name="BExOAAT6PW3LU9DBUK7UM8D2YAMA">#REF!</definedName>
    <definedName name="BExOADD0A64289OMG1X6P10V8P54">#REF!</definedName>
    <definedName name="BExOADNT66RSM5I7STT2GGLX5BUI">#REF!</definedName>
    <definedName name="BExOAKEIE06YAF9DYK9LA6ZG7XDG">#REF!</definedName>
    <definedName name="BExOB8Z7XEF2XXXJYX0R58CY4GZ1">#REF!</definedName>
    <definedName name="BExOBB2S0HXCO8ZTUKT73BQP32F7">#REF!</definedName>
    <definedName name="BExOBGMAAFOT6CVTPJGAWIOWY8RI">#REF!</definedName>
    <definedName name="BExOBIKIDRV3W34R8YUZ7GRO5FBL">#REF!</definedName>
    <definedName name="BExOBU3UCLO9MZ9QWZRZDUZDLGL5">#REF!</definedName>
    <definedName name="BExOBYG6NV6HM8KOET4L5Z6ABUA4">#REF!</definedName>
    <definedName name="BExOC274KKH3C8AUICS1BQNORT3E">#REF!</definedName>
    <definedName name="BExOCF33R4R3RKA7QQ3F1EHW2M7E">#REF!</definedName>
    <definedName name="BExOCLZ97Y9ASRE78XCMV1KBU586">#REF!</definedName>
    <definedName name="BExOCMKUDDAKRRDZC4WTNMXDYI0O">#REF!</definedName>
    <definedName name="BExOCRO30D4MNVBF43EA0J04BNKS">#REF!</definedName>
    <definedName name="BExOD026ZXD6DFEN6KVKVCAACDBG">#REF!</definedName>
    <definedName name="BExOD1PNCN4L6B0EAG56H28IFPC0">#REF!</definedName>
    <definedName name="BExOD2M1546Z8L81TVHMFLAUQ7ZU">#REF!</definedName>
    <definedName name="BExOD62536IULJW6OBBE2DUO7JYD">#REF!</definedName>
    <definedName name="BExOD8WM7TTK53XFBGCMXMT8NJYC">#REF!</definedName>
    <definedName name="BExODB5FFML5Z1D34LL1GOOD1C2Y">#REF!</definedName>
    <definedName name="BExODCNJ66FQH8D6Y50SIACBIN3J">#REF!</definedName>
    <definedName name="BExODEGARZBQUT05DHYZJCNEFECF">#REF!</definedName>
    <definedName name="BExODJE8QSQYZM86AXQX494QG6WH">#REF!</definedName>
    <definedName name="BExODLHR8XCIA7GPINMOWP92WW6X">#REF!</definedName>
    <definedName name="BExODLN76TYRU4VGN74WQSAEYGX4">#REF!</definedName>
    <definedName name="BExODUS94SY7ORP0NP6FGMOZILMN">#REF!</definedName>
    <definedName name="BExODVZEG7YD4YL6BH2D5XC4238G">#REF!</definedName>
    <definedName name="BExOEDTAQVKQ809MVO60LDUIHEZA">#REF!</definedName>
    <definedName name="BExOEF0H1PPEQ36QUHI5IC25K4IR">#REF!</definedName>
    <definedName name="BExOEIWQ6NF3WCBHWNLG5MP3U5TW">#REF!</definedName>
    <definedName name="BExOELRANGUYRVET6GYJNKEIATXG">#REF!</definedName>
    <definedName name="BExOEPSVQVTGQOKU9T5PLVS9H5TK">#REF!</definedName>
    <definedName name="BExOERLLC527S2ZCZYK1QTAS2CMT">#REF!</definedName>
    <definedName name="BExOERWDLBSF8OVX80TCWL1JWG47">#REF!</definedName>
    <definedName name="BExOF7HHTKTT7WZKASLBISGOG0WS">#REF!</definedName>
    <definedName name="BExOFD6HBIDFASJQEF9L9K7P616D">#REF!</definedName>
    <definedName name="BExOFOKHJJH4DJ3DFR4FXOQIPO62">#REF!</definedName>
    <definedName name="BExOFXPHF9CL4FE7HCMZ1I8EVVOU">#REF!</definedName>
    <definedName name="BExOFZ7F32CC2MBA1U3S9ZJQMJ75">#REF!</definedName>
    <definedName name="BExOG21UO0TN6AASJ9U795BITLHO">#REF!</definedName>
    <definedName name="BExOG63M9Z3EZO5SZIBFJDGTS0VX">#REF!</definedName>
    <definedName name="BExOG8743KBOZK63D1H0788CIDHX">#REF!</definedName>
    <definedName name="BExOG9ZV3LPT8VWHWERUUT9W3XML">#REF!</definedName>
    <definedName name="BExOGCE7GQNXQ5LT4GV5JY839ZR4">#REF!</definedName>
    <definedName name="BExOGGAGASO0JDM3KPP3LR2D3NVR">#REF!</definedName>
    <definedName name="BExOGIDYQSG4AO402BQTEB1H6AKH">#REF!</definedName>
    <definedName name="BExOGO89XDW1JBDURVO5UFABILIP">#REF!</definedName>
    <definedName name="BExOGUZ5JONZXPI8NFNW9NGXPPZL">#REF!</definedName>
    <definedName name="BExOGXTJZ1BNFF6DNWKY5VU0HOV3">#REF!</definedName>
    <definedName name="BExOH2ROAMNJHFIDG639KLE1BD8L">#REF!</definedName>
    <definedName name="BExOH3IJZBGF088V19XZ1BV831V4">#REF!</definedName>
    <definedName name="BExOH6NRWG7KWDZOTGHQV6L2LAV9">#REF!</definedName>
    <definedName name="BExOHEWKL7TST9NSELRRGELM874W">#REF!</definedName>
    <definedName name="BExOHJ94GKHYAIIN1B6LGGNWPHES">#REF!</definedName>
    <definedName name="BExOHLY6UGDLRFLRDD0A0PO214T8">#REF!</definedName>
    <definedName name="BExOHNAOSVYZOJF8IRUGDYGZ64T7" localSheetId="14">YTD #REF!</definedName>
    <definedName name="BExOHNAOSVYZOJF8IRUGDYGZ64T7" localSheetId="25">YTD #REF!</definedName>
    <definedName name="BExOHNAOSVYZOJF8IRUGDYGZ64T7" localSheetId="4">YTD #REF!</definedName>
    <definedName name="BExOHNAOSVYZOJF8IRUGDYGZ64T7" localSheetId="33">YTD #REF!</definedName>
    <definedName name="BExOHNAOSVYZOJF8IRUGDYGZ64T7">YTD #REF!</definedName>
    <definedName name="BExOHSE3NBO63JTGH6OQF966V024">#REF!</definedName>
    <definedName name="BExOHVE03WF6IS1YED5SFDN409NG">#REF!</definedName>
    <definedName name="BExOHYOP1RTQH5AFSG965DLSQIN0">#REF!</definedName>
    <definedName name="BExOINK8CRHIK0LM40WKWFDUW4D6">#REF!</definedName>
    <definedName name="BExOIS1XTLTDQQ5E7ITAZKF79TG3">#REF!</definedName>
    <definedName name="BExOIUWGJ1XHWI7S9U3OT3HFWN8Y">#REF!</definedName>
    <definedName name="BExOIV1Y5ZDQICW98V6X9E4EN6RU">#REF!</definedName>
    <definedName name="BExOIZP4NKCK9HXH36WGYT3W2B25">#REF!</definedName>
    <definedName name="BExOJ11PZG5PZOUXE6WXT6LB482N">#REF!</definedName>
    <definedName name="BExOJ4N22JFVQO7KRKJRNEHF4AGF">#REF!</definedName>
    <definedName name="BExOJ88J7GQZF2203PMPHIV94D4Y" localSheetId="14">Non #REF!</definedName>
    <definedName name="BExOJ88J7GQZF2203PMPHIV94D4Y" localSheetId="25">Non #REF!</definedName>
    <definedName name="BExOJ88J7GQZF2203PMPHIV94D4Y" localSheetId="4">Non #REF!</definedName>
    <definedName name="BExOJ88J7GQZF2203PMPHIV94D4Y" localSheetId="33">Non #REF!</definedName>
    <definedName name="BExOJ88J7GQZF2203PMPHIV94D4Y">Non #REF!</definedName>
    <definedName name="BExOJ8ZLKVKYK8PW89IA21S3LXJX">#REF!</definedName>
    <definedName name="BExOJ9ADRAGTGAA0MR8959SKT1I0">#REF!</definedName>
    <definedName name="BExOJMBNDA6LINGDDUJTTN6EYNAP">#REF!</definedName>
    <definedName name="BExOJOF7650JLCFI44W3SITZVAXW">#REF!</definedName>
    <definedName name="BExOJUEY8PXQ5ZE8E42P0P76A33N">#REF!</definedName>
    <definedName name="BExOJY0GBCVLLZMOUNWHIN0D423A">#REF!</definedName>
    <definedName name="BExOK2T3ISPBRRIVR0GV3JQP9DZS">#REF!</definedName>
    <definedName name="BExOK5NINBPLE4OD591WXAXMMOMQ">#REF!</definedName>
    <definedName name="BExOK8YCRXSPLYI6EEV1M1H4MIQR">#REF!</definedName>
    <definedName name="BExOKBCOBUEAA1SDJPOZ3FKQH2HY">#REF!</definedName>
    <definedName name="BExOKHN3OTPZF9YJRJES31HT4AS0">#REF!</definedName>
    <definedName name="BExOKPFMTFARH4OHFTYKBC53AEVC">#REF!</definedName>
    <definedName name="BExOKUOIMGUBLW1UJHOUZ993S57P">#REF!</definedName>
    <definedName name="BExOL02QWC6Z71QEZVQ7VGNYPH1N">#REF!</definedName>
    <definedName name="BExOL081Y66E2CC0E463HGSVZKBM">#REF!</definedName>
    <definedName name="BExOL62DLEQTGUL2FV7P6V39WA3X">#REF!</definedName>
    <definedName name="BExOL8WZ6ZB0TG6ZTK40BA9GNLDW">#REF!</definedName>
    <definedName name="BExOLDESUAHT2EB2CDZ5FHCK9Q45">#REF!</definedName>
    <definedName name="BExOLPUNBWNWQ20UG8LDDPQAR17T">#REF!</definedName>
    <definedName name="BExOLRHXGYTFDP1XWE5OP5VEYSVF">#REF!</definedName>
    <definedName name="BExOLYZMETJVQGBRFHA6K6QN9519">#REF!</definedName>
    <definedName name="BExOLZFVT87F6SNRQP2G2NV6LOFM">#REF!</definedName>
    <definedName name="BExOMDTN5BZ1DTPJEGQH4HSNU90A" localSheetId="14">In #REF! #REF!</definedName>
    <definedName name="BExOMDTN5BZ1DTPJEGQH4HSNU90A" localSheetId="25">In #REF! #REF!</definedName>
    <definedName name="BExOMDTN5BZ1DTPJEGQH4HSNU90A" localSheetId="4">In #REF! #REF!</definedName>
    <definedName name="BExOMDTN5BZ1DTPJEGQH4HSNU90A" localSheetId="39">In #REF! #REF!</definedName>
    <definedName name="BExOMDTN5BZ1DTPJEGQH4HSNU90A" localSheetId="33">In #REF! #REF!</definedName>
    <definedName name="BExOMDTN5BZ1DTPJEGQH4HSNU90A">In #REF! #REF!</definedName>
    <definedName name="BExOMW3ULC946N5NK13QHYPE3XYL">#REF!</definedName>
    <definedName name="BExON2UNY4RXOPIHTYPZ23YJG9PY">#REF!</definedName>
    <definedName name="BExON35A7ZITJWLZEI347P8VQS6K">#REF!</definedName>
    <definedName name="BExON3LK2LZ2D0ZCC1JWKDGCG068">#REF!</definedName>
    <definedName name="BExONFACD7PQFZWVEBXVGTU0L0Y6">#REF!</definedName>
    <definedName name="BExONPXBNGU1OZBI7CB0F0VPEZMU">#REF!</definedName>
    <definedName name="BExONQTT4WYHUMC9GGQZ3IILBS5M">#REF!</definedName>
    <definedName name="BExONTO9KLJDN56C1OWVXMF7SLVK">#REF!</definedName>
    <definedName name="BExOO4M07TIOWQUIF00E27BNHMRA">#REF!</definedName>
    <definedName name="BExOOI3JYOF1FVORXZUJTXCG44N9">#REF!</definedName>
    <definedName name="BExOORJIDSR3K16FJ3PC44UDLKMG">#REF!</definedName>
    <definedName name="BExOP0OIMJ7GA13RRJB3WBX14ZA3">#REF!</definedName>
    <definedName name="BExOP92N2IWISA2GQWE2XP2CU06V">#REF!</definedName>
    <definedName name="BExOPLCYQQZSAXWEMYYOOM86KOTI">#REF!</definedName>
    <definedName name="BExQ1J9GJJLAI7DICX1YV0L014E4">#REF!</definedName>
    <definedName name="BExQ1UY8K4B6YFF8Y0B43NQ9KD6E">#REF!</definedName>
    <definedName name="BExQ1VJTUG0OZH7RJMU3B8G7TMVN">#REF!</definedName>
    <definedName name="BExQ23CDXTNRCV8VC2I8WAVFQSZO">#REF!</definedName>
    <definedName name="BExQ2BQHUM2AHVAQ7W32VG2Z2R2M">#REF!</definedName>
    <definedName name="BExQ2NF9IT928H6NTZMOKJEZ9LLH">#REF! #REF!</definedName>
    <definedName name="BExQ2VYP4H8EA3UW2V0HYHI1EFPZ">#REF!</definedName>
    <definedName name="BExQ2YT9MSFFT41LGD38MF5IS5FG">#REF!</definedName>
    <definedName name="BExQ3OVYXY50FJR1TWVF8LWEADFE">#REF!</definedName>
    <definedName name="BExQ3SMQVYHHMB60013ISENP0XX2">#REF!</definedName>
    <definedName name="BExQ41H0J8YGGXYQFIORH14JEAO9">#REF!</definedName>
    <definedName name="BExQ4CV0IBGJPI2O4C6Z0KKZFCIT">#REF!</definedName>
    <definedName name="BExQ4ENPMPV76XCXUONHFQLDB8DK">#REF!</definedName>
    <definedName name="BExQ4I3WCN2OSPI7AIO03O8M6QAW">#REF!</definedName>
    <definedName name="BExQ5BS3BACSAHGPLPBZHXNQ3NPB">#REF!</definedName>
    <definedName name="BExQ5F2PWG9RC1XBN2I74MHI0KZI">#REF!</definedName>
    <definedName name="BExQ5H0TGB0JCAQB6D886C4ZLBJM">#REF!</definedName>
    <definedName name="BExQ5W5MO42XA5E09EH2CSXE38JL">#REF!</definedName>
    <definedName name="BExQ5X1Z28DZFUMOXL77IVL0L83U">#REF!</definedName>
    <definedName name="BExQ64ZZ92C45JKML7GX8T7WOP29">#REF!</definedName>
    <definedName name="BExQ68G59LHAADS9CTA410JMNIQN">#REF!</definedName>
    <definedName name="BExQ68LH0E5V264RKRRSBMA5HBDS">#REF!</definedName>
    <definedName name="BExQ68QQU25O00XZ77OD0MLUR4DD">#REF!</definedName>
    <definedName name="BExQ68QQUHHOPGSL1RFMZB6TAIB4">#REF!</definedName>
    <definedName name="BExQ6A8PR3JO52R61CS7RED2UM0N">#REF!</definedName>
    <definedName name="BExQ6AUA69S236TNLJPJUBBUKXGR">#REF!</definedName>
    <definedName name="BExQ6L15AS3IRTXTR1BTRSHZC2RZ">#REF!</definedName>
    <definedName name="BExQ6M8A2S4XW6APA06IG8IZ6YOJ">#REF!</definedName>
    <definedName name="BExQ6MZDE4AMI0ZETZU1ZQ3QD4ZG">#REF!</definedName>
    <definedName name="BExQ6Q9WNBPIB7ZN4RO0D7OESA6Q">#REF!</definedName>
    <definedName name="BExQ6QFDH8K2ZCG7RMLYBMUAR7JU">#REF!</definedName>
    <definedName name="BExQ76WRTGK8DHEMFII9X2WYNIPO">#REF!</definedName>
    <definedName name="BExQ7ANLGHSC5SGC8CPS4JUECCJ1">#REF!</definedName>
    <definedName name="BExQ7JY1G3C774150TRW4DGNKC0Q">#REF!</definedName>
    <definedName name="BExQ7M1KKU6E5FO2HJHR1XJ5IS9P">#REF!</definedName>
    <definedName name="BExQ8F9HLNTYWE6MBVF45OX81IPN">#REF!</definedName>
    <definedName name="BExQ8HNYD5UMV75IXF2L8HPU4AK5">#REF!</definedName>
    <definedName name="BExQ8Q21VFXL5FACCD27M8KM0HT2">#REF!</definedName>
    <definedName name="BExQ8V5DUZPYEA5AR6YV33R92YN5">#REF!</definedName>
    <definedName name="BExQ93E4UY6B0ZVGFP81NR8KCG5W">#REF!</definedName>
    <definedName name="BExQ94FT9OHV8I05PRP0QU11ZMDB">#REF!</definedName>
    <definedName name="BExQ9CTZ0TSG9OD6TJKN3N5DRAU5">#REF!</definedName>
    <definedName name="BExQ9FJ1A0N1QBMCAQXNIYGCOP0T">#REF!</definedName>
    <definedName name="BExQ9G4MZPFUHHQAWQR87VFH71FQ">#REF!</definedName>
    <definedName name="BExQ9N6AC7BNMWJ1240MTJIRNYCY">#REF!</definedName>
    <definedName name="BExQ9TM5LDTSRSRSXM1L32EPENS1">#REF!</definedName>
    <definedName name="BExQ9ZLXF2A6CQSO0HDWJXHR0G0O">#REF!</definedName>
    <definedName name="BExQA13VOMQS1Y86WSGFTNZ1TVCL">#REF!</definedName>
    <definedName name="BExQADJKYNH00AV6TLD429ULN75C">#REF!</definedName>
    <definedName name="BExQAM8H81HOZ3ISJT103GR6LBR3">#REF!</definedName>
    <definedName name="BExQARBWQL6CHKGEWZS6QXAK21HH">#REF!</definedName>
    <definedName name="BExQBDYMMYC23T1WG158A3ZXJV0A">#REF!</definedName>
    <definedName name="BExQBIWJOP5TSAGNOOSQ0YN218QB">#REF!</definedName>
    <definedName name="BExQBLLMRREHYTXSRLV8QQV6H73W">#REF!</definedName>
    <definedName name="BExQBPSQ9F2VH2H2CB3TENVQ9ML3">#REF!</definedName>
    <definedName name="BExQBT3EA05X0XQK2C4E11QSU3GF">#REF!</definedName>
    <definedName name="BExQBWZNUILVDO350Q7NK1Z2R20P">#REF!</definedName>
    <definedName name="BExQBZZK71FCEFMLX73RD2ULZEDR">#REF!</definedName>
    <definedName name="BExQC4BXSE28T3DML9CRIWLEO83G">#REF!</definedName>
    <definedName name="BExQC5DSLE3NW8TMPRB7F1TLAEFE">#REF!</definedName>
    <definedName name="BExQCBZ5DG3Y6OYQ75YHA5891YY0">#REF!</definedName>
    <definedName name="BExQCHO5M1TDCNWBSOWSHLPHT4G9">#REF!</definedName>
    <definedName name="BExQCHYXIV22KZSFM8WOSL2D4JJG">#REF!</definedName>
    <definedName name="BExQCJGR1OWX1OI9KKE07MFFW2Q2">#REF!</definedName>
    <definedName name="BExQCLKETZ3JH5H4C0C3O257O9DZ">#REF!</definedName>
    <definedName name="BExQCR3XM1QPEH4K9BN0F6DP6S36">#REF!</definedName>
    <definedName name="BExQCX974KTMAJMP7EVO6ZDWCG73">#REF!</definedName>
    <definedName name="BExQCY5L2T9FR1MLO1E8AMFEHURZ">#REF!</definedName>
    <definedName name="BExQD51LP1XKMK1JGP2DQSSNVE5M">#REF!</definedName>
    <definedName name="BExQDHS8DIAP1LVI0VQOXZLK4YO7">#REF!</definedName>
    <definedName name="BExQDK6DDDU7C7LMVG69120DD9ZO">#REF!</definedName>
    <definedName name="BExQDNBQU25WU68KC0HGHXDCP0RJ">#REF!</definedName>
    <definedName name="BExQDNRZJXGTS2WZSCRN7JJQN8EU">#REF!</definedName>
    <definedName name="BExQDX2C9A1GYYIGMVYBHCAFV4M5">#REF!</definedName>
    <definedName name="BExQDX7TWUL6YVLJ2THPU8Q698DE">#REF!</definedName>
    <definedName name="BExQE143CGE43NHT26ERG57DBA00">#REF!</definedName>
    <definedName name="BExQE2GP0POQ314KXG8V58BXIW53">#REF!</definedName>
    <definedName name="BExQE43Y9JZD57VUCMVI5TWV9R3D">#REF!</definedName>
    <definedName name="BExQE9NJCMNSN9UGUPN5FIR9FOXL">#REF!</definedName>
    <definedName name="BExQEJ8S9IZ4N9PNNKRJ9RJS0E9E">#REF!</definedName>
    <definedName name="BExQEOHOJUOYT947GINDQKT5966Y">#REF!</definedName>
    <definedName name="BExQEQ4XCH6ELDYIA8JAY4S4QEK9">#REF!</definedName>
    <definedName name="BExQETQENL92S1OR040UM8IJ6CMZ">#REF!</definedName>
    <definedName name="BExQFCBD7E2UPY01181U6XHGEQ6W">#REF!</definedName>
    <definedName name="BExQFNELXBZ2SBVPB6ZAO46V906G">#REF!</definedName>
    <definedName name="BExQG1SGXCBOGYDYQZ9UXVIHUBV8">#REF!</definedName>
    <definedName name="BExQG5JA3Y3FDUEWXOC14719D0IQ">#REF!</definedName>
    <definedName name="BExQGAS6DUG51NM4E1ODWIHN0QDP">#REF!</definedName>
    <definedName name="BExQGDMLTGV91Y7JF9PG8YC3FVMV">#REF!</definedName>
    <definedName name="BExQGIVI0T1E2EYQH6FHZ2KFDVML">#REF!</definedName>
    <definedName name="BExQGUKA7CUGRU4FDXA1T5IF4VPM">#REF!</definedName>
    <definedName name="BExQGWIC8SV4NV0K1EY78SQ8HN9Q">#REF!</definedName>
    <definedName name="BExQH03TWXHHZIU24KUS0RJ1G67N">#REF!</definedName>
    <definedName name="BExQH6UHQE47T0S2PZ0FTEMKV6VN">#REF!</definedName>
    <definedName name="BExQHE1HZ2WB6S5M9P40R8AZHBR6">#REF!</definedName>
    <definedName name="BExQHKHJ7LEUNJ2JV812NXFLACXA">#REF!</definedName>
    <definedName name="BExQHQHB5BRXPNS8WTX4IJJKG8VI">#REF!</definedName>
    <definedName name="BExQHRTS3P86XQH6NBH0YMPD6XJM">#REF!</definedName>
    <definedName name="BExQHTMHZEV13LKWW9WW0K274B3L">#REF!</definedName>
    <definedName name="BExQHXO9KIETXK8QZ99MPPUI2BJK">#REF!</definedName>
    <definedName name="BExQI2X0UHVC5XS80MBQG619R56W">#REF!</definedName>
    <definedName name="BExQI4PQ82KQ0NV82MLI4BPOCXJJ">#REF!</definedName>
    <definedName name="BExQI8LZICC2UBSC90DNWGKYXFSD">#REF!</definedName>
    <definedName name="BExQIISULKKU5XZLOB2UDKCWVVFQ">#REF!</definedName>
    <definedName name="BExQIWFOMIVYOPEIVT1U1O1TEKML">#REF!</definedName>
    <definedName name="BExQJFROCF8JJ9VZ21LKS5SGVVDM">#REF!</definedName>
    <definedName name="BExQJM7LP4VZ5TKITDPHN6XEW7O7">#REF!</definedName>
    <definedName name="BExQJY77J0JDD19QA7C60QLU4AHM">#REF!</definedName>
    <definedName name="BExQJY782FIZAB6Q6XZ3IBAN2QD1">#REF!</definedName>
    <definedName name="BExQL8YDYNW0JXAB3RAYNKW6RPPI">#REF!</definedName>
    <definedName name="BExQLNN2D1H4AQMYWK0QLMZ74ZMR">#REF!</definedName>
    <definedName name="BExRXVVPGDW0ZKLC5SG7Y62V8X3H">#REF!</definedName>
    <definedName name="BExRY3DGTXMKKJLIHBFJ63AXZC2B">#REF!</definedName>
    <definedName name="BExRY5GZZ3T1STDJHAJV23M34OOO">#REF!</definedName>
    <definedName name="BExRYDV3K5PWJYHU9PBLT5KYWNI5">#REF!</definedName>
    <definedName name="BExRYH5S4L6AEQ5ZGBBERO29GLBX">#REF!</definedName>
    <definedName name="BExRYLCU1PB4EWO6T1AW03KVN6N0">#REF!</definedName>
    <definedName name="BExRYTQY5J6Y2YZM4V7URALEU0NZ">#REF!</definedName>
    <definedName name="BExRYW5A1LN3ABZBPJ9J1H85ZPHB">#REF!</definedName>
    <definedName name="BExRZ4ZH4AFFGKFA5VTZW1DWDBQL">#REF!</definedName>
    <definedName name="BExRZ9C037KEQIZ96JYU2CD1CCPY">#REF!</definedName>
    <definedName name="BExRZB4RFMGSKG0X8TVS3ZVW2X9Y">#REF!</definedName>
    <definedName name="BExRZHFCHP1ZQ6BFW8BH5RAWYGNL">#REF!</definedName>
    <definedName name="BExRZNF3XXL8Q7YFRZJCL5G9VN91">#REF!</definedName>
    <definedName name="BExRZXLZ62H4GMHN5H8B01DZKI98">#REF!</definedName>
    <definedName name="BExRZY22NHNI3XXLS98FHUHMZBSM">#REF!</definedName>
    <definedName name="BExS03WL8EXBQERYA3Q98IP9O5TX">#REF!</definedName>
    <definedName name="BExS08EDUT9SPI71798MC9TWYQVF">#REF!</definedName>
    <definedName name="BExS0FLBQSKLT8YW8P2DP0XEQEYX">#REF!</definedName>
    <definedName name="BExS0T87CPSCIMAX88F4AFJ3SSVA">#REF!</definedName>
    <definedName name="BExS0TDILL8XYSIMHKYAI5XCLRVK">#REF!</definedName>
    <definedName name="BExS0ZO3Q81GNRXFME4NJUL2OT9J">#REF!</definedName>
    <definedName name="BExS11MA2M7BP1JMS0R4DYTVZW7P">#REF!</definedName>
    <definedName name="BExS14GQ0L91RCGI1R5RICNVX1HX">#REF!</definedName>
    <definedName name="BExS17REJB944KNH2M1T16CZ7Z5V">#REF!</definedName>
    <definedName name="BExS1F9AHU7EFQQTG9T20JVMBEJH">#REF!</definedName>
    <definedName name="BExS1IK1269WZZPH32DU537G9UTQ">#REF!</definedName>
    <definedName name="BExS1NCGOVV9SER8POYTB71QKTI0">#REF!</definedName>
    <definedName name="BExS1T6Y64E5E1G81LTSBXAUFC2N">#REF!</definedName>
    <definedName name="BExS2330B75V71W9RKLP5DB1R21V">#REF!</definedName>
    <definedName name="BExS24A64BPOWLYMORRETQ7GUB6W">#REF!</definedName>
    <definedName name="BExS2B6B72841L22ODRPWG9PQ06M">#REF!</definedName>
    <definedName name="BExS2Q5OQZOQN7LZLE5Q1ULT1NYJ">#REF!</definedName>
    <definedName name="BExS2W5FYOZDWNT4G0C2PFTLIAX4">#REF!</definedName>
    <definedName name="BExS2YEGHENVS4E8BM5N45QO9QV7">#REF!</definedName>
    <definedName name="BExS33CDY35TTZW7Y75G42FPC01F">#REF!</definedName>
    <definedName name="BExS39C6QRDIGVYEVTPIJWYIJVJJ">#REF!</definedName>
    <definedName name="BExS3D2YUJ3LA2S72L3CIP4TE8MR">#REF!</definedName>
    <definedName name="BExS3E4TKBWYHBI4PRASKDAJF7S3">#REF!</definedName>
    <definedName name="BExS3FS9F4DSOZ27JJX80MS3AYLL">#REF!</definedName>
    <definedName name="BExS3KA3CVZ89OR39YT4KGLVMJPZ">#REF!</definedName>
    <definedName name="BExS3KFF6VX3FMP0W6FPTMSHKPUA">#REF!</definedName>
    <definedName name="BExS3M84IJHJ6Z5C1GXKQHHD3BZ7">#REF!</definedName>
    <definedName name="BExS3PZ38OT4NDE1W5SNIBLIQQSV">#REF!</definedName>
    <definedName name="BExS3TV8F9LMCM8NARICC75PVSVI">#REF!</definedName>
    <definedName name="BExS3VD6D3JX15YR4HV3478I8LJ3">#REF!</definedName>
    <definedName name="BExS3XM6OK32QCRFEP7X3GQOSSRK">#REF!</definedName>
    <definedName name="BExS4A1VBQWKBHRIRD1MXA5HR0M4" localSheetId="14">In #REF! #REF!</definedName>
    <definedName name="BExS4A1VBQWKBHRIRD1MXA5HR0M4" localSheetId="25">In #REF! #REF!</definedName>
    <definedName name="BExS4A1VBQWKBHRIRD1MXA5HR0M4" localSheetId="4">In #REF! #REF!</definedName>
    <definedName name="BExS4A1VBQWKBHRIRD1MXA5HR0M4" localSheetId="39">In #REF! #REF!</definedName>
    <definedName name="BExS4A1VBQWKBHRIRD1MXA5HR0M4" localSheetId="33">In #REF! #REF!</definedName>
    <definedName name="BExS4A1VBQWKBHRIRD1MXA5HR0M4">In #REF! #REF!</definedName>
    <definedName name="BExS4ACN00V1SAP9OJGY8M7OZ6LX">#REF!</definedName>
    <definedName name="BExS4DHZN968PRUYAE0CF7JKJR7G">#REF!</definedName>
    <definedName name="BExS4I54PMMAVDI4ZTG0KU9PQ6HJ">#REF!</definedName>
    <definedName name="BExS4PC3MY50GO1V91RBG4CR4BV5">#REF!</definedName>
    <definedName name="BExS4QDYSYQ30O6URZGFVX4C74UL">#REF!</definedName>
    <definedName name="BExS4T32HKRK5K0Q53HQ5N1NV72O">#REF!</definedName>
    <definedName name="BExS4TDUMPK5MQFIPA5B09VUC8KZ">#REF!</definedName>
    <definedName name="BExS55IQXIFFE1I0RJBFKZJZKJUU">#REF!</definedName>
    <definedName name="BExS569MDNXP0QPQAIXD0AODUNO4">#REF!</definedName>
    <definedName name="BExS5760U8ZMLZ11DW2OQ0YWRJ0B">#REF!</definedName>
    <definedName name="BExS5A0L8AKJHVXUU257WFUXL757">#REF!</definedName>
    <definedName name="BExS5ECYHWRI951Y95DC3N69K3MV">#REF!</definedName>
    <definedName name="BExS5NY80ZVS539HJ6USF7CVEXMZ">#REF!</definedName>
    <definedName name="BExS5R3MI5QAFOCZU6SQY8T21MXR">#REF!</definedName>
    <definedName name="BExS5VLGCIENZXVKQO4S36Q69200">#REF!</definedName>
    <definedName name="BExS5ZXU3U54HFARBQHLBD5FQET3">#REF!</definedName>
    <definedName name="BExS60OVONPARZVIOH9DIL64CEK6">#REF!</definedName>
    <definedName name="BExS6AKWJFMBF6OYUP6VHDQ30K07">#REF!</definedName>
    <definedName name="BExS6KBIBGDNLTQ5WGFPMTQGTGH9">#REF!</definedName>
    <definedName name="BExS6NROQHU3YN7ZT5RKJR2T2VI2">#REF!</definedName>
    <definedName name="BExS6TRI8K48BLRPBGDSYQI956GQ" localSheetId="14">Non #REF!</definedName>
    <definedName name="BExS6TRI8K48BLRPBGDSYQI956GQ" localSheetId="25">Non #REF!</definedName>
    <definedName name="BExS6TRI8K48BLRPBGDSYQI956GQ" localSheetId="4">Non #REF!</definedName>
    <definedName name="BExS6TRI8K48BLRPBGDSYQI956GQ" localSheetId="33">Non #REF!</definedName>
    <definedName name="BExS6TRI8K48BLRPBGDSYQI956GQ">Non #REF!</definedName>
    <definedName name="BExS6UIDOHXWV52XCIXH91UB97CA">#REF!</definedName>
    <definedName name="BExS6WGERDL27EAGCU1DVRUWPLGJ">#REF!</definedName>
    <definedName name="BExS73I230RMYD2O7G9EDA844WCH">#REF!</definedName>
    <definedName name="BExS7973I31U14A7UFQTOHWASAYY">#REF!</definedName>
    <definedName name="BExS7AE7RQH75ADKNDI6N7BL7T67">#REF!</definedName>
    <definedName name="BExS7FC5JIF199EK5OB3OJAXQ790">#REF!</definedName>
    <definedName name="BExS7FXR00WNJHC6MA79RSD6R929">#REF!</definedName>
    <definedName name="BExS7GJAD07UMIB9OSLJUSRLR1EW">#REF!</definedName>
    <definedName name="BExS7H4XNG6RNXA8R1JF8F4K2P7O">#REF!</definedName>
    <definedName name="BExS7HVYI0YHFE6GZIYX62D90JLF">#REF!</definedName>
    <definedName name="BExS7J8FUWQ1XQAXI43ZFEQAWWTW">#REF!</definedName>
    <definedName name="BExS7SIWIEMCQ9FF718ZK7EPGOH6">#REF!</definedName>
    <definedName name="BExS7W9VGVI337LGCXTFSPBFP83K">#REF!</definedName>
    <definedName name="BExS7WF5S1CRGDULJMDP5SE2GJEF">#REF!</definedName>
    <definedName name="BExS800MQZKIND3GI6ZSN21IO44L">#REF!</definedName>
    <definedName name="BExS8LWA88EE1FQM598RANFOVEUP">#REF!</definedName>
    <definedName name="BExS8UAEAKIZDV8H65R5KQSOLK2Z">#REF!</definedName>
    <definedName name="BExS8XL36QFEOQW147A0B6SCZNYN">#REF!</definedName>
    <definedName name="BExS93A4AHLD9XZD8QAOIGVGVPUR">#REF!</definedName>
    <definedName name="BExS9B2M3AKGI1GAZ995IVJGK4PJ">#REF!</definedName>
    <definedName name="BExS9CVC918V5NQ9QBAXZG0U7KAU">#REF!</definedName>
    <definedName name="BExS9GBDDX2KTYX9NMXUNEGCHO59">#REF!</definedName>
    <definedName name="BExS9HNU6YI1E6U27ZLE7SNBTA9R">#REF!</definedName>
    <definedName name="BExS9K7NGKGIHEA7PL79C27XAQ7L">#REF!</definedName>
    <definedName name="BExS9Q7FEQ8AEH8JU223J1EK7XDH">#REF!</definedName>
    <definedName name="BExS9VLMUIIT0NYI1DPR8XS7VQT8">#REF!</definedName>
    <definedName name="BExSA1AN5GQ29YASYSMD1QHMITLX">#REF!</definedName>
    <definedName name="BExSA8SDYYFP2R8TT9B57FZ2DJ4B">#REF!</definedName>
    <definedName name="BExSAK0XSV4VNDN1LM42RHSP0QSI">#REF!</definedName>
    <definedName name="BExSAQ0PPJ4VYCD22EZ8WCQYZEZJ">#REF!</definedName>
    <definedName name="BExSAWWW1PRVCG908UBHT5UY16CD">#REF!</definedName>
    <definedName name="BExSAZ5VFW0RAUZTXVZSXCMZ9ORM">#REF!</definedName>
    <definedName name="BExSB3I7QIFI1IP2UNWB7JI87Q8J">#REF!</definedName>
    <definedName name="BExSB3T0N658I21TWT1YPOO8YWFY">#REF!</definedName>
    <definedName name="BExSB3YCETK50M1DIUVUASDEOQX5">#REF!</definedName>
    <definedName name="BExSB43SSILW2UCA971F66XS65ER">#REF!</definedName>
    <definedName name="BExSBGZRTJ58KRHDXNGYGJ6ZB6EA">#REF!</definedName>
    <definedName name="BExSBNL66CFNWV5N45YIVFSR0K0O">#REF!</definedName>
    <definedName name="BExSBSTWHJT91FJVDFXM64N2H80C">#REF!</definedName>
    <definedName name="BExSC1O9FAYZB06ZBE0DLRYLXTFV">#REF!</definedName>
    <definedName name="BExSC95U5MEDKA6P6D2ZPDMNN09L">#REF!</definedName>
    <definedName name="BExSCFWOHMDA701X1UBXP21Z2RSD">#REF!</definedName>
    <definedName name="BExSCOG43ACLBTKFXCFREZ29Y8IY">#REF!</definedName>
    <definedName name="BExSCSSNSVNRTFRO4NDU1D947Y3E">#REF!</definedName>
    <definedName name="BExSCZ8JUV485OEAU1U7EMWWOL1I">#REF!</definedName>
    <definedName name="BExSD5DS1LKP158WCTWGZK7O3EKJ">#REF!</definedName>
    <definedName name="BExSD8J1AY9XISG9M1SK0XG4CVUH">#REF!</definedName>
    <definedName name="BExSD94M8OTH8UVR8NLL35839QDR">#REF!</definedName>
    <definedName name="BExSDC9YDS7KH2YD6QYZVU3M29VU">#REF!</definedName>
    <definedName name="BExSDD0VMSUSU928SMM1H43YH4U8">#REF!</definedName>
    <definedName name="BExSDHIPQBU3WU1IRFL5FB2EVKMI">#REF!</definedName>
    <definedName name="BExSDHTISYKWDEWK0K0RDYF9AC4K">#REF!</definedName>
    <definedName name="BExSDO9DWT17S5QYZL22BTZ9ZM6H">#REF!</definedName>
    <definedName name="BExSE15HJFUZZQTTBCDDCXZTO9R5">#REF!</definedName>
    <definedName name="BExSE1G4ZBTKS8YGKC9XU9RQ4MHG">#REF!</definedName>
    <definedName name="BExSE8HRZ0VXFFTW7H0AGT898ZSE">#REF!</definedName>
    <definedName name="BExSEIDT5QXQJ6AWXE56M181OUAK">#REF!</definedName>
    <definedName name="BExSEROAF0AY79TH2ATTQ0KPS1M1">#REF!</definedName>
    <definedName name="BExSESVHQ4963V9Y2Y3BJGELS75O">#REF!</definedName>
    <definedName name="BExSEWMAABFOIWE97MFLHWVTYMPK">#REF!</definedName>
    <definedName name="BExSF2B9QR868BNZU6MY4G96ZRL0">#REF!</definedName>
    <definedName name="BExSFAEL6GONVZQ16YWIVEMSVUH4">#REF!</definedName>
    <definedName name="BExSFBWJBZ7SGRJ82CGR71A2YG45">#REF!</definedName>
    <definedName name="BExSFXMODHKSCJGLBLBE9WYMV3BO">#REF!</definedName>
    <definedName name="BExSG4OBLAHVSNI1D08UGWLJJ3R0">#REF!</definedName>
    <definedName name="BExSGTZZ87S8KIDTTVTETAALG68M">#REF!</definedName>
    <definedName name="BExSHZCZNXENCJJDK7PX4O1T0VGH">#REF!</definedName>
    <definedName name="BExSI2YFQVF2YXM6PJHDY3O14NBZ">#REF!</definedName>
    <definedName name="BExTT8DX3BOUMRAEHXP71FONI86F">#REF!</definedName>
    <definedName name="BExTT9VTVC6BYINZC638AM7OHMNG">#REF!</definedName>
    <definedName name="BExTUHSG891ZYSYD19WZ20WCZRAT">#REF!</definedName>
    <definedName name="BExTUYVG9B3J10M2UAZ828F5V8ZZ">#REF!</definedName>
    <definedName name="BExTV7V4PR26WOM1HO27TC9SJ51Y">#REF!</definedName>
    <definedName name="BExTVC26GW3SU1SK55ZT9RWGYEZD">#REF!</definedName>
    <definedName name="BExTVP8Y43YIHNOZZSSUWKLK10HF">#REF!</definedName>
    <definedName name="BExTW8VQBIMYZVU4ZIGX7NJDZRQF">#REF!</definedName>
    <definedName name="BExTX35CURCC5JVSPCYESRL61IXW">#REF!</definedName>
    <definedName name="BExTX41OZ2ADZUVQF7RO81LA8PAL" localSheetId="14">In #REF! #REF!</definedName>
    <definedName name="BExTX41OZ2ADZUVQF7RO81LA8PAL" localSheetId="25">In #REF! #REF!</definedName>
    <definedName name="BExTX41OZ2ADZUVQF7RO81LA8PAL" localSheetId="4">In #REF! #REF!</definedName>
    <definedName name="BExTX41OZ2ADZUVQF7RO81LA8PAL" localSheetId="39">In #REF! #REF!</definedName>
    <definedName name="BExTX41OZ2ADZUVQF7RO81LA8PAL" localSheetId="33">In #REF! #REF!</definedName>
    <definedName name="BExTX41OZ2ADZUVQF7RO81LA8PAL">In #REF! #REF!</definedName>
    <definedName name="BExTXG19Z2JN756WKRKTW2LUJ1IR">#REF!</definedName>
    <definedName name="BExTXHZBG8U339NXJ257151ZHYNS">#REF!</definedName>
    <definedName name="BExTXHZI98IP0XH570ELSK2F72R1">#REF!</definedName>
    <definedName name="BExTXIVUTR9RGO957I938O5KXBHR" localSheetId="14">Non #REF!</definedName>
    <definedName name="BExTXIVUTR9RGO957I938O5KXBHR" localSheetId="25">Non #REF!</definedName>
    <definedName name="BExTXIVUTR9RGO957I938O5KXBHR" localSheetId="4">Non #REF!</definedName>
    <definedName name="BExTXIVUTR9RGO957I938O5KXBHR" localSheetId="33">Non #REF!</definedName>
    <definedName name="BExTXIVUTR9RGO957I938O5KXBHR">Non #REF!</definedName>
    <definedName name="BExTXJMRZSCVMYMGUVP5ZQOZ0C60">#REF!</definedName>
    <definedName name="BExTYO37QEKZ5YB47I67BB7AQE95">#REF!</definedName>
    <definedName name="BExTYO8O3VZ1SQJ6C7S193VGSZVF">#REF!</definedName>
    <definedName name="BExTYOZQKI0AKPJ412UQBSUKXAR6">#REF!</definedName>
    <definedName name="BExTYZ14BGUOY11GU0Q34CS10YKS">#REF!</definedName>
    <definedName name="BExTZCDBSJE8JT7OTAJI3XDYU647">#REF!</definedName>
    <definedName name="BExTZFNVC7751Z3WCG07E4LZ6Q2H">#REF!</definedName>
    <definedName name="BExU07JBALFVYMNQCQVLJ7EU2RZF">#REF!</definedName>
    <definedName name="BExU0GIZ59WT1G0S13PNRW0KX91V">#REF!</definedName>
    <definedName name="BExU0H9V105C030SPIHUZO0SSAJC">#REF!</definedName>
    <definedName name="BExU0IBQLBEPPUHZVJI0USMEB18D">#REF!</definedName>
    <definedName name="BExU0ORN6PV32K4IA37J4D1F2YZJ">#REF!</definedName>
    <definedName name="BExU0RBDXFLCM54Y6LCIGRUJXX3Y">#REF!</definedName>
    <definedName name="BExU0TEY1DTG5Y1GPEV3ZH678CGB" localSheetId="14">Non #REF!</definedName>
    <definedName name="BExU0TEY1DTG5Y1GPEV3ZH678CGB" localSheetId="25">Non #REF!</definedName>
    <definedName name="BExU0TEY1DTG5Y1GPEV3ZH678CGB" localSheetId="4">Non #REF!</definedName>
    <definedName name="BExU0TEY1DTG5Y1GPEV3ZH678CGB" localSheetId="33">Non #REF!</definedName>
    <definedName name="BExU0TEY1DTG5Y1GPEV3ZH678CGB">Non #REF!</definedName>
    <definedName name="BExU0ZPINNZSAP5D3URLBJJ934ZA">#REF!</definedName>
    <definedName name="BExU1ASQON63VM6T4VD9EAWIMJY6">#REF!</definedName>
    <definedName name="BExU1BEBUHLTAIXRGKSEQBPPV0EP">#REF!</definedName>
    <definedName name="BExU1GCA93GTEYKQERPQLNUE1TDC">#REF!</definedName>
    <definedName name="BExU1GN1GAX8PY3PQ7EAHN1C4E21">#REF!</definedName>
    <definedName name="BExU1S12TQ8ACFG6N7FNGKX3HVJH">#REF!</definedName>
    <definedName name="BExU20VABCOACWNS4EN9D8TKPF26">#REF!</definedName>
    <definedName name="BExU222MVRH5JYWCOFJ9GXLCXMIH">#REF!</definedName>
    <definedName name="BExU270KJ9TBVUHMRR81XXAD9ZHR">#REF!</definedName>
    <definedName name="BExU29PMQJJPOM0V9ZIO5GY7SW6W">#REF!</definedName>
    <definedName name="BExU2ARCHX7CL7AEY1XN7FXZ8NNT">#REF!</definedName>
    <definedName name="BExU2MLM7K8BM38VRPDYZ2ZNBKPR">#REF!</definedName>
    <definedName name="BExU2UZQ0ICLYGEAS1PK6CFCEVRI">#REF!</definedName>
    <definedName name="BExU34FIQR3G22D3QGOIQ2DRUZYP">#REF!</definedName>
    <definedName name="BExU3AQ3OK2T7HRXB1L11NYJNAOK">#REF!</definedName>
    <definedName name="BExU3F7XO13F99MKMHC5HLUKC547">#REF!</definedName>
    <definedName name="BExU3GF2JVE0QQNPPYEZE4M0CV74">#REF!</definedName>
    <definedName name="BExU3LNU0WC4LDD1HU3HVTFE2UDA">#REF!</definedName>
    <definedName name="BExU3QGHWNU0L0AQVY878VV9265R">#REF!</definedName>
    <definedName name="BExU43CFCHTXLWMVCDNBI3MMWUFT">#REF!</definedName>
    <definedName name="BExU4PIVDDRTK4PL6YX5JP78TQSO">#REF!</definedName>
    <definedName name="BExU4RBL4EEHGMGKS4PI3D0RSQJ2">#REF!</definedName>
    <definedName name="BExU4XGTT9QQY55PZWK5UDX2LH99" localSheetId="14">Non #REF!</definedName>
    <definedName name="BExU4XGTT9QQY55PZWK5UDX2LH99" localSheetId="25">Non #REF!</definedName>
    <definedName name="BExU4XGTT9QQY55PZWK5UDX2LH99" localSheetId="4">Non #REF!</definedName>
    <definedName name="BExU4XGTT9QQY55PZWK5UDX2LH99" localSheetId="33">Non #REF!</definedName>
    <definedName name="BExU4XGTT9QQY55PZWK5UDX2LH99">Non #REF!</definedName>
    <definedName name="BExU547JKPVH031DSXX8NLJN61JF">#REF!</definedName>
    <definedName name="BExU5HZUUB17QBPE73AFKVFGN0ZE">#REF!</definedName>
    <definedName name="BExU5PC4FDM9IHGVUZ4K9BG48UG3">#REF!</definedName>
    <definedName name="BExU6BTCTAJH0F480XFUB95PUKKZ">#REF!</definedName>
    <definedName name="BExU6DWVR7KJHGSDNX6JENJYREKT">#REF!</definedName>
    <definedName name="BExU6F9D1BIB0O2TV2P8P9OY3EXP">#REF!</definedName>
    <definedName name="BExU6I3XX2M1XQ6B1ZUDO8M28MX0">#REF!</definedName>
    <definedName name="BExU6IUUCN7NHAEFQYDLV1XNX4LB">#REF!</definedName>
    <definedName name="BExU6JB48JRJTTWCPJQI8WESG1NA">#REF!</definedName>
    <definedName name="BExU6JLW5SDES2VRNAE1HF6WYWEF">#REF!</definedName>
    <definedName name="BExU7FIWMH4GTP1GG30NWYZEQ71C">#REF!</definedName>
    <definedName name="BExU7FOE6F1ARCSA990SWSWHTKWP">#REF!</definedName>
    <definedName name="BExU7H0VJXW4REJGB2G7EV53EPM4">#REF!</definedName>
    <definedName name="BExU7RNTI6QDUCWZDGSQOMA1VQC5">#REF!</definedName>
    <definedName name="BExU7SV5AN9SPTZRQP4CAQJWX4H8">#REF!</definedName>
    <definedName name="BExU7TWTB2XY4CMJUKO7XT796QH4">#REF!</definedName>
    <definedName name="BExU7UT6U636SXTQM0XZUS58LSLK">#REF!</definedName>
    <definedName name="BExU7WWQ2BRIYHVTN8U8FY0HOHR4">#REF!</definedName>
    <definedName name="BExU7ZLSVCZXQHZDAAOQFC0RKE9C">#REF!</definedName>
    <definedName name="BExU8GOV0LASVQEOJS1QWFJ65SBB">#REF!</definedName>
    <definedName name="BExU8IHKYV3C3IC1ZF10J1TZ28V0">#REF!</definedName>
    <definedName name="BExU8M2V0CBAB6CIGQ2C4WP0QO71">#REF!</definedName>
    <definedName name="BExU8VDIAUTNPWLOK776GP8PRIOL">#REF!</definedName>
    <definedName name="BExU930LITVNZGAVLSIQBGM9OKW1">#REF!</definedName>
    <definedName name="BExU960G8W0JGLVCNNYN2PTDQY2W">#REF!</definedName>
    <definedName name="BExU97CXN9K7W0ARMVOPOOPJU92I">#REF!</definedName>
    <definedName name="BExU9JCJ3HKTU6EH4X7OQP9XD8AH">#REF!</definedName>
    <definedName name="BExU9NUKD8HUDZMHPPGB9NT77HPA" localSheetId="14">YTD #REF!</definedName>
    <definedName name="BExU9NUKD8HUDZMHPPGB9NT77HPA" localSheetId="25">YTD #REF!</definedName>
    <definedName name="BExU9NUKD8HUDZMHPPGB9NT77HPA" localSheetId="4">YTD #REF!</definedName>
    <definedName name="BExU9NUKD8HUDZMHPPGB9NT77HPA" localSheetId="33">YTD #REF!</definedName>
    <definedName name="BExU9NUKD8HUDZMHPPGB9NT77HPA">YTD #REF!</definedName>
    <definedName name="BExU9TE1Y7J5QXGZHGWYMHE2WLVQ">#REF!</definedName>
    <definedName name="BExU9W8GKLMS2MAI3F15ARQJ8PWJ">#REF!</definedName>
    <definedName name="BExUA1HCVZQ3Q7AR9XDJC4RQFLJI">#REF!</definedName>
    <definedName name="BExUAC4CFMV8NVKU1J3YSVRKLC1F">#REF!</definedName>
    <definedName name="BExUADRMA0XVYVF6U89C9OJM8RP8">#REF!</definedName>
    <definedName name="BExUATI558PTYMWQB9DEK5JBJ3R3" localSheetId="14">YTD #REF!</definedName>
    <definedName name="BExUATI558PTYMWQB9DEK5JBJ3R3" localSheetId="25">YTD #REF!</definedName>
    <definedName name="BExUATI558PTYMWQB9DEK5JBJ3R3" localSheetId="4">YTD #REF!</definedName>
    <definedName name="BExUATI558PTYMWQB9DEK5JBJ3R3" localSheetId="33">YTD #REF!</definedName>
    <definedName name="BExUATI558PTYMWQB9DEK5JBJ3R3">YTD #REF!</definedName>
    <definedName name="BExUAW78VZLVHTJE8OPLFV88IHC9">#REF!</definedName>
    <definedName name="BExUAXUJ3E9DEPEXZC09XJ9OM23C">#REF!</definedName>
    <definedName name="BExUB38QQNEW0RMUD88IQVPSI69H">#REF!</definedName>
    <definedName name="BExUB56XQIIQ5KUZW72OEEUN2QD5">#REF!</definedName>
    <definedName name="BExUBB1915X0KI1LCT33O0L0977P">#REF!</definedName>
    <definedName name="BExUBD4SGD43YNN6O7563KA8505D">#REF!</definedName>
    <definedName name="BExUBHHBSQ60ZFOU1LV48N0YCW9I">#REF!</definedName>
    <definedName name="BExUBHXEFF9320D8BK25J9VNVEV8">#REF!</definedName>
    <definedName name="BExUBTROTT8BCLME2GCGG60V8M2E">#REF!</definedName>
    <definedName name="BExUC3I9U3FSR8LXD2A3E5O7IUBC">#REF!</definedName>
    <definedName name="BExUC6NN0BF4CIFQDS1F1J729KWC">#REF!</definedName>
    <definedName name="BExUCICAGZB6QZMM7W808UHVVXYI">#REF!</definedName>
    <definedName name="BExUCKL9ZMUJRY38QK12QN664U9F">#REF!</definedName>
    <definedName name="BExUCOSBA4PZDYMPPTK2J8DCCGXX">#REF!</definedName>
    <definedName name="BExUCU6JD6ARGHUADUO0CCTPQMBC">#REF!</definedName>
    <definedName name="BExUDGNSAAKLIJUDKZ43YRHMFKS0">#REF!</definedName>
    <definedName name="BExUDKPCUAIM9LBISCSRYB21I4IH">#REF!</definedName>
    <definedName name="BExUDWZP5K67ZYC3O0HYASRXATCL">#REF!</definedName>
    <definedName name="BExUE1HK8I9WI3IT9JB9SJL55X7B">#REF!</definedName>
    <definedName name="BExUE5323W1A00SDKNW09N157RO7">#REF!</definedName>
    <definedName name="BExVQOKDOOKIKAG48WM1PIH8DMQX">#REF!</definedName>
    <definedName name="BExVRO8C0SITVNUIIQ3V8H5ZAUOB" localSheetId="14">YTD #REF!</definedName>
    <definedName name="BExVRO8C0SITVNUIIQ3V8H5ZAUOB" localSheetId="25">YTD #REF!</definedName>
    <definedName name="BExVRO8C0SITVNUIIQ3V8H5ZAUOB" localSheetId="4">YTD #REF!</definedName>
    <definedName name="BExVRO8C0SITVNUIIQ3V8H5ZAUOB" localSheetId="33">YTD #REF!</definedName>
    <definedName name="BExVRO8C0SITVNUIIQ3V8H5ZAUOB">YTD #REF!</definedName>
    <definedName name="BExVRZMD596I65WA9UY5XAV200F6">#REF!</definedName>
    <definedName name="BExVRZROZ1FS3H993U35V8528U6U">#REF!</definedName>
    <definedName name="BExVS4F0AZLIEXQYCMRCQDORTYW0">#REF!</definedName>
    <definedName name="BExVS6D0ZZXMPXHM6LQYTSF9GHCX">#REF!</definedName>
    <definedName name="BExVS744D98T0LDPY2PFDSPTF3HK" localSheetId="14">Prior #REF!</definedName>
    <definedName name="BExVS744D98T0LDPY2PFDSPTF3HK" localSheetId="25">Prior #REF!</definedName>
    <definedName name="BExVS744D98T0LDPY2PFDSPTF3HK" localSheetId="4">Prior #REF!</definedName>
    <definedName name="BExVS744D98T0LDPY2PFDSPTF3HK" localSheetId="33">Prior #REF!</definedName>
    <definedName name="BExVS744D98T0LDPY2PFDSPTF3HK">Prior #REF!</definedName>
    <definedName name="BExVS7UZ35XKG0VCLWWKZTE5BP1P">#REF!</definedName>
    <definedName name="BExVSHWCG1T6X4ZGN1F0KDD5XBDQ">#REF!</definedName>
    <definedName name="BExVSYDYDUTMZXQBXLNBW13XK1BW">#REF!</definedName>
    <definedName name="BExVSZFMSL4IR0WITQDQ32LS03CO">#REF!</definedName>
    <definedName name="BExVT3MO45G64PM1Y198TQWLG1E5">#REF!</definedName>
    <definedName name="BExVTL0HNMPVZ03V2KI8ZIJAOTAX">#REF!</definedName>
    <definedName name="BExVTNKA47ZEY1RPYZDZK2CKJ4CS">#REF!</definedName>
    <definedName name="BExVTNUWRAZKL0VWYLFOT2RZLIM7">#REF!</definedName>
    <definedName name="BExVTZ3MIMJ8LULL8P9J4Q9SGUTO">#REF!</definedName>
    <definedName name="BExVU3AHE7PE88QID5FSV1QZRF77">#REF!</definedName>
    <definedName name="BExVU4N5607PW5DVSRVY3I6Q8C0F">#REF!</definedName>
    <definedName name="BExVU58PRSM1IFG4O0MNM6Z0KNIH">#REF!</definedName>
    <definedName name="BExVU5JH7BMWT5REUVLYWQSE3PBR">#REF!</definedName>
    <definedName name="BExVU6QNXY5IRP0G69ET2CGVPAJN">#REF!</definedName>
    <definedName name="BExVU7SB433FVVVGXM6APOP3SL42">#REF!</definedName>
    <definedName name="BExVUEJ6TSSZ4SY2AWPBIVEM839Q">#REF!</definedName>
    <definedName name="BExVUFQBAPEC4B8FON05R7TBAA14">#REF!</definedName>
    <definedName name="BExVUJRXBEMLG87SU01PMTKI7T2U">#REF!</definedName>
    <definedName name="BExVUK86FKMIB8TJD0O69ILFQBN7">#REF!</definedName>
    <definedName name="BExVUMRZFD817LYPV38SPGLWII4O">#REF!</definedName>
    <definedName name="BExVUSBI11H1OZWK4EGY284JLR7Q">#REF!</definedName>
    <definedName name="BExVUVRHGOSBMT7K24NTGM131JMF">#REF!</definedName>
    <definedName name="BExVUW2AFH9YSJNZ3AL7DY2LV3K4">#REF!</definedName>
    <definedName name="BExVV27K7EBAMTZ9ACG8FN3I7TQ7">#REF!</definedName>
    <definedName name="BExVV3K0CR3ZPUVND2SUS2PY3HC5">#REF!</definedName>
    <definedName name="BExVV4R6LVS6CQA1CIVNTHO2FJ5I">#REF!</definedName>
    <definedName name="BExVV87DBSYNNK3XFWNHBY9ZK5LI">#REF!</definedName>
    <definedName name="BExVVDQVWU671UD20YL3KA2XPRJ1">#REF!</definedName>
    <definedName name="BExVVEHRN8E15CCNYMZQDDJ6Z3VQ">#REF!</definedName>
    <definedName name="BExVVNC5XMUXGAA84OAKPPBPRA22">#REF!</definedName>
    <definedName name="BExVVSFKASEF94II7962H5X10XSO" localSheetId="14">Non #REF!</definedName>
    <definedName name="BExVVSFKASEF94II7962H5X10XSO" localSheetId="25">Non #REF!</definedName>
    <definedName name="BExVVSFKASEF94II7962H5X10XSO" localSheetId="4">Non #REF!</definedName>
    <definedName name="BExVVSFKASEF94II7962H5X10XSO" localSheetId="33">Non #REF!</definedName>
    <definedName name="BExVVSFKASEF94II7962H5X10XSO">Non #REF!</definedName>
    <definedName name="BExVVX886C806IOUQNVZP0UO91PC">#REF!</definedName>
    <definedName name="BExVW0IWRMDSTEMESCL9ODSC6LZO">#REF!</definedName>
    <definedName name="BExVW2X7Q6VX9KGKJHGHKIJ9BAS8">#REF!</definedName>
    <definedName name="BExVW6YRKSSM3A0M17EOK4LZOA5S">#REF!</definedName>
    <definedName name="BExVW85YQSCUBI95GGIQ6V7EPO85">#REF!</definedName>
    <definedName name="BExVW92BPE1HYTUKVG0YJ8IIW611">#REF!</definedName>
    <definedName name="BExVWFCWQTLRHF3B0Y3U8WUFABNU">#REF!</definedName>
    <definedName name="BExVWFID0GOV1IWKJ7NKOVRU8AAI">#REF!</definedName>
    <definedName name="BExVWKWLBTTBM0NUWCNLNUFYK7CX">#REF!</definedName>
    <definedName name="BExVWTLIPRAWDBLFWZVVOFT51VVT">#REF!</definedName>
    <definedName name="BExVWYDXS74LIL08TCPYBP4KJ15N">#REF!</definedName>
    <definedName name="BExVX96KSK1IBK6I9EE2ZZECJ14E">#REF!</definedName>
    <definedName name="BExVX9BV1L1IHPY1KFKOKB9IIL09">#REF!</definedName>
    <definedName name="BExVXCBQOAEZN0CLTX5ZSVCU24EO">#REF!</definedName>
    <definedName name="BExVXLX17816I273DDWLI3L9O5WZ" localSheetId="14">Non #REF!</definedName>
    <definedName name="BExVXLX17816I273DDWLI3L9O5WZ" localSheetId="25">Non #REF!</definedName>
    <definedName name="BExVXLX17816I273DDWLI3L9O5WZ" localSheetId="4">Non #REF!</definedName>
    <definedName name="BExVXLX17816I273DDWLI3L9O5WZ" localSheetId="33">Non #REF!</definedName>
    <definedName name="BExVXLX17816I273DDWLI3L9O5WZ">Non #REF!</definedName>
    <definedName name="BExVXU5OJHJY76NAEFYELJUD08IM">#REF!</definedName>
    <definedName name="BExVXWURBGDLRL7N29RKDQF0G6BW">#REF!</definedName>
    <definedName name="BExVXZJWASNEY57V0P7YBA9YAI4W">#REF!</definedName>
    <definedName name="BExVYGMW292OJYICH3SN2PSLKS8P">#REF!</definedName>
    <definedName name="BExVYH8H83GYH2MZYX9XDL573ZEF">#REF!</definedName>
    <definedName name="BExVYP6HV58LUY6HX05WL4OGBBUX">#REF!</definedName>
    <definedName name="BExVYPH4O7AG4RN3THC3KQ6OBUOA">#REF!</definedName>
    <definedName name="BExVYVX6766TGEN6K89X4990HSUG">#REF!</definedName>
    <definedName name="BExVYZNZ0Z1EHSR2VWP7SGUX9VGC">#REF!</definedName>
    <definedName name="BExVZ27QVSV2KDHRBOXLUNPGE0XM">#REF!</definedName>
    <definedName name="BExVZ640TBW15BMW1TGQRZLVWGUV">#REF!</definedName>
    <definedName name="BExVZALUBB2936J2LT0TIH3I5W9H">#REF!</definedName>
    <definedName name="BExVZBCRSFL7SVV7WMRNSPDJ5UI1">#REF!</definedName>
    <definedName name="BExVZP52ZGK2SL6LW7ET0MGUQ020">#REF!</definedName>
    <definedName name="BExVZQHPXDPCNFD8L0NSC1GJGHQG">#REF!</definedName>
    <definedName name="BExVZRU78RP02S2A34WZF3VG8MJY">#REF!</definedName>
    <definedName name="BExVZWMTC3G5SB3Q309Z4WSV985O">#REF!</definedName>
    <definedName name="BExVZXJ79H79ZDNCAZJY9N265ZF7">#REF!</definedName>
    <definedName name="BExW00TWJIDTYQR39SLC26DO2E6E">#REF!</definedName>
    <definedName name="BExW050X17BBFP40P0G40BIGUIG0">#REF!</definedName>
    <definedName name="BExW0FTCBHWVZ83G8JIGP6OH4NG4">#REF!</definedName>
    <definedName name="BExW0FYODTE318V0KRTDERZQCP4N">#REF!</definedName>
    <definedName name="BExW0HM294NPLO0GEQO9GNTLULFI">#REF!</definedName>
    <definedName name="BExW0JUXFZ9LK7HHMVJXQKRPJZM5">#REF!</definedName>
    <definedName name="BExW0LT4AQ1VNXKEVZJV2AIAE4KN">#REF!</definedName>
    <definedName name="BExW0S3PSL3OFMKS87KVR64KF2WF">#REF!</definedName>
    <definedName name="BExW11JIZ9ASZ5V4KFC7BELXMPKY">#REF!</definedName>
    <definedName name="BExW12L7ZJFOD7WP8HGOH1CKG1KW">#REF!</definedName>
    <definedName name="BExW16MXXJ9K1C4GLA9YKWYH25BN">#REF!</definedName>
    <definedName name="BExW184VK24QHGK7QYHT14NEUULZ">#REF!</definedName>
    <definedName name="BExW1BFKAOCE28QSRAY0JDT5M2PD">#REF!</definedName>
    <definedName name="BExW1C160D40QNOUGBF6AUFW6VDS">#REF!</definedName>
    <definedName name="BExW1C6MQFP1OFQHZZBPCIHSAD2H">#REF!</definedName>
    <definedName name="BExW1LX8TJWK3K8AW690WP0KRWE9">#REF!</definedName>
    <definedName name="BExW1T46KMIOW4UQRSIFI1R1YFJC">#REF!</definedName>
    <definedName name="BExW20WQLVBUKAR5KN3KI6YH7XZP">#REF!</definedName>
    <definedName name="BExW2296WZJTKPM9TS8SQKIWDH87">#REF!</definedName>
    <definedName name="BExW27NCQ3HN0ZSIYO7N1WD3J0HU">#REF!</definedName>
    <definedName name="BExW2D1M0VO2G1V22XRMEI4TUAZZ">#REF!</definedName>
    <definedName name="BExW2EP1MX9CGRECMRUINDJDZ8QU">#REF!</definedName>
    <definedName name="BExW2FLDWK85ARLK25BOIEW9225V">#REF!</definedName>
    <definedName name="BExW2I50U90S4TI4D9E618DR1BO7">#REF!</definedName>
    <definedName name="BExW2MHF3XB11XE7XXGQNPSVWO1W">#REF!</definedName>
    <definedName name="BExW2U9XUVAI0OXEFLVMK5DRU146">#REF!</definedName>
    <definedName name="BExW3NNB66R55PDQW0664QSW6235">#REF!</definedName>
    <definedName name="BExW3WHO9HLK9GULUTR8E7QT8NZX">#REF!</definedName>
    <definedName name="BExW3WHOY0Y4STCKECTQFAWTB2Z3">#REF!</definedName>
    <definedName name="BExW3ZSCNAXRHGPMCNY8NNJ1FH19">#REF!</definedName>
    <definedName name="BExW41L3YNERBIOMAWU6RU457YRD">#REF!</definedName>
    <definedName name="BExW4L7RE93H0VSR53RG6XBJYC10">#REF!</definedName>
    <definedName name="BExW4LIKDGY0MYDREPHDMRKVKDMJ">#REF!</definedName>
    <definedName name="BExW4QB7EIBS6UABL0S0K71K4P40">#REF!</definedName>
    <definedName name="BExW4XSXPNGUGCQF71ZJBEKZ3L0K">#REF!</definedName>
    <definedName name="BExW5078LNSF5ZN55VP79048H2VW">#REF!</definedName>
    <definedName name="BExW58W4IOBA1YYALYYENCJX0T75">#REF!</definedName>
    <definedName name="BExW5MTSRFVZK6AW406SCNGLMMJA">#REF!</definedName>
    <definedName name="BExW6BUT6SRJDSKGVV918YZ56221">#REF!</definedName>
    <definedName name="BExW6JXZOXTPZDBMMRKRCPK1L2HZ">#REF!</definedName>
    <definedName name="BExW6KUBAOGZVCJN0CFL2K7N38CY">#REF!</definedName>
    <definedName name="BExW6NU81HXZ6VLQU3SA7YV84JO2">#REF!</definedName>
    <definedName name="BExW6RADGWMKZ64JQ8MSJDWKSLLB">#REF!</definedName>
    <definedName name="BExW6S6QALMOKFWJOZG4A1NE6VSE">#REF!</definedName>
    <definedName name="BExW739Z0R7WLW82T5FQODAWGDFM">#REF!</definedName>
    <definedName name="BExW7465OXI29VHYTPVV1CZBOT5T">#REF!</definedName>
    <definedName name="BExW7MGBDKFFKO8NZ7EWXGOXX6IC">#REF!</definedName>
    <definedName name="BExW7X3GL0QSYISYBVBEHLMI1FX1">#REF!</definedName>
    <definedName name="BExW7XJK87AYGH3B2LYF9XRVMBVA">#REF!</definedName>
    <definedName name="BExW7ZN393U59U64ASF4Q4EPDFJT">#REF!</definedName>
    <definedName name="BExW821FNB7WV2VSOB1MDVW6U9DP">#REF!</definedName>
    <definedName name="BExW83E28FHDR8ZL137ECHWGN056">#REF!</definedName>
    <definedName name="BExW8FTQWWE0CNW3L29KAR5RQ65X">#REF!</definedName>
    <definedName name="BExW9SZ8HAYX07AQGJLUUFMBG8A6">#REF!</definedName>
    <definedName name="BExW9VZ5AWAIX7QQEEG6U74IQXVX">#REF!</definedName>
    <definedName name="BExXLMOO0LYUM9BVBCRQUA83NOU2">#REF!</definedName>
    <definedName name="BExXMG200RUS8T4L2QDW89R90OGO">#REF!</definedName>
    <definedName name="BExXMWJHP4G02XTO2CZIVHGDAWKP">#REF!</definedName>
    <definedName name="BExXN5J5DM6K3FXH3FGFG8SJC3O3">#REF!</definedName>
    <definedName name="BExXNOK8XVYOV2T90N8D2GN0NJTQ">#REF!</definedName>
    <definedName name="BExXNV09FIKPWF3W971F6UCO87N0">#REF!</definedName>
    <definedName name="BExXO5N8J5LK6SUWMEZ9XOWWVS47">#REF!</definedName>
    <definedName name="BExXO8N4ZY1LHWRRXXT9POPQUQMX">#REF!</definedName>
    <definedName name="BExXOOIYM41IZFVDVT8SDMIJNQD8">#REF!</definedName>
    <definedName name="BExXOT65E5E77C9S4CE1ZLZ71KD3">#REF!</definedName>
    <definedName name="BExXOWBJGSX39XO4HGWNNG5R03GB">#REF!</definedName>
    <definedName name="BExXP4K5FS2KLX3DA0CI1AT0LUCG">#REF!</definedName>
    <definedName name="BExXPCNFQY2TKA3021WD9XCKG1O0">#REF!</definedName>
    <definedName name="BExXPF79JBZOWP8WNJ7UYQHUXVPI">#REF!</definedName>
    <definedName name="BExXPG3MLZLZR79L1L69DVL03BG0">#REF!</definedName>
    <definedName name="BExXPGUIZ7RGVMC01K91ARL8SK23">#REF!</definedName>
    <definedName name="BExXPLHOXDQ5EZWX42AJ1CIW4P9H">#REF!</definedName>
    <definedName name="BExXPPE45HOQIVTV6E79WRXR7APQ">#REF!</definedName>
    <definedName name="BExXQ5F9XE56HYCV2YTXW94U2TMO">#REF!</definedName>
    <definedName name="BExXQBKCUEBSUBSKZQPS8AN02AZO">#REF!</definedName>
    <definedName name="BExXQE9I9BCBWVSTEAKOOQTFU0GJ">#REF!</definedName>
    <definedName name="BExXQH42QCGPR0FT2PT6BQJRU5ZS">#REF!</definedName>
    <definedName name="BExXQJIDR1QXQG9E1KUT52FS7LGX">#REF!</definedName>
    <definedName name="BExXQTUJS9P6IUK0X994PSR315CZ">#REF!</definedName>
    <definedName name="BExXQVSM16KBQ4Q8ST84KGQEJ0SQ">#REF!</definedName>
    <definedName name="BExXR0AFZSVF72M8D768GEI1I7S7">#REF!</definedName>
    <definedName name="BExXR1SE2JJ5ZIFJ16MVCCTXGQO3">#REF!</definedName>
    <definedName name="BExXR5E1EP1EO59JIKRY14CK7CVR">#REF!</definedName>
    <definedName name="BExXR7XMVW751TVGEIBNQHP4P5ME">#REF!</definedName>
    <definedName name="BExXR7XNRWEO2DBU8TMLJJG05CUO">#REF!</definedName>
    <definedName name="BExXRA6HSAGJGFV91Y39KOHBGFA2">#REF!</definedName>
    <definedName name="BExXRH2NG5G5VOTUYK1DSYF1RL3M">#REF!</definedName>
    <definedName name="BExXRK2INPFKXMI9Q13JG7MIZBQX">#REF!</definedName>
    <definedName name="BExXRMX4I8LM6858SG2070IMKWM8">#REF!</definedName>
    <definedName name="BExXRRF0B052NHJZZNISH2CZZ0HM">#REF!</definedName>
    <definedName name="BExXS10A1ZHQ04966QQJOPEX3TCD">#REF!</definedName>
    <definedName name="BExXSCP25JQWPY19OD86X7GRTM3G">#REF!</definedName>
    <definedName name="BExXSEXWH1875ND0H49A0V985ZW7">#REF!</definedName>
    <definedName name="BExXSFU8UIG0KZIP85HX97SRR8QT">#REF!</definedName>
    <definedName name="BExXSIOUIN72GDD2CA7707IIUHXJ">#REF!</definedName>
    <definedName name="BExXSKXO5LBCUYBLU1QYKXC9LWDY">#REF!</definedName>
    <definedName name="BExXSLU1ZZIK5MAY73GRE0KBF4OQ">#REF!</definedName>
    <definedName name="BExXSS4NG52JTFFL3Z73ZMFG5WMT" localSheetId="14">In #REF! #REF!</definedName>
    <definedName name="BExXSS4NG52JTFFL3Z73ZMFG5WMT" localSheetId="25">In #REF! #REF!</definedName>
    <definedName name="BExXSS4NG52JTFFL3Z73ZMFG5WMT" localSheetId="4">In #REF! #REF!</definedName>
    <definedName name="BExXSS4NG52JTFFL3Z73ZMFG5WMT" localSheetId="39">In #REF! #REF!</definedName>
    <definedName name="BExXSS4NG52JTFFL3Z73ZMFG5WMT" localSheetId="33">In #REF! #REF!</definedName>
    <definedName name="BExXSS4NG52JTFFL3Z73ZMFG5WMT">In #REF! #REF!</definedName>
    <definedName name="BExXTE5LPELLK5IPKNUB6K7TN7UP">#REF!</definedName>
    <definedName name="BExXTJZWNW4DEVLDXS51DO6GVE0R">#REF!</definedName>
    <definedName name="BExXTNLIFXG1BTYPHAVWO7MS17HG">#REF!</definedName>
    <definedName name="BExXTNLJMTE326G45YKIRQMHT9WK">#REF!</definedName>
    <definedName name="BExXTQ55YYC6NU512MO50WV0WIBF">#REF!</definedName>
    <definedName name="BExXTRN5DPA5P1EPWR2OZVU4NAEH">#REF!</definedName>
    <definedName name="BExXU4TVIIG4597BL4MT2T8C00U5">#REF!</definedName>
    <definedName name="BExXUC6416CORDCBL7CYQ6ICGXAW">#REF!</definedName>
    <definedName name="BExXUIGR1G4HP43E42GLNJXWDRH3">#REF!</definedName>
    <definedName name="BExXUKV717L2DOSFYI2DK1SHR4EL">#REF!</definedName>
    <definedName name="BExXUO0EBXSR4BSTJ7LRF6IVDU4P">#REF!</definedName>
    <definedName name="BExXUVNH8TEYO2U627W4X0BQIR5U">#REF!</definedName>
    <definedName name="BExXUYSUF923UQ780DXY3V14JVV9">#REF!</definedName>
    <definedName name="BExXUZUIFH25C0M6DIRJXDOJEWTD">#REF!</definedName>
    <definedName name="BExXV0G3VCHA86LVN4HTTKH96YG9">#REF!</definedName>
    <definedName name="BExXV4715UXOY3MEVPL04KL3G154">#REF!</definedName>
    <definedName name="BExXV7SJ77SDPOD90Z42OTPKX538">#REF!</definedName>
    <definedName name="BExXV8OVUXQ61B623CAZLSH1YE0A">#REF!</definedName>
    <definedName name="BExXVEJ6YBY5N5XTZPPJ5WESII6C">#REF!</definedName>
    <definedName name="BExXVIFGD310AQRMGIP9LMFC348Q">#REF!</definedName>
    <definedName name="BExXVKZ3QRWYUCF16TLUHTRF1P3V">#REF!</definedName>
    <definedName name="BExXVKZ48WTTA19K2LYUTSAKNWGW">#REF!</definedName>
    <definedName name="BExXVOF9EPTTRCSL7SFM2D4QDQ8N">#REF!</definedName>
    <definedName name="BExXW1M0IY27M6NX2CV97LQ3Y9O8">#REF!</definedName>
    <definedName name="BExXW87DGRGJS6FCBJJ9YKK3VODY">#REF!</definedName>
    <definedName name="BExXWBY5JOIOISFHQZ78SR6CZ0EC">#REF!</definedName>
    <definedName name="BExXWU31HFBU40KI6MPKUMGMTJWS">#REF!</definedName>
    <definedName name="BExXWXOHI0VCWO8XJ7R36MT62HR5">#REF!</definedName>
    <definedName name="BExXXJENSRNZ72VV3YZ5EQ75Y292">#REF!</definedName>
    <definedName name="BExXYEQ4314IQ7VDLG5ZPR72AABE">#REF!</definedName>
    <definedName name="BExXYH4FL8AWRS46XUAVGWINL2VV">#REF!</definedName>
    <definedName name="BExXYIRONGG74G5XD3SFVWLG2FTM">#REF!</definedName>
    <definedName name="BExXYMIMF94BOBGUVF7XNNB82FR1">#REF!</definedName>
    <definedName name="BExXYU5OKTI15HXBZEX1698JYXGC">#REF!</definedName>
    <definedName name="BExXYXLVIUKQKNQU355XIU9DNFQY">#REF!</definedName>
    <definedName name="BExXZA70VGX5J5G63YB8SQ10M3Q0">#REF!</definedName>
    <definedName name="BExXZJXMMUNT1AEEMOIAMEE3QDAV">#REF!</definedName>
    <definedName name="BExXZNDR98O81QMR3ADHA5ELPATK">#REF!</definedName>
    <definedName name="BExXZNJ4924MZZQK9PSP8RLWAV85">#REF!</definedName>
    <definedName name="BExXZS0XQLXP2GLRI3TVCPDZL7HW">#REF!</definedName>
    <definedName name="BExXZSH76Q2RLS0DQ8IPYZD9BP4A">#REF!</definedName>
    <definedName name="BExXZVRVQXTN99N0FZ4TH86VGQDY">#REF!</definedName>
    <definedName name="BExY093X2WYO85H2ZBXA7S0A4IEH">#REF!</definedName>
    <definedName name="BExY0DGARW7I29MDQOGUM4WPFHNX">#REF!</definedName>
    <definedName name="BExY0IP7J2QZJ3Q0CTQLJZ51ZG1L">#REF!</definedName>
    <definedName name="BExY0P52K5CLAZUM8QRA3EGV53KN">#REF!</definedName>
    <definedName name="BExY0PLDRUHX295CZ68JYETHZMC9">#REF!</definedName>
    <definedName name="BExY0YFK8CEYQMMU1UXAGH6CN8WO">#REF!</definedName>
    <definedName name="BExY0YL1MIY6QXGKH9BPG7FW9LDO">#REF!</definedName>
    <definedName name="BExY10TWBGC0CHHBBMHHVR1WM6W8">#REF!</definedName>
    <definedName name="BExY15XBCPUC5L4JZMVLS4YJIAIL">#REF!</definedName>
    <definedName name="BExY19TL2ZQA3V5KZN8X8E5Y0RC8">#REF!</definedName>
    <definedName name="BExY1Q5K32N3QHPTOSUCVCFTDK9C">#REF!</definedName>
    <definedName name="BExY23SKKUSV85R77QZDWNQNZQJQ">#REF!</definedName>
    <definedName name="BExY24E3ZR87P1BO2EFB1Z6V7C5Z">#REF!</definedName>
    <definedName name="BExY28QI313SHLHC1NRNJ420HV63">#REF!</definedName>
    <definedName name="BExY2BQEA06XVW1PK901DOVZ0J6Z">#REF!</definedName>
    <definedName name="BExY2U0KC30XDWTV8JPUBGEYCI5X">#REF!</definedName>
    <definedName name="BExY2U6179YEV0QJV7DO549R124L">#REF!</definedName>
    <definedName name="BExY2X0G14WDMZ8VYLZ1KYZFIAIO">#REF!</definedName>
    <definedName name="BExY37I3Q51XNWQG7HGPJZNC9IY9">#REF!</definedName>
    <definedName name="BExY39WF7WUIFY6LZLMV1EVH4O8Z">#REF!</definedName>
    <definedName name="BExY3A1QPQYPVSXOV9FWD3NW2E8S">#REF!</definedName>
    <definedName name="BExY3JXSBU3S6Z2UGOQV3ZPYM0A6">#REF!</definedName>
    <definedName name="BExY3NJ9BUPNNTNX03RYIK6U25WT">#REF!</definedName>
    <definedName name="BExY3O4T9QRNBLRE4W6HZB1LVWQG">#REF!</definedName>
    <definedName name="BExY3RFIYXCVVNJHF727TD9T2PXA">#REF!</definedName>
    <definedName name="BExY3UVQ5HONFZYNVF14LH4JEAN0">#REF!</definedName>
    <definedName name="BExY457V7I8ZSDP261G97JM5M8DP">#REF!</definedName>
    <definedName name="BExY45TFQQG18MGRG35XE70JH0MQ">#REF!</definedName>
    <definedName name="BExY46F0E0KREQ0N350XXZRFW2Q2">#REF!</definedName>
    <definedName name="BExY47M6HT6L6F5B4H0OUHA81EOC">#REF!</definedName>
    <definedName name="BExY4DRAEVJPFLA5AI57Q6FQA2FF">#REF!</definedName>
    <definedName name="BExY4GGEAQRBLQI0VHQ2I6RJ9NW9">#REF!</definedName>
    <definedName name="BExY4KY8N0P9LQQQRHVK9U4UKAIK">#REF!</definedName>
    <definedName name="BExY4M02I3EDT6IOPK5A3I4MRPPR">#REF!</definedName>
    <definedName name="BExY4OJOMC58NOVYUFQII7M8UTHZ">#REF!</definedName>
    <definedName name="BExY4PLJ7VC9BHG0NX63ZJB0B9CK">#REF!</definedName>
    <definedName name="BExY4SFYC6NNIU260WBKJKOWAJAC">#REF!</definedName>
    <definedName name="BExY5811WR2FY52PDA0FVTX0TWY0">#REF!</definedName>
    <definedName name="BExY5GVEP66KJDWSQA3DGZ41YL55">#REF!</definedName>
    <definedName name="BExY5PPM0E7Q73SVZAB2DRJ35ML2">#REF!</definedName>
    <definedName name="BExY5RT4LIBSVE76DT67ZG9A7AU7">#REF!</definedName>
    <definedName name="BExY5TWOVFMN6M3N46ZGIK6NS0H9">#REF!</definedName>
    <definedName name="BExY63SQEQWNJZRXCT75NN7SAUGT">#REF!</definedName>
    <definedName name="BExY66HU7MM6WIC0XI39FCGA6YX4">#REF!</definedName>
    <definedName name="BExY6DOSOAZSLYGVTNF2AQUH1CYY">#REF!</definedName>
    <definedName name="BExY74NVOB80JUXB5MGD6NBHWRIW">#REF!</definedName>
    <definedName name="BExZI7E7UDRBFSKVUP44HVM3GMH3">#REF!</definedName>
    <definedName name="BExZJC5LJA10CA86GBGJXAC1W1JO">#REF!</definedName>
    <definedName name="BExZJILJ3VWIHS6G9082TZCHO4XT">#REF!</definedName>
    <definedName name="BExZJVXR03UR4NJJI8CF52QZJLUO">#REF!</definedName>
    <definedName name="BExZKL9E6DYVM2A8AMQGI3QREZZX">#REF!</definedName>
    <definedName name="BExZKLK6DV9XIEZX1G5MZM1DS6HG">#REF!</definedName>
    <definedName name="BExZKM5R030WRVE4WNECXSICGQWH">#REF!</definedName>
    <definedName name="BExZKQCTBA2RHEBKY6S37Q7EOCT1">#REF!</definedName>
    <definedName name="BExZL03J9RQIT19IGOIFXDE280VJ">#REF!</definedName>
    <definedName name="BExZLCU03DFLPP4YPP9ZZGZNHDAN">#REF!</definedName>
    <definedName name="BExZLF8CTB8SF6YQ2U1VF4WTBLVZ">#REF!</definedName>
    <definedName name="BExZLITT508JKWBHFAOLT49GHSVJ">#REF!</definedName>
    <definedName name="BExZLPF5I4JL2FWQJ2ZQG04D7E6A">#REF!</definedName>
    <definedName name="BExZM2B67IWNVYWN47YKOKG5WT52">#REF!</definedName>
    <definedName name="BExZM55JA0JF37ALUY2RVFD4KBQ3">#REF!</definedName>
    <definedName name="BExZMBQXCSRVI21MG1WO18C0J1XD">#REF!</definedName>
    <definedName name="BExZMKQN51B3NEOQG81P0N22FHLU">#REF!</definedName>
    <definedName name="BExZMQVPPGCDPQ2VD39EMQNLB592">#REF!</definedName>
    <definedName name="BExZMTQB51TB0EUY5K3V6A20NB4I">#REF!</definedName>
    <definedName name="BExZMVJ1ZYVCK1AQYWDRZ5QQDY7E">#REF!</definedName>
    <definedName name="BExZN4D8U4CZY9XKPHNEM9QKXAQK">#REF!</definedName>
    <definedName name="BExZN8EZQ1JD6PUIB00A7ULCK6Z4">#REF!</definedName>
    <definedName name="BExZNFLZ2XSL2LBBSK2OWJ8Z3RDT">#REF!</definedName>
    <definedName name="BExZNGNMTRU94CJOSPLNMHEGK8IR">#REF!</definedName>
    <definedName name="BExZNH981JD4ZD79H7604JNWNTC6">#REF!</definedName>
    <definedName name="BExZNIR6BYL3Y1IW64EF63PJPRZY">#REF!</definedName>
    <definedName name="BExZNQ3LL2100VTVEHFP4WO0X6TZ">#REF!</definedName>
    <definedName name="BExZNR5AFSGTTECUWJT2KJHS0FWI">#REF!</definedName>
    <definedName name="BExZNVSLLJTNXHWLVJV6HJ1LC8SQ">#REF!</definedName>
    <definedName name="BExZO9KS0RT2APLSBLY3VXRC3AMU">#REF!</definedName>
    <definedName name="BExZOKD6R80MU9TLTNCK6411P9DY">#REF!</definedName>
    <definedName name="BExZOQNRDAJ0TLH719GX8FGKTTWD" localSheetId="14">YTD #REF!</definedName>
    <definedName name="BExZOQNRDAJ0TLH719GX8FGKTTWD" localSheetId="25">YTD #REF!</definedName>
    <definedName name="BExZOQNRDAJ0TLH719GX8FGKTTWD" localSheetId="4">YTD #REF!</definedName>
    <definedName name="BExZOQNRDAJ0TLH719GX8FGKTTWD" localSheetId="33">YTD #REF!</definedName>
    <definedName name="BExZOQNRDAJ0TLH719GX8FGKTTWD">YTD #REF!</definedName>
    <definedName name="BExZPAQNLBOWKLQQHO2Q30JXAAJB">#REF!</definedName>
    <definedName name="BExZPDVVOFINWSDA7MJ8XZPPNMVS">#REF!</definedName>
    <definedName name="BExZPKMPTLP16CEDXYUH1OBXIW4V">#REF!</definedName>
    <definedName name="BExZPVPZ4O18XK61Y4EM9MTYVHKQ">#REF!</definedName>
    <definedName name="BExZQG8YMNIK066T1XQC8GGLDEN1">#REF!</definedName>
    <definedName name="BExZQJUGVOX1G7B038XOH0S0NMD1">#REF!</definedName>
    <definedName name="BExZQLHTVN04MBCZGLHF54NXNWF9">#REF!</definedName>
    <definedName name="BExZQNAFRHV941DCC2A2CZIK57DN">#REF!</definedName>
    <definedName name="BExZQVJ83VZPDLMFR9DCFV07KY1D">#REF!</definedName>
    <definedName name="BExZQWFLA66QTGHXMUBN6RBPTK7Y">#REF!</definedName>
    <definedName name="BExZQZQAPR4AKS0T8J8QO7QBCMKH">#REF!</definedName>
    <definedName name="BExZR1ODE11CU0BWP2VK38KY26P6">#REF!</definedName>
    <definedName name="BExZR3H3ADP02YOWOWJVI12JBJ0O">#REF!</definedName>
    <definedName name="BExZRA7XGM912BRX7A34DDBASXX2">#REF!</definedName>
    <definedName name="BExZRGTATDDHXL7PIA4RN5OU56V9">#REF!</definedName>
    <definedName name="BExZRYHPFTFIRPQEEMYVN15TOXI3">#REF!</definedName>
    <definedName name="BExZSJX93WMPSS3GTXKDSAUPSPB4">#REF!</definedName>
    <definedName name="BExZSPRKXJOKO6RRPXUYJ1J6ILT2">#REF!</definedName>
    <definedName name="BExZSPRRC8PCWYCRQJZ6WP4K61CY">#REF!</definedName>
    <definedName name="BExZSZ7JJPH01TES2YHWGU7F33O7">#REF!</definedName>
    <definedName name="BExZT2T0NKDTU00NY34225ZOM0K6">#REF!</definedName>
    <definedName name="BExZT2T1QEE8IN7QQ09VZJQEJ3T8">#REF!</definedName>
    <definedName name="BExZT2YBYSCB7452PIKDFMI8MX0C">#REF!</definedName>
    <definedName name="BExZT9ZZ8Q2U11XQZEM6GNAJ0AMH">#REF!</definedName>
    <definedName name="BExZTOOHCGK3IIPWCDGTZACQ6G3B">#REF!</definedName>
    <definedName name="BExZTRZ7BO6KKB6RT7VI04VB6ZMC" localSheetId="14">Non #REF!</definedName>
    <definedName name="BExZTRZ7BO6KKB6RT7VI04VB6ZMC" localSheetId="25">Non #REF!</definedName>
    <definedName name="BExZTRZ7BO6KKB6RT7VI04VB6ZMC" localSheetId="4">Non #REF!</definedName>
    <definedName name="BExZTRZ7BO6KKB6RT7VI04VB6ZMC" localSheetId="33">Non #REF!</definedName>
    <definedName name="BExZTRZ7BO6KKB6RT7VI04VB6ZMC">Non #REF!</definedName>
    <definedName name="BExZTSVJRX9DSVKYE30KWK3EUXOG">#REF!</definedName>
    <definedName name="BExZTVKNDC47BWI0FABB0LITP674">#REF!</definedName>
    <definedName name="BExZULSTRSN0JBCRVWOQM10GFZCU">#REF!</definedName>
    <definedName name="BExZUW4Z9DWNFDCPUUMB3QIEH9J3">#REF!</definedName>
    <definedName name="BExZUYJB16R1YQBK2R5YZ29O8SUE">#REF!</definedName>
    <definedName name="BExZUYZKORPGYAUUVW2BF5S17JSQ">#REF!</definedName>
    <definedName name="BExZV2FL41SZL7CZ896IWWNJWR3X">#REF!</definedName>
    <definedName name="BExZV5FGTYE08Q8JZL4TSZV4RAZN" localSheetId="14">YTD #REF!</definedName>
    <definedName name="BExZV5FGTYE08Q8JZL4TSZV4RAZN" localSheetId="25">YTD #REF!</definedName>
    <definedName name="BExZV5FGTYE08Q8JZL4TSZV4RAZN" localSheetId="4">YTD #REF!</definedName>
    <definedName name="BExZV5FGTYE08Q8JZL4TSZV4RAZN" localSheetId="33">YTD #REF!</definedName>
    <definedName name="BExZV5FGTYE08Q8JZL4TSZV4RAZN">YTD #REF!</definedName>
    <definedName name="BExZVAO80B9G179J7T76H16TQ4ZQ">#REF!</definedName>
    <definedName name="BExZVE4CTBERYGC63SOVJTMQXPEZ">#REF!</definedName>
    <definedName name="BExZVWEJQJQ280NOK8EHWJO701T5">#REF!</definedName>
    <definedName name="BExZW9FTSBVCPI353GSZFFS7B7CQ">#REF!</definedName>
    <definedName name="BExZWJRZ8FEB0TKR9V6NF0QHYZEI">#REF!</definedName>
    <definedName name="BExZWNO863YVX61TZIXB7CTR2Q74">#REF!</definedName>
    <definedName name="BExZWSH1SVVY59E2I0K31RC9DNDR">#REF!</definedName>
    <definedName name="BExZWU4A2B232D902KABVFHZPV16">#REF!</definedName>
    <definedName name="BExZX5NN7LHFB15TXGW5CW8C1V5X">#REF!</definedName>
    <definedName name="BExZX5T48JS6PHU5QG8LED2BYEG3">#REF!</definedName>
    <definedName name="BExZXDAU5E8MF42UJSQO5Q2ZB041">#REF!</definedName>
    <definedName name="BExZXRZIDSQU8L4GJM3MBF5VLXK2">#REF!</definedName>
    <definedName name="BExZXV4PRIJ53DVFP94VA79G5Y8D">#REF!</definedName>
    <definedName name="BExZXXDKTO4DXJSCTU3XM7CR8ZFZ">#REF!</definedName>
    <definedName name="BExZXXODDYBUO0WA213QKSBZMQVR">#REF!</definedName>
    <definedName name="BExZXZBRPHD408SGPH51Q7Y8EEDY">#REF!</definedName>
    <definedName name="BExZY1FBBQ14ERYNDG48G2DA366I">#REF!</definedName>
    <definedName name="BExZY1VFB2FD4LCTWDLPWV5BGRV7">#REF!</definedName>
    <definedName name="BExZY2BP6BWBOHUWICGPFYFXGIVB">#REF!</definedName>
    <definedName name="BExZY2RTCXGUQZ0Q8QKNP35EETVT">#REF!</definedName>
    <definedName name="BExZYEWURHHENLTXEB2UD64U5JN3">#REF!</definedName>
    <definedName name="BExZYP3NVVINXA58KZGYJ30MO76Q" localSheetId="14">Non #REF!</definedName>
    <definedName name="BExZYP3NVVINXA58KZGYJ30MO76Q" localSheetId="25">Non #REF!</definedName>
    <definedName name="BExZYP3NVVINXA58KZGYJ30MO76Q" localSheetId="4">Non #REF!</definedName>
    <definedName name="BExZYP3NVVINXA58KZGYJ30MO76Q" localSheetId="33">Non #REF!</definedName>
    <definedName name="BExZYP3NVVINXA58KZGYJ30MO76Q">Non #REF!</definedName>
    <definedName name="BExZYPP9JFG6WX701QRYY2RX62T0">#REF!</definedName>
    <definedName name="BExZYTWCRWTY5IECCCBL1IALPAXM">#REF!</definedName>
    <definedName name="BExZYWQQ0SVZT5MTQYU5BH1H6TMQ">#REF!</definedName>
    <definedName name="BExZZ3C4YY9T35WN6H47KBNWAH2H">#REF!</definedName>
    <definedName name="BExZZ3S9AGHTXNE5FASNDQ69UDDE">#REF!</definedName>
    <definedName name="BExZZB4NAJ70E3B0T802694KJDPK">#REF!</definedName>
    <definedName name="BExZZHF837SU9QST2ZWPTSQVGN88">#REF!</definedName>
    <definedName name="BExZZXR7P27KRYCC2RE10L4EY5WE">#REF!</definedName>
    <definedName name="BFR.Blks.BosEsx">#REF!</definedName>
    <definedName name="BG">#REF!</definedName>
    <definedName name="BG_BIL_AF">#REF!</definedName>
    <definedName name="BG_BIL_NF">#REF!</definedName>
    <definedName name="BG_MC_AF">#REF!</definedName>
    <definedName name="BG_UBL_AF">#REF!</definedName>
    <definedName name="BG_UBL_NF">#REF!</definedName>
    <definedName name="BG_VOL_AF">#REF!</definedName>
    <definedName name="BG_VOL_NF">#REF!</definedName>
    <definedName name="BG_VOL_NF_2">#REF!</definedName>
    <definedName name="bhjhj" localSheetId="14">{"summary",#N/A,TRUE,"Coal Inventory Summary";"view 1",#N/A,TRUE,"Coal Inv. By Station";"view 2",#N/A,TRUE,"Coal inv by sta 2";"view 3",#N/A,TRUE,"Coal inv by sta 3";"oil",#N/A,TRUE,"Oil Purchases"}</definedName>
    <definedName name="bhjhj">{"summary",#N/A,TRUE,"Coal Inventory Summary";"view 1",#N/A,TRUE,"Coal Inv. By Station";"view 2",#N/A,TRUE,"Coal inv by sta 2";"view 3",#N/A,TRUE,"Coal inv by sta 3";"oil",#N/A,TRUE,"Oil Purchases"}</definedName>
    <definedName name="BidAsk">#REF!</definedName>
    <definedName name="Bill_Item">#REF!</definedName>
    <definedName name="Billed_Fuel_Rev">#REF!</definedName>
    <definedName name="Billed_Net_Margin_Rev">#REF!</definedName>
    <definedName name="BILLTYPE">#REF!</definedName>
    <definedName name="bj_roic">#REF!</definedName>
    <definedName name="bj_rtree">#REF!</definedName>
    <definedName name="bj_rtree3">#REF!</definedName>
    <definedName name="bj_sales">#REF!</definedName>
    <definedName name="bj_wacc">#REF!</definedName>
    <definedName name="bj2_roic">#REF!</definedName>
    <definedName name="BLBETA0">#REF!</definedName>
    <definedName name="BLBETA1">#REF!</definedName>
    <definedName name="BLBETA1TEST">#REF!</definedName>
    <definedName name="BLBETA2">#REF!</definedName>
    <definedName name="BLBETA2TEST">#REF!</definedName>
    <definedName name="BLPH21">#REF!</definedName>
    <definedName name="BLPH22">#REF!</definedName>
    <definedName name="BLPH23">#REF!</definedName>
    <definedName name="BLPH24">#REF!</definedName>
    <definedName name="BLPH25">#REF!</definedName>
    <definedName name="BLPH26">#REF!</definedName>
    <definedName name="BLPH27">#REF!</definedName>
    <definedName name="BLPH28">#REF!</definedName>
    <definedName name="BLPH29">#REF!</definedName>
    <definedName name="BLPH30">#REF!</definedName>
    <definedName name="BLPH31">#REF!</definedName>
    <definedName name="BLPH32">#REF!</definedName>
    <definedName name="BLPH33">#REF!</definedName>
    <definedName name="BLPH34">#REF!</definedName>
    <definedName name="BLPH35">#REF!</definedName>
    <definedName name="bnbbb" localSheetId="14">{#N/A,#N/A,TRUE,"TOTALS";#N/A,#N/A,TRUE,"BULK POWER";#N/A,#N/A,TRUE,"SUSQUEHANNA REGION";#N/A,#N/A,TRUE,"NE REGION - SCRANTON AREA";#N/A,#N/A,TRUE,"NE REGION - HONESDALE AREA";#N/A,#N/A,TRUE,"NE REGION - HAZ_WB AREA";#N/A,#N/A,TRUE,"LEHIGH REGION";#N/A,#N/A,TRUE,"HARRISBURG REGION";#N/A,#N/A,TRUE,"LANCASTER REGION";#N/A,#N/A,TRUE,"REGIONAL POOL ITEMS";#N/A,#N/A,TRUE,"AREA POOLS ITEMS";#N/A,#N/A,TRUE,"AREA SUPPLY BLANKET ITEMS";#N/A,#N/A,TRUE,"SCADA BUDGET ITEMS"}</definedName>
    <definedName name="bnbbb">{#N/A,#N/A,TRUE,"TOTALS";#N/A,#N/A,TRUE,"BULK POWER";#N/A,#N/A,TRUE,"SUSQUEHANNA REGION";#N/A,#N/A,TRUE,"NE REGION - SCRANTON AREA";#N/A,#N/A,TRUE,"NE REGION - HONESDALE AREA";#N/A,#N/A,TRUE,"NE REGION - HAZ_WB AREA";#N/A,#N/A,TRUE,"LEHIGH REGION";#N/A,#N/A,TRUE,"HARRISBURG REGION";#N/A,#N/A,TRUE,"LANCASTER REGION";#N/A,#N/A,TRUE,"REGIONAL POOL ITEMS";#N/A,#N/A,TRUE,"AREA POOLS ITEMS";#N/A,#N/A,TRUE,"AREA SUPPLY BLANKET ITEMS";#N/A,#N/A,TRUE,"SCADA BUDGET ITEMS"}</definedName>
    <definedName name="bnnjn" localSheetId="14">{#N/A,#N/A,FALSE,"Sheet1"}</definedName>
    <definedName name="bnnjn">{#N/A,#N/A,FALSE,"Sheet1"}</definedName>
    <definedName name="bnnnn" localSheetId="14">{#N/A,#N/A,TRUE,"TOTALS";#N/A,#N/A,TRUE,"BULK POWER";#N/A,#N/A,TRUE,"SUSQUEHANNA REGION";#N/A,#N/A,TRUE,"NE REGION - SCRANTON AREA";#N/A,#N/A,TRUE,"NE REGION - HONESDALE AREA";#N/A,#N/A,TRUE,"NE REGION - HAZ_WB AREA";#N/A,#N/A,TRUE,"LEHIGH REGION";#N/A,#N/A,TRUE,"HARRISBURG REGION";#N/A,#N/A,TRUE,"LANCASTER REGION";#N/A,#N/A,TRUE,"REGIONAL POOL ITEMS";#N/A,#N/A,TRUE,"AREA POOLS ITEMS";#N/A,#N/A,TRUE,"AREA SUPPLY BLANKET ITEMS";#N/A,#N/A,TRUE,"SCADA BUDGET ITEMS"}</definedName>
    <definedName name="bnnnn">{#N/A,#N/A,TRUE,"TOTALS";#N/A,#N/A,TRUE,"BULK POWER";#N/A,#N/A,TRUE,"SUSQUEHANNA REGION";#N/A,#N/A,TRUE,"NE REGION - SCRANTON AREA";#N/A,#N/A,TRUE,"NE REGION - HONESDALE AREA";#N/A,#N/A,TRUE,"NE REGION - HAZ_WB AREA";#N/A,#N/A,TRUE,"LEHIGH REGION";#N/A,#N/A,TRUE,"HARRISBURG REGION";#N/A,#N/A,TRUE,"LANCASTER REGION";#N/A,#N/A,TRUE,"REGIONAL POOL ITEMS";#N/A,#N/A,TRUE,"AREA POOLS ITEMS";#N/A,#N/A,TRUE,"AREA SUPPLY BLANKET ITEMS";#N/A,#N/A,TRUE,"SCADA BUDGET ITEMS"}</definedName>
    <definedName name="bnnnnn" localSheetId="14">{"detail",#N/A,FALSE,"COSSUM"}</definedName>
    <definedName name="bnnnnn">{"detail",#N/A,FALSE,"COSSUM"}</definedName>
    <definedName name="bondReserve">#REF!</definedName>
    <definedName name="Book_income_info">#REF!</definedName>
    <definedName name="boys" localSheetId="14">{#N/A,#N/A,FALSE,"JE051 PAGE 1 OF 3";#N/A,#N/A,FALSE,"JE051 PAGE 2 OF 3";#N/A,#N/A,FALSE,"JE051 PAGE 3 OF 3"}</definedName>
    <definedName name="boys">{#N/A,#N/A,FALSE,"JE051 PAGE 1 OF 3";#N/A,#N/A,FALSE,"JE051 PAGE 2 OF 3";#N/A,#N/A,FALSE,"JE051 PAGE 3 OF 3"}</definedName>
    <definedName name="BP">#REF!</definedName>
    <definedName name="BREOECAP">#REF!</definedName>
    <definedName name="BritishAirways_WACC">#REF!</definedName>
    <definedName name="BRO_MARGN_REQMT">#REF!</definedName>
    <definedName name="BROKER">#REF!</definedName>
    <definedName name="BSWTotGraphs">#REF!</definedName>
    <definedName name="BU">#REF!</definedName>
    <definedName name="bud_xr">#REF!</definedName>
    <definedName name="Budget">#REF!</definedName>
    <definedName name="Budget1">#REF!</definedName>
    <definedName name="Budget10">#REF!</definedName>
    <definedName name="Budget11">#REF!</definedName>
    <definedName name="Budget12">#REF!</definedName>
    <definedName name="Budget3">#REF!</definedName>
    <definedName name="Budget4">#REF!</definedName>
    <definedName name="Budget5">#REF!</definedName>
    <definedName name="Budget6">#REF!</definedName>
    <definedName name="Budget7">#REF!</definedName>
    <definedName name="Budget8">#REF!</definedName>
    <definedName name="Budget9">#REF!</definedName>
    <definedName name="BUDGETACCT">OFFSET(#REF!,0,0,COUNTA(#REF!),1)</definedName>
    <definedName name="BUDGETACODE">OFFSET(#REF!,0,0,COUNTA(#REF!),1)</definedName>
    <definedName name="BUDGETAMOUNT">OFFSET(#REF!,0,0,COUNTA(#REF!),1)</definedName>
    <definedName name="BUDGETCOUNT">OFFSET(#REF!,0,0,COUNTA(#REF!),1)</definedName>
    <definedName name="BUDGETMONTH">OFFSET(#REF!,0,0,COUNTA(#REF!),1)</definedName>
    <definedName name="BUDGETROLLUP">OFFSET(#REF!,0,0,COUNTA(#REF!),1)</definedName>
    <definedName name="BUDREFCAP">#REF!</definedName>
    <definedName name="Build_Type">#REF!</definedName>
    <definedName name="businessarea">#REF!</definedName>
    <definedName name="BUV">#REF!</definedName>
    <definedName name="BUYSELL">#REF!</definedName>
    <definedName name="bvbbnb" localSheetId="14">{#N/A,#N/A,FALSE,"schA"}</definedName>
    <definedName name="bvbbnb">{#N/A,#N/A,FALSE,"schA"}</definedName>
    <definedName name="ByCompany">#REF!</definedName>
    <definedName name="CA_Alt_Chks_Area_Names">#REF!</definedName>
    <definedName name="CA_Alt_Chks_Flags">#REF!</definedName>
    <definedName name="CA_Alt_Chks_Inc">#REF!</definedName>
    <definedName name="CA_Err_Chks_Area_Names">#REF!</definedName>
    <definedName name="CA_Err_Chks_Flags">#REF!</definedName>
    <definedName name="CA_Err_Chks_Inc">#REF!</definedName>
    <definedName name="CA_Sens_Chks_Area_Names">#REF!</definedName>
    <definedName name="CA_Sens_Chks_Flags">#REF!</definedName>
    <definedName name="CA_Sens_Chks_Inc">#REF!</definedName>
    <definedName name="calc">#REF!</definedName>
    <definedName name="can" localSheetId="14">{#N/A,#N/A,FALSE,"O&amp;M by processes";#N/A,#N/A,FALSE,"Elec Act vs Bud";#N/A,#N/A,FALSE,"G&amp;A";#N/A,#N/A,FALSE,"BGS";#N/A,#N/A,FALSE,"Res Cost"}</definedName>
    <definedName name="can">{#N/A,#N/A,FALSE,"O&amp;M by processes";#N/A,#N/A,FALSE,"Elec Act vs Bud";#N/A,#N/A,FALSE,"G&amp;A";#N/A,#N/A,FALSE,"BGS";#N/A,#N/A,FALSE,"Res Cost"}</definedName>
    <definedName name="cap_interest">#REF!</definedName>
    <definedName name="cap_stock_tax">#REF!</definedName>
    <definedName name="Capex_Comp">#REF!</definedName>
    <definedName name="Capex_FOC">#REF!</definedName>
    <definedName name="CASE">#REF!</definedName>
    <definedName name="CASE_RATE">#REF!</definedName>
    <definedName name="Cash_Tax">OFFSET(#REF!,0,5,,#REF!)</definedName>
    <definedName name="CashFlows">#REF!</definedName>
    <definedName name="CashNonop">#REF!</definedName>
    <definedName name="Cat_2">#REF!</definedName>
    <definedName name="CatAct">#REF!</definedName>
    <definedName name="CatBud">#REF!</definedName>
    <definedName name="Categories">#REF!</definedName>
    <definedName name="Category">#REF!</definedName>
    <definedName name="Category___0">#REF!</definedName>
    <definedName name="CatFcst">#REF!</definedName>
    <definedName name="CathayPacific_WACC">#REF!</definedName>
    <definedName name="CatPFcst">#REF!</definedName>
    <definedName name="caufm_roic">#REF!</definedName>
    <definedName name="caufm_rtree">#REF!</definedName>
    <definedName name="caufm_rtree3">#REF!</definedName>
    <definedName name="caufm_sales">#REF!</definedName>
    <definedName name="caufm_wacc">#REF!</definedName>
    <definedName name="caufm2_roic">#REF!</definedName>
    <definedName name="CB_Alt_Chks_Show_Msg">#REF!</definedName>
    <definedName name="CB_Eq_Ord_Cash_Limit_Div">#REF!</definedName>
    <definedName name="CB_Eq_Ord_Inc_Open_RP_In_NPAT">#REF!</definedName>
    <definedName name="CB_Err_Chks_Show_Msg">#REF!</definedName>
    <definedName name="CB_OR">OFFSET(#REF!,0,5,,#REF!)</definedName>
    <definedName name="CB_Sens_Chks_Show_Msg">#REF!</definedName>
    <definedName name="CB_TS_Show_Hist_Fcast_Pers">#REF!</definedName>
    <definedName name="cbcvbcv" localSheetId="14">{#N/A,#N/A,FALSE,"Monthly SAIFI";#N/A,#N/A,FALSE,"Yearly SAIFI";#N/A,#N/A,FALSE,"Monthly CAIDI";#N/A,#N/A,FALSE,"Yearly CAIDI";#N/A,#N/A,FALSE,"Monthly SAIDI";#N/A,#N/A,FALSE,"Yearly SAIDI";#N/A,#N/A,FALSE,"Monthly MAIFI";#N/A,#N/A,FALSE,"Yearly MAIFI";#N/A,#N/A,FALSE,"Monthly Cust &gt;=4 Int"}</definedName>
    <definedName name="cbcvbcv">{#N/A,#N/A,FALSE,"Monthly SAIFI";#N/A,#N/A,FALSE,"Yearly SAIFI";#N/A,#N/A,FALSE,"Monthly CAIDI";#N/A,#N/A,FALSE,"Yearly CAIDI";#N/A,#N/A,FALSE,"Monthly SAIDI";#N/A,#N/A,FALSE,"Yearly SAIDI";#N/A,#N/A,FALSE,"Monthly MAIFI";#N/A,#N/A,FALSE,"Yearly MAIFI";#N/A,#N/A,FALSE,"Monthly Cust &gt;=4 Int"}</definedName>
    <definedName name="CBWorkbookPriority">-250256570</definedName>
    <definedName name="CC">#REF!</definedName>
    <definedName name="ccbbcvbc" localSheetId="14">{#N/A,#N/A,FALSE,"Monthly SAIFI";#N/A,#N/A,FALSE,"Yearly SAIFI";#N/A,#N/A,FALSE,"Monthly CAIDI";#N/A,#N/A,FALSE,"Yearly CAIDI";#N/A,#N/A,FALSE,"Monthly SAIDI";#N/A,#N/A,FALSE,"Yearly SAIDI";#N/A,#N/A,FALSE,"Monthly MAIFI";#N/A,#N/A,FALSE,"Yearly MAIFI";#N/A,#N/A,FALSE,"Monthly Cust &gt;=4 Int"}</definedName>
    <definedName name="ccbbcvbc">{#N/A,#N/A,FALSE,"Monthly SAIFI";#N/A,#N/A,FALSE,"Yearly SAIFI";#N/A,#N/A,FALSE,"Monthly CAIDI";#N/A,#N/A,FALSE,"Yearly CAIDI";#N/A,#N/A,FALSE,"Monthly SAIDI";#N/A,#N/A,FALSE,"Yearly SAIDI";#N/A,#N/A,FALSE,"Monthly MAIFI";#N/A,#N/A,FALSE,"Yearly MAIFI";#N/A,#N/A,FALSE,"Monthly Cust &gt;=4 Int"}</definedName>
    <definedName name="cccc" localSheetId="14">{#N/A,#N/A,FALSE,"O&amp;M by processes";#N/A,#N/A,FALSE,"Elec Act vs Bud";#N/A,#N/A,FALSE,"G&amp;A";#N/A,#N/A,FALSE,"BGS";#N/A,#N/A,FALSE,"Res Cost"}</definedName>
    <definedName name="cccc">{#N/A,#N/A,FALSE,"O&amp;M by processes";#N/A,#N/A,FALSE,"Elec Act vs Bud";#N/A,#N/A,FALSE,"G&amp;A";#N/A,#N/A,FALSE,"BGS";#N/A,#N/A,FALSE,"Res Cost"}</definedName>
    <definedName name="cccvf">0.00451388888905058</definedName>
    <definedName name="cccvvv" localSheetId="14">{#N/A,#N/A,FALSE,"Expenditures";#N/A,#N/A,FALSE,"Property Placed In-Service";#N/A,#N/A,FALSE,"Removals";#N/A,#N/A,FALSE,"Retirements";#N/A,#N/A,FALSE,"CWIP Balances";#N/A,#N/A,FALSE,"CWIP_Expend_Ratios";#N/A,#N/A,FALSE,"CWIP_Yr_End"}</definedName>
    <definedName name="cccvvv">{#N/A,#N/A,FALSE,"Expenditures";#N/A,#N/A,FALSE,"Property Placed In-Service";#N/A,#N/A,FALSE,"Removals";#N/A,#N/A,FALSE,"Retirements";#N/A,#N/A,FALSE,"CWIP Balances";#N/A,#N/A,FALSE,"CWIP_Expend_Ratios";#N/A,#N/A,FALSE,"CWIP_Yr_End"}</definedName>
    <definedName name="ccfvv" localSheetId="14">{#N/A,#N/A,FALSE,"Expenditures";#N/A,#N/A,FALSE,"Property Placed In-Service";#N/A,#N/A,FALSE,"Removals";#N/A,#N/A,FALSE,"Retirements";#N/A,#N/A,FALSE,"CWIP Balances";#N/A,#N/A,FALSE,"CWIP_Expend_Ratios";#N/A,#N/A,FALSE,"CWIP_Yr_End"}</definedName>
    <definedName name="ccfvv">{#N/A,#N/A,FALSE,"Expenditures";#N/A,#N/A,FALSE,"Property Placed In-Service";#N/A,#N/A,FALSE,"Removals";#N/A,#N/A,FALSE,"Retirements";#N/A,#N/A,FALSE,"CWIP Balances";#N/A,#N/A,FALSE,"CWIP_Expend_Ratios";#N/A,#N/A,FALSE,"CWIP_Yr_End"}</definedName>
    <definedName name="CCMGR1">#REF!</definedName>
    <definedName name="CCNapr14">#REF!</definedName>
    <definedName name="CCNapr16">#REF!</definedName>
    <definedName name="CCNaug">#REF!</definedName>
    <definedName name="CCNaug14">#REF!</definedName>
    <definedName name="CCNdec">#REF!</definedName>
    <definedName name="CCNdec15">#REF!</definedName>
    <definedName name="CCNfeb">#REF!</definedName>
    <definedName name="CCNfeb14">#REF!</definedName>
    <definedName name="CCNjan">#REF!</definedName>
    <definedName name="CCNjan16">#REF!</definedName>
    <definedName name="CCNjul14">#REF!</definedName>
    <definedName name="CCNjul15">#REF!</definedName>
    <definedName name="CCNjun14">#REF!</definedName>
    <definedName name="CCNjun15">#REF!</definedName>
    <definedName name="CCNJune">#REF!</definedName>
    <definedName name="CCNmar14">#REF!</definedName>
    <definedName name="CCNmar16">#REF!</definedName>
    <definedName name="CCNmay14">#REF!</definedName>
    <definedName name="CCNmay15">#REF!</definedName>
    <definedName name="CCNnov">#REF!</definedName>
    <definedName name="CCNnov15">#REF!</definedName>
    <definedName name="CCNoct">#REF!</definedName>
    <definedName name="CCNoct15">#REF!</definedName>
    <definedName name="CCNsep">#REF!</definedName>
    <definedName name="CCNsep15">#REF!</definedName>
    <definedName name="cdddfff" localSheetId="14">{#N/A,#N/A,FALSE,"Expenditures";#N/A,#N/A,FALSE,"Property Placed In-Service";#N/A,#N/A,FALSE,"Removals";#N/A,#N/A,FALSE,"Retirements";#N/A,#N/A,FALSE,"CWIP Balances";#N/A,#N/A,FALSE,"CWIP_Expend_Ratios";#N/A,#N/A,FALSE,"CWIP_Yr_End"}</definedName>
    <definedName name="cdddfff">{#N/A,#N/A,FALSE,"Expenditures";#N/A,#N/A,FALSE,"Property Placed In-Service";#N/A,#N/A,FALSE,"Removals";#N/A,#N/A,FALSE,"Retirements";#N/A,#N/A,FALSE,"CWIP Balances";#N/A,#N/A,FALSE,"CWIP_Expend_Ratios";#N/A,#N/A,FALSE,"CWIP_Yr_End"}</definedName>
    <definedName name="ce">#REF!</definedName>
    <definedName name="ce_pct">#REF!</definedName>
    <definedName name="ce_rate">#REF!</definedName>
    <definedName name="CentralMainRenew">#REF!</definedName>
    <definedName name="CentralNewMain">#REF!</definedName>
    <definedName name="CentralNewSvcs">#REF!</definedName>
    <definedName name="CentralS">#REF!</definedName>
    <definedName name="CentralSvcRenew">#REF!</definedName>
    <definedName name="CentralW">#REF!</definedName>
    <definedName name="CF_FIRSTREVIEW">#REF!</definedName>
    <definedName name="CF_SECONDREVIEW">#REF!</definedName>
    <definedName name="cfgb" localSheetId="14">{#N/A,#N/A,FALSE,"schA"}</definedName>
    <definedName name="cfgb">{#N/A,#N/A,FALSE,"schA"}</definedName>
    <definedName name="Charge">#REF!</definedName>
    <definedName name="CHARTOFACCOUNTSID1">#REF!</definedName>
    <definedName name="checkB">#REF!</definedName>
    <definedName name="ChinaSouthern_WACC">#REF!</definedName>
    <definedName name="Choices_Wrapper" localSheetId="14">'2006 Hold Harmless RB Credit'!Choices_Wrapper</definedName>
    <definedName name="Choices_Wrapper">#REF!</definedName>
    <definedName name="CI_Percent">#REF!</definedName>
    <definedName name="CipNonop">#REF!</definedName>
    <definedName name="CL_AE">OFFSET(#REF!,0,5,,#REF!)</definedName>
    <definedName name="CL_OR">OFFSET(#REF!,0,5,,#REF!)</definedName>
    <definedName name="cleanup" localSheetId="14">{#N/A,#N/A,TRUE,"TAXPROV";#N/A,#N/A,TRUE,"FLOWTHRU";#N/A,#N/A,TRUE,"SCHEDULE M'S";#N/A,#N/A,TRUE,"PLANT M'S";#N/A,#N/A,TRUE,"TAXJE"}</definedName>
    <definedName name="cleanup">{#N/A,#N/A,TRUE,"TAXPROV";#N/A,#N/A,TRUE,"FLOWTHRU";#N/A,#N/A,TRUE,"SCHEDULE M'S";#N/A,#N/A,TRUE,"PLANT M'S";#N/A,#N/A,TRUE,"TAXJE"}</definedName>
    <definedName name="Closing_Date">#REF!</definedName>
    <definedName name="cngFuel">#REF!</definedName>
    <definedName name="CO">#REF!</definedName>
    <definedName name="coal_esc">#REF!</definedName>
    <definedName name="Coal_Prices">#REF!</definedName>
    <definedName name="Code">#REF!</definedName>
    <definedName name="Code___0">#REF!</definedName>
    <definedName name="CoList">#REF!</definedName>
    <definedName name="CombGross">#REF!</definedName>
    <definedName name="Comment">#REF!</definedName>
    <definedName name="Commercial">#REF!</definedName>
    <definedName name="commerciala">#REF!</definedName>
    <definedName name="COMMODITY">#REF!</definedName>
    <definedName name="comp" localSheetId="14">{"Page 1",#N/A,FALSE,"SC1";"Page 2",#N/A,FALSE,"SC1";"Page 3",#N/A,FALSE,"SC1";"Page 4",#N/A,FALSE,"SC1";"Page 5",#N/A,FALSE,"SC2 Pri";"Page 6",#N/A,FALSE,"SC2 Pri";"Page 7",#N/A,FALSE,"SC5";"Page 8",#N/A,FALSE,"SC7";"Page 9",#N/A,FALSE,"SC7";"Page 10",#N/A,FALSE,"SC7"}</definedName>
    <definedName name="comp">{"Page 1",#N/A,FALSE,"SC1";"Page 2",#N/A,FALSE,"SC1";"Page 3",#N/A,FALSE,"SC1";"Page 4",#N/A,FALSE,"SC1";"Page 5",#N/A,FALSE,"SC2 Pri";"Page 6",#N/A,FALSE,"SC2 Pri";"Page 7",#N/A,FALSE,"SC5";"Page 8",#N/A,FALSE,"SC7";"Page 9",#N/A,FALSE,"SC7";"Page 10",#N/A,FALSE,"SC7"}</definedName>
    <definedName name="COMPANY">#REF!</definedName>
    <definedName name="Company_1">OFFSET(#REF!,0,0,#REF!)</definedName>
    <definedName name="Company_names_etc">#REF!</definedName>
    <definedName name="Company_new">OFFSET(#REF!,0,0,COUNTA(#REF!)-1)</definedName>
    <definedName name="Company_NY">#REF!</definedName>
    <definedName name="CompanyName">#REF!</definedName>
    <definedName name="CompanyUnwindPP">#REF!</definedName>
    <definedName name="Component">#REF!</definedName>
    <definedName name="coname">#REF!</definedName>
    <definedName name="Configuration">#REF!</definedName>
    <definedName name="CongMeanRev">#REF!</definedName>
    <definedName name="CONNECTSTRING1">#REF!</definedName>
    <definedName name="cons">#REF!</definedName>
    <definedName name="Consequence___0">#REF!</definedName>
    <definedName name="Consolid" localSheetId="14">{#N/A,#N/A,FALSE,"O&amp;M by processes";#N/A,#N/A,FALSE,"Elec Act vs Bud";#N/A,#N/A,FALSE,"G&amp;A";#N/A,#N/A,FALSE,"BGS";#N/A,#N/A,FALSE,"Res Cost"}</definedName>
    <definedName name="Consolid">{#N/A,#N/A,FALSE,"O&amp;M by processes";#N/A,#N/A,FALSE,"Elec Act vs Bud";#N/A,#N/A,FALSE,"G&amp;A";#N/A,#N/A,FALSE,"BGS";#N/A,#N/A,FALSE,"Res Cost"}</definedName>
    <definedName name="Consolidated" localSheetId="14">{#N/A,#N/A,FALSE,"O&amp;M by processes";#N/A,#N/A,FALSE,"Elec Act vs Bud";#N/A,#N/A,FALSE,"G&amp;A";#N/A,#N/A,FALSE,"BGS";#N/A,#N/A,FALSE,"Res Cost"}</definedName>
    <definedName name="Consolidated">{#N/A,#N/A,FALSE,"O&amp;M by processes";#N/A,#N/A,FALSE,"Elec Act vs Bud";#N/A,#N/A,FALSE,"G&amp;A";#N/A,#N/A,FALSE,"BGS";#N/A,#N/A,FALSE,"Res Cost"}</definedName>
    <definedName name="const_cost_esc">#REF!</definedName>
    <definedName name="const_manhr_cost_init">#REF!</definedName>
    <definedName name="consv">#REF!</definedName>
    <definedName name="Continental_WACC">#REF!</definedName>
    <definedName name="CONTRACTMONTH">#REF!</definedName>
    <definedName name="CONTRACTS">#REF!</definedName>
    <definedName name="control">#REF!</definedName>
    <definedName name="ControlChange">#REF!</definedName>
    <definedName name="ControlFreq">#REF!</definedName>
    <definedName name="controlimportance">#REF!</definedName>
    <definedName name="CONTROLTOTALS">#REF!</definedName>
    <definedName name="CONTYPE">#REF!</definedName>
    <definedName name="CONTYPE5">#REF!</definedName>
    <definedName name="CoNum">#REF!</definedName>
    <definedName name="CONUMBER">#REF!</definedName>
    <definedName name="conv">#REF!</definedName>
    <definedName name="Convention">#REF!</definedName>
    <definedName name="Copy_EU_DIT_Total_ExtOrd">#REF!</definedName>
    <definedName name="corp">#REF!</definedName>
    <definedName name="CorpBSSummary">#REF!</definedName>
    <definedName name="CorpISDetail">#REF!</definedName>
    <definedName name="COS_Sum">#REF!</definedName>
    <definedName name="COST">#REF!</definedName>
    <definedName name="Cost_Centre">#REF!</definedName>
    <definedName name="cost_debt">#REF!</definedName>
    <definedName name="Cost_Element">#REF!</definedName>
    <definedName name="cost_of_good_sold">#REF!</definedName>
    <definedName name="cost_roic">#REF!</definedName>
    <definedName name="cost_rtree">#REF!</definedName>
    <definedName name="cost_rtree3">#REF!</definedName>
    <definedName name="cost_sales">#REF!</definedName>
    <definedName name="cost_wacc">#REF!</definedName>
    <definedName name="cost2_roic">#REF!</definedName>
    <definedName name="CostCenters">#REF!</definedName>
    <definedName name="coun" localSheetId="14">{#N/A,#N/A,FALSE,"Assessment";#N/A,#N/A,FALSE,"Staffing";#N/A,#N/A,FALSE,"Hires";#N/A,#N/A,FALSE,"Assumptions"}</definedName>
    <definedName name="coun">{#N/A,#N/A,FALSE,"Assessment";#N/A,#N/A,FALSE,"Staffing";#N/A,#N/A,FALSE,"Hires";#N/A,#N/A,FALSE,"Assumptions"}</definedName>
    <definedName name="coun_new" localSheetId="14">{#N/A,#N/A,FALSE,"Assessment";#N/A,#N/A,FALSE,"Staffing";#N/A,#N/A,FALSE,"Hires";#N/A,#N/A,FALSE,"Assumptions"}</definedName>
    <definedName name="coun_new">{#N/A,#N/A,FALSE,"Assessment";#N/A,#N/A,FALSE,"Staffing";#N/A,#N/A,FALSE,"Hires";#N/A,#N/A,FALSE,"Assumptions"}</definedName>
    <definedName name="coun_new1" localSheetId="14">{#N/A,#N/A,FALSE,"Assessment";#N/A,#N/A,FALSE,"Staffing";#N/A,#N/A,FALSE,"Hires";#N/A,#N/A,FALSE,"Assumptions"}</definedName>
    <definedName name="coun_new1">{#N/A,#N/A,FALSE,"Assessment";#N/A,#N/A,FALSE,"Staffing";#N/A,#N/A,FALSE,"Hires";#N/A,#N/A,FALSE,"Assumptions"}</definedName>
    <definedName name="coun1" localSheetId="14">{#N/A,#N/A,FALSE,"Assessment";#N/A,#N/A,FALSE,"Staffing";#N/A,#N/A,FALSE,"Hires";#N/A,#N/A,FALSE,"Assumptions"}</definedName>
    <definedName name="coun1">{#N/A,#N/A,FALSE,"Assessment";#N/A,#N/A,FALSE,"Staffing";#N/A,#N/A,FALSE,"Hires";#N/A,#N/A,FALSE,"Assumptions"}</definedName>
    <definedName name="count">#REF!</definedName>
    <definedName name="COUNT2" localSheetId="14">{#N/A,#N/A,FALSE,"Assessment";#N/A,#N/A,FALSE,"Staffing";#N/A,#N/A,FALSE,"Hires";#N/A,#N/A,FALSE,"Assumptions"}</definedName>
    <definedName name="COUNT2">{#N/A,#N/A,FALSE,"Assessment";#N/A,#N/A,FALSE,"Staffing";#N/A,#N/A,FALSE,"Hires";#N/A,#N/A,FALSE,"Assumptions"}</definedName>
    <definedName name="count2_new" localSheetId="14">{#N/A,#N/A,FALSE,"Assessment";#N/A,#N/A,FALSE,"Staffing";#N/A,#N/A,FALSE,"Hires";#N/A,#N/A,FALSE,"Assumptions"}</definedName>
    <definedName name="count2_new">{#N/A,#N/A,FALSE,"Assessment";#N/A,#N/A,FALSE,"Staffing";#N/A,#N/A,FALSE,"Hires";#N/A,#N/A,FALSE,"Assumptions"}</definedName>
    <definedName name="count2_new1" localSheetId="14">{#N/A,#N/A,FALSE,"Assessment";#N/A,#N/A,FALSE,"Staffing";#N/A,#N/A,FALSE,"Hires";#N/A,#N/A,FALSE,"Assumptions"}</definedName>
    <definedName name="count2_new1">{#N/A,#N/A,FALSE,"Assessment";#N/A,#N/A,FALSE,"Staffing";#N/A,#N/A,FALSE,"Hires";#N/A,#N/A,FALSE,"Assumptions"}</definedName>
    <definedName name="COUNT2a" localSheetId="14">{#N/A,#N/A,FALSE,"Assessment";#N/A,#N/A,FALSE,"Staffing";#N/A,#N/A,FALSE,"Hires";#N/A,#N/A,FALSE,"Assumptions"}</definedName>
    <definedName name="COUNT2a">{#N/A,#N/A,FALSE,"Assessment";#N/A,#N/A,FALSE,"Staffing";#N/A,#N/A,FALSE,"Hires";#N/A,#N/A,FALSE,"Assumptions"}</definedName>
    <definedName name="counterparty">#REF!</definedName>
    <definedName name="COUNTRY" localSheetId="14">{#N/A,#N/A,FALSE,"Assessment";#N/A,#N/A,FALSE,"Staffing";#N/A,#N/A,FALSE,"Hires";#N/A,#N/A,FALSE,"Assumptions"}</definedName>
    <definedName name="COUNTRY">{#N/A,#N/A,FALSE,"Assessment";#N/A,#N/A,FALSE,"Staffing";#N/A,#N/A,FALSE,"Hires";#N/A,#N/A,FALSE,"Assumptions"}</definedName>
    <definedName name="Country_new" localSheetId="14">{#N/A,#N/A,FALSE,"Assessment";#N/A,#N/A,FALSE,"Staffing";#N/A,#N/A,FALSE,"Hires";#N/A,#N/A,FALSE,"Assumptions"}</definedName>
    <definedName name="Country_new">{#N/A,#N/A,FALSE,"Assessment";#N/A,#N/A,FALSE,"Staffing";#N/A,#N/A,FALSE,"Hires";#N/A,#N/A,FALSE,"Assumptions"}</definedName>
    <definedName name="Country_new1" localSheetId="14">{#N/A,#N/A,FALSE,"Assessment";#N/A,#N/A,FALSE,"Staffing";#N/A,#N/A,FALSE,"Hires";#N/A,#N/A,FALSE,"Assumptions"}</definedName>
    <definedName name="Country_new1">{#N/A,#N/A,FALSE,"Assessment";#N/A,#N/A,FALSE,"Staffing";#N/A,#N/A,FALSE,"Hires";#N/A,#N/A,FALSE,"Assumptions"}</definedName>
    <definedName name="COUNTRY1" localSheetId="14">{#N/A,#N/A,FALSE,"Assessment";#N/A,#N/A,FALSE,"Staffing";#N/A,#N/A,FALSE,"Hires";#N/A,#N/A,FALSE,"Assumptions"}</definedName>
    <definedName name="COUNTRY1">{#N/A,#N/A,FALSE,"Assessment";#N/A,#N/A,FALSE,"Staffing";#N/A,#N/A,FALSE,"Hires";#N/A,#N/A,FALSE,"Assumptions"}</definedName>
    <definedName name="Coversheet_Rec_Status">#REF!</definedName>
    <definedName name="CP_Billed">#REF!</definedName>
    <definedName name="CP_fctMC">#REF!</definedName>
    <definedName name="CP_fctVol">#REF!</definedName>
    <definedName name="CP_His_MC">#REF!</definedName>
    <definedName name="CP_His_Vol">#REF!</definedName>
    <definedName name="CP_Inp_MC">#REF!</definedName>
    <definedName name="CP_NorBld">#REF!</definedName>
    <definedName name="CP_NorUBD">#REF!</definedName>
    <definedName name="CP_NorVol">#REF!</definedName>
    <definedName name="CP_rawCus">#REF!</definedName>
    <definedName name="CP_rawVol">#REF!</definedName>
    <definedName name="CP_Unbilled">#REF!</definedName>
    <definedName name="CR">!$A1:$IV1</definedName>
    <definedName name="crap" localSheetId="14">{#N/A,#N/A,FALSE,"OIT summ";#N/A,#N/A,FALSE,"otb summ-dental";#N/A,#N/A,FALSE,"otb summ-vision"}</definedName>
    <definedName name="crap">{#N/A,#N/A,FALSE,"OIT summ";#N/A,#N/A,FALSE,"otb summ-dental";#N/A,#N/A,FALSE,"otb summ-vision"}</definedName>
    <definedName name="Create_Easton_Cost_Report" localSheetId="25">#REF!</definedName>
    <definedName name="Create_Easton_Cost_Report" localSheetId="4">#REF!</definedName>
    <definedName name="Create_Easton_Cost_Report" localSheetId="33">#REF!</definedName>
    <definedName name="Create_Easton_Cost_Report">#REF!</definedName>
    <definedName name="CREATESUMMARYJNLS1">#REF!</definedName>
    <definedName name="CREDIT_RATING">#REF!</definedName>
    <definedName name="CRITERIACOLUMN1">#REF!</definedName>
    <definedName name="CS">#REF!</definedName>
    <definedName name="csDesignMode">1</definedName>
    <definedName name="Cum_Unusual_Loss_A_T">#REF!,#REF!,#REF!,#REF!,#REF!,#REF!</definedName>
    <definedName name="Curr">#REF!</definedName>
    <definedName name="Currency">#REF!</definedName>
    <definedName name="Currency2">#REF!</definedName>
    <definedName name="Current" localSheetId="14">{"print",#N/A,FALSE,"03-31-97 Book"}</definedName>
    <definedName name="Current">{"print",#N/A,FALSE,"03-31-97 Book"}</definedName>
    <definedName name="Current_Data">#REF!</definedName>
    <definedName name="Current_Deferred">#REF!</definedName>
    <definedName name="Current_NonCurrent">#REF!</definedName>
    <definedName name="CurrentPeriod">#REF!</definedName>
    <definedName name="CURRENTQ_COM">#REF!</definedName>
    <definedName name="CURRENTQ_NEWDEAL">#REF!</definedName>
    <definedName name="CURRENTQ_PNL">#REF!</definedName>
    <definedName name="CurrentWACC">#REF!</definedName>
    <definedName name="CurrMnth">#REF!</definedName>
    <definedName name="CurrMonth">#REF!</definedName>
    <definedName name="CurrPer">#REF!</definedName>
    <definedName name="CurrYear">#REF!</definedName>
    <definedName name="CurrYr">#REF!</definedName>
    <definedName name="Cust_EG">#REF!</definedName>
    <definedName name="Cust_NH">#REF!</definedName>
    <definedName name="Customer_Charges_Rev">#REF!</definedName>
    <definedName name="cvbbgb">0.00451388888905058</definedName>
    <definedName name="cvbg" localSheetId="14">{"detail",#N/A,FALSE,"COSSUM"}</definedName>
    <definedName name="cvbg">{"detail",#N/A,FALSE,"COSSUM"}</definedName>
    <definedName name="cvcvvbvbn" localSheetId="14">{#N/A,#N/A,TRUE,"TOTALS";#N/A,#N/A,TRUE,"BULK POWER";#N/A,#N/A,TRUE,"SUSQUEHANNA REGION";#N/A,#N/A,TRUE,"NE REGION - SCRANTON AREA";#N/A,#N/A,TRUE,"NE REGION - HONESDALE AREA";#N/A,#N/A,TRUE,"NE REGION - HAZ_WB AREA";#N/A,#N/A,TRUE,"LEHIGH REGION";#N/A,#N/A,TRUE,"HARRISBURG REGION";#N/A,#N/A,TRUE,"LANCASTER REGION";#N/A,#N/A,TRUE,"REGIONAL POOL ITEMS";#N/A,#N/A,TRUE,"AREA POOLS ITEMS";#N/A,#N/A,TRUE,"AREA SUPPLY BLANKET ITEMS";#N/A,#N/A,TRUE,"SCADA BUDGET ITEMS"}</definedName>
    <definedName name="cvcvvbvbn">{#N/A,#N/A,TRUE,"TOTALS";#N/A,#N/A,TRUE,"BULK POWER";#N/A,#N/A,TRUE,"SUSQUEHANNA REGION";#N/A,#N/A,TRUE,"NE REGION - SCRANTON AREA";#N/A,#N/A,TRUE,"NE REGION - HONESDALE AREA";#N/A,#N/A,TRUE,"NE REGION - HAZ_WB AREA";#N/A,#N/A,TRUE,"LEHIGH REGION";#N/A,#N/A,TRUE,"HARRISBURG REGION";#N/A,#N/A,TRUE,"LANCASTER REGION";#N/A,#N/A,TRUE,"REGIONAL POOL ITEMS";#N/A,#N/A,TRUE,"AREA POOLS ITEMS";#N/A,#N/A,TRUE,"AREA SUPPLY BLANKET ITEMS";#N/A,#N/A,TRUE,"SCADA BUDGET ITEMS"}</definedName>
    <definedName name="cvfbb" localSheetId="14">{#N/A,#N/A,TRUE,"TOTALS";#N/A,#N/A,TRUE,"BULK POWER";#N/A,#N/A,TRUE,"SUSQUEHANNA REGION";#N/A,#N/A,TRUE,"NE REGION - SCRANTON AREA";#N/A,#N/A,TRUE,"NE REGION - HONESDALE AREA";#N/A,#N/A,TRUE,"NE REGION - HAZ_WB AREA";#N/A,#N/A,TRUE,"LEHIGH REGION";#N/A,#N/A,TRUE,"HARRISBURG REGION";#N/A,#N/A,TRUE,"LANCASTER REGION";#N/A,#N/A,TRUE,"REGIONAL POOL ITEMS";#N/A,#N/A,TRUE,"AREA POOLS ITEMS";#N/A,#N/A,TRUE,"AREA SUPPLY BLANKET ITEMS";#N/A,#N/A,TRUE,"SCADA BUDGET ITEMS"}</definedName>
    <definedName name="cvfbb">{#N/A,#N/A,TRUE,"TOTALS";#N/A,#N/A,TRUE,"BULK POWER";#N/A,#N/A,TRUE,"SUSQUEHANNA REGION";#N/A,#N/A,TRUE,"NE REGION - SCRANTON AREA";#N/A,#N/A,TRUE,"NE REGION - HONESDALE AREA";#N/A,#N/A,TRUE,"NE REGION - HAZ_WB AREA";#N/A,#N/A,TRUE,"LEHIGH REGION";#N/A,#N/A,TRUE,"HARRISBURG REGION";#N/A,#N/A,TRUE,"LANCASTER REGION";#N/A,#N/A,TRUE,"REGIONAL POOL ITEMS";#N/A,#N/A,TRUE,"AREA POOLS ITEMS";#N/A,#N/A,TRUE,"AREA SUPPLY BLANKET ITEMS";#N/A,#N/A,TRUE,"SCADA BUDGET ITEMS"}</definedName>
    <definedName name="cvvb" localSheetId="14">{#N/A,#N/A,FALSE,"Month";#N/A,#N/A,FALSE,"Period";#N/A,#N/A,FALSE,"12 Month";#N/A,#N/A,FALSE,"Quarter"}</definedName>
    <definedName name="cvvb">{#N/A,#N/A,FALSE,"Month";#N/A,#N/A,FALSE,"Period";#N/A,#N/A,FALSE,"12 Month";#N/A,#N/A,FALSE,"Quarter"}</definedName>
    <definedName name="cvvbb" localSheetId="14">{#N/A,#N/A,FALSE,"schA"}</definedName>
    <definedName name="cvvbb">{#N/A,#N/A,FALSE,"schA"}</definedName>
    <definedName name="cvvbbbv" localSheetId="14">{#N/A,#N/A,FALSE,"Expenditures";#N/A,#N/A,FALSE,"Property Placed In-Service";#N/A,#N/A,FALSE,"Removals";#N/A,#N/A,FALSE,"Retirements";#N/A,#N/A,FALSE,"CWIP Balances";#N/A,#N/A,FALSE,"CWIP_Expend_Ratios";#N/A,#N/A,FALSE,"CWIP_Yr_End"}</definedName>
    <definedName name="cvvbbbv">{#N/A,#N/A,FALSE,"Expenditures";#N/A,#N/A,FALSE,"Property Placed In-Service";#N/A,#N/A,FALSE,"Removals";#N/A,#N/A,FALSE,"Retirements";#N/A,#N/A,FALSE,"CWIP Balances";#N/A,#N/A,FALSE,"CWIP_Expend_Ratios";#N/A,#N/A,FALSE,"CWIP_Yr_End"}</definedName>
    <definedName name="cvvff">"V2019-11-30"</definedName>
    <definedName name="cvvv" localSheetId="14">#REF!,#REF!,#REF!,#REF!,#REF!,#REF!,#REF!,#REF!,#REF!</definedName>
    <definedName name="cvvv" localSheetId="25">#REF!,#REF!,#REF!,#REF!,#REF!,#REF!,#REF!,#REF!,#REF!</definedName>
    <definedName name="cvvv" localSheetId="4">#REF!,#REF!,#REF!,#REF!,#REF!,#REF!,#REF!,#REF!,#REF!</definedName>
    <definedName name="cvvv" localSheetId="33">#REF!,#REF!,#REF!,#REF!,#REF!,#REF!,#REF!,#REF!,#REF!</definedName>
    <definedName name="cvvv">#REF!,#REF!,#REF!,#REF!,#REF!,#REF!,#REF!,#REF!,#REF!</definedName>
    <definedName name="cvvvv" localSheetId="14">{#N/A,#N/A,FALSE,"Expenditures";#N/A,#N/A,FALSE,"Property Placed In-Service";#N/A,#N/A,FALSE,"Removals";#N/A,#N/A,FALSE,"Retirements";#N/A,#N/A,FALSE,"CWIP Balances";#N/A,#N/A,FALSE,"CWIP_Expend_Ratios";#N/A,#N/A,FALSE,"CWIP_Yr_End"}</definedName>
    <definedName name="cvvvv">{#N/A,#N/A,FALSE,"Expenditures";#N/A,#N/A,FALSE,"Property Placed In-Service";#N/A,#N/A,FALSE,"Removals";#N/A,#N/A,FALSE,"Retirements";#N/A,#N/A,FALSE,"CWIP Balances";#N/A,#N/A,FALSE,"CWIP_Expend_Ratios";#N/A,#N/A,FALSE,"CWIP_Yr_End"}</definedName>
    <definedName name="CWIP" localSheetId="14">{#N/A,#N/A,FALSE,"Sheet1"}</definedName>
    <definedName name="CWIP">{#N/A,#N/A,FALSE,"Sheet1"}</definedName>
    <definedName name="cwip_init">#REF!</definedName>
    <definedName name="cy">#REF!</definedName>
    <definedName name="CY_PY">#REF!</definedName>
    <definedName name="cycle1">#REF!</definedName>
    <definedName name="d" localSheetId="14">{#N/A,#N/A,FALSE,"Income";#N/A,#N/A,FALSE,"Cost of Goods Sold";#N/A,#N/A,FALSE,"Other Costs";#N/A,#N/A,FALSE,"Other Income";#N/A,#N/A,FALSE,"Taxes";#N/A,#N/A,FALSE,"Other Deductions";#N/A,#N/A,FALSE,"Compensation of Officers"}</definedName>
    <definedName name="d">{#N/A,#N/A,FALSE,"Income";#N/A,#N/A,FALSE,"Cost of Goods Sold";#N/A,#N/A,FALSE,"Other Costs";#N/A,#N/A,FALSE,"Other Income";#N/A,#N/A,FALSE,"Taxes";#N/A,#N/A,FALSE,"Other Deductions";#N/A,#N/A,FALSE,"Compensation of Officers"}</definedName>
    <definedName name="da">#REF!</definedName>
    <definedName name="dada" localSheetId="14">{#N/A,#N/A,FALSE,"O&amp;M by processes";#N/A,#N/A,FALSE,"Elec Act vs Bud";#N/A,#N/A,FALSE,"G&amp;A";#N/A,#N/A,FALSE,"BGS";#N/A,#N/A,FALSE,"Res Cost"}</definedName>
    <definedName name="dada">{#N/A,#N/A,FALSE,"O&amp;M by processes";#N/A,#N/A,FALSE,"Elec Act vs Bud";#N/A,#N/A,FALSE,"G&amp;A";#N/A,#N/A,FALSE,"BGS";#N/A,#N/A,FALSE,"Res Cost"}</definedName>
    <definedName name="Damage">#REF!</definedName>
    <definedName name="DASDD" localSheetId="14">{#N/A,#N/A,FALSE,"Monthly SAIFI";#N/A,#N/A,FALSE,"Yearly SAIFI";#N/A,#N/A,FALSE,"Monthly CAIDI";#N/A,#N/A,FALSE,"Yearly CAIDI";#N/A,#N/A,FALSE,"Monthly SAIDI";#N/A,#N/A,FALSE,"Yearly SAIDI";#N/A,#N/A,FALSE,"Monthly MAIFI";#N/A,#N/A,FALSE,"Yearly MAIFI";#N/A,#N/A,FALSE,"Monthly Cust &gt;=4 Int"}</definedName>
    <definedName name="DASDD">{#N/A,#N/A,FALSE,"Monthly SAIFI";#N/A,#N/A,FALSE,"Yearly SAIFI";#N/A,#N/A,FALSE,"Monthly CAIDI";#N/A,#N/A,FALSE,"Yearly CAIDI";#N/A,#N/A,FALSE,"Monthly SAIDI";#N/A,#N/A,FALSE,"Yearly SAIDI";#N/A,#N/A,FALSE,"Monthly MAIFI";#N/A,#N/A,FALSE,"Yearly MAIFI";#N/A,#N/A,FALSE,"Monthly Cust &gt;=4 Int"}</definedName>
    <definedName name="data">#REF!</definedName>
    <definedName name="Data.Dump" localSheetId="25">OFFSET(#REF!,1,0)</definedName>
    <definedName name="Data.Dump" localSheetId="4">OFFSET(#REF!,1,0)</definedName>
    <definedName name="Data.Dump" localSheetId="33">OFFSET(#REF!,1,0)</definedName>
    <definedName name="Data.Dump">OFFSET(#REF!,1,0)</definedName>
    <definedName name="Data_1">OFFSET(#REF!,0,0,#REF!)</definedName>
    <definedName name="Data_Billed">#REF!</definedName>
    <definedName name="Data_BilledVolNE">#REF!</definedName>
    <definedName name="data_input">#REF!</definedName>
    <definedName name="data_items_new">#REF!</definedName>
    <definedName name="Data_Nimo">#REF!</definedName>
    <definedName name="Data_NY">#REF!</definedName>
    <definedName name="Data_RI">#REF!</definedName>
    <definedName name="data2">#REF!</definedName>
    <definedName name="_xlnm.Database">#REF!</definedName>
    <definedName name="DataColETO">#REF!,#REF!,#REF!,#REF!,#REF!,#REF!,#REF!,#REF!</definedName>
    <definedName name="DataColGAS">#REF!,#REF!,#REF!,#REF!,#REF!,#REF!,#REF!,#REF!</definedName>
    <definedName name="DataColGBSO">#REF!,#REF!,#REF!,#REF!,#REF!,#REF!,#REF!,#REF!</definedName>
    <definedName name="DataColGSO">#REF!,#REF!,#REF!,#REF!,#REF!,#REF!,#REF!,#REF!</definedName>
    <definedName name="DataColGTO">#REF!,#REF!,#REF!,#REF!,#REF!,#REF!,#REF!,#REF!</definedName>
    <definedName name="dataColPL">#REF!,#REF!,#REF!,#REF!,#REF!,#REF!,#REF!,#REF!</definedName>
    <definedName name="DataColPoV">#REF!,#REF!,#REF!,#REF!,#REF!,#REF!,#REF!,#REF!</definedName>
    <definedName name="DataColRPIx">#REF!,#REF!,#REF!,#REF!,#REF!,#REF!,#REF!,#REF!,#REF!</definedName>
    <definedName name="datColCF">#REF!,#REF!,#REF!,#REF!,#REF!,#REF!,#REF!,#REF!</definedName>
    <definedName name="date">#REF!</definedName>
    <definedName name="Date_new">OFFSET(#REF!,0,0,COUNTA(#REF!)-1)</definedName>
    <definedName name="dates">#REF!</definedName>
    <definedName name="Dates2">#REF!</definedName>
    <definedName name="DatesJ">#REF!</definedName>
    <definedName name="DateStamp" localSheetId="25">#REF!</definedName>
    <definedName name="DateStamp" localSheetId="4">#REF!</definedName>
    <definedName name="DateStamp" localSheetId="33">#REF!</definedName>
    <definedName name="DateStamp">#REF!</definedName>
    <definedName name="David">#REF!</definedName>
    <definedName name="DBNAME1">#REF!</definedName>
    <definedName name="DBUSERNAME1">#REF!</definedName>
    <definedName name="dccost">#REF!</definedName>
    <definedName name="dcfff" localSheetId="14">{#N/A,#N/A,FALSE,"Expenditures";#N/A,#N/A,FALSE,"Property Placed In-Service";#N/A,#N/A,FALSE,"Removals";#N/A,#N/A,FALSE,"Retirements";#N/A,#N/A,FALSE,"CWIP Balances";#N/A,#N/A,FALSE,"CWIP_Expend_Ratios";#N/A,#N/A,FALSE,"CWIP_Yr_End"}</definedName>
    <definedName name="dcfff">{#N/A,#N/A,FALSE,"Expenditures";#N/A,#N/A,FALSE,"Property Placed In-Service";#N/A,#N/A,FALSE,"Removals";#N/A,#N/A,FALSE,"Retirements";#N/A,#N/A,FALSE,"CWIP Balances";#N/A,#N/A,FALSE,"CWIP_Expend_Ratios";#N/A,#N/A,FALSE,"CWIP_Yr_End"}</definedName>
    <definedName name="dcffr" localSheetId="14">{#N/A,#N/A,FALSE,"Expenditures";#N/A,#N/A,FALSE,"Property Placed In-Service";#N/A,#N/A,FALSE,"Removals";#N/A,#N/A,FALSE,"Retirements";#N/A,#N/A,FALSE,"CWIP Balances";#N/A,#N/A,FALSE,"CWIP_Expend_Ratios";#N/A,#N/A,FALSE,"CWIP_Yr_End"}</definedName>
    <definedName name="dcffr">{#N/A,#N/A,FALSE,"Expenditures";#N/A,#N/A,FALSE,"Property Placed In-Service";#N/A,#N/A,FALSE,"Removals";#N/A,#N/A,FALSE,"Retirements";#N/A,#N/A,FALSE,"CWIP Balances";#N/A,#N/A,FALSE,"CWIP_Expend_Ratios";#N/A,#N/A,FALSE,"CWIP_Yr_End"}</definedName>
    <definedName name="dd">#REF!</definedName>
    <definedName name="DD_Eq_Ord_Div_Meth">#REF!</definedName>
    <definedName name="DD_TS_Data_Term_Basis">#REF!</definedName>
    <definedName name="DD_TS_Denom">#REF!</definedName>
    <definedName name="DD_TS_Fin_YE_Day">#REF!</definedName>
    <definedName name="DD_TS_Fin_YE_Mth">#REF!</definedName>
    <definedName name="dddddddddddd" localSheetId="14">{#N/A,#N/A,FALSE,"OIT summ";#N/A,#N/A,FALSE,"otb summ-dental";#N/A,#N/A,FALSE,"otb summ-vision"}</definedName>
    <definedName name="dddddddddddd">{#N/A,#N/A,FALSE,"OIT summ";#N/A,#N/A,FALSE,"otb summ-dental";#N/A,#N/A,FALSE,"otb summ-vision"}</definedName>
    <definedName name="ddfsaf" localSheetId="14">{#N/A,#N/A,FALSE,"Monthly SAIFI";#N/A,#N/A,FALSE,"Yearly SAIFI";#N/A,#N/A,FALSE,"Monthly CAIDI";#N/A,#N/A,FALSE,"Yearly CAIDI";#N/A,#N/A,FALSE,"Monthly SAIDI";#N/A,#N/A,FALSE,"Yearly SAIDI";#N/A,#N/A,FALSE,"Monthly MAIFI";#N/A,#N/A,FALSE,"Yearly MAIFI";#N/A,#N/A,FALSE,"Monthly Cust &gt;=4 Int"}</definedName>
    <definedName name="ddfsaf">{#N/A,#N/A,FALSE,"Monthly SAIFI";#N/A,#N/A,FALSE,"Yearly SAIFI";#N/A,#N/A,FALSE,"Monthly CAIDI";#N/A,#N/A,FALSE,"Yearly CAIDI";#N/A,#N/A,FALSE,"Monthly SAIDI";#N/A,#N/A,FALSE,"Yearly SAIDI";#N/A,#N/A,FALSE,"Monthly MAIFI";#N/A,#N/A,FALSE,"Yearly MAIFI";#N/A,#N/A,FALSE,"Monthly Cust &gt;=4 Int"}</definedName>
    <definedName name="Deal">#REF!</definedName>
    <definedName name="DEALTYPE">#REF!</definedName>
    <definedName name="dec">#REF!</definedName>
    <definedName name="Dec_09">#REF!</definedName>
    <definedName name="Dec3Vol">#REF!</definedName>
    <definedName name="DecVol">#REF!</definedName>
    <definedName name="Def_Tax_JE_Support_21017">#REF!</definedName>
    <definedName name="Def_Tax_Rec_21017">#REF!</definedName>
    <definedName name="Def_Tax_Rec_3Pg_20001">#REF!</definedName>
    <definedName name="deferral">#REF!</definedName>
    <definedName name="defi_roic">#REF!</definedName>
    <definedName name="defi_rtree">#REF!</definedName>
    <definedName name="defi_rtree3">#REF!</definedName>
    <definedName name="defi_sales">#REF!</definedName>
    <definedName name="defi_wacc">#REF!</definedName>
    <definedName name="defi2_roic">#REF!</definedName>
    <definedName name="DELETELOGICTYPE1">#REF!</definedName>
    <definedName name="delivery_method">#REF!</definedName>
    <definedName name="delivery_time">#REF!</definedName>
    <definedName name="Delta_WACC">#REF!</definedName>
    <definedName name="DELTAA" localSheetId="14">IF(AND(ReportingDate+35&lt;NOW(),RAND()&lt;0.25)," ","")</definedName>
    <definedName name="DELTAA" localSheetId="25">IF(AND(ReportingDate+35&lt;NOW(),RAND()&lt;0.25)," ","")</definedName>
    <definedName name="DELTAA" localSheetId="4">IF(AND(ReportingDate+35&lt;NOW(),RAND()&lt;0.25)," ","")</definedName>
    <definedName name="DELTAA" localSheetId="33">IF(AND(ReportingDate+35&lt;NOW(),RAND()&lt;0.25)," ","")</definedName>
    <definedName name="DELTAA">IF(AND(ReportingDate+35&lt;NOW(),RAND()&lt;0.25)," ","")</definedName>
    <definedName name="depr">#REF!</definedName>
    <definedName name="deprec">#REF!</definedName>
    <definedName name="DEPT">#REF!</definedName>
    <definedName name="dept2">#REF!</definedName>
    <definedName name="DesignProperly">#REF!</definedName>
    <definedName name="DF">#REF!</definedName>
    <definedName name="dfa">#REF!</definedName>
    <definedName name="dfasdfsdfZX" localSheetId="14">{#N/A,#N/A,FALSE,"Monthly SAIFI";#N/A,#N/A,FALSE,"Yearly SAIFI";#N/A,#N/A,FALSE,"Monthly CAIDI";#N/A,#N/A,FALSE,"Yearly CAIDI";#N/A,#N/A,FALSE,"Monthly SAIDI";#N/A,#N/A,FALSE,"Yearly SAIDI";#N/A,#N/A,FALSE,"Monthly MAIFI";#N/A,#N/A,FALSE,"Yearly MAIFI";#N/A,#N/A,FALSE,"Monthly Cust &gt;=4 Int"}</definedName>
    <definedName name="dfasdfsdfZX">{#N/A,#N/A,FALSE,"Monthly SAIFI";#N/A,#N/A,FALSE,"Yearly SAIFI";#N/A,#N/A,FALSE,"Monthly CAIDI";#N/A,#N/A,FALSE,"Yearly CAIDI";#N/A,#N/A,FALSE,"Monthly SAIDI";#N/A,#N/A,FALSE,"Yearly SAIDI";#N/A,#N/A,FALSE,"Monthly MAIFI";#N/A,#N/A,FALSE,"Yearly MAIFI";#N/A,#N/A,FALSE,"Monthly Cust &gt;=4 Int"}</definedName>
    <definedName name="dfd" localSheetId="14">{#N/A,#N/A,FALSE,"Assessment";#N/A,#N/A,FALSE,"Staffing";#N/A,#N/A,FALSE,"Hires";#N/A,#N/A,FALSE,"Assumptions"}</definedName>
    <definedName name="dfd">{#N/A,#N/A,FALSE,"Assessment";#N/A,#N/A,FALSE,"Staffing";#N/A,#N/A,FALSE,"Hires";#N/A,#N/A,FALSE,"Assumptions"}</definedName>
    <definedName name="dfdsfs" localSheetId="14">{#N/A,#N/A,FALSE,"Monthly SAIFI";#N/A,#N/A,FALSE,"Yearly SAIFI";#N/A,#N/A,FALSE,"Monthly CAIDI";#N/A,#N/A,FALSE,"Yearly CAIDI";#N/A,#N/A,FALSE,"Monthly SAIDI";#N/A,#N/A,FALSE,"Yearly SAIDI";#N/A,#N/A,FALSE,"Monthly MAIFI";#N/A,#N/A,FALSE,"Yearly MAIFI";#N/A,#N/A,FALSE,"Monthly Cust &gt;=4 Int"}</definedName>
    <definedName name="dfdsfs">{#N/A,#N/A,FALSE,"Monthly SAIFI";#N/A,#N/A,FALSE,"Yearly SAIFI";#N/A,#N/A,FALSE,"Monthly CAIDI";#N/A,#N/A,FALSE,"Yearly CAIDI";#N/A,#N/A,FALSE,"Monthly SAIDI";#N/A,#N/A,FALSE,"Yearly SAIDI";#N/A,#N/A,FALSE,"Monthly MAIFI";#N/A,#N/A,FALSE,"Yearly MAIFI";#N/A,#N/A,FALSE,"Monthly Cust &gt;=4 Int"}</definedName>
    <definedName name="dfff" localSheetId="14">#REF!,#REF!,#REF!,#REF!,#REF!,#REF!,#REF!,#REF!,#REF!</definedName>
    <definedName name="dfff" localSheetId="25">#REF!,#REF!,#REF!,#REF!,#REF!,#REF!,#REF!,#REF!,#REF!</definedName>
    <definedName name="dfff" localSheetId="4">#REF!,#REF!,#REF!,#REF!,#REF!,#REF!,#REF!,#REF!,#REF!</definedName>
    <definedName name="dfff" localSheetId="33">#REF!,#REF!,#REF!,#REF!,#REF!,#REF!,#REF!,#REF!,#REF!</definedName>
    <definedName name="dfff">#REF!,#REF!,#REF!,#REF!,#REF!,#REF!,#REF!,#REF!,#REF!</definedName>
    <definedName name="dfffv" localSheetId="14">{#N/A,#N/A,FALSE,"Aging Summary";#N/A,#N/A,FALSE,"Ratio Analysis";#N/A,#N/A,FALSE,"Test 120 Day Accts";#N/A,#N/A,FALSE,"Tickmarks"}</definedName>
    <definedName name="dfffv">{#N/A,#N/A,FALSE,"Aging Summary";#N/A,#N/A,FALSE,"Ratio Analysis";#N/A,#N/A,FALSE,"Test 120 Day Accts";#N/A,#N/A,FALSE,"Tickmarks"}</definedName>
    <definedName name="dfgdfgdfg" localSheetId="14">{#N/A,#N/A,FALSE,"Income";#N/A,#N/A,FALSE,"Cost of Goods Sold";#N/A,#N/A,FALSE,"Other Costs";#N/A,#N/A,FALSE,"Other Income";#N/A,#N/A,FALSE,"Taxes";#N/A,#N/A,FALSE,"Other Deductions";#N/A,#N/A,FALSE,"Compensation of Officers"}</definedName>
    <definedName name="dfgdfgdfg">{#N/A,#N/A,FALSE,"Income";#N/A,#N/A,FALSE,"Cost of Goods Sold";#N/A,#N/A,FALSE,"Other Costs";#N/A,#N/A,FALSE,"Other Income";#N/A,#N/A,FALSE,"Taxes";#N/A,#N/A,FALSE,"Other Deductions";#N/A,#N/A,FALSE,"Compensation of Officers"}</definedName>
    <definedName name="dfhfdjhhgdjdj" localSheetId="14">{#N/A,#N/A,FALSE,"Income";#N/A,#N/A,FALSE,"Cost of Goods Sold";#N/A,#N/A,FALSE,"Other Costs";#N/A,#N/A,FALSE,"Other Income";#N/A,#N/A,FALSE,"Taxes";#N/A,#N/A,FALSE,"Other Deductions";#N/A,#N/A,FALSE,"Compensation of Officers"}</definedName>
    <definedName name="dfhfdjhhgdjdj">{#N/A,#N/A,FALSE,"Income";#N/A,#N/A,FALSE,"Cost of Goods Sold";#N/A,#N/A,FALSE,"Other Costs";#N/A,#N/A,FALSE,"Other Income";#N/A,#N/A,FALSE,"Taxes";#N/A,#N/A,FALSE,"Other Deductions";#N/A,#N/A,FALSE,"Compensation of Officers"}</definedName>
    <definedName name="dfsasdfasdfsdfasdfasdf" localSheetId="14">{#N/A,#N/A,FALSE,"Monthly SAIFI";#N/A,#N/A,FALSE,"Yearly SAIFI";#N/A,#N/A,FALSE,"Monthly CAIDI";#N/A,#N/A,FALSE,"Yearly CAIDI";#N/A,#N/A,FALSE,"Monthly SAIDI";#N/A,#N/A,FALSE,"Yearly SAIDI";#N/A,#N/A,FALSE,"Monthly MAIFI";#N/A,#N/A,FALSE,"Yearly MAIFI";#N/A,#N/A,FALSE,"Monthly Cust &gt;=4 Int"}</definedName>
    <definedName name="dfsasdfasdfsdfasdfasdf">{#N/A,#N/A,FALSE,"Monthly SAIFI";#N/A,#N/A,FALSE,"Yearly SAIFI";#N/A,#N/A,FALSE,"Monthly CAIDI";#N/A,#N/A,FALSE,"Yearly CAIDI";#N/A,#N/A,FALSE,"Monthly SAIDI";#N/A,#N/A,FALSE,"Yearly SAIDI";#N/A,#N/A,FALSE,"Monthly MAIFI";#N/A,#N/A,FALSE,"Yearly MAIFI";#N/A,#N/A,FALSE,"Monthly Cust &gt;=4 Int"}</definedName>
    <definedName name="dfv" localSheetId="14">{#N/A,#N/A,FALSE,"Expenditures";#N/A,#N/A,FALSE,"Property Placed In-Service";#N/A,#N/A,FALSE,"Removals";#N/A,#N/A,FALSE,"Retirements";#N/A,#N/A,FALSE,"CWIP Balances";#N/A,#N/A,FALSE,"CWIP_Expend_Ratios";#N/A,#N/A,FALSE,"CWIP_Yr_End"}</definedName>
    <definedName name="dfv">{#N/A,#N/A,FALSE,"Expenditures";#N/A,#N/A,FALSE,"Property Placed In-Service";#N/A,#N/A,FALSE,"Removals";#N/A,#N/A,FALSE,"Retirements";#N/A,#N/A,FALSE,"CWIP Balances";#N/A,#N/A,FALSE,"CWIP_Expend_Ratios";#N/A,#N/A,FALSE,"CWIP_Yr_End"}</definedName>
    <definedName name="dfvvvv">43815.7444212963</definedName>
    <definedName name="dg" localSheetId="14">{#N/A,#N/A,FALSE,"Sheet1"}</definedName>
    <definedName name="dg">{#N/A,#N/A,FALSE,"Sheet1"}</definedName>
    <definedName name="direc">#REF!</definedName>
    <definedName name="direct">#REF!</definedName>
    <definedName name="DITreorg">#REF!</definedName>
    <definedName name="Division">#REF!</definedName>
    <definedName name="Divisor">#REF!</definedName>
    <definedName name="DMD_COMPANY">#REF!</definedName>
    <definedName name="DMD_CONTRACT_MONTH">#REF!</definedName>
    <definedName name="DMD_DEALKEY">#REF!</definedName>
    <definedName name="DMD_DESCRIPTION">#REF!</definedName>
    <definedName name="DMD_DESIGNATION">#REF!</definedName>
    <definedName name="DMD_TOTALCHARGE">#REF!</definedName>
    <definedName name="Docket">#REF!</definedName>
    <definedName name="Dol_Col_UB_100_Revenues">#REF!</definedName>
    <definedName name="Dol_Col_UB_100_Uncollectibles_E_G">#REF!</definedName>
    <definedName name="Dol_Col_UB_100_Uncollectibles_Steam">#REF!</definedName>
    <definedName name="Dol_Col_UB_100_UncollectiblesE_G">#REF!</definedName>
    <definedName name="Drop">#REF!</definedName>
    <definedName name="dsfsd">#REF!</definedName>
    <definedName name="dskdlss" localSheetId="14">{#N/A,#N/A,FALSE,"Monthly SAIFI";#N/A,#N/A,FALSE,"Yearly SAIFI";#N/A,#N/A,FALSE,"Monthly CAIDI";#N/A,#N/A,FALSE,"Yearly CAIDI";#N/A,#N/A,FALSE,"Monthly SAIDI";#N/A,#N/A,FALSE,"Yearly SAIDI";#N/A,#N/A,FALSE,"Monthly MAIFI";#N/A,#N/A,FALSE,"Yearly MAIFI";#N/A,#N/A,FALSE,"Monthly Cust &gt;=4 Int"}</definedName>
    <definedName name="dskdlss">{#N/A,#N/A,FALSE,"Monthly SAIFI";#N/A,#N/A,FALSE,"Yearly SAIFI";#N/A,#N/A,FALSE,"Monthly CAIDI";#N/A,#N/A,FALSE,"Yearly CAIDI";#N/A,#N/A,FALSE,"Monthly SAIDI";#N/A,#N/A,FALSE,"Yearly SAIDI";#N/A,#N/A,FALSE,"Monthly MAIFI";#N/A,#N/A,FALSE,"Yearly MAIFI";#N/A,#N/A,FALSE,"Monthly Cust &gt;=4 Int"}</definedName>
    <definedName name="DSM_N0_Match">#REF!</definedName>
    <definedName name="dud">#REF!</definedName>
    <definedName name="DYNAMIC_PIVOT">OFFSET(#REF!,0,0,COUNTA(#REF!),9)</definedName>
    <definedName name="e">#REF!</definedName>
    <definedName name="E_2">#REF!</definedName>
    <definedName name="E_G_Acct_00300">#REF!</definedName>
    <definedName name="EastMainRenew">#REF!</definedName>
    <definedName name="EastNewMain">#REF!</definedName>
    <definedName name="EastNewSvcs">#REF!</definedName>
    <definedName name="EastS">#REF!</definedName>
    <definedName name="EastSvcRenew">#REF!</definedName>
    <definedName name="EastW">#REF!</definedName>
    <definedName name="EDPC">#REF!</definedName>
    <definedName name="EDPE">#REF!</definedName>
    <definedName name="EDPW">#REF!</definedName>
    <definedName name="edred" localSheetId="14">{#N/A,#N/A,FALSE,"Monthly SAIFI";#N/A,#N/A,FALSE,"Yearly SAIFI";#N/A,#N/A,FALSE,"Monthly CAIDI";#N/A,#N/A,FALSE,"Yearly CAIDI";#N/A,#N/A,FALSE,"Monthly SAIDI";#N/A,#N/A,FALSE,"Yearly SAIDI";#N/A,#N/A,FALSE,"Monthly MAIFI";#N/A,#N/A,FALSE,"Yearly MAIFI";#N/A,#N/A,FALSE,"Monthly Cust &gt;=4 Int"}</definedName>
    <definedName name="edred">{#N/A,#N/A,FALSE,"Monthly SAIFI";#N/A,#N/A,FALSE,"Yearly SAIFI";#N/A,#N/A,FALSE,"Monthly CAIDI";#N/A,#N/A,FALSE,"Yearly CAIDI";#N/A,#N/A,FALSE,"Monthly SAIDI";#N/A,#N/A,FALSE,"Yearly SAIDI";#N/A,#N/A,FALSE,"Monthly MAIFI";#N/A,#N/A,FALSE,"Yearly MAIFI";#N/A,#N/A,FALSE,"Monthly Cust &gt;=4 Int"}</definedName>
    <definedName name="eeee" localSheetId="14">{#N/A,#N/A,FALSE,"O&amp;M by processes";#N/A,#N/A,FALSE,"Elec Act vs Bud";#N/A,#N/A,FALSE,"G&amp;A";#N/A,#N/A,FALSE,"BGS";#N/A,#N/A,FALSE,"Res Cost"}</definedName>
    <definedName name="eeee">{#N/A,#N/A,FALSE,"O&amp;M by processes";#N/A,#N/A,FALSE,"Elec Act vs Bud";#N/A,#N/A,FALSE,"G&amp;A";#N/A,#N/A,FALSE,"BGS";#N/A,#N/A,FALSE,"Res Cost"}</definedName>
    <definedName name="eere" localSheetId="14">{#N/A,#N/A,FALSE,"PRJCTED QTRLY $'s"}</definedName>
    <definedName name="eere">{#N/A,#N/A,FALSE,"PRJCTED QTRLY $'s"}</definedName>
    <definedName name="efggf" localSheetId="14">#REF!,#REF!,#REF!,#REF!</definedName>
    <definedName name="efggf" localSheetId="25">#REF!,#REF!,#REF!,#REF!</definedName>
    <definedName name="efggf" localSheetId="4">#REF!,#REF!,#REF!,#REF!</definedName>
    <definedName name="efggf" localSheetId="33">#REF!,#REF!,#REF!,#REF!</definedName>
    <definedName name="efggf">#REF!,#REF!,#REF!,#REF!</definedName>
    <definedName name="ElecDate">#REF!</definedName>
    <definedName name="ElecMeanRev">#REF!</definedName>
    <definedName name="ElimIntercon">#REF!</definedName>
    <definedName name="ELS_Category">#REF!</definedName>
    <definedName name="ema">#REF!</definedName>
    <definedName name="emiss_esc">#REF!</definedName>
    <definedName name="EmpID">#REF!</definedName>
    <definedName name="Employee" localSheetId="14">{"rates",#N/A,FALSE,"COSSUM"}</definedName>
    <definedName name="Employee">{"rates",#N/A,FALSE,"COSSUM"}</definedName>
    <definedName name="end">40371.7332175926</definedName>
    <definedName name="end_1">"V2007-06-30"</definedName>
    <definedName name="end_2">40371.7332175926</definedName>
    <definedName name="End_Bal">#REF!</definedName>
    <definedName name="Endofbook">0.000868055554747116</definedName>
    <definedName name="EndPer">#REF!</definedName>
    <definedName name="endroall" localSheetId="25">#REF!,#REF!,#REF!,#REF!</definedName>
    <definedName name="endroall" localSheetId="4">#REF!,#REF!,#REF!,#REF!</definedName>
    <definedName name="endroall" localSheetId="33">#REF!,#REF!,#REF!,#REF!</definedName>
    <definedName name="endroall">#REF!,#REF!,#REF!,#REF!</definedName>
    <definedName name="endroedall" localSheetId="25">#REF!,#REF!,#REF!,#REF!</definedName>
    <definedName name="endroedall" localSheetId="4">#REF!,#REF!,#REF!,#REF!</definedName>
    <definedName name="endroedall" localSheetId="33">#REF!,#REF!,#REF!,#REF!</definedName>
    <definedName name="endroedall">#REF!,#REF!,#REF!,#REF!</definedName>
    <definedName name="ENDYEAR">#REF!</definedName>
    <definedName name="Ent_1">#REF!</definedName>
    <definedName name="Ent_3">#REF!</definedName>
    <definedName name="ENTITY_NUMBER">#REF!</definedName>
    <definedName name="EPMWorkbookOptions_1">"nDQAAB+LCAAAAAAABADtvQdgHEmWJSYvbcp7f0r1StfgdKEIgGATJNiQQBDswYjN5pLsHWlHIymrKoHKZVZlXWYWQMztnbz33nvvvffee++997o7nU4n99//P1xmZAFs9s5K2smeIYCqyB8/fnwfPyIe/x7vFmV6mddNUS0/+2h3vPNRmi+n1axYXnz20bo939799KPf4+g3Th5/t6rfTqrq7Zerlpo2Kb23bB69a4rPPpq37erR3btXV1fj"</definedName>
    <definedName name="EPMWorkbookOptions_2">"q3vjqr64u7ezs3v39/7i+evpPF9k28WyabPlNP/IvjW7+a2PqNc0fXxSLZf5FH2+qU7WdZ0v258s8iv+Mvj6adZm+il9/iJb5NKb7anNF6t1XXBXXzV5/bLOz3OCN83HhNBHR7//s5df/P5PXp68+O7uzu//PX3pcr7M2tn5vWkxbtpyPM+n4+VFXczGy7x9tL9/b2fnbpOt7k5W07vf//2/9+LzV2dPf/9nZy+OX5yc0t9fvT758sVr+uU8"</definedName>
    <definedName name="EPMWorkbookOptions_3">"K5vc/nx8F+g5ZI9Xq7KYZh5hb420gRFC8T5WWhwJKp2ehYSOqundwa++Xcxm+fJpsciXDeM53NTh2ARtqNXreXVlYZxUZVUftfU6f3w38sWmV3kUkTd7o9MXiU3a/F37LLus6qIlvHgi5OXed533v11czEv6f/s6L4nV8tm3i7zO6um8cHA2trkFPs+Kumm9AcW/7wCyox4m+G1b+e2+Wha/aJ0zJU++/OLl8Yvf5+TLp6eP78YabIIjs0gK"</definedName>
    <definedName name="EPMWorkbookOptions_4">"5P7O7r2DXQ9AbH753S/rWV4f7Ty+K79EoTerMrt+WVervG6vj3bvf3r/PJ+cb9//dLa/vb93/nD74H6eb+9k+d7+bPJg/8HkHnoO34oAfp41dvK+yBcTUomRZiGjRxtQE3nfI9P3PEJ+f/y9l8evTl+8+fYu/Xry+9/f2d8hjdB7ZwC2Yaxr1zQlLfxoWZSffQQG+qgjmd67kRm83buP79406p8Fsuz9iCwxsuz+iCxdshw/f/77y5dnp69/"</definedName>
    <definedName name="EPMWorkbookOptions_5">"RJ0OdU6fn33x/wtxenz3NkraszM/i3bxxevPX3351cuvbxV3dvYPdnZubxR3//9oFJWKIb9+/vPcJA4S5f/7EvyzQJSfz+ZwkCg7/58nyv+LdP3vf3L85vTzL1/9Pl9b2d+7d//+/v7+7ZX93v8Plb0lI/EofLaTN18dP/8Rm/rNbtVqkE2fHr85fv3q5Gtz6acPdncODh7cnkvv/f+RS5WKoU598+Wb4+fHT7/zI3b1m92q1QC7Pnv+5Xe/"</definedName>
    <definedName name="EPMWorkbookOptions_6">"NqeS8/zpp/fuvYf3vP//P1YFBUMuffb7E5/+iEX9ZrdqNcCinz8/Pjn58qsXb74+n7536vP+///41JIxZNYnr3//z4+PX/5/nV2/Yar8iCQ9kpwcv/42dN3v/9Xr/z9Q5/89+u3lqy+fnb05ITqfvvohqrhP//+n4nxKhsz74vOvXh///v/v9RvNmP6/w7Sc6P8hL0g++P8hy1o6hgx79vv//2ox5f9NjKta4s0PU9ke/P+Rcy0hQ9Z9+fv/"</definedName>
    <definedName name="EPMWorkbookOptions_7">"SNt+w0z76uWbk69eEYVPvn7y8/2Z9uH//5jWI6SkP796/fT/62z6jdHi+cn/10nx/x6JfXP2xQ/TM9rdeQ9ZzfKHk4cP9x9uzyaTe9v793cPtifnD7Lt7NPZvcnDe/f39s5n/y+QVZAwtCx7O7sPxl8c/z7/X2fTb5wir35EEY8iB+Nnp09+RJGAIj/ika7UfOf4xf/XKfL/HnP3xenx669enb7+YZq83fcwef8fcU8NGcUf+33e/H/eN/0G"</definedName>
    <definedName name="EPMWorkbookOptions_8">"OfQWjQJs4o0e3z1ercpimrUEx34efGqaE7RquSTE6bOnWZvxx/6Hb6ru4B+/ys/rvJl/ufxylS+PzrOyyR/fDT/kdidlntUA+uXydXaZm5bdj7ntd6v67aSq3hJbtkxG07r/Rdj+aqaz9vis+cmsLrJJmX+R1xcOQu/z3zhxYL9cCTX+H4+U4GacNAAA"</definedName>
    <definedName name="Equipment">#REF!</definedName>
    <definedName name="erds" localSheetId="14">{#N/A,#N/A,FALSE,"Aging Summary";#N/A,#N/A,FALSE,"Ratio Analysis";#N/A,#N/A,FALSE,"Test 120 Day Accts";#N/A,#N/A,FALSE,"Tickmarks"}</definedName>
    <definedName name="erds">{#N/A,#N/A,FALSE,"Aging Summary";#N/A,#N/A,FALSE,"Ratio Analysis";#N/A,#N/A,FALSE,"Test 120 Day Accts";#N/A,#N/A,FALSE,"Tickmarks"}</definedName>
    <definedName name="erm_flowing">#REF!</definedName>
    <definedName name="erm_storage">#REF!</definedName>
    <definedName name="Err_Chk_1_Hdg">#REF!</definedName>
    <definedName name="Err_Chk_11_Hdg">#REF!</definedName>
    <definedName name="Err_Chk_13_Hdg">#REF!</definedName>
    <definedName name="Err_Chk_14_Hdg">#REF!</definedName>
    <definedName name="Err_Chk_15_Hdg">#REF!</definedName>
    <definedName name="Err_Chk_2_Hdg">#REF!</definedName>
    <definedName name="Err_Chk_3_Hdg">#REF!</definedName>
    <definedName name="Err_Chk_4_Hdg">#REF!</definedName>
    <definedName name="Err_Chks_Msg">#REF!</definedName>
    <definedName name="Err_Chks_Ttl_Areas">#REF!</definedName>
    <definedName name="Esc_To">#REF!</definedName>
    <definedName name="EssActuals">#REF!</definedName>
    <definedName name="EssAliasTable">"Default"</definedName>
    <definedName name="EssLatest">"P1 2003/04"</definedName>
    <definedName name="EssOptions">"A1110000000011000010001101000_08#Missing00"</definedName>
    <definedName name="esspassword">#REF!</definedName>
    <definedName name="EssRetDataPRev">#REF!,#REF!</definedName>
    <definedName name="essuser">#REF!</definedName>
    <definedName name="Est_pay_total">#REF!</definedName>
    <definedName name="ET">#REF!</definedName>
    <definedName name="ETC">#REF!</definedName>
    <definedName name="ETX">#REF!</definedName>
    <definedName name="etxM2Fuel">#REF!</definedName>
    <definedName name="etxM3Fuel">#REF!</definedName>
    <definedName name="EV__ALLOWSTOPEXPAND__">1</definedName>
    <definedName name="EV__CVPARAMS__">"Trend!$B$17:$C$38;"</definedName>
    <definedName name="EV__DECIMALSYMBOL__">"."</definedName>
    <definedName name="EV__EVCOM_OPTIONS__">8</definedName>
    <definedName name="EV__EXPOPTIONS__">0</definedName>
    <definedName name="EV__LASTREFTIME__">39826.8319444444</definedName>
    <definedName name="EV__LOCKEDCVW__ACTIVITY_SYSTEM">"ALL_MANAGED,ALL_ACTIVITY,ALL_PROJECT,ALL_PROJTYPE,ACTUAL,ALL_SYSTEM,2005.TOTAL,NUC,PERIODIC,"</definedName>
    <definedName name="EV__LOCKEDCVW__ALLOC_PERC">"Total_Perc,ALL_COMPANIES,ACTUAL,2001,Y002096.AG0005,WBS_S_TOTAL,PERIODIC,"</definedName>
    <definedName name="EV__LOCKEDCVW__BGE_FP">"INCOMESTATEMENT,ACTUAL,ALL_COMPANIES,TOTALADJ,2002.TOTAL,PERIODIC,"</definedName>
    <definedName name="EV__LOCKEDCVW__CAPITAL">"ACTUAL,MAJOR_CATEGORY,FACTORS,TOTAL_PORTFOLIO,2002.TOTAL,PERIODIC,"</definedName>
    <definedName name="EV__LOCKEDCVW__CGG_PLANNING">"ALL_MANAGED,ALL_CONSOLIDATEDCC,1009,ALL_PAEXP,ALL_PROJECT,ACTUAL,ALL_SYSTEM,2006.TOTAL,ALL_UNIT,PERIODIC,"</definedName>
    <definedName name="EV__LOCKEDCVW__CGG_PLANNING_RPT">"ROLLUP_MANAGED15,ALL_BASENONBASE,ALL_CEFUNCTION,ALL_CONSOLIDATEDCC,ALL_OUTNONOUT,1003,ALL_PAEXP,ALL_PROJECT,ALL_PROJSUBTYPE,ACTUAL,ALL_SYSTEM,2006.NOV,ALL_UNIT,PERIODIC,"</definedName>
    <definedName name="EV__LOCKEDCVW__CGGIR">"ALL_MANAGED,ALL_ACTIVITY,ALL_BASENONBASE,ALL_CONSOLIDATEDCC,ALL_FUELTYP,ALL_INTCO,ALL_INTERCOMPANY,ALL_LEGAL,ALL_MARKET,ALL_OUTNONOUT,1003,ALL_PAEXP,ALL_PRODUCTCAT,ALL_PROJECT,ALL_PROJSUBTYPE,ALL_PROJTYPE,ACTUAL,ALL_SYSTEM,2005.TOTAL,ALL_UNIT,PERIODIC,"</definedName>
    <definedName name="EV__LOCKEDCVW__CGGIR_RPT">"ALL_MANAGED,ALL_ACTIVITY,ALL_BASENONBASE,ALL_CEFUNCTION,ALL_CONSOLIDATEDCC,ALL_FUELTYP,ALL_INTERCOMPANY,ALL_LEGAL,ALL_MARKET,ALL_OUTNONOUT,1003,ALL_PAEXP,ALL_PRODUCTCAT,ALL_PROJECT,ALL_PROJSUBTYPE,ACTUAL,ALL_SYSTEM,2005.TOTAL,ALL_UNIT,PERIODIC,"</definedName>
    <definedName name="EV__LOCKEDCVW__CORPFPA_NEW">"1060,05_09STRATPLANV2,TOTALADJ,313,TOTAL_FUNCTION,BUS,2006.TOTAL,PERIODIC,"</definedName>
    <definedName name="EV__LOCKEDCVW__CPA">"O_M,ALL_ACTIVITIES,2005_ORIGBUDGET,ALL_SPENDERS,ALL_EXPTYPES,ALL_PROCESSES,OM_MAJOR_CATEGORY,2005.TOTAL,PERIODIC,"</definedName>
    <definedName name="EV__LOCKEDCVW__ECB">"ALL_COSTCENTER,ALL_EMPLOYEES,AVAILABLEHRS,1003,ALL_PROJECT,ACTUAL,2004.TOTAL,PERIODIC,"</definedName>
    <definedName name="EV__LOCKEDCVW__ETL">"ACTUAL,PYXIS,POSTCLOSE,2005.TOTAL,PERIODIC,"</definedName>
    <definedName name="EV__LOCKEDCVW__FINANCIAL_REPORTING">"CNE,EBITDA,3Q07FCST,USD,PERIODIC,AllActivities,TotalAdj,AllFunctions,AllProducts,All_Projects,Total_Channel,All_Lines,All_Segments,2007.TOTAL,"</definedName>
    <definedName name="EV__LOCKEDCVW__FUEL_MARKET_PRODUCT">"ALL_MANAGED,ALL_BASENONBASE,ALL_CONSOLIDATEDCC,ALL_FUELTYP,ALL_LEGAL,ALL_MARKET,ALL_OUTNONOUT,ALL_PRODUCTCAT,ALL_PROJTYPE,ACTUAL,2005.TOTAL,NUC,PERIODIC,"</definedName>
    <definedName name="EV__LOCKEDCVW__GROSS_MARGIN">"ACTUAL,Total_Channel,TotalAdj,Tot_GMT,AllProducts,E100,All_Lines,LC,All_Segments,TotalStatus,2007.FEB,PERIODIC,"</definedName>
    <definedName name="EV__LOCKEDCVW__KPI_OPS">"ALL_ACCTKPI,ALL_FUELTYP,ALL_MARKET,ALL_PRODUCTCAT,ACTUAL,KPIOPS_FINAL,2005.TOTAL,NUC,PERIODIC,"</definedName>
    <definedName name="EV__LOCKEDCVW__MANAGED">"ALL_MANAGED,ALL_CONSOLIDATEDCC,ALL_LEGAL,1003,ACTUAL,2005.TOTAL,PERIODIC,"</definedName>
    <definedName name="EV__LOCKEDCVW__MANAGED_3RDPARTY">"EQUITYMETHINVEST,ALL_CONSOLIDATEDCC,ALL_LEGAL,1003,ACTUAL,2005.TOTAL,PERIODIC,"</definedName>
    <definedName name="EV__LOCKEDCVW__PLANT">"ALL_MANAGED,ALL_BASENONBASE,ALL_OUTNONOUT,ALL_PROJECT,ALL_PROJSUBTYPE,ALL_PROJTYPE,ACTUAL,NONALLOC,2005.TOTAL,NUC,PERIODIC,"</definedName>
    <definedName name="EV__LOCKEDCVW__RATE">"ACTUAL,USD,Avg,RateInput,2002.TOTAL,PERIODIC,"</definedName>
    <definedName name="EV__LOCKEDCVW__RESPONSIBILITY">"ROLLUP_MANAGED5,033,1009,16081ZZZ_EXP,ALL_PROJECT,ALL_PROJSUBTYPE,ALL_PROJTYPE,ACTUAL,2006.DEC,PERIODIC,"</definedName>
    <definedName name="EV__LOCKEDCVW__SALES_RATE">"USD,Avg,RateInput,ACTUAL,2005.TOTAL,PERIODIC,"</definedName>
    <definedName name="EV__LOCKEDCVW__SLR">"2005_ORIGBUDGET,ALL_EXPTYPES,STATISTICAL_ACCOUNTS,ALL_COMPANIES,ALL_EMPLOYEES,M10001,2005.TOTAL,PERIODIC,"</definedName>
    <definedName name="EV__LOCKEDCVW__STAFF_PLANNING">"ACTUAL,Total_Channel,TotalAdj,AllEmployment,All_Lines,E100,USD,All_Segments,DATAACCOUNTS,AllFunctions,Total_Location,2002.TOTAL,PERIODIC,"</definedName>
    <definedName name="EV__LOCKEDCVW__WEEKLY_SALES">"All_BDM,Total_Size,Total_Channel,TOTAL_Signings,TotalAdj,Total_LeadSource,All_Lines,USD,Sales_Accounts,ACTUAL,Total_Product,CNI,2005.TOTAL,All_SIC_CODES,Total_Utility,PERIODIC,"</definedName>
    <definedName name="EV__LOCKSTATUS__">1</definedName>
    <definedName name="EV__MAXEXPCOLS__">100</definedName>
    <definedName name="EV__MAXEXPROWS__">1000</definedName>
    <definedName name="EV__MEMORYCVW__">0</definedName>
    <definedName name="EV__WBEVMODE__">0</definedName>
    <definedName name="EV__WBREFOPTIONS__">134217799</definedName>
    <definedName name="EV__WBVERSION__">0</definedName>
    <definedName name="EV__WSINFO__">"ngridbpc"</definedName>
    <definedName name="EVA_Capital_Financing">#REF!,#REF!,#REF!,#REF!</definedName>
    <definedName name="EVA_Capital_Operating">#REF!,#REF!,#REF!,#REF!,#REF!,#REF!</definedName>
    <definedName name="EVA_NOPAT_Financing">#REF!,#REF!,#REF!</definedName>
    <definedName name="EVA_NOPAT_Operating">#REF!,#REF!</definedName>
    <definedName name="ew" localSheetId="14">{"'Worksheet'!$A$3:$R$184"}</definedName>
    <definedName name="ew">{"'Worksheet'!$A$3:$R$184"}</definedName>
    <definedName name="ex">#REF!</definedName>
    <definedName name="exceptionals" localSheetId="14">Prior #REF!</definedName>
    <definedName name="exceptionals" localSheetId="25">Prior #REF!</definedName>
    <definedName name="exceptionals" localSheetId="4">Prior #REF!</definedName>
    <definedName name="exceptionals" localSheetId="33">Prior #REF!</definedName>
    <definedName name="exceptionals">Prior #REF!</definedName>
    <definedName name="exceptionals1" localSheetId="14">Non #REF!</definedName>
    <definedName name="exceptionals1" localSheetId="25">Non #REF!</definedName>
    <definedName name="exceptionals1" localSheetId="4">Non #REF!</definedName>
    <definedName name="exceptionals1" localSheetId="33">Non #REF!</definedName>
    <definedName name="exceptionals1">Non #REF!</definedName>
    <definedName name="exceptionals2" localSheetId="14">Non #REF!</definedName>
    <definedName name="exceptionals2" localSheetId="25">Non #REF!</definedName>
    <definedName name="exceptionals2" localSheetId="4">Non #REF!</definedName>
    <definedName name="exceptionals2" localSheetId="33">Non #REF!</definedName>
    <definedName name="exceptionals2">Non #REF!</definedName>
    <definedName name="exceptionals3" localSheetId="14">Non #REF!</definedName>
    <definedName name="exceptionals3" localSheetId="25">Non #REF!</definedName>
    <definedName name="exceptionals3" localSheetId="4">Non #REF!</definedName>
    <definedName name="exceptionals3" localSheetId="33">Non #REF!</definedName>
    <definedName name="exceptionals3">Non #REF!</definedName>
    <definedName name="exceptionals5" localSheetId="14">Non #REF!</definedName>
    <definedName name="exceptionals5" localSheetId="25">Non #REF!</definedName>
    <definedName name="exceptionals5" localSheetId="4">Non #REF!</definedName>
    <definedName name="exceptionals5" localSheetId="33">Non #REF!</definedName>
    <definedName name="exceptionals5">Non #REF!</definedName>
    <definedName name="Exemptions">#REF!</definedName>
    <definedName name="Exh_Name">#REF!</definedName>
    <definedName name="Exp">#REF!</definedName>
    <definedName name="Exp_12mo">#REF!</definedName>
    <definedName name="Exp_mo">#REF!</definedName>
    <definedName name="Exp_qtr">#REF!</definedName>
    <definedName name="Exp_ytd">#REF!</definedName>
    <definedName name="Expenses">#REF!</definedName>
    <definedName name="Extra_23">#REF!</definedName>
    <definedName name="ExtraCap">#REF!</definedName>
    <definedName name="_xlnm.Extract">#REF!</definedName>
    <definedName name="f">#REF!</definedName>
    <definedName name="Factor">#REF!</definedName>
    <definedName name="fcc" localSheetId="14">{#N/A,#N/A,FALSE,"Month";#N/A,#N/A,FALSE,"Period";#N/A,#N/A,FALSE,"12 Month";#N/A,#N/A,FALSE,"Quarter"}</definedName>
    <definedName name="fcc">{#N/A,#N/A,FALSE,"Month";#N/A,#N/A,FALSE,"Period";#N/A,#N/A,FALSE,"12 Month";#N/A,#N/A,FALSE,"Quarter"}</definedName>
    <definedName name="FCTE">#REF!</definedName>
    <definedName name="FCTETOP">#REF!</definedName>
    <definedName name="FCurrPer">#REF!</definedName>
    <definedName name="fdd" localSheetId="14">{#N/A,#N/A,FALSE,"JE051 PAGE 1 OF 3";#N/A,#N/A,FALSE,"JE051 PAGE 2 OF 3";#N/A,#N/A,FALSE,"JE051 PAGE 3 OF 3"}</definedName>
    <definedName name="fdd">{#N/A,#N/A,FALSE,"JE051 PAGE 1 OF 3";#N/A,#N/A,FALSE,"JE051 PAGE 2 OF 3";#N/A,#N/A,FALSE,"JE051 PAGE 3 OF 3"}</definedName>
    <definedName name="fdggb" localSheetId="14">{#N/A,#N/A,FALSE,"Income";#N/A,#N/A,FALSE,"Cost of Goods Sold";#N/A,#N/A,FALSE,"Other Costs";#N/A,#N/A,FALSE,"Other Income";#N/A,#N/A,FALSE,"Taxes";#N/A,#N/A,FALSE,"Other Deductions";#N/A,#N/A,FALSE,"Compensation of Officers"}</definedName>
    <definedName name="fdggb">{#N/A,#N/A,FALSE,"Income";#N/A,#N/A,FALSE,"Cost of Goods Sold";#N/A,#N/A,FALSE,"Other Costs";#N/A,#N/A,FALSE,"Other Income";#N/A,#N/A,FALSE,"Taxes";#N/A,#N/A,FALSE,"Other Deductions";#N/A,#N/A,FALSE,"Compensation of Officers"}</definedName>
    <definedName name="FDIT_JE_Exord_52000">#REF!</definedName>
    <definedName name="FDSDFSF" localSheetId="14">{#N/A,#N/A,FALSE,"Monthly SAIFI";#N/A,#N/A,FALSE,"Yearly SAIFI";#N/A,#N/A,FALSE,"Monthly CAIDI";#N/A,#N/A,FALSE,"Yearly CAIDI";#N/A,#N/A,FALSE,"Monthly SAIDI";#N/A,#N/A,FALSE,"Yearly SAIDI";#N/A,#N/A,FALSE,"Monthly MAIFI";#N/A,#N/A,FALSE,"Yearly MAIFI";#N/A,#N/A,FALSE,"Monthly Cust &gt;=4 Int"}</definedName>
    <definedName name="FDSDFSF">{#N/A,#N/A,FALSE,"Monthly SAIFI";#N/A,#N/A,FALSE,"Yearly SAIFI";#N/A,#N/A,FALSE,"Monthly CAIDI";#N/A,#N/A,FALSE,"Yearly CAIDI";#N/A,#N/A,FALSE,"Monthly SAIDI";#N/A,#N/A,FALSE,"Yearly SAIDI";#N/A,#N/A,FALSE,"Monthly MAIFI";#N/A,#N/A,FALSE,"Yearly MAIFI";#N/A,#N/A,FALSE,"Monthly Cust &gt;=4 Int"}</definedName>
    <definedName name="FDTE">#REF!,#REF!</definedName>
    <definedName name="FDTETOP">#REF!,#REF!</definedName>
    <definedName name="feb">#REF!</definedName>
    <definedName name="Feb_10">#REF!</definedName>
    <definedName name="Feb3Vol">#REF!</definedName>
    <definedName name="FebVol">#REF!</definedName>
    <definedName name="fed_inc_tax">#REF!</definedName>
    <definedName name="FED_STATE">#REF!</definedName>
    <definedName name="FEE3A">#REF!</definedName>
    <definedName name="FEESCOSTS">#REF!</definedName>
    <definedName name="FEI_OR">OFFSET(#REF!,0,5,,#REF!)</definedName>
    <definedName name="FEIN">#REF!</definedName>
    <definedName name="FERC_Account">#REF!</definedName>
    <definedName name="FERC_LIST">#REF!</definedName>
    <definedName name="FERCBS">#REF!</definedName>
    <definedName name="ff" localSheetId="14">{#N/A,#N/A,FALSE,"Monthly SAIFI";#N/A,#N/A,FALSE,"Yearly SAIFI";#N/A,#N/A,FALSE,"Monthly CAIDI";#N/A,#N/A,FALSE,"Yearly CAIDI";#N/A,#N/A,FALSE,"Monthly SAIDI";#N/A,#N/A,FALSE,"Yearly SAIDI";#N/A,#N/A,FALSE,"Monthly MAIFI";#N/A,#N/A,FALSE,"Yearly MAIFI";#N/A,#N/A,FALSE,"Monthly Cust &gt;=4 Int"}</definedName>
    <definedName name="ff">{#N/A,#N/A,FALSE,"Monthly SAIFI";#N/A,#N/A,FALSE,"Yearly SAIFI";#N/A,#N/A,FALSE,"Monthly CAIDI";#N/A,#N/A,FALSE,"Yearly CAIDI";#N/A,#N/A,FALSE,"Monthly SAIDI";#N/A,#N/A,FALSE,"Yearly SAIDI";#N/A,#N/A,FALSE,"Monthly MAIFI";#N/A,#N/A,FALSE,"Yearly MAIFI";#N/A,#N/A,FALSE,"Monthly Cust &gt;=4 Int"}</definedName>
    <definedName name="FFAPPCOLNAME1_1">#REF!</definedName>
    <definedName name="FFAPPCOLNAME2_1">#REF!</definedName>
    <definedName name="FFAPPCOLNAME3_1">#REF!</definedName>
    <definedName name="FFAPPCOLNAME4_1">#REF!</definedName>
    <definedName name="FFAPPCOLNAME5_1">#REF!</definedName>
    <definedName name="FFAPPCOLNAME6_1">#REF!</definedName>
    <definedName name="FFAPPCOLNAME7_1">#REF!</definedName>
    <definedName name="FFAPPCOLNAME8_1">#REF!</definedName>
    <definedName name="ffdd" localSheetId="14">{#N/A,#N/A,FALSE,"Expenditures";#N/A,#N/A,FALSE,"Property Placed In-Service";#N/A,#N/A,FALSE,"Removals";#N/A,#N/A,FALSE,"Retirements";#N/A,#N/A,FALSE,"CWIP Balances";#N/A,#N/A,FALSE,"CWIP_Expend_Ratios";#N/A,#N/A,FALSE,"CWIP_Yr_End"}</definedName>
    <definedName name="ffdd">{#N/A,#N/A,FALSE,"Expenditures";#N/A,#N/A,FALSE,"Property Placed In-Service";#N/A,#N/A,FALSE,"Removals";#N/A,#N/A,FALSE,"Retirements";#N/A,#N/A,FALSE,"CWIP Balances";#N/A,#N/A,FALSE,"CWIP_Expend_Ratios";#N/A,#N/A,FALSE,"CWIP_Yr_End"}</definedName>
    <definedName name="fff" localSheetId="14">{#N/A,#N/A,FALSE,"Monthly SAIFI";#N/A,#N/A,FALSE,"Yearly SAIFI";#N/A,#N/A,FALSE,"Monthly CAIDI";#N/A,#N/A,FALSE,"Yearly CAIDI";#N/A,#N/A,FALSE,"Monthly SAIDI";#N/A,#N/A,FALSE,"Yearly SAIDI";#N/A,#N/A,FALSE,"Monthly MAIFI";#N/A,#N/A,FALSE,"Yearly MAIFI";#N/A,#N/A,FALSE,"Monthly Cust &gt;=4 Int"}</definedName>
    <definedName name="fff">{#N/A,#N/A,FALSE,"Monthly SAIFI";#N/A,#N/A,FALSE,"Yearly SAIFI";#N/A,#N/A,FALSE,"Monthly CAIDI";#N/A,#N/A,FALSE,"Yearly CAIDI";#N/A,#N/A,FALSE,"Monthly SAIDI";#N/A,#N/A,FALSE,"Yearly SAIDI";#N/A,#N/A,FALSE,"Monthly MAIFI";#N/A,#N/A,FALSE,"Yearly MAIFI";#N/A,#N/A,FALSE,"Monthly Cust &gt;=4 Int"}</definedName>
    <definedName name="fffff" localSheetId="14">{#N/A,#N/A,FALSE,"PRJCTED QTRLY QTY's"}</definedName>
    <definedName name="fffff">{#N/A,#N/A,FALSE,"PRJCTED QTRLY QTY's"}</definedName>
    <definedName name="ffg">#N/A</definedName>
    <definedName name="ffgb" localSheetId="14">{#N/A,#N/A,FALSE,"schA"}</definedName>
    <definedName name="ffgb">{#N/A,#N/A,FALSE,"schA"}</definedName>
    <definedName name="ffggh" localSheetId="14">{#N/A,#N/A,FALSE,"schA"}</definedName>
    <definedName name="ffggh">{#N/A,#N/A,FALSE,"schA"}</definedName>
    <definedName name="FFSEGMENT1_1">#REF!</definedName>
    <definedName name="FFSEGMENT2_1">#REF!</definedName>
    <definedName name="FFSEGMENT3_1">#REF!</definedName>
    <definedName name="FFSEGMENT4_1">#REF!</definedName>
    <definedName name="FFSEGMENT5_1">#REF!</definedName>
    <definedName name="FFSEGMENT6_1">#REF!</definedName>
    <definedName name="FFSEGMENT7_1">#REF!</definedName>
    <definedName name="FFSEGMENT8_1">#REF!</definedName>
    <definedName name="FFSEGSEPARATOR1">#REF!</definedName>
    <definedName name="fgb">"V2019-11-30"</definedName>
    <definedName name="fgbbv" localSheetId="14">{#N/A,#N/A,FALSE,"Sheet1"}</definedName>
    <definedName name="fgbbv">{#N/A,#N/A,FALSE,"Sheet1"}</definedName>
    <definedName name="fghjghjfgjf" localSheetId="14">{#N/A,#N/A,FALSE,"Monthly SAIFI";#N/A,#N/A,FALSE,"Yearly SAIFI";#N/A,#N/A,FALSE,"Monthly CAIDI";#N/A,#N/A,FALSE,"Yearly CAIDI";#N/A,#N/A,FALSE,"Monthly SAIDI";#N/A,#N/A,FALSE,"Yearly SAIDI";#N/A,#N/A,FALSE,"Monthly MAIFI";#N/A,#N/A,FALSE,"Yearly MAIFI";#N/A,#N/A,FALSE,"Monthly Cust &gt;=4 Int"}</definedName>
    <definedName name="fghjghjfgjf">{#N/A,#N/A,FALSE,"Monthly SAIFI";#N/A,#N/A,FALSE,"Yearly SAIFI";#N/A,#N/A,FALSE,"Monthly CAIDI";#N/A,#N/A,FALSE,"Yearly CAIDI";#N/A,#N/A,FALSE,"Monthly SAIDI";#N/A,#N/A,FALSE,"Yearly SAIDI";#N/A,#N/A,FALSE,"Monthly MAIFI";#N/A,#N/A,FALSE,"Yearly MAIFI";#N/A,#N/A,FALSE,"Monthly Cust &gt;=4 Int"}</definedName>
    <definedName name="fgv" localSheetId="14">{#N/A,#N/A,FALSE,"Expenditures";#N/A,#N/A,FALSE,"Property Placed In-Service";#N/A,#N/A,FALSE,"Removals";#N/A,#N/A,FALSE,"Retirements";#N/A,#N/A,FALSE,"CWIP Balances";#N/A,#N/A,FALSE,"CWIP_Expend_Ratios";#N/A,#N/A,FALSE,"CWIP_Yr_End"}</definedName>
    <definedName name="fgv">{#N/A,#N/A,FALSE,"Expenditures";#N/A,#N/A,FALSE,"Property Placed In-Service";#N/A,#N/A,FALSE,"Removals";#N/A,#N/A,FALSE,"Retirements";#N/A,#N/A,FALSE,"CWIP Balances";#N/A,#N/A,FALSE,"CWIP_Expend_Ratios";#N/A,#N/A,FALSE,"CWIP_Yr_End"}</definedName>
    <definedName name="fica">#REF!</definedName>
    <definedName name="Fidelity">#REF!</definedName>
    <definedName name="Field_Names">#REF!</definedName>
    <definedName name="FIELDNAMECOLUMN1">#REF!</definedName>
    <definedName name="FIELDNAMEROW1">#REF!</definedName>
    <definedName name="FILE">#REF!</definedName>
    <definedName name="File_Path">!$I$248</definedName>
    <definedName name="FileDate">#REF!</definedName>
    <definedName name="Fin_Categories">#REF!</definedName>
    <definedName name="Final_FERC">#REF!</definedName>
    <definedName name="FINALFEES">#REF!</definedName>
    <definedName name="Finance">#REF!</definedName>
    <definedName name="FinancialPriceBase">#REF!</definedName>
    <definedName name="findate">#REF!</definedName>
    <definedName name="Finnair_WACC">#REF!</definedName>
    <definedName name="Firm_Base">#REF!</definedName>
    <definedName name="Firm_Slope">#REF!</definedName>
    <definedName name="FIRMEN">#REF!</definedName>
    <definedName name="FIRSTDATAROW1">#REF!</definedName>
    <definedName name="Fiscal_Year">#REF!</definedName>
    <definedName name="Fixed.Assets" localSheetId="14">{#N/A,#N/A,FALSE,"Income";#N/A,#N/A,FALSE,"Cost of Goods Sold";#N/A,#N/A,FALSE,"Other Costs";#N/A,#N/A,FALSE,"Other Income";#N/A,#N/A,FALSE,"Taxes";#N/A,#N/A,FALSE,"Other Deductions";#N/A,#N/A,FALSE,"Compensation of Officers"}</definedName>
    <definedName name="Fixed.Assets">{#N/A,#N/A,FALSE,"Income";#N/A,#N/A,FALSE,"Cost of Goods Sold";#N/A,#N/A,FALSE,"Other Costs";#N/A,#N/A,FALSE,"Other Income";#N/A,#N/A,FALSE,"Taxes";#N/A,#N/A,FALSE,"Other Deductions";#N/A,#N/A,FALSE,"Compensation of Officers"}</definedName>
    <definedName name="flo_spread">#REF!</definedName>
    <definedName name="FNDNAM1">#REF!</definedName>
    <definedName name="FNDUSERID1">#REF!</definedName>
    <definedName name="Footnote_Cat">#REF!</definedName>
    <definedName name="FOOTNOTECATEGORY">#REF!</definedName>
    <definedName name="FORECASTACCT">OFFSET(#REF!,0,0,COUNTA(#REF!),1)</definedName>
    <definedName name="FORECASTACODE">OFFSET(#REF!,0,0,COUNTA(#REF!),1)</definedName>
    <definedName name="FORECASTAMOUNT">OFFSET(#REF!,0,0,COUNTA(#REF!),1)</definedName>
    <definedName name="ForecastCategory">#REF!</definedName>
    <definedName name="FORECASTCOUNT">OFFSET(#REF!,0,0,COUNTA(#REF!),1)</definedName>
    <definedName name="FORECASTMONTH">OFFSET(#REF!,0,0,COUNTA(#REF!),1)</definedName>
    <definedName name="FORECASTROLLUP">OFFSET(#REF!,0,0,COUNTA(#REF!),1)</definedName>
    <definedName name="Foreign" localSheetId="14">{#N/A,#N/A,FALSE,"Income";#N/A,#N/A,FALSE,"Cost of Goods Sold";#N/A,#N/A,FALSE,"Other Costs";#N/A,#N/A,FALSE,"Other Income";#N/A,#N/A,FALSE,"Taxes";#N/A,#N/A,FALSE,"Other Deductions";#N/A,#N/A,FALSE,"Compensation of Officers"}</definedName>
    <definedName name="Foreign">{#N/A,#N/A,FALSE,"Income";#N/A,#N/A,FALSE,"Cost of Goods Sold";#N/A,#N/A,FALSE,"Other Costs";#N/A,#N/A,FALSE,"Other Income";#N/A,#N/A,FALSE,"Taxes";#N/A,#N/A,FALSE,"Other Deductions";#N/A,#N/A,FALSE,"Compensation of Officers"}</definedName>
    <definedName name="Foreign.Info" localSheetId="14">{#N/A,#N/A,FALSE,"Income";#N/A,#N/A,FALSE,"Cost of Goods Sold";#N/A,#N/A,FALSE,"Other Costs";#N/A,#N/A,FALSE,"Other Income";#N/A,#N/A,FALSE,"Taxes";#N/A,#N/A,FALSE,"Other Deductions";#N/A,#N/A,FALSE,"Compensation of Officers"}</definedName>
    <definedName name="Foreign.Info">{#N/A,#N/A,FALSE,"Income";#N/A,#N/A,FALSE,"Cost of Goods Sold";#N/A,#N/A,FALSE,"Other Costs";#N/A,#N/A,FALSE,"Other Income";#N/A,#N/A,FALSE,"Taxes";#N/A,#N/A,FALSE,"Other Deductions";#N/A,#N/A,FALSE,"Compensation of Officers"}</definedName>
    <definedName name="forward_spreads">#REF!</definedName>
    <definedName name="FPriorPer">#REF!</definedName>
    <definedName name="FR_OR">OFFSET(#REF!,0,5,,#REF!)</definedName>
    <definedName name="FranchiseBaseRange">#REF!,#REF!</definedName>
    <definedName name="Frequency_1">#REF!</definedName>
    <definedName name="Frequency2">#REF!</definedName>
    <definedName name="Frontier">#REF!</definedName>
    <definedName name="Frontier_WACC">#REF!</definedName>
    <definedName name="FSAssertions">#REF!</definedName>
    <definedName name="fsdafasf" localSheetId="14">{#N/A,#N/A,FALSE,"Monthly SAIFI";#N/A,#N/A,FALSE,"Yearly SAIFI";#N/A,#N/A,FALSE,"Monthly CAIDI";#N/A,#N/A,FALSE,"Yearly CAIDI";#N/A,#N/A,FALSE,"Monthly SAIDI";#N/A,#N/A,FALSE,"Yearly SAIDI";#N/A,#N/A,FALSE,"Monthly MAIFI";#N/A,#N/A,FALSE,"Yearly MAIFI";#N/A,#N/A,FALSE,"Monthly Cust &gt;=4 Int"}</definedName>
    <definedName name="fsdafasf">{#N/A,#N/A,FALSE,"Monthly SAIFI";#N/A,#N/A,FALSE,"Yearly SAIFI";#N/A,#N/A,FALSE,"Monthly CAIDI";#N/A,#N/A,FALSE,"Yearly CAIDI";#N/A,#N/A,FALSE,"Monthly SAIDI";#N/A,#N/A,FALSE,"Yearly SAIDI";#N/A,#N/A,FALSE,"Monthly MAIFI";#N/A,#N/A,FALSE,"Yearly MAIFI";#N/A,#N/A,FALSE,"Monthly Cust &gt;=4 Int"}</definedName>
    <definedName name="fsdfsfs" localSheetId="14">{#N/A,#N/A,FALSE,"Monthly SAIFI";#N/A,#N/A,FALSE,"Yearly SAIFI";#N/A,#N/A,FALSE,"Monthly CAIDI";#N/A,#N/A,FALSE,"Yearly CAIDI";#N/A,#N/A,FALSE,"Monthly SAIDI";#N/A,#N/A,FALSE,"Yearly SAIDI";#N/A,#N/A,FALSE,"Monthly MAIFI";#N/A,#N/A,FALSE,"Yearly MAIFI";#N/A,#N/A,FALSE,"Monthly Cust &gt;=4 Int"}</definedName>
    <definedName name="fsdfsfs">{#N/A,#N/A,FALSE,"Monthly SAIFI";#N/A,#N/A,FALSE,"Yearly SAIFI";#N/A,#N/A,FALSE,"Monthly CAIDI";#N/A,#N/A,FALSE,"Yearly CAIDI";#N/A,#N/A,FALSE,"Monthly SAIDI";#N/A,#N/A,FALSE,"Yearly SAIDI";#N/A,#N/A,FALSE,"Monthly MAIFI";#N/A,#N/A,FALSE,"Yearly MAIFI";#N/A,#N/A,FALSE,"Monthly Cust &gt;=4 Int"}</definedName>
    <definedName name="fsdfsfsdfasfa" localSheetId="14">{#N/A,#N/A,FALSE,"Monthly SAIFI";#N/A,#N/A,FALSE,"Yearly SAIFI";#N/A,#N/A,FALSE,"Monthly CAIDI";#N/A,#N/A,FALSE,"Yearly CAIDI";#N/A,#N/A,FALSE,"Monthly SAIDI";#N/A,#N/A,FALSE,"Yearly SAIDI";#N/A,#N/A,FALSE,"Monthly MAIFI";#N/A,#N/A,FALSE,"Yearly MAIFI";#N/A,#N/A,FALSE,"Monthly Cust &gt;=4 Int"}</definedName>
    <definedName name="fsdfsfsdfasfa">{#N/A,#N/A,FALSE,"Monthly SAIFI";#N/A,#N/A,FALSE,"Yearly SAIFI";#N/A,#N/A,FALSE,"Monthly CAIDI";#N/A,#N/A,FALSE,"Yearly CAIDI";#N/A,#N/A,FALSE,"Monthly SAIDI";#N/A,#N/A,FALSE,"Yearly SAIDI";#N/A,#N/A,FALSE,"Monthly MAIFI";#N/A,#N/A,FALSE,"Yearly MAIFI";#N/A,#N/A,FALSE,"Monthly Cust &gt;=4 Int"}</definedName>
    <definedName name="fsfsfsafasf" localSheetId="14">{#N/A,#N/A,FALSE,"Monthly SAIFI";#N/A,#N/A,FALSE,"Yearly SAIFI";#N/A,#N/A,FALSE,"Monthly CAIDI";#N/A,#N/A,FALSE,"Yearly CAIDI";#N/A,#N/A,FALSE,"Monthly SAIDI";#N/A,#N/A,FALSE,"Yearly SAIDI";#N/A,#N/A,FALSE,"Monthly MAIFI";#N/A,#N/A,FALSE,"Yearly MAIFI";#N/A,#N/A,FALSE,"Monthly Cust &gt;=4 Int"}</definedName>
    <definedName name="fsfsfsafasf">{#N/A,#N/A,FALSE,"Monthly SAIFI";#N/A,#N/A,FALSE,"Yearly SAIFI";#N/A,#N/A,FALSE,"Monthly CAIDI";#N/A,#N/A,FALSE,"Yearly CAIDI";#N/A,#N/A,FALSE,"Monthly SAIDI";#N/A,#N/A,FALSE,"Yearly SAIDI";#N/A,#N/A,FALSE,"Monthly MAIFI";#N/A,#N/A,FALSE,"Yearly MAIFI";#N/A,#N/A,FALSE,"Monthly Cust &gt;=4 Int"}</definedName>
    <definedName name="fssWithFuel">#REF!</definedName>
    <definedName name="fts5Fuel">#REF!</definedName>
    <definedName name="fts8Fuel">#REF!</definedName>
    <definedName name="ftsFuel">#REF!</definedName>
    <definedName name="Fuel_Unit">#REF!</definedName>
    <definedName name="Full_Print">#REF!</definedName>
    <definedName name="FULLDATA">#REF!</definedName>
    <definedName name="function_desc">#REF!</definedName>
    <definedName name="FUNCTIONALCURRENCY1">#REF!</definedName>
    <definedName name="FUTURES_OPTIONS_PRICES">#REF!</definedName>
    <definedName name="FV">OFFSET(#REF!,0,0,COUNTA(#REF!)-1)</definedName>
    <definedName name="fvb" localSheetId="14">{#N/A,#N/A,FALSE,"Month";#N/A,#N/A,FALSE,"Period";#N/A,#N/A,FALSE,"12 Month";#N/A,#N/A,FALSE,"Quarter"}</definedName>
    <definedName name="fvb">{#N/A,#N/A,FALSE,"Month";#N/A,#N/A,FALSE,"Period";#N/A,#N/A,FALSE,"12 Month";#N/A,#N/A,FALSE,"Quarter"}</definedName>
    <definedName name="fvbhnb" localSheetId="14">{#N/A,#N/A,FALSE,"Month";#N/A,#N/A,FALSE,"Period";#N/A,#N/A,FALSE,"12 Month";#N/A,#N/A,FALSE,"Quarter"}</definedName>
    <definedName name="fvbhnb">{#N/A,#N/A,FALSE,"Month";#N/A,#N/A,FALSE,"Period";#N/A,#N/A,FALSE,"12 Month";#N/A,#N/A,FALSE,"Quarter"}</definedName>
    <definedName name="fvvbv" localSheetId="14">{#N/A,#N/A,FALSE,"Expenditures";#N/A,#N/A,FALSE,"Property Placed In-Service";#N/A,#N/A,FALSE,"CWIP Balances"}</definedName>
    <definedName name="fvvbv">{#N/A,#N/A,FALSE,"Expenditures";#N/A,#N/A,FALSE,"Property Placed In-Service";#N/A,#N/A,FALSE,"CWIP Balances"}</definedName>
    <definedName name="fwd" localSheetId="14">{#N/A,#N/A,FALSE,"Totals";#N/A,#N/A,FALSE,"First-Of-Month";#N/A,#N/A,FALSE,"March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fwd">{#N/A,#N/A,FALSE,"Totals";#N/A,#N/A,FALSE,"First-Of-Month";#N/A,#N/A,FALSE,"March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fwrwerwerwerwer" localSheetId="14">{#N/A,#N/A,FALSE,"Monthly SAIFI";#N/A,#N/A,FALSE,"Yearly SAIFI";#N/A,#N/A,FALSE,"Monthly CAIDI";#N/A,#N/A,FALSE,"Yearly CAIDI";#N/A,#N/A,FALSE,"Monthly SAIDI";#N/A,#N/A,FALSE,"Yearly SAIDI";#N/A,#N/A,FALSE,"Monthly MAIFI";#N/A,#N/A,FALSE,"Yearly MAIFI";#N/A,#N/A,FALSE,"Monthly Cust &gt;=4 Int"}</definedName>
    <definedName name="fwrwerwerwerwer">{#N/A,#N/A,FALSE,"Monthly SAIFI";#N/A,#N/A,FALSE,"Yearly SAIFI";#N/A,#N/A,FALSE,"Monthly CAIDI";#N/A,#N/A,FALSE,"Yearly CAIDI";#N/A,#N/A,FALSE,"Monthly SAIDI";#N/A,#N/A,FALSE,"Yearly SAIDI";#N/A,#N/A,FALSE,"Monthly MAIFI";#N/A,#N/A,FALSE,"Yearly MAIFI";#N/A,#N/A,FALSE,"Monthly Cust &gt;=4 Int"}</definedName>
    <definedName name="g">#REF!</definedName>
    <definedName name="gap_roic">#REF!</definedName>
    <definedName name="gap_rtree">#REF!</definedName>
    <definedName name="gap_rtree3">#REF!</definedName>
    <definedName name="gap_sales">#REF!</definedName>
    <definedName name="gap_wacc">#REF!</definedName>
    <definedName name="gap2_roic">#REF!</definedName>
    <definedName name="GAS">#REF!</definedName>
    <definedName name="Gas_Prices">#REF!</definedName>
    <definedName name="GasBasis2">#REF!</definedName>
    <definedName name="GasBasis3">#REF!</definedName>
    <definedName name="GasBasis4">#REF!</definedName>
    <definedName name="GasBasis5">#REF!</definedName>
    <definedName name="GasBasis6">#REF!</definedName>
    <definedName name="GasDate">#REF!</definedName>
    <definedName name="GasHubs">#REF!</definedName>
    <definedName name="GasMeanRev">#REF!</definedName>
    <definedName name="gassal">#REF!</definedName>
    <definedName name="GasSummary">#REF!</definedName>
    <definedName name="gb" localSheetId="14">{"CM Dollars",#N/A,FALSE,"Rec Dollars";"YTD Dollars",#N/A,FALSE,"Rec Dollars";"CM Rec Stats",#N/A,FALSE,"Rec Dollars";"YTD Rec Stats",#N/A,FALSE,"Rec Dollars"}</definedName>
    <definedName name="gb">{"CM Dollars",#N/A,FALSE,"Rec Dollars";"YTD Dollars",#N/A,FALSE,"Rec Dollars";"CM Rec Stats",#N/A,FALSE,"Rec Dollars";"YTD Rec Stats",#N/A,FALSE,"Rec Dollars"}</definedName>
    <definedName name="gbb">"V2019-11-30"</definedName>
    <definedName name="gbbh" localSheetId="14">{#N/A,#N/A,FALSE,"Aging Summary";#N/A,#N/A,FALSE,"Ratio Analysis";#N/A,#N/A,FALSE,"Test 120 Day Accts";#N/A,#N/A,FALSE,"Tickmarks"}</definedName>
    <definedName name="gbbh">{#N/A,#N/A,FALSE,"Aging Summary";#N/A,#N/A,FALSE,"Ratio Analysis";#N/A,#N/A,FALSE,"Test 120 Day Accts";#N/A,#N/A,FALSE,"Tickmarks"}</definedName>
    <definedName name="gbvbbn" localSheetId="14">{#N/A,#N/A,TRUE,"TOTALS";#N/A,#N/A,TRUE,"BULK POWER";#N/A,#N/A,TRUE,"SUSQUEHANNA REGION";#N/A,#N/A,TRUE,"NE REGION - SCRANTON AREA";#N/A,#N/A,TRUE,"NE REGION - HONESDALE AREA";#N/A,#N/A,TRUE,"NE REGION - HAZ_WB AREA";#N/A,#N/A,TRUE,"LEHIGH REGION";#N/A,#N/A,TRUE,"HARRISBURG REGION";#N/A,#N/A,TRUE,"LANCASTER REGION";#N/A,#N/A,TRUE,"REGIONAL POOL ITEMS";#N/A,#N/A,TRUE,"AREA POOLS ITEMS";#N/A,#N/A,TRUE,"AREA SUPPLY BLANKET ITEMS";#N/A,#N/A,TRUE,"SCADA BUDGET ITEMS"}</definedName>
    <definedName name="gbvbbn">{#N/A,#N/A,TRUE,"TOTALS";#N/A,#N/A,TRUE,"BULK POWER";#N/A,#N/A,TRUE,"SUSQUEHANNA REGION";#N/A,#N/A,TRUE,"NE REGION - SCRANTON AREA";#N/A,#N/A,TRUE,"NE REGION - HONESDALE AREA";#N/A,#N/A,TRUE,"NE REGION - HAZ_WB AREA";#N/A,#N/A,TRUE,"LEHIGH REGION";#N/A,#N/A,TRUE,"HARRISBURG REGION";#N/A,#N/A,TRUE,"LANCASTER REGION";#N/A,#N/A,TRUE,"REGIONAL POOL ITEMS";#N/A,#N/A,TRUE,"AREA POOLS ITEMS";#N/A,#N/A,TRUE,"AREA SUPPLY BLANKET ITEMS";#N/A,#N/A,TRUE,"SCADA BUDGET ITEMS"}</definedName>
    <definedName name="GCR_Balances911">#REF!</definedName>
    <definedName name="gddd">#REF!</definedName>
    <definedName name="gfc" localSheetId="14">{"rates",#N/A,FALSE,"COSSUM"}</definedName>
    <definedName name="gfc">{"rates",#N/A,FALSE,"COSSUM"}</definedName>
    <definedName name="gg" localSheetId="14">{#N/A,#N/A,FALSE,"Assessment";#N/A,#N/A,FALSE,"Staffing";#N/A,#N/A,FALSE,"Hires";#N/A,#N/A,FALSE,"Assumptions"}</definedName>
    <definedName name="gg">{#N/A,#N/A,FALSE,"Assessment";#N/A,#N/A,FALSE,"Staffing";#N/A,#N/A,FALSE,"Hires";#N/A,#N/A,FALSE,"Assumptions"}</definedName>
    <definedName name="ggbbhgh" localSheetId="14">{#N/A,#N/A,FALSE,"Expenditures";#N/A,#N/A,FALSE,"Property Placed In-Service";#N/A,#N/A,FALSE,"Removals";#N/A,#N/A,FALSE,"Retirements";#N/A,#N/A,FALSE,"CWIP Balances";#N/A,#N/A,FALSE,"CWIP_Expend_Ratios";#N/A,#N/A,FALSE,"CWIP_Yr_End"}</definedName>
    <definedName name="ggbbhgh">{#N/A,#N/A,FALSE,"Expenditures";#N/A,#N/A,FALSE,"Property Placed In-Service";#N/A,#N/A,FALSE,"Removals";#N/A,#N/A,FALSE,"Retirements";#N/A,#N/A,FALSE,"CWIP Balances";#N/A,#N/A,FALSE,"CWIP_Expend_Ratios";#N/A,#N/A,FALSE,"CWIP_Yr_End"}</definedName>
    <definedName name="ggfc" localSheetId="14">{"detail",#N/A,FALSE,"COSSUM"}</definedName>
    <definedName name="ggfc">{"detail",#N/A,FALSE,"COSSUM"}</definedName>
    <definedName name="gggg" localSheetId="14">{#N/A,#N/A,FALSE,"Expenditures";#N/A,#N/A,FALSE,"Property Placed In-Service";#N/A,#N/A,FALSE,"Removals";#N/A,#N/A,FALSE,"Retirements";#N/A,#N/A,FALSE,"CWIP Balances";#N/A,#N/A,FALSE,"CWIP_Expend_Ratios";#N/A,#N/A,FALSE,"CWIP_Yr_End"}</definedName>
    <definedName name="gggg">{#N/A,#N/A,FALSE,"Expenditures";#N/A,#N/A,FALSE,"Property Placed In-Service";#N/A,#N/A,FALSE,"Removals";#N/A,#N/A,FALSE,"Retirements";#N/A,#N/A,FALSE,"CWIP Balances";#N/A,#N/A,FALSE,"CWIP_Expend_Ratios";#N/A,#N/A,FALSE,"CWIP_Yr_End"}</definedName>
    <definedName name="gggh" localSheetId="14">{#N/A,#N/A,FALSE,"JE051 PAGE 1 OF 3";#N/A,#N/A,FALSE,"JE051 PAGE 2 OF 3";#N/A,#N/A,FALSE,"JE051 PAGE 3 OF 3"}</definedName>
    <definedName name="gggh">{#N/A,#N/A,FALSE,"JE051 PAGE 1 OF 3";#N/A,#N/A,FALSE,"JE051 PAGE 2 OF 3";#N/A,#N/A,FALSE,"JE051 PAGE 3 OF 3"}</definedName>
    <definedName name="gghh" localSheetId="14">{#N/A,#N/A,FALSE,"Sheet1"}</definedName>
    <definedName name="gghh">{#N/A,#N/A,FALSE,"Sheet1"}</definedName>
    <definedName name="gghhj" localSheetId="14">{#N/A,#N/A,FALSE,"schA"}</definedName>
    <definedName name="gghhj">{#N/A,#N/A,FALSE,"schA"}</definedName>
    <definedName name="gghn" localSheetId="14">{#N/A,#N/A,FALSE,"schA"}</definedName>
    <definedName name="gghn">{#N/A,#N/A,FALSE,"schA"}</definedName>
    <definedName name="ggyhh" localSheetId="14">{#N/A,#N/A,FALSE,"Sheet1"}</definedName>
    <definedName name="ggyhh">{#N/A,#N/A,FALSE,"Sheet1"}</definedName>
    <definedName name="gh" localSheetId="14">{#N/A,#N/A,FALSE,"Expenditures";#N/A,#N/A,FALSE,"Property Placed In-Service";#N/A,#N/A,FALSE,"CWIP Balances"}</definedName>
    <definedName name="gh">{#N/A,#N/A,FALSE,"Expenditures";#N/A,#N/A,FALSE,"Property Placed In-Service";#N/A,#N/A,FALSE,"CWIP Balances"}</definedName>
    <definedName name="GH2BETA0">#REF!</definedName>
    <definedName name="GH2BETA1">#REF!</definedName>
    <definedName name="GH2BETA1TEST">#REF!</definedName>
    <definedName name="GH2BETA2">#REF!</definedName>
    <definedName name="GH2BETA2TEST">#REF!</definedName>
    <definedName name="GHHHj">#REF!</definedName>
    <definedName name="ghhjn" localSheetId="14">{#N/A,#N/A,FALSE,"Expenditures";#N/A,#N/A,FALSE,"Property Placed In-Service";#N/A,#N/A,FALSE,"Removals";#N/A,#N/A,FALSE,"Retirements";#N/A,#N/A,FALSE,"CWIP Balances";#N/A,#N/A,FALSE,"CWIP_Expend_Ratios";#N/A,#N/A,FALSE,"CWIP_Yr_End";#N/A,#N/A,FALSE,"Nuc_Fuel";#N/A,#N/A,FALSE,"New_Gen";#N/A,#N/A,FALSE,"New_Trans";#N/A,#N/A,FALSE,"DSM";#N/A,#N/A,FALSE,"Factors"}</definedName>
    <definedName name="ghhjn">{#N/A,#N/A,FALSE,"Expenditures";#N/A,#N/A,FALSE,"Property Placed In-Service";#N/A,#N/A,FALSE,"Removals";#N/A,#N/A,FALSE,"Retirements";#N/A,#N/A,FALSE,"CWIP Balances";#N/A,#N/A,FALSE,"CWIP_Expend_Ratios";#N/A,#N/A,FALSE,"CWIP_Yr_End";#N/A,#N/A,FALSE,"Nuc_Fuel";#N/A,#N/A,FALSE,"New_Gen";#N/A,#N/A,FALSE,"New_Trans";#N/A,#N/A,FALSE,"DSM";#N/A,#N/A,FALSE,"Factors"}</definedName>
    <definedName name="ghhnn" localSheetId="14">{#N/A,#N/A,FALSE,"schA"}</definedName>
    <definedName name="ghhnn">{#N/A,#N/A,FALSE,"schA"}</definedName>
    <definedName name="ghjgfj" localSheetId="14">{#N/A,#N/A,FALSE,"Monthly SAIFI";#N/A,#N/A,FALSE,"Yearly SAIFI";#N/A,#N/A,FALSE,"Monthly CAIDI";#N/A,#N/A,FALSE,"Yearly CAIDI";#N/A,#N/A,FALSE,"Monthly SAIDI";#N/A,#N/A,FALSE,"Yearly SAIDI";#N/A,#N/A,FALSE,"Monthly MAIFI";#N/A,#N/A,FALSE,"Yearly MAIFI";#N/A,#N/A,FALSE,"Monthly Cust &gt;=4 Int"}</definedName>
    <definedName name="ghjgfj">{#N/A,#N/A,FALSE,"Monthly SAIFI";#N/A,#N/A,FALSE,"Yearly SAIFI";#N/A,#N/A,FALSE,"Monthly CAIDI";#N/A,#N/A,FALSE,"Yearly CAIDI";#N/A,#N/A,FALSE,"Monthly SAIDI";#N/A,#N/A,FALSE,"Yearly SAIDI";#N/A,#N/A,FALSE,"Monthly MAIFI";#N/A,#N/A,FALSE,"Yearly MAIFI";#N/A,#N/A,FALSE,"Monthly Cust &gt;=4 Int"}</definedName>
    <definedName name="ghjgfjfj" localSheetId="14">{#N/A,#N/A,FALSE,"Monthly SAIFI";#N/A,#N/A,FALSE,"Yearly SAIFI";#N/A,#N/A,FALSE,"Monthly CAIDI";#N/A,#N/A,FALSE,"Yearly CAIDI";#N/A,#N/A,FALSE,"Monthly SAIDI";#N/A,#N/A,FALSE,"Yearly SAIDI";#N/A,#N/A,FALSE,"Monthly MAIFI";#N/A,#N/A,FALSE,"Yearly MAIFI";#N/A,#N/A,FALSE,"Monthly Cust &gt;=4 Int"}</definedName>
    <definedName name="ghjgfjfj">{#N/A,#N/A,FALSE,"Monthly SAIFI";#N/A,#N/A,FALSE,"Yearly SAIFI";#N/A,#N/A,FALSE,"Monthly CAIDI";#N/A,#N/A,FALSE,"Yearly CAIDI";#N/A,#N/A,FALSE,"Monthly SAIDI";#N/A,#N/A,FALSE,"Yearly SAIDI";#N/A,#N/A,FALSE,"Monthly MAIFI";#N/A,#N/A,FALSE,"Yearly MAIFI";#N/A,#N/A,FALSE,"Monthly Cust &gt;=4 Int"}</definedName>
    <definedName name="ghjgfjg" localSheetId="14">{#N/A,#N/A,FALSE,"Monthly SAIFI";#N/A,#N/A,FALSE,"Yearly SAIFI";#N/A,#N/A,FALSE,"Monthly CAIDI";#N/A,#N/A,FALSE,"Yearly CAIDI";#N/A,#N/A,FALSE,"Monthly SAIDI";#N/A,#N/A,FALSE,"Yearly SAIDI";#N/A,#N/A,FALSE,"Monthly MAIFI";#N/A,#N/A,FALSE,"Yearly MAIFI";#N/A,#N/A,FALSE,"Monthly Cust &gt;=4 Int"}</definedName>
    <definedName name="ghjgfjg">{#N/A,#N/A,FALSE,"Monthly SAIFI";#N/A,#N/A,FALSE,"Yearly SAIFI";#N/A,#N/A,FALSE,"Monthly CAIDI";#N/A,#N/A,FALSE,"Yearly CAIDI";#N/A,#N/A,FALSE,"Monthly SAIDI";#N/A,#N/A,FALSE,"Yearly SAIDI";#N/A,#N/A,FALSE,"Monthly MAIFI";#N/A,#N/A,FALSE,"Yearly MAIFI";#N/A,#N/A,FALSE,"Monthly Cust &gt;=4 Int"}</definedName>
    <definedName name="ghjgjgfjf" localSheetId="14">{#N/A,#N/A,FALSE,"Monthly SAIFI";#N/A,#N/A,FALSE,"Yearly SAIFI";#N/A,#N/A,FALSE,"Monthly CAIDI";#N/A,#N/A,FALSE,"Yearly CAIDI";#N/A,#N/A,FALSE,"Monthly SAIDI";#N/A,#N/A,FALSE,"Yearly SAIDI";#N/A,#N/A,FALSE,"Monthly MAIFI";#N/A,#N/A,FALSE,"Yearly MAIFI";#N/A,#N/A,FALSE,"Monthly Cust &gt;=4 Int"}</definedName>
    <definedName name="ghjgjgfjf">{#N/A,#N/A,FALSE,"Monthly SAIFI";#N/A,#N/A,FALSE,"Yearly SAIFI";#N/A,#N/A,FALSE,"Monthly CAIDI";#N/A,#N/A,FALSE,"Yearly CAIDI";#N/A,#N/A,FALSE,"Monthly SAIDI";#N/A,#N/A,FALSE,"Yearly SAIDI";#N/A,#N/A,FALSE,"Monthly MAIFI";#N/A,#N/A,FALSE,"Yearly MAIFI";#N/A,#N/A,FALSE,"Monthly Cust &gt;=4 Int"}</definedName>
    <definedName name="gita" localSheetId="14">{#N/A,#N/A,FALSE,"O&amp;M by processes";#N/A,#N/A,FALSE,"Elec Act vs Bud";#N/A,#N/A,FALSE,"G&amp;A";#N/A,#N/A,FALSE,"BGS";#N/A,#N/A,FALSE,"Res Cost"}</definedName>
    <definedName name="gita">{#N/A,#N/A,FALSE,"O&amp;M by processes";#N/A,#N/A,FALSE,"Elec Act vs Bud";#N/A,#N/A,FALSE,"G&amp;A";#N/A,#N/A,FALSE,"BGS";#N/A,#N/A,FALSE,"Res Cost"}</definedName>
    <definedName name="gitah" localSheetId="14">{#N/A,#N/A,FALSE,"O&amp;M by processes";#N/A,#N/A,FALSE,"Elec Act vs Bud";#N/A,#N/A,FALSE,"G&amp;A";#N/A,#N/A,FALSE,"BGS";#N/A,#N/A,FALSE,"Res Cost"}</definedName>
    <definedName name="gitah">{#N/A,#N/A,FALSE,"O&amp;M by processes";#N/A,#N/A,FALSE,"Elec Act vs Bud";#N/A,#N/A,FALSE,"G&amp;A";#N/A,#N/A,FALSE,"BGS";#N/A,#N/A,FALSE,"Res Cost"}</definedName>
    <definedName name="gl">#REF!</definedName>
    <definedName name="gl_items">#REF!</definedName>
    <definedName name="GLData">#N/A</definedName>
    <definedName name="gnbnb" localSheetId="14">{#N/A,#N/A,FALSE,"Expenditures";#N/A,#N/A,FALSE,"Property Placed In-Service";#N/A,#N/A,FALSE,"Removals";#N/A,#N/A,FALSE,"Retirements";#N/A,#N/A,FALSE,"CWIP Balances";#N/A,#N/A,FALSE,"CWIP_Expend_Ratios";#N/A,#N/A,FALSE,"CWIP_Yr_End"}</definedName>
    <definedName name="gnbnb">{#N/A,#N/A,FALSE,"Expenditures";#N/A,#N/A,FALSE,"Property Placed In-Service";#N/A,#N/A,FALSE,"Removals";#N/A,#N/A,FALSE,"Retirements";#N/A,#N/A,FALSE,"CWIP Balances";#N/A,#N/A,FALSE,"CWIP_Expend_Ratios";#N/A,#N/A,FALSE,"CWIP_Yr_End"}</definedName>
    <definedName name="gnhhn" localSheetId="14">{"CM Dollars",#N/A,FALSE,"Rec Dollars";"YTD Dollars",#N/A,FALSE,"Rec Dollars";"CM Rec Stats",#N/A,FALSE,"Rec Dollars";"YTD Rec Stats",#N/A,FALSE,"Rec Dollars"}</definedName>
    <definedName name="gnhhn">{"CM Dollars",#N/A,FALSE,"Rec Dollars";"YTD Dollars",#N/A,FALSE,"Rec Dollars";"CM Rec Stats",#N/A,FALSE,"Rec Dollars";"YTD Rec Stats",#N/A,FALSE,"Rec Dollars"}</definedName>
    <definedName name="Go_Back" localSheetId="25">#REF!</definedName>
    <definedName name="Go_Back" localSheetId="4">#REF!</definedName>
    <definedName name="Go_Back" localSheetId="33">#REF!</definedName>
    <definedName name="Go_Back">#REF!</definedName>
    <definedName name="GranAvgLF">#REF!</definedName>
    <definedName name="GranLrgLF">#REF!</definedName>
    <definedName name="GranSmlLF">#REF!</definedName>
    <definedName name="group">#REF!</definedName>
    <definedName name="group1">#REF!</definedName>
    <definedName name="GS1BETA0">#REF!</definedName>
    <definedName name="GS1BETA1">#REF!</definedName>
    <definedName name="GS1BETA1TEST">#REF!</definedName>
    <definedName name="GS1BETA2">#REF!</definedName>
    <definedName name="GS1BETA2TEST">#REF!</definedName>
    <definedName name="GS3BETA0">#REF!</definedName>
    <definedName name="GS3BETA1">#REF!</definedName>
    <definedName name="GS3BETA1TEST">#REF!</definedName>
    <definedName name="GS3BETA2">#REF!</definedName>
    <definedName name="GS3BETA2TEST">#REF!</definedName>
    <definedName name="gssInjFuel">#REF!</definedName>
    <definedName name="gssWithFuel">#REF!</definedName>
    <definedName name="gthn" localSheetId="14">{#N/A,#N/A,FALSE,"Expenditures";#N/A,#N/A,FALSE,"Property Placed In-Service";#N/A,#N/A,FALSE,"CWIP Balances"}</definedName>
    <definedName name="gthn">{#N/A,#N/A,FALSE,"Expenditures";#N/A,#N/A,FALSE,"Property Placed In-Service";#N/A,#N/A,FALSE,"CWIP Balances"}</definedName>
    <definedName name="GWGross">#REF!</definedName>
    <definedName name="GWYUID1">#REF!</definedName>
    <definedName name="h" localSheetId="14">{#N/A,#N/A,FALSE,"PVC97"}</definedName>
    <definedName name="h">{#N/A,#N/A,FALSE,"PVC97"}</definedName>
    <definedName name="Half_Yr_Name">#REF!</definedName>
    <definedName name="hbhnbb" localSheetId="14">{"CM Dollars",#N/A,FALSE,"Rec Dollars";"YTD Dollars",#N/A,FALSE,"Rec Dollars";"CM Rec Stats",#N/A,FALSE,"Rec Dollars";"YTD Rec Stats",#N/A,FALSE,"Rec Dollars"}</definedName>
    <definedName name="hbhnbb">{"CM Dollars",#N/A,FALSE,"Rec Dollars";"YTD Dollars",#N/A,FALSE,"Rec Dollars";"CM Rec Stats",#N/A,FALSE,"Rec Dollars";"YTD Rec Stats",#N/A,FALSE,"Rec Dollars"}</definedName>
    <definedName name="hbnnn" localSheetId="14">{#N/A,#N/A,FALSE,"schA"}</definedName>
    <definedName name="hbnnn">{#N/A,#N/A,FALSE,"schA"}</definedName>
    <definedName name="Header_Row">ROW(#REF!)</definedName>
    <definedName name="hh" localSheetId="14">{TRUE,TRUE,-2.75,-17,964.5,641.25,FALSE,TRUE,TRUE,TRUE,0,18,#N/A,11,#N/A,22.5227272727273,72.25,1,FALSE,FALSE,3,TRUE,1,FALSE,40,"Swvu.KJP_CC.","ACwvu.KJP_CC.",#N/A,FALSE,FALSE,0,0,0,0,2,"&amp;C&amp;""Arial,Bold""&amp;72Actual Production vs. Projected ","&amp;R&amp;""Arial,Bold Italic""&amp;8&amp;F&amp;A&amp;D",TRUE,TRUE,FALSE,FALSE,1,#N/A,1,1,"=R13C18:R168C107",FALSE,"Rwvu.KJP_CC.","Cwvu.KJP_CC.",FALSE,FALSE,FALSE,263,600,600,FALSE,FALSE,TRUE,TRUE,TRUE}</definedName>
    <definedName name="hh">{TRUE,TRUE,-2.75,-17,964.5,641.25,FALSE,TRUE,TRUE,TRUE,0,18,#N/A,11,#N/A,22.5227272727273,72.25,1,FALSE,FALSE,3,TRUE,1,FALSE,40,"Swvu.KJP_CC.","ACwvu.KJP_CC.",#N/A,FALSE,FALSE,0,0,0,0,2,"&amp;C&amp;""Arial,Bold""&amp;72Actual Production vs. Projected ","&amp;R&amp;""Arial,Bold Italic""&amp;8&amp;F&amp;A&amp;D",TRUE,TRUE,FALSE,FALSE,1,#N/A,1,1,"=R13C18:R168C107",FALSE,"Rwvu.KJP_CC.","Cwvu.KJP_CC.",FALSE,FALSE,FALSE,263,600,600,FALSE,FALSE,TRUE,TRUE,TRUE}</definedName>
    <definedName name="hhgv" localSheetId="14">{#N/A,#N/A,FALSE,"Expenditures";#N/A,#N/A,FALSE,"Property Placed In-Service";#N/A,#N/A,FALSE,"Removals";#N/A,#N/A,FALSE,"Retirements";#N/A,#N/A,FALSE,"CWIP Balances";#N/A,#N/A,FALSE,"CWIP_Expend_Ratios";#N/A,#N/A,FALSE,"CWIP_Yr_End"}</definedName>
    <definedName name="hhgv">{#N/A,#N/A,FALSE,"Expenditures";#N/A,#N/A,FALSE,"Property Placed In-Service";#N/A,#N/A,FALSE,"Removals";#N/A,#N/A,FALSE,"Retirements";#N/A,#N/A,FALSE,"CWIP Balances";#N/A,#N/A,FALSE,"CWIP_Expend_Ratios";#N/A,#N/A,FALSE,"CWIP_Yr_End"}</definedName>
    <definedName name="hhhnnn" localSheetId="14">{#N/A,#N/A,FALSE,"Aging Summary";#N/A,#N/A,FALSE,"Ratio Analysis";#N/A,#N/A,FALSE,"Test 120 Day Accts";#N/A,#N/A,FALSE,"Tickmarks"}</definedName>
    <definedName name="hhhnnn">{#N/A,#N/A,FALSE,"Aging Summary";#N/A,#N/A,FALSE,"Ratio Analysis";#N/A,#N/A,FALSE,"Test 120 Day Accts";#N/A,#N/A,FALSE,"Tickmarks"}</definedName>
    <definedName name="hhj" localSheetId="14">{#N/A,#N/A,FALSE,"schA"}</definedName>
    <definedName name="hhj">{#N/A,#N/A,FALSE,"schA"}</definedName>
    <definedName name="hhjjj" localSheetId="14">{#N/A,#N/A,FALSE,"Expenditures";#N/A,#N/A,FALSE,"Property Placed In-Service";#N/A,#N/A,FALSE,"Removals";#N/A,#N/A,FALSE,"Retirements";#N/A,#N/A,FALSE,"CWIP Balances";#N/A,#N/A,FALSE,"CWIP_Expend_Ratios";#N/A,#N/A,FALSE,"CWIP_Yr_End"}</definedName>
    <definedName name="hhjjj">{#N/A,#N/A,FALSE,"Expenditures";#N/A,#N/A,FALSE,"Property Placed In-Service";#N/A,#N/A,FALSE,"Removals";#N/A,#N/A,FALSE,"Retirements";#N/A,#N/A,FALSE,"CWIP Balances";#N/A,#N/A,FALSE,"CWIP_Expend_Ratios";#N/A,#N/A,FALSE,"CWIP_Yr_End"}</definedName>
    <definedName name="hhjn" localSheetId="14">{#N/A,#N/A,FALSE,"Expenditures";#N/A,#N/A,FALSE,"Property Placed In-Service";#N/A,#N/A,FALSE,"CWIP Balances"}</definedName>
    <definedName name="hhjn">{#N/A,#N/A,FALSE,"Expenditures";#N/A,#N/A,FALSE,"Property Placed In-Service";#N/A,#N/A,FALSE,"CWIP Balances"}</definedName>
    <definedName name="hhn" localSheetId="14">{#N/A,#N/A,TRUE,"TOTALS";#N/A,#N/A,TRUE,"BULK POWER";#N/A,#N/A,TRUE,"SUSQUEHANNA REGION";#N/A,#N/A,TRUE,"NE REGION - SCRANTON AREA";#N/A,#N/A,TRUE,"NE REGION - HONESDALE AREA";#N/A,#N/A,TRUE,"NE REGION - HAZ_WB AREA";#N/A,#N/A,TRUE,"LEHIGH REGION";#N/A,#N/A,TRUE,"HARRISBURG REGION";#N/A,#N/A,TRUE,"LANCASTER REGION";#N/A,#N/A,TRUE,"REGIONAL POOL ITEMS";#N/A,#N/A,TRUE,"AREA POOLS ITEMS";#N/A,#N/A,TRUE,"AREA SUPPLY BLANKET ITEMS";#N/A,#N/A,TRUE,"SCADA BUDGET ITEMS"}</definedName>
    <definedName name="hhn">{#N/A,#N/A,TRUE,"TOTALS";#N/A,#N/A,TRUE,"BULK POWER";#N/A,#N/A,TRUE,"SUSQUEHANNA REGION";#N/A,#N/A,TRUE,"NE REGION - SCRANTON AREA";#N/A,#N/A,TRUE,"NE REGION - HONESDALE AREA";#N/A,#N/A,TRUE,"NE REGION - HAZ_WB AREA";#N/A,#N/A,TRUE,"LEHIGH REGION";#N/A,#N/A,TRUE,"HARRISBURG REGION";#N/A,#N/A,TRUE,"LANCASTER REGION";#N/A,#N/A,TRUE,"REGIONAL POOL ITEMS";#N/A,#N/A,TRUE,"AREA POOLS ITEMS";#N/A,#N/A,TRUE,"AREA SUPPLY BLANKET ITEMS";#N/A,#N/A,TRUE,"SCADA BUDGET ITEMS"}</definedName>
    <definedName name="hjfjghjgfjgj" localSheetId="14">{#N/A,#N/A,FALSE,"Monthly SAIFI";#N/A,#N/A,FALSE,"Yearly SAIFI";#N/A,#N/A,FALSE,"Monthly CAIDI";#N/A,#N/A,FALSE,"Yearly CAIDI";#N/A,#N/A,FALSE,"Monthly SAIDI";#N/A,#N/A,FALSE,"Yearly SAIDI";#N/A,#N/A,FALSE,"Monthly MAIFI";#N/A,#N/A,FALSE,"Yearly MAIFI";#N/A,#N/A,FALSE,"Monthly Cust &gt;=4 Int"}</definedName>
    <definedName name="hjfjghjgfjgj">{#N/A,#N/A,FALSE,"Monthly SAIFI";#N/A,#N/A,FALSE,"Yearly SAIFI";#N/A,#N/A,FALSE,"Monthly CAIDI";#N/A,#N/A,FALSE,"Yearly CAIDI";#N/A,#N/A,FALSE,"Monthly SAIDI";#N/A,#N/A,FALSE,"Yearly SAIDI";#N/A,#N/A,FALSE,"Monthly MAIFI";#N/A,#N/A,FALSE,"Yearly MAIFI";#N/A,#N/A,FALSE,"Monthly Cust &gt;=4 Int"}</definedName>
    <definedName name="hjghjgf" localSheetId="14">{#N/A,#N/A,FALSE,"Monthly SAIFI";#N/A,#N/A,FALSE,"Yearly SAIFI";#N/A,#N/A,FALSE,"Monthly CAIDI";#N/A,#N/A,FALSE,"Yearly CAIDI";#N/A,#N/A,FALSE,"Monthly SAIDI";#N/A,#N/A,FALSE,"Yearly SAIDI";#N/A,#N/A,FALSE,"Monthly MAIFI";#N/A,#N/A,FALSE,"Yearly MAIFI";#N/A,#N/A,FALSE,"Monthly Cust &gt;=4 Int"}</definedName>
    <definedName name="hjghjgf">{#N/A,#N/A,FALSE,"Monthly SAIFI";#N/A,#N/A,FALSE,"Yearly SAIFI";#N/A,#N/A,FALSE,"Monthly CAIDI";#N/A,#N/A,FALSE,"Yearly CAIDI";#N/A,#N/A,FALSE,"Monthly SAIDI";#N/A,#N/A,FALSE,"Yearly SAIDI";#N/A,#N/A,FALSE,"Monthly MAIFI";#N/A,#N/A,FALSE,"Yearly MAIFI";#N/A,#N/A,FALSE,"Monthly Cust &gt;=4 Int"}</definedName>
    <definedName name="hjjj" localSheetId="14">{#N/A,#N/A,FALSE,"Expenditures";#N/A,#N/A,FALSE,"Property Placed In-Service";#N/A,#N/A,FALSE,"Removals";#N/A,#N/A,FALSE,"Retirements";#N/A,#N/A,FALSE,"CWIP Balances";#N/A,#N/A,FALSE,"CWIP_Expend_Ratios";#N/A,#N/A,FALSE,"CWIP_Yr_End"}</definedName>
    <definedName name="hjjj">{#N/A,#N/A,FALSE,"Expenditures";#N/A,#N/A,FALSE,"Property Placed In-Service";#N/A,#N/A,FALSE,"Removals";#N/A,#N/A,FALSE,"Retirements";#N/A,#N/A,FALSE,"CWIP Balances";#N/A,#N/A,FALSE,"CWIP_Expend_Ratios";#N/A,#N/A,FALSE,"CWIP_Yr_End"}</definedName>
    <definedName name="hjjmn" localSheetId="14">{#N/A,#N/A,FALSE,"Month";#N/A,#N/A,FALSE,"Period";#N/A,#N/A,FALSE,"12 Month";#N/A,#N/A,FALSE,"Quarter"}</definedName>
    <definedName name="hjjmn">{#N/A,#N/A,FALSE,"Month";#N/A,#N/A,FALSE,"Period";#N/A,#N/A,FALSE,"12 Month";#N/A,#N/A,FALSE,"Quarter"}</definedName>
    <definedName name="hjkklll" localSheetId="14">{#N/A,#N/A,FALSE,"Sheet1"}</definedName>
    <definedName name="hjkklll">{#N/A,#N/A,FALSE,"Sheet1"}</definedName>
    <definedName name="hjmnmnn" localSheetId="14">{#N/A,#N/A,FALSE,"Aging Summary";#N/A,#N/A,FALSE,"Ratio Analysis";#N/A,#N/A,FALSE,"Test 120 Day Accts";#N/A,#N/A,FALSE,"Tickmarks"}</definedName>
    <definedName name="hjmnmnn">{#N/A,#N/A,FALSE,"Aging Summary";#N/A,#N/A,FALSE,"Ratio Analysis";#N/A,#N/A,FALSE,"Test 120 Day Accts";#N/A,#N/A,FALSE,"Tickmarks"}</definedName>
    <definedName name="HL_Alt_Chk_1">#REF!</definedName>
    <definedName name="HL_Alt_Chk_14">#REF!</definedName>
    <definedName name="HL_Alt_Chk_15">#REF!</definedName>
    <definedName name="HL_Alt_Chk_2">#REF!</definedName>
    <definedName name="HL_Err_Chk_1">#REF!</definedName>
    <definedName name="HL_Err_Chk_11">#REF!</definedName>
    <definedName name="HL_Err_Chk_13">#REF!</definedName>
    <definedName name="HL_Err_Chk_14">#REF!</definedName>
    <definedName name="HL_Err_Chk_15">#REF!</definedName>
    <definedName name="HL_Err_Chk_2">#REF!</definedName>
    <definedName name="HL_Err_Chk_3">#REF!</definedName>
    <definedName name="HL_Err_Chk_4">#REF!</definedName>
    <definedName name="hnm" localSheetId="14">{#N/A,#N/A,FALSE,"schA"}</definedName>
    <definedName name="hnm">{#N/A,#N/A,FALSE,"schA"}</definedName>
    <definedName name="hnn" localSheetId="14">{#N/A,#N/A,FALSE,"Month";#N/A,#N/A,FALSE,"Period";#N/A,#N/A,FALSE,"12 Month";#N/A,#N/A,FALSE,"Quarter"}</definedName>
    <definedName name="hnn">{#N/A,#N/A,FALSE,"Month";#N/A,#N/A,FALSE,"Period";#N/A,#N/A,FALSE,"12 Month";#N/A,#N/A,FALSE,"Quarter"}</definedName>
    <definedName name="hnnh" localSheetId="14">{#N/A,#N/A,FALSE,"Expenditures";#N/A,#N/A,FALSE,"Property Placed In-Service";#N/A,#N/A,FALSE,"Removals";#N/A,#N/A,FALSE,"Retirements";#N/A,#N/A,FALSE,"CWIP Balances";#N/A,#N/A,FALSE,"CWIP_Expend_Ratios";#N/A,#N/A,FALSE,"CWIP_Yr_End";#N/A,#N/A,FALSE,"Nuc_Fuel";#N/A,#N/A,FALSE,"New_Gen";#N/A,#N/A,FALSE,"New_Trans";#N/A,#N/A,FALSE,"DSM";#N/A,#N/A,FALSE,"Factors"}</definedName>
    <definedName name="hnnh">{#N/A,#N/A,FALSE,"Expenditures";#N/A,#N/A,FALSE,"Property Placed In-Service";#N/A,#N/A,FALSE,"Removals";#N/A,#N/A,FALSE,"Retirements";#N/A,#N/A,FALSE,"CWIP Balances";#N/A,#N/A,FALSE,"CWIP_Expend_Ratios";#N/A,#N/A,FALSE,"CWIP_Yr_End";#N/A,#N/A,FALSE,"Nuc_Fuel";#N/A,#N/A,FALSE,"New_Gen";#N/A,#N/A,FALSE,"New_Trans";#N/A,#N/A,FALSE,"DSM";#N/A,#N/A,FALSE,"Factors"}</definedName>
    <definedName name="hnnn" localSheetId="14">{"rates",#N/A,FALSE,"COSSUM"}</definedName>
    <definedName name="hnnn">{"rates",#N/A,FALSE,"COSSUM"}</definedName>
    <definedName name="holidays">#REF!</definedName>
    <definedName name="hom" localSheetId="14">{#N/A,#N/A,FALSE,"Assessment";#N/A,#N/A,FALSE,"Staffing";#N/A,#N/A,FALSE,"Hires";#N/A,#N/A,FALSE,"Assumptions"}</definedName>
    <definedName name="hom">{#N/A,#N/A,FALSE,"Assessment";#N/A,#N/A,FALSE,"Staffing";#N/A,#N/A,FALSE,"Hires";#N/A,#N/A,FALSE,"Assumptions"}</definedName>
    <definedName name="HOME" localSheetId="14">{#N/A,#N/A,FALSE,"Assessment";#N/A,#N/A,FALSE,"Staffing";#N/A,#N/A,FALSE,"Hires";#N/A,#N/A,FALSE,"Assumptions"}</definedName>
    <definedName name="HOME">{#N/A,#N/A,FALSE,"Assessment";#N/A,#N/A,FALSE,"Staffing";#N/A,#N/A,FALSE,"Hires";#N/A,#N/A,FALSE,"Assumptions"}</definedName>
    <definedName name="home_new" localSheetId="14">{#N/A,#N/A,FALSE,"Assessment";#N/A,#N/A,FALSE,"Staffing";#N/A,#N/A,FALSE,"Hires";#N/A,#N/A,FALSE,"Assumptions"}</definedName>
    <definedName name="home_new">{#N/A,#N/A,FALSE,"Assessment";#N/A,#N/A,FALSE,"Staffing";#N/A,#N/A,FALSE,"Hires";#N/A,#N/A,FALSE,"Assumptions"}</definedName>
    <definedName name="home_new1" localSheetId="14">{#N/A,#N/A,FALSE,"Assessment";#N/A,#N/A,FALSE,"Staffing";#N/A,#N/A,FALSE,"Hires";#N/A,#N/A,FALSE,"Assumptions"}</definedName>
    <definedName name="home_new1">{#N/A,#N/A,FALSE,"Assessment";#N/A,#N/A,FALSE,"Staffing";#N/A,#N/A,FALSE,"Hires";#N/A,#N/A,FALSE,"Assumptions"}</definedName>
    <definedName name="HOME1" localSheetId="14">{#N/A,#N/A,FALSE,"Assessment";#N/A,#N/A,FALSE,"Staffing";#N/A,#N/A,FALSE,"Hires";#N/A,#N/A,FALSE,"Assumptions"}</definedName>
    <definedName name="HOME1">{#N/A,#N/A,FALSE,"Assessment";#N/A,#N/A,FALSE,"Staffing";#N/A,#N/A,FALSE,"Hires";#N/A,#N/A,FALSE,"Assumptions"}</definedName>
    <definedName name="HOMFE" localSheetId="14">{#N/A,#N/A,FALSE,"Assessment";#N/A,#N/A,FALSE,"Staffing";#N/A,#N/A,FALSE,"Hires";#N/A,#N/A,FALSE,"Assumptions"}</definedName>
    <definedName name="HOMFE">{#N/A,#N/A,FALSE,"Assessment";#N/A,#N/A,FALSE,"Staffing";#N/A,#N/A,FALSE,"Hires";#N/A,#N/A,FALSE,"Assumptions"}</definedName>
    <definedName name="homfe_new" localSheetId="14">{#N/A,#N/A,FALSE,"Assessment";#N/A,#N/A,FALSE,"Staffing";#N/A,#N/A,FALSE,"Hires";#N/A,#N/A,FALSE,"Assumptions"}</definedName>
    <definedName name="homfe_new">{#N/A,#N/A,FALSE,"Assessment";#N/A,#N/A,FALSE,"Staffing";#N/A,#N/A,FALSE,"Hires";#N/A,#N/A,FALSE,"Assumptions"}</definedName>
    <definedName name="homfe_new1" localSheetId="14">{#N/A,#N/A,FALSE,"Assessment";#N/A,#N/A,FALSE,"Staffing";#N/A,#N/A,FALSE,"Hires";#N/A,#N/A,FALSE,"Assumptions"}</definedName>
    <definedName name="homfe_new1">{#N/A,#N/A,FALSE,"Assessment";#N/A,#N/A,FALSE,"Staffing";#N/A,#N/A,FALSE,"Hires";#N/A,#N/A,FALSE,"Assumptions"}</definedName>
    <definedName name="HOMFE1" localSheetId="14">{#N/A,#N/A,FALSE,"Assessment";#N/A,#N/A,FALSE,"Staffing";#N/A,#N/A,FALSE,"Hires";#N/A,#N/A,FALSE,"Assumptions"}</definedName>
    <definedName name="HOMFE1">{#N/A,#N/A,FALSE,"Assessment";#N/A,#N/A,FALSE,"Staffing";#N/A,#N/A,FALSE,"Hires";#N/A,#N/A,FALSE,"Assumptions"}</definedName>
    <definedName name="homfee" localSheetId="14">{#N/A,#N/A,FALSE,"Assessment";#N/A,#N/A,FALSE,"Staffing";#N/A,#N/A,FALSE,"Hires";#N/A,#N/A,FALSE,"Assumptions"}</definedName>
    <definedName name="homfee">{#N/A,#N/A,FALSE,"Assessment";#N/A,#N/A,FALSE,"Staffing";#N/A,#N/A,FALSE,"Hires";#N/A,#N/A,FALSE,"Assumptions"}</definedName>
    <definedName name="homfee1" localSheetId="14">{#N/A,#N/A,FALSE,"Assessment";#N/A,#N/A,FALSE,"Staffing";#N/A,#N/A,FALSE,"Hires";#N/A,#N/A,FALSE,"Assumptions"}</definedName>
    <definedName name="homfee1">{#N/A,#N/A,FALSE,"Assessment";#N/A,#N/A,FALSE,"Staffing";#N/A,#N/A,FALSE,"Hires";#N/A,#N/A,FALSE,"Assumptions"}</definedName>
    <definedName name="HOURSYR1">#REF!</definedName>
    <definedName name="HOURSYR2">#REF!</definedName>
    <definedName name="HOURSYR3">#REF!</definedName>
    <definedName name="HOURSYR4">#REF!</definedName>
    <definedName name="HOURSYR5">#REF!</definedName>
    <definedName name="HOURSYR6">#REF!</definedName>
    <definedName name="HQ">#REF!</definedName>
    <definedName name="hrpr">#REF!</definedName>
    <definedName name="HTML_CodePage">1252</definedName>
    <definedName name="HTML_Control" localSheetId="14">{"'O&amp;M 2000'!$A$1:$T$24"}</definedName>
    <definedName name="HTML_Control">{"'O&amp;M 2000'!$A$1:$T$24"}</definedName>
    <definedName name="HTML_Control_1" localSheetId="14">{"'summary2'!$A$1:$L$47"}</definedName>
    <definedName name="HTML_Control_1">{"'summary2'!$A$1:$L$47"}</definedName>
    <definedName name="HTML_Control_1_1" localSheetId="14">{"'summary2'!$A$1:$L$47"}</definedName>
    <definedName name="HTML_Control_1_1">{"'summary2'!$A$1:$L$47"}</definedName>
    <definedName name="HTML_Control_1_1_1" localSheetId="14">{"'summary2'!$A$1:$L$47"}</definedName>
    <definedName name="HTML_Control_1_1_1">{"'summary2'!$A$1:$L$47"}</definedName>
    <definedName name="HTML_Control_1_1_1_1" localSheetId="14">{"'summary2'!$A$1:$L$47"}</definedName>
    <definedName name="HTML_Control_1_1_1_1">{"'summary2'!$A$1:$L$47"}</definedName>
    <definedName name="HTML_Control_1_1_1_1_1" localSheetId="14">{"'summary2'!$A$1:$L$47"}</definedName>
    <definedName name="HTML_Control_1_1_1_1_1">{"'summary2'!$A$1:$L$47"}</definedName>
    <definedName name="HTML_Control_1_1_1_1_1_1" localSheetId="14">{"'summary2'!$A$1:$L$47"}</definedName>
    <definedName name="HTML_Control_1_1_1_1_1_1">{"'summary2'!$A$1:$L$47"}</definedName>
    <definedName name="HTML_Control_1_1_1_1_1_2" localSheetId="14">{"'summary2'!$A$1:$L$47"}</definedName>
    <definedName name="HTML_Control_1_1_1_1_1_2">{"'summary2'!$A$1:$L$47"}</definedName>
    <definedName name="HTML_Control_1_1_1_1_1_3" localSheetId="14">{"'summary2'!$A$1:$L$47"}</definedName>
    <definedName name="HTML_Control_1_1_1_1_1_3">{"'summary2'!$A$1:$L$47"}</definedName>
    <definedName name="HTML_Control_1_1_1_1_1_4" localSheetId="14">{"'summary2'!$A$1:$L$47"}</definedName>
    <definedName name="HTML_Control_1_1_1_1_1_4">{"'summary2'!$A$1:$L$47"}</definedName>
    <definedName name="HTML_Control_1_1_1_1_1_5" localSheetId="14">{"'summary2'!$A$1:$L$47"}</definedName>
    <definedName name="HTML_Control_1_1_1_1_1_5">{"'summary2'!$A$1:$L$47"}</definedName>
    <definedName name="HTML_Control_1_1_1_1_2" localSheetId="14">{"'summary2'!$A$1:$L$47"}</definedName>
    <definedName name="HTML_Control_1_1_1_1_2">{"'summary2'!$A$1:$L$47"}</definedName>
    <definedName name="HTML_Control_1_1_1_1_3" localSheetId="14">{"'summary2'!$A$1:$L$47"}</definedName>
    <definedName name="HTML_Control_1_1_1_1_3">{"'summary2'!$A$1:$L$47"}</definedName>
    <definedName name="HTML_Control_1_1_1_1_4" localSheetId="14">{"'summary2'!$A$1:$L$47"}</definedName>
    <definedName name="HTML_Control_1_1_1_1_4">{"'summary2'!$A$1:$L$47"}</definedName>
    <definedName name="HTML_Control_1_1_1_1_5" localSheetId="14">{"'summary2'!$A$1:$L$47"}</definedName>
    <definedName name="HTML_Control_1_1_1_1_5">{"'summary2'!$A$1:$L$47"}</definedName>
    <definedName name="HTML_Control_1_1_1_2" localSheetId="14">{"'summary2'!$A$1:$L$47"}</definedName>
    <definedName name="HTML_Control_1_1_1_2">{"'summary2'!$A$1:$L$47"}</definedName>
    <definedName name="HTML_Control_1_1_1_2_1" localSheetId="14">{"'summary2'!$A$1:$L$47"}</definedName>
    <definedName name="HTML_Control_1_1_1_2_1">{"'summary2'!$A$1:$L$47"}</definedName>
    <definedName name="HTML_Control_1_1_1_2_1_1" localSheetId="14">{"'summary2'!$A$1:$L$47"}</definedName>
    <definedName name="HTML_Control_1_1_1_2_1_1">{"'summary2'!$A$1:$L$47"}</definedName>
    <definedName name="HTML_Control_1_1_1_2_2" localSheetId="14">{"'summary2'!$A$1:$L$47"}</definedName>
    <definedName name="HTML_Control_1_1_1_2_2">{"'summary2'!$A$1:$L$47"}</definedName>
    <definedName name="HTML_Control_1_1_1_2_3" localSheetId="14">{"'summary2'!$A$1:$L$47"}</definedName>
    <definedName name="HTML_Control_1_1_1_2_3">{"'summary2'!$A$1:$L$47"}</definedName>
    <definedName name="HTML_Control_1_1_1_2_4" localSheetId="14">{"'summary2'!$A$1:$L$47"}</definedName>
    <definedName name="HTML_Control_1_1_1_2_4">{"'summary2'!$A$1:$L$47"}</definedName>
    <definedName name="HTML_Control_1_1_1_2_5" localSheetId="14">{"'summary2'!$A$1:$L$47"}</definedName>
    <definedName name="HTML_Control_1_1_1_2_5">{"'summary2'!$A$1:$L$47"}</definedName>
    <definedName name="HTML_Control_1_1_1_3" localSheetId="14">{"'summary2'!$A$1:$L$47"}</definedName>
    <definedName name="HTML_Control_1_1_1_3">{"'summary2'!$A$1:$L$47"}</definedName>
    <definedName name="HTML_Control_1_1_1_3_1" localSheetId="14">{"'summary2'!$A$1:$L$47"}</definedName>
    <definedName name="HTML_Control_1_1_1_3_1">{"'summary2'!$A$1:$L$47"}</definedName>
    <definedName name="HTML_Control_1_1_1_3_2" localSheetId="14">{"'summary2'!$A$1:$L$47"}</definedName>
    <definedName name="HTML_Control_1_1_1_3_2">{"'summary2'!$A$1:$L$47"}</definedName>
    <definedName name="HTML_Control_1_1_1_3_3" localSheetId="14">{"'summary2'!$A$1:$L$47"}</definedName>
    <definedName name="HTML_Control_1_1_1_3_3">{"'summary2'!$A$1:$L$47"}</definedName>
    <definedName name="HTML_Control_1_1_1_3_4" localSheetId="14">{"'summary2'!$A$1:$L$47"}</definedName>
    <definedName name="HTML_Control_1_1_1_3_4">{"'summary2'!$A$1:$L$47"}</definedName>
    <definedName name="HTML_Control_1_1_1_3_5" localSheetId="14">{"'summary2'!$A$1:$L$47"}</definedName>
    <definedName name="HTML_Control_1_1_1_3_5">{"'summary2'!$A$1:$L$47"}</definedName>
    <definedName name="HTML_Control_1_1_1_4" localSheetId="14">{"'summary2'!$A$1:$L$47"}</definedName>
    <definedName name="HTML_Control_1_1_1_4">{"'summary2'!$A$1:$L$47"}</definedName>
    <definedName name="HTML_Control_1_1_1_4_1" localSheetId="14">{"'summary2'!$A$1:$L$47"}</definedName>
    <definedName name="HTML_Control_1_1_1_4_1">{"'summary2'!$A$1:$L$47"}</definedName>
    <definedName name="HTML_Control_1_1_1_4_2" localSheetId="14">{"'summary2'!$A$1:$L$47"}</definedName>
    <definedName name="HTML_Control_1_1_1_4_2">{"'summary2'!$A$1:$L$47"}</definedName>
    <definedName name="HTML_Control_1_1_1_4_3" localSheetId="14">{"'summary2'!$A$1:$L$47"}</definedName>
    <definedName name="HTML_Control_1_1_1_4_3">{"'summary2'!$A$1:$L$47"}</definedName>
    <definedName name="HTML_Control_1_1_1_4_4" localSheetId="14">{"'summary2'!$A$1:$L$47"}</definedName>
    <definedName name="HTML_Control_1_1_1_4_4">{"'summary2'!$A$1:$L$47"}</definedName>
    <definedName name="HTML_Control_1_1_1_4_5" localSheetId="14">{"'summary2'!$A$1:$L$47"}</definedName>
    <definedName name="HTML_Control_1_1_1_4_5">{"'summary2'!$A$1:$L$47"}</definedName>
    <definedName name="HTML_Control_1_1_1_5" localSheetId="14">{"'summary2'!$A$1:$L$47"}</definedName>
    <definedName name="HTML_Control_1_1_1_5">{"'summary2'!$A$1:$L$47"}</definedName>
    <definedName name="HTML_Control_1_1_1_5_1" localSheetId="14">{"'summary2'!$A$1:$L$47"}</definedName>
    <definedName name="HTML_Control_1_1_1_5_1">{"'summary2'!$A$1:$L$47"}</definedName>
    <definedName name="HTML_Control_1_1_1_5_2" localSheetId="14">{"'summary2'!$A$1:$L$47"}</definedName>
    <definedName name="HTML_Control_1_1_1_5_2">{"'summary2'!$A$1:$L$47"}</definedName>
    <definedName name="HTML_Control_1_1_1_5_3" localSheetId="14">{"'summary2'!$A$1:$L$47"}</definedName>
    <definedName name="HTML_Control_1_1_1_5_3">{"'summary2'!$A$1:$L$47"}</definedName>
    <definedName name="HTML_Control_1_1_1_5_4" localSheetId="14">{"'summary2'!$A$1:$L$47"}</definedName>
    <definedName name="HTML_Control_1_1_1_5_4">{"'summary2'!$A$1:$L$47"}</definedName>
    <definedName name="HTML_Control_1_1_1_5_5" localSheetId="14">{"'summary2'!$A$1:$L$47"}</definedName>
    <definedName name="HTML_Control_1_1_1_5_5">{"'summary2'!$A$1:$L$47"}</definedName>
    <definedName name="HTML_Control_1_1_2" localSheetId="14">{"'summary2'!$A$1:$L$47"}</definedName>
    <definedName name="HTML_Control_1_1_2">{"'summary2'!$A$1:$L$47"}</definedName>
    <definedName name="HTML_Control_1_1_2_1" localSheetId="14">{"'summary2'!$A$1:$L$47"}</definedName>
    <definedName name="HTML_Control_1_1_2_1">{"'summary2'!$A$1:$L$47"}</definedName>
    <definedName name="HTML_Control_1_1_2_1_1" localSheetId="14">{"'summary2'!$A$1:$L$47"}</definedName>
    <definedName name="HTML_Control_1_1_2_1_1">{"'summary2'!$A$1:$L$47"}</definedName>
    <definedName name="HTML_Control_1_1_2_1_2" localSheetId="14">{"'summary2'!$A$1:$L$47"}</definedName>
    <definedName name="HTML_Control_1_1_2_1_2">{"'summary2'!$A$1:$L$47"}</definedName>
    <definedName name="HTML_Control_1_1_2_1_3" localSheetId="14">{"'summary2'!$A$1:$L$47"}</definedName>
    <definedName name="HTML_Control_1_1_2_1_3">{"'summary2'!$A$1:$L$47"}</definedName>
    <definedName name="HTML_Control_1_1_2_1_4" localSheetId="14">{"'summary2'!$A$1:$L$47"}</definedName>
    <definedName name="HTML_Control_1_1_2_1_4">{"'summary2'!$A$1:$L$47"}</definedName>
    <definedName name="HTML_Control_1_1_2_1_5" localSheetId="14">{"'summary2'!$A$1:$L$47"}</definedName>
    <definedName name="HTML_Control_1_1_2_1_5">{"'summary2'!$A$1:$L$47"}</definedName>
    <definedName name="HTML_Control_1_1_2_2" localSheetId="14">{"'summary2'!$A$1:$L$47"}</definedName>
    <definedName name="HTML_Control_1_1_2_2">{"'summary2'!$A$1:$L$47"}</definedName>
    <definedName name="HTML_Control_1_1_2_3" localSheetId="14">{"'summary2'!$A$1:$L$47"}</definedName>
    <definedName name="HTML_Control_1_1_2_3">{"'summary2'!$A$1:$L$47"}</definedName>
    <definedName name="HTML_Control_1_1_2_4" localSheetId="14">{"'summary2'!$A$1:$L$47"}</definedName>
    <definedName name="HTML_Control_1_1_2_4">{"'summary2'!$A$1:$L$47"}</definedName>
    <definedName name="HTML_Control_1_1_2_5" localSheetId="14">{"'summary2'!$A$1:$L$47"}</definedName>
    <definedName name="HTML_Control_1_1_2_5">{"'summary2'!$A$1:$L$47"}</definedName>
    <definedName name="HTML_Control_1_1_3" localSheetId="14">{"'summary2'!$A$1:$L$47"}</definedName>
    <definedName name="HTML_Control_1_1_3">{"'summary2'!$A$1:$L$47"}</definedName>
    <definedName name="HTML_Control_1_1_3_1" localSheetId="14">{"'summary2'!$A$1:$L$47"}</definedName>
    <definedName name="HTML_Control_1_1_3_1">{"'summary2'!$A$1:$L$47"}</definedName>
    <definedName name="HTML_Control_1_1_3_2" localSheetId="14">{"'summary2'!$A$1:$L$47"}</definedName>
    <definedName name="HTML_Control_1_1_3_2">{"'summary2'!$A$1:$L$47"}</definedName>
    <definedName name="HTML_Control_1_1_3_3" localSheetId="14">{"'summary2'!$A$1:$L$47"}</definedName>
    <definedName name="HTML_Control_1_1_3_3">{"'summary2'!$A$1:$L$47"}</definedName>
    <definedName name="HTML_Control_1_1_3_4" localSheetId="14">{"'summary2'!$A$1:$L$47"}</definedName>
    <definedName name="HTML_Control_1_1_3_4">{"'summary2'!$A$1:$L$47"}</definedName>
    <definedName name="HTML_Control_1_1_3_5" localSheetId="14">{"'summary2'!$A$1:$L$47"}</definedName>
    <definedName name="HTML_Control_1_1_3_5">{"'summary2'!$A$1:$L$47"}</definedName>
    <definedName name="HTML_Control_1_1_4" localSheetId="14">{"'summary2'!$A$1:$L$47"}</definedName>
    <definedName name="HTML_Control_1_1_4">{"'summary2'!$A$1:$L$47"}</definedName>
    <definedName name="HTML_Control_1_1_4_1" localSheetId="14">{"'summary2'!$A$1:$L$47"}</definedName>
    <definedName name="HTML_Control_1_1_4_1">{"'summary2'!$A$1:$L$47"}</definedName>
    <definedName name="HTML_Control_1_1_4_2" localSheetId="14">{"'summary2'!$A$1:$L$47"}</definedName>
    <definedName name="HTML_Control_1_1_4_2">{"'summary2'!$A$1:$L$47"}</definedName>
    <definedName name="HTML_Control_1_1_4_3" localSheetId="14">{"'summary2'!$A$1:$L$47"}</definedName>
    <definedName name="HTML_Control_1_1_4_3">{"'summary2'!$A$1:$L$47"}</definedName>
    <definedName name="HTML_Control_1_1_4_4" localSheetId="14">{"'summary2'!$A$1:$L$47"}</definedName>
    <definedName name="HTML_Control_1_1_4_4">{"'summary2'!$A$1:$L$47"}</definedName>
    <definedName name="HTML_Control_1_1_4_5" localSheetId="14">{"'summary2'!$A$1:$L$47"}</definedName>
    <definedName name="HTML_Control_1_1_4_5">{"'summary2'!$A$1:$L$47"}</definedName>
    <definedName name="HTML_Control_1_1_5" localSheetId="14">{"'summary2'!$A$1:$L$47"}</definedName>
    <definedName name="HTML_Control_1_1_5">{"'summary2'!$A$1:$L$47"}</definedName>
    <definedName name="HTML_Control_1_1_5_1" localSheetId="14">{"'summary2'!$A$1:$L$47"}</definedName>
    <definedName name="HTML_Control_1_1_5_1">{"'summary2'!$A$1:$L$47"}</definedName>
    <definedName name="HTML_Control_1_1_5_2" localSheetId="14">{"'summary2'!$A$1:$L$47"}</definedName>
    <definedName name="HTML_Control_1_1_5_2">{"'summary2'!$A$1:$L$47"}</definedName>
    <definedName name="HTML_Control_1_1_5_3" localSheetId="14">{"'summary2'!$A$1:$L$47"}</definedName>
    <definedName name="HTML_Control_1_1_5_3">{"'summary2'!$A$1:$L$47"}</definedName>
    <definedName name="HTML_Control_1_1_5_4" localSheetId="14">{"'summary2'!$A$1:$L$47"}</definedName>
    <definedName name="HTML_Control_1_1_5_4">{"'summary2'!$A$1:$L$47"}</definedName>
    <definedName name="HTML_Control_1_1_5_5" localSheetId="14">{"'summary2'!$A$1:$L$47"}</definedName>
    <definedName name="HTML_Control_1_1_5_5">{"'summary2'!$A$1:$L$47"}</definedName>
    <definedName name="HTML_Control_1_2" localSheetId="14">{"'summary2'!$A$1:$L$47"}</definedName>
    <definedName name="HTML_Control_1_2">{"'summary2'!$A$1:$L$47"}</definedName>
    <definedName name="HTML_Control_1_2_1" localSheetId="14">{"'summary2'!$A$1:$L$47"}</definedName>
    <definedName name="HTML_Control_1_2_1">{"'summary2'!$A$1:$L$47"}</definedName>
    <definedName name="HTML_Control_1_2_1_1" localSheetId="14">{"'summary2'!$A$1:$L$47"}</definedName>
    <definedName name="HTML_Control_1_2_1_1">{"'summary2'!$A$1:$L$47"}</definedName>
    <definedName name="HTML_Control_1_2_1_1_1" localSheetId="14">{"'summary2'!$A$1:$L$47"}</definedName>
    <definedName name="HTML_Control_1_2_1_1_1">{"'summary2'!$A$1:$L$47"}</definedName>
    <definedName name="HTML_Control_1_2_1_1_1_1" localSheetId="14">{"'summary2'!$A$1:$L$47"}</definedName>
    <definedName name="HTML_Control_1_2_1_1_1_1">{"'summary2'!$A$1:$L$47"}</definedName>
    <definedName name="HTML_Control_1_2_1_1_1_2" localSheetId="14">{"'summary2'!$A$1:$L$47"}</definedName>
    <definedName name="HTML_Control_1_2_1_1_1_2">{"'summary2'!$A$1:$L$47"}</definedName>
    <definedName name="HTML_Control_1_2_1_1_1_3" localSheetId="14">{"'summary2'!$A$1:$L$47"}</definedName>
    <definedName name="HTML_Control_1_2_1_1_1_3">{"'summary2'!$A$1:$L$47"}</definedName>
    <definedName name="HTML_Control_1_2_1_1_1_4" localSheetId="14">{"'summary2'!$A$1:$L$47"}</definedName>
    <definedName name="HTML_Control_1_2_1_1_1_4">{"'summary2'!$A$1:$L$47"}</definedName>
    <definedName name="HTML_Control_1_2_1_1_1_5" localSheetId="14">{"'summary2'!$A$1:$L$47"}</definedName>
    <definedName name="HTML_Control_1_2_1_1_1_5">{"'summary2'!$A$1:$L$47"}</definedName>
    <definedName name="HTML_Control_1_2_1_1_2" localSheetId="14">{"'summary2'!$A$1:$L$47"}</definedName>
    <definedName name="HTML_Control_1_2_1_1_2">{"'summary2'!$A$1:$L$47"}</definedName>
    <definedName name="HTML_Control_1_2_1_1_3" localSheetId="14">{"'summary2'!$A$1:$L$47"}</definedName>
    <definedName name="HTML_Control_1_2_1_1_3">{"'summary2'!$A$1:$L$47"}</definedName>
    <definedName name="HTML_Control_1_2_1_1_4" localSheetId="14">{"'summary2'!$A$1:$L$47"}</definedName>
    <definedName name="HTML_Control_1_2_1_1_4">{"'summary2'!$A$1:$L$47"}</definedName>
    <definedName name="HTML_Control_1_2_1_1_5" localSheetId="14">{"'summary2'!$A$1:$L$47"}</definedName>
    <definedName name="HTML_Control_1_2_1_1_5">{"'summary2'!$A$1:$L$47"}</definedName>
    <definedName name="HTML_Control_1_2_1_2" localSheetId="14">{"'summary2'!$A$1:$L$47"}</definedName>
    <definedName name="HTML_Control_1_2_1_2">{"'summary2'!$A$1:$L$47"}</definedName>
    <definedName name="HTML_Control_1_2_1_2_1" localSheetId="14">{"'summary2'!$A$1:$L$47"}</definedName>
    <definedName name="HTML_Control_1_2_1_2_1">{"'summary2'!$A$1:$L$47"}</definedName>
    <definedName name="HTML_Control_1_2_1_2_2" localSheetId="14">{"'summary2'!$A$1:$L$47"}</definedName>
    <definedName name="HTML_Control_1_2_1_2_2">{"'summary2'!$A$1:$L$47"}</definedName>
    <definedName name="HTML_Control_1_2_1_2_3" localSheetId="14">{"'summary2'!$A$1:$L$47"}</definedName>
    <definedName name="HTML_Control_1_2_1_2_3">{"'summary2'!$A$1:$L$47"}</definedName>
    <definedName name="HTML_Control_1_2_1_2_4" localSheetId="14">{"'summary2'!$A$1:$L$47"}</definedName>
    <definedName name="HTML_Control_1_2_1_2_4">{"'summary2'!$A$1:$L$47"}</definedName>
    <definedName name="HTML_Control_1_2_1_2_5" localSheetId="14">{"'summary2'!$A$1:$L$47"}</definedName>
    <definedName name="HTML_Control_1_2_1_2_5">{"'summary2'!$A$1:$L$47"}</definedName>
    <definedName name="HTML_Control_1_2_1_3" localSheetId="14">{"'summary2'!$A$1:$L$47"}</definedName>
    <definedName name="HTML_Control_1_2_1_3">{"'summary2'!$A$1:$L$47"}</definedName>
    <definedName name="HTML_Control_1_2_1_3_1" localSheetId="14">{"'summary2'!$A$1:$L$47"}</definedName>
    <definedName name="HTML_Control_1_2_1_3_1">{"'summary2'!$A$1:$L$47"}</definedName>
    <definedName name="HTML_Control_1_2_1_3_2" localSheetId="14">{"'summary2'!$A$1:$L$47"}</definedName>
    <definedName name="HTML_Control_1_2_1_3_2">{"'summary2'!$A$1:$L$47"}</definedName>
    <definedName name="HTML_Control_1_2_1_3_3" localSheetId="14">{"'summary2'!$A$1:$L$47"}</definedName>
    <definedName name="HTML_Control_1_2_1_3_3">{"'summary2'!$A$1:$L$47"}</definedName>
    <definedName name="HTML_Control_1_2_1_3_4" localSheetId="14">{"'summary2'!$A$1:$L$47"}</definedName>
    <definedName name="HTML_Control_1_2_1_3_4">{"'summary2'!$A$1:$L$47"}</definedName>
    <definedName name="HTML_Control_1_2_1_3_5" localSheetId="14">{"'summary2'!$A$1:$L$47"}</definedName>
    <definedName name="HTML_Control_1_2_1_3_5">{"'summary2'!$A$1:$L$47"}</definedName>
    <definedName name="HTML_Control_1_2_1_4" localSheetId="14">{"'summary2'!$A$1:$L$47"}</definedName>
    <definedName name="HTML_Control_1_2_1_4">{"'summary2'!$A$1:$L$47"}</definedName>
    <definedName name="HTML_Control_1_2_1_4_1" localSheetId="14">{"'summary2'!$A$1:$L$47"}</definedName>
    <definedName name="HTML_Control_1_2_1_4_1">{"'summary2'!$A$1:$L$47"}</definedName>
    <definedName name="HTML_Control_1_2_1_4_2" localSheetId="14">{"'summary2'!$A$1:$L$47"}</definedName>
    <definedName name="HTML_Control_1_2_1_4_2">{"'summary2'!$A$1:$L$47"}</definedName>
    <definedName name="HTML_Control_1_2_1_4_3" localSheetId="14">{"'summary2'!$A$1:$L$47"}</definedName>
    <definedName name="HTML_Control_1_2_1_4_3">{"'summary2'!$A$1:$L$47"}</definedName>
    <definedName name="HTML_Control_1_2_1_4_4" localSheetId="14">{"'summary2'!$A$1:$L$47"}</definedName>
    <definedName name="HTML_Control_1_2_1_4_4">{"'summary2'!$A$1:$L$47"}</definedName>
    <definedName name="HTML_Control_1_2_1_4_5" localSheetId="14">{"'summary2'!$A$1:$L$47"}</definedName>
    <definedName name="HTML_Control_1_2_1_4_5">{"'summary2'!$A$1:$L$47"}</definedName>
    <definedName name="HTML_Control_1_2_1_5" localSheetId="14">{"'summary2'!$A$1:$L$47"}</definedName>
    <definedName name="HTML_Control_1_2_1_5">{"'summary2'!$A$1:$L$47"}</definedName>
    <definedName name="HTML_Control_1_2_1_5_1" localSheetId="14">{"'summary2'!$A$1:$L$47"}</definedName>
    <definedName name="HTML_Control_1_2_1_5_1">{"'summary2'!$A$1:$L$47"}</definedName>
    <definedName name="HTML_Control_1_2_1_5_2" localSheetId="14">{"'summary2'!$A$1:$L$47"}</definedName>
    <definedName name="HTML_Control_1_2_1_5_2">{"'summary2'!$A$1:$L$47"}</definedName>
    <definedName name="HTML_Control_1_2_1_5_3" localSheetId="14">{"'summary2'!$A$1:$L$47"}</definedName>
    <definedName name="HTML_Control_1_2_1_5_3">{"'summary2'!$A$1:$L$47"}</definedName>
    <definedName name="HTML_Control_1_2_1_5_4" localSheetId="14">{"'summary2'!$A$1:$L$47"}</definedName>
    <definedName name="HTML_Control_1_2_1_5_4">{"'summary2'!$A$1:$L$47"}</definedName>
    <definedName name="HTML_Control_1_2_1_5_5" localSheetId="14">{"'summary2'!$A$1:$L$47"}</definedName>
    <definedName name="HTML_Control_1_2_1_5_5">{"'summary2'!$A$1:$L$47"}</definedName>
    <definedName name="HTML_Control_1_2_2" localSheetId="14">{"'summary2'!$A$1:$L$47"}</definedName>
    <definedName name="HTML_Control_1_2_2">{"'summary2'!$A$1:$L$47"}</definedName>
    <definedName name="HTML_Control_1_2_2_1" localSheetId="14">{"'summary2'!$A$1:$L$47"}</definedName>
    <definedName name="HTML_Control_1_2_2_1">{"'summary2'!$A$1:$L$47"}</definedName>
    <definedName name="HTML_Control_1_2_2_1_1" localSheetId="14">{"'summary2'!$A$1:$L$47"}</definedName>
    <definedName name="HTML_Control_1_2_2_1_1">{"'summary2'!$A$1:$L$47"}</definedName>
    <definedName name="HTML_Control_1_2_2_1_2" localSheetId="14">{"'summary2'!$A$1:$L$47"}</definedName>
    <definedName name="HTML_Control_1_2_2_1_2">{"'summary2'!$A$1:$L$47"}</definedName>
    <definedName name="HTML_Control_1_2_2_1_3" localSheetId="14">{"'summary2'!$A$1:$L$47"}</definedName>
    <definedName name="HTML_Control_1_2_2_1_3">{"'summary2'!$A$1:$L$47"}</definedName>
    <definedName name="HTML_Control_1_2_2_1_4" localSheetId="14">{"'summary2'!$A$1:$L$47"}</definedName>
    <definedName name="HTML_Control_1_2_2_1_4">{"'summary2'!$A$1:$L$47"}</definedName>
    <definedName name="HTML_Control_1_2_2_1_5" localSheetId="14">{"'summary2'!$A$1:$L$47"}</definedName>
    <definedName name="HTML_Control_1_2_2_1_5">{"'summary2'!$A$1:$L$47"}</definedName>
    <definedName name="HTML_Control_1_2_2_2" localSheetId="14">{"'summary2'!$A$1:$L$47"}</definedName>
    <definedName name="HTML_Control_1_2_2_2">{"'summary2'!$A$1:$L$47"}</definedName>
    <definedName name="HTML_Control_1_2_2_3" localSheetId="14">{"'summary2'!$A$1:$L$47"}</definedName>
    <definedName name="HTML_Control_1_2_2_3">{"'summary2'!$A$1:$L$47"}</definedName>
    <definedName name="HTML_Control_1_2_2_4" localSheetId="14">{"'summary2'!$A$1:$L$47"}</definedName>
    <definedName name="HTML_Control_1_2_2_4">{"'summary2'!$A$1:$L$47"}</definedName>
    <definedName name="HTML_Control_1_2_2_5" localSheetId="14">{"'summary2'!$A$1:$L$47"}</definedName>
    <definedName name="HTML_Control_1_2_2_5">{"'summary2'!$A$1:$L$47"}</definedName>
    <definedName name="HTML_Control_1_2_3" localSheetId="14">{"'summary2'!$A$1:$L$47"}</definedName>
    <definedName name="HTML_Control_1_2_3">{"'summary2'!$A$1:$L$47"}</definedName>
    <definedName name="HTML_Control_1_2_3_1" localSheetId="14">{"'summary2'!$A$1:$L$47"}</definedName>
    <definedName name="HTML_Control_1_2_3_1">{"'summary2'!$A$1:$L$47"}</definedName>
    <definedName name="HTML_Control_1_2_3_2" localSheetId="14">{"'summary2'!$A$1:$L$47"}</definedName>
    <definedName name="HTML_Control_1_2_3_2">{"'summary2'!$A$1:$L$47"}</definedName>
    <definedName name="HTML_Control_1_2_3_3" localSheetId="14">{"'summary2'!$A$1:$L$47"}</definedName>
    <definedName name="HTML_Control_1_2_3_3">{"'summary2'!$A$1:$L$47"}</definedName>
    <definedName name="HTML_Control_1_2_3_4" localSheetId="14">{"'summary2'!$A$1:$L$47"}</definedName>
    <definedName name="HTML_Control_1_2_3_4">{"'summary2'!$A$1:$L$47"}</definedName>
    <definedName name="HTML_Control_1_2_3_5" localSheetId="14">{"'summary2'!$A$1:$L$47"}</definedName>
    <definedName name="HTML_Control_1_2_3_5">{"'summary2'!$A$1:$L$47"}</definedName>
    <definedName name="HTML_Control_1_2_4" localSheetId="14">{"'summary2'!$A$1:$L$47"}</definedName>
    <definedName name="HTML_Control_1_2_4">{"'summary2'!$A$1:$L$47"}</definedName>
    <definedName name="HTML_Control_1_2_4_1" localSheetId="14">{"'summary2'!$A$1:$L$47"}</definedName>
    <definedName name="HTML_Control_1_2_4_1">{"'summary2'!$A$1:$L$47"}</definedName>
    <definedName name="HTML_Control_1_2_4_2" localSheetId="14">{"'summary2'!$A$1:$L$47"}</definedName>
    <definedName name="HTML_Control_1_2_4_2">{"'summary2'!$A$1:$L$47"}</definedName>
    <definedName name="HTML_Control_1_2_4_3" localSheetId="14">{"'summary2'!$A$1:$L$47"}</definedName>
    <definedName name="HTML_Control_1_2_4_3">{"'summary2'!$A$1:$L$47"}</definedName>
    <definedName name="HTML_Control_1_2_4_4" localSheetId="14">{"'summary2'!$A$1:$L$47"}</definedName>
    <definedName name="HTML_Control_1_2_4_4">{"'summary2'!$A$1:$L$47"}</definedName>
    <definedName name="HTML_Control_1_2_4_5" localSheetId="14">{"'summary2'!$A$1:$L$47"}</definedName>
    <definedName name="HTML_Control_1_2_4_5">{"'summary2'!$A$1:$L$47"}</definedName>
    <definedName name="HTML_Control_1_2_5" localSheetId="14">{"'summary2'!$A$1:$L$47"}</definedName>
    <definedName name="HTML_Control_1_2_5">{"'summary2'!$A$1:$L$47"}</definedName>
    <definedName name="HTML_Control_1_2_5_1" localSheetId="14">{"'summary2'!$A$1:$L$47"}</definedName>
    <definedName name="HTML_Control_1_2_5_1">{"'summary2'!$A$1:$L$47"}</definedName>
    <definedName name="HTML_Control_1_2_5_2" localSheetId="14">{"'summary2'!$A$1:$L$47"}</definedName>
    <definedName name="HTML_Control_1_2_5_2">{"'summary2'!$A$1:$L$47"}</definedName>
    <definedName name="HTML_Control_1_2_5_3" localSheetId="14">{"'summary2'!$A$1:$L$47"}</definedName>
    <definedName name="HTML_Control_1_2_5_3">{"'summary2'!$A$1:$L$47"}</definedName>
    <definedName name="HTML_Control_1_2_5_4" localSheetId="14">{"'summary2'!$A$1:$L$47"}</definedName>
    <definedName name="HTML_Control_1_2_5_4">{"'summary2'!$A$1:$L$47"}</definedName>
    <definedName name="HTML_Control_1_2_5_5" localSheetId="14">{"'summary2'!$A$1:$L$47"}</definedName>
    <definedName name="HTML_Control_1_2_5_5">{"'summary2'!$A$1:$L$47"}</definedName>
    <definedName name="HTML_Control_1_3" localSheetId="14">{"'summary2'!$A$1:$L$47"}</definedName>
    <definedName name="HTML_Control_1_3">{"'summary2'!$A$1:$L$47"}</definedName>
    <definedName name="HTML_Control_1_3_1" localSheetId="14">{"'summary2'!$A$1:$L$47"}</definedName>
    <definedName name="HTML_Control_1_3_1">{"'summary2'!$A$1:$L$47"}</definedName>
    <definedName name="HTML_Control_1_3_1_1" localSheetId="14">{"'summary2'!$A$1:$L$47"}</definedName>
    <definedName name="HTML_Control_1_3_1_1">{"'summary2'!$A$1:$L$47"}</definedName>
    <definedName name="HTML_Control_1_3_1_1_1" localSheetId="14">{"'summary2'!$A$1:$L$47"}</definedName>
    <definedName name="HTML_Control_1_3_1_1_1">{"'summary2'!$A$1:$L$47"}</definedName>
    <definedName name="HTML_Control_1_3_1_1_1_1" localSheetId="14">{"'summary2'!$A$1:$L$47"}</definedName>
    <definedName name="HTML_Control_1_3_1_1_1_1">{"'summary2'!$A$1:$L$47"}</definedName>
    <definedName name="HTML_Control_1_3_1_1_1_2" localSheetId="14">{"'summary2'!$A$1:$L$47"}</definedName>
    <definedName name="HTML_Control_1_3_1_1_1_2">{"'summary2'!$A$1:$L$47"}</definedName>
    <definedName name="HTML_Control_1_3_1_1_1_3" localSheetId="14">{"'summary2'!$A$1:$L$47"}</definedName>
    <definedName name="HTML_Control_1_3_1_1_1_3">{"'summary2'!$A$1:$L$47"}</definedName>
    <definedName name="HTML_Control_1_3_1_1_1_4" localSheetId="14">{"'summary2'!$A$1:$L$47"}</definedName>
    <definedName name="HTML_Control_1_3_1_1_1_4">{"'summary2'!$A$1:$L$47"}</definedName>
    <definedName name="HTML_Control_1_3_1_1_1_5" localSheetId="14">{"'summary2'!$A$1:$L$47"}</definedName>
    <definedName name="HTML_Control_1_3_1_1_1_5">{"'summary2'!$A$1:$L$47"}</definedName>
    <definedName name="HTML_Control_1_3_1_1_2" localSheetId="14">{"'summary2'!$A$1:$L$47"}</definedName>
    <definedName name="HTML_Control_1_3_1_1_2">{"'summary2'!$A$1:$L$47"}</definedName>
    <definedName name="HTML_Control_1_3_1_1_3" localSheetId="14">{"'summary2'!$A$1:$L$47"}</definedName>
    <definedName name="HTML_Control_1_3_1_1_3">{"'summary2'!$A$1:$L$47"}</definedName>
    <definedName name="HTML_Control_1_3_1_1_4" localSheetId="14">{"'summary2'!$A$1:$L$47"}</definedName>
    <definedName name="HTML_Control_1_3_1_1_4">{"'summary2'!$A$1:$L$47"}</definedName>
    <definedName name="HTML_Control_1_3_1_1_5" localSheetId="14">{"'summary2'!$A$1:$L$47"}</definedName>
    <definedName name="HTML_Control_1_3_1_1_5">{"'summary2'!$A$1:$L$47"}</definedName>
    <definedName name="HTML_Control_1_3_1_2" localSheetId="14">{"'summary2'!$A$1:$L$47"}</definedName>
    <definedName name="HTML_Control_1_3_1_2">{"'summary2'!$A$1:$L$47"}</definedName>
    <definedName name="HTML_Control_1_3_1_2_1" localSheetId="14">{"'summary2'!$A$1:$L$47"}</definedName>
    <definedName name="HTML_Control_1_3_1_2_1">{"'summary2'!$A$1:$L$47"}</definedName>
    <definedName name="HTML_Control_1_3_1_2_2" localSheetId="14">{"'summary2'!$A$1:$L$47"}</definedName>
    <definedName name="HTML_Control_1_3_1_2_2">{"'summary2'!$A$1:$L$47"}</definedName>
    <definedName name="HTML_Control_1_3_1_2_3" localSheetId="14">{"'summary2'!$A$1:$L$47"}</definedName>
    <definedName name="HTML_Control_1_3_1_2_3">{"'summary2'!$A$1:$L$47"}</definedName>
    <definedName name="HTML_Control_1_3_1_2_4" localSheetId="14">{"'summary2'!$A$1:$L$47"}</definedName>
    <definedName name="HTML_Control_1_3_1_2_4">{"'summary2'!$A$1:$L$47"}</definedName>
    <definedName name="HTML_Control_1_3_1_2_5" localSheetId="14">{"'summary2'!$A$1:$L$47"}</definedName>
    <definedName name="HTML_Control_1_3_1_2_5">{"'summary2'!$A$1:$L$47"}</definedName>
    <definedName name="HTML_Control_1_3_1_3" localSheetId="14">{"'summary2'!$A$1:$L$47"}</definedName>
    <definedName name="HTML_Control_1_3_1_3">{"'summary2'!$A$1:$L$47"}</definedName>
    <definedName name="HTML_Control_1_3_1_3_1" localSheetId="14">{"'summary2'!$A$1:$L$47"}</definedName>
    <definedName name="HTML_Control_1_3_1_3_1">{"'summary2'!$A$1:$L$47"}</definedName>
    <definedName name="HTML_Control_1_3_1_3_2" localSheetId="14">{"'summary2'!$A$1:$L$47"}</definedName>
    <definedName name="HTML_Control_1_3_1_3_2">{"'summary2'!$A$1:$L$47"}</definedName>
    <definedName name="HTML_Control_1_3_1_3_3" localSheetId="14">{"'summary2'!$A$1:$L$47"}</definedName>
    <definedName name="HTML_Control_1_3_1_3_3">{"'summary2'!$A$1:$L$47"}</definedName>
    <definedName name="HTML_Control_1_3_1_3_4" localSheetId="14">{"'summary2'!$A$1:$L$47"}</definedName>
    <definedName name="HTML_Control_1_3_1_3_4">{"'summary2'!$A$1:$L$47"}</definedName>
    <definedName name="HTML_Control_1_3_1_3_5" localSheetId="14">{"'summary2'!$A$1:$L$47"}</definedName>
    <definedName name="HTML_Control_1_3_1_3_5">{"'summary2'!$A$1:$L$47"}</definedName>
    <definedName name="HTML_Control_1_3_1_4" localSheetId="14">{"'summary2'!$A$1:$L$47"}</definedName>
    <definedName name="HTML_Control_1_3_1_4">{"'summary2'!$A$1:$L$47"}</definedName>
    <definedName name="HTML_Control_1_3_1_4_1" localSheetId="14">{"'summary2'!$A$1:$L$47"}</definedName>
    <definedName name="HTML_Control_1_3_1_4_1">{"'summary2'!$A$1:$L$47"}</definedName>
    <definedName name="HTML_Control_1_3_1_4_2" localSheetId="14">{"'summary2'!$A$1:$L$47"}</definedName>
    <definedName name="HTML_Control_1_3_1_4_2">{"'summary2'!$A$1:$L$47"}</definedName>
    <definedName name="HTML_Control_1_3_1_4_3" localSheetId="14">{"'summary2'!$A$1:$L$47"}</definedName>
    <definedName name="HTML_Control_1_3_1_4_3">{"'summary2'!$A$1:$L$47"}</definedName>
    <definedName name="HTML_Control_1_3_1_4_4" localSheetId="14">{"'summary2'!$A$1:$L$47"}</definedName>
    <definedName name="HTML_Control_1_3_1_4_4">{"'summary2'!$A$1:$L$47"}</definedName>
    <definedName name="HTML_Control_1_3_1_4_5" localSheetId="14">{"'summary2'!$A$1:$L$47"}</definedName>
    <definedName name="HTML_Control_1_3_1_4_5">{"'summary2'!$A$1:$L$47"}</definedName>
    <definedName name="HTML_Control_1_3_1_5" localSheetId="14">{"'summary2'!$A$1:$L$47"}</definedName>
    <definedName name="HTML_Control_1_3_1_5">{"'summary2'!$A$1:$L$47"}</definedName>
    <definedName name="HTML_Control_1_3_1_5_1" localSheetId="14">{"'summary2'!$A$1:$L$47"}</definedName>
    <definedName name="HTML_Control_1_3_1_5_1">{"'summary2'!$A$1:$L$47"}</definedName>
    <definedName name="HTML_Control_1_3_1_5_2" localSheetId="14">{"'summary2'!$A$1:$L$47"}</definedName>
    <definedName name="HTML_Control_1_3_1_5_2">{"'summary2'!$A$1:$L$47"}</definedName>
    <definedName name="HTML_Control_1_3_1_5_3" localSheetId="14">{"'summary2'!$A$1:$L$47"}</definedName>
    <definedName name="HTML_Control_1_3_1_5_3">{"'summary2'!$A$1:$L$47"}</definedName>
    <definedName name="HTML_Control_1_3_1_5_4" localSheetId="14">{"'summary2'!$A$1:$L$47"}</definedName>
    <definedName name="HTML_Control_1_3_1_5_4">{"'summary2'!$A$1:$L$47"}</definedName>
    <definedName name="HTML_Control_1_3_1_5_5" localSheetId="14">{"'summary2'!$A$1:$L$47"}</definedName>
    <definedName name="HTML_Control_1_3_1_5_5">{"'summary2'!$A$1:$L$47"}</definedName>
    <definedName name="HTML_Control_1_3_2" localSheetId="14">{"'summary2'!$A$1:$L$47"}</definedName>
    <definedName name="HTML_Control_1_3_2">{"'summary2'!$A$1:$L$47"}</definedName>
    <definedName name="HTML_Control_1_3_2_1" localSheetId="14">{"'summary2'!$A$1:$L$47"}</definedName>
    <definedName name="HTML_Control_1_3_2_1">{"'summary2'!$A$1:$L$47"}</definedName>
    <definedName name="HTML_Control_1_3_2_1_1" localSheetId="14">{"'summary2'!$A$1:$L$47"}</definedName>
    <definedName name="HTML_Control_1_3_2_1_1">{"'summary2'!$A$1:$L$47"}</definedName>
    <definedName name="HTML_Control_1_3_2_1_2" localSheetId="14">{"'summary2'!$A$1:$L$47"}</definedName>
    <definedName name="HTML_Control_1_3_2_1_2">{"'summary2'!$A$1:$L$47"}</definedName>
    <definedName name="HTML_Control_1_3_2_1_3" localSheetId="14">{"'summary2'!$A$1:$L$47"}</definedName>
    <definedName name="HTML_Control_1_3_2_1_3">{"'summary2'!$A$1:$L$47"}</definedName>
    <definedName name="HTML_Control_1_3_2_1_4" localSheetId="14">{"'summary2'!$A$1:$L$47"}</definedName>
    <definedName name="HTML_Control_1_3_2_1_4">{"'summary2'!$A$1:$L$47"}</definedName>
    <definedName name="HTML_Control_1_3_2_1_5" localSheetId="14">{"'summary2'!$A$1:$L$47"}</definedName>
    <definedName name="HTML_Control_1_3_2_1_5">{"'summary2'!$A$1:$L$47"}</definedName>
    <definedName name="HTML_Control_1_3_2_2" localSheetId="14">{"'summary2'!$A$1:$L$47"}</definedName>
    <definedName name="HTML_Control_1_3_2_2">{"'summary2'!$A$1:$L$47"}</definedName>
    <definedName name="HTML_Control_1_3_2_3" localSheetId="14">{"'summary2'!$A$1:$L$47"}</definedName>
    <definedName name="HTML_Control_1_3_2_3">{"'summary2'!$A$1:$L$47"}</definedName>
    <definedName name="HTML_Control_1_3_2_4" localSheetId="14">{"'summary2'!$A$1:$L$47"}</definedName>
    <definedName name="HTML_Control_1_3_2_4">{"'summary2'!$A$1:$L$47"}</definedName>
    <definedName name="HTML_Control_1_3_2_5" localSheetId="14">{"'summary2'!$A$1:$L$47"}</definedName>
    <definedName name="HTML_Control_1_3_2_5">{"'summary2'!$A$1:$L$47"}</definedName>
    <definedName name="HTML_Control_1_3_3" localSheetId="14">{"'summary2'!$A$1:$L$47"}</definedName>
    <definedName name="HTML_Control_1_3_3">{"'summary2'!$A$1:$L$47"}</definedName>
    <definedName name="HTML_Control_1_3_3_1" localSheetId="14">{"'summary2'!$A$1:$L$47"}</definedName>
    <definedName name="HTML_Control_1_3_3_1">{"'summary2'!$A$1:$L$47"}</definedName>
    <definedName name="HTML_Control_1_3_3_2" localSheetId="14">{"'summary2'!$A$1:$L$47"}</definedName>
    <definedName name="HTML_Control_1_3_3_2">{"'summary2'!$A$1:$L$47"}</definedName>
    <definedName name="HTML_Control_1_3_3_3" localSheetId="14">{"'summary2'!$A$1:$L$47"}</definedName>
    <definedName name="HTML_Control_1_3_3_3">{"'summary2'!$A$1:$L$47"}</definedName>
    <definedName name="HTML_Control_1_3_3_4" localSheetId="14">{"'summary2'!$A$1:$L$47"}</definedName>
    <definedName name="HTML_Control_1_3_3_4">{"'summary2'!$A$1:$L$47"}</definedName>
    <definedName name="HTML_Control_1_3_3_5" localSheetId="14">{"'summary2'!$A$1:$L$47"}</definedName>
    <definedName name="HTML_Control_1_3_3_5">{"'summary2'!$A$1:$L$47"}</definedName>
    <definedName name="HTML_Control_1_3_4" localSheetId="14">{"'summary2'!$A$1:$L$47"}</definedName>
    <definedName name="HTML_Control_1_3_4">{"'summary2'!$A$1:$L$47"}</definedName>
    <definedName name="HTML_Control_1_3_4_1" localSheetId="14">{"'summary2'!$A$1:$L$47"}</definedName>
    <definedName name="HTML_Control_1_3_4_1">{"'summary2'!$A$1:$L$47"}</definedName>
    <definedName name="HTML_Control_1_3_4_2" localSheetId="14">{"'summary2'!$A$1:$L$47"}</definedName>
    <definedName name="HTML_Control_1_3_4_2">{"'summary2'!$A$1:$L$47"}</definedName>
    <definedName name="HTML_Control_1_3_4_3" localSheetId="14">{"'summary2'!$A$1:$L$47"}</definedName>
    <definedName name="HTML_Control_1_3_4_3">{"'summary2'!$A$1:$L$47"}</definedName>
    <definedName name="HTML_Control_1_3_4_4" localSheetId="14">{"'summary2'!$A$1:$L$47"}</definedName>
    <definedName name="HTML_Control_1_3_4_4">{"'summary2'!$A$1:$L$47"}</definedName>
    <definedName name="HTML_Control_1_3_4_5" localSheetId="14">{"'summary2'!$A$1:$L$47"}</definedName>
    <definedName name="HTML_Control_1_3_4_5">{"'summary2'!$A$1:$L$47"}</definedName>
    <definedName name="HTML_Control_1_3_5" localSheetId="14">{"'summary2'!$A$1:$L$47"}</definedName>
    <definedName name="HTML_Control_1_3_5">{"'summary2'!$A$1:$L$47"}</definedName>
    <definedName name="HTML_Control_1_3_5_1" localSheetId="14">{"'summary2'!$A$1:$L$47"}</definedName>
    <definedName name="HTML_Control_1_3_5_1">{"'summary2'!$A$1:$L$47"}</definedName>
    <definedName name="HTML_Control_1_3_5_2" localSheetId="14">{"'summary2'!$A$1:$L$47"}</definedName>
    <definedName name="HTML_Control_1_3_5_2">{"'summary2'!$A$1:$L$47"}</definedName>
    <definedName name="HTML_Control_1_3_5_3" localSheetId="14">{"'summary2'!$A$1:$L$47"}</definedName>
    <definedName name="HTML_Control_1_3_5_3">{"'summary2'!$A$1:$L$47"}</definedName>
    <definedName name="HTML_Control_1_3_5_4" localSheetId="14">{"'summary2'!$A$1:$L$47"}</definedName>
    <definedName name="HTML_Control_1_3_5_4">{"'summary2'!$A$1:$L$47"}</definedName>
    <definedName name="HTML_Control_1_3_5_5" localSheetId="14">{"'summary2'!$A$1:$L$47"}</definedName>
    <definedName name="HTML_Control_1_3_5_5">{"'summary2'!$A$1:$L$47"}</definedName>
    <definedName name="HTML_Control_1_4" localSheetId="14">{"'summary2'!$A$1:$L$47"}</definedName>
    <definedName name="HTML_Control_1_4">{"'summary2'!$A$1:$L$47"}</definedName>
    <definedName name="HTML_Control_1_4_1" localSheetId="14">{"'summary2'!$A$1:$L$47"}</definedName>
    <definedName name="HTML_Control_1_4_1">{"'summary2'!$A$1:$L$47"}</definedName>
    <definedName name="HTML_Control_1_4_1_1" localSheetId="14">{"'summary2'!$A$1:$L$47"}</definedName>
    <definedName name="HTML_Control_1_4_1_1">{"'summary2'!$A$1:$L$47"}</definedName>
    <definedName name="HTML_Control_1_4_1_1_1" localSheetId="14">{"'summary2'!$A$1:$L$47"}</definedName>
    <definedName name="HTML_Control_1_4_1_1_1">{"'summary2'!$A$1:$L$47"}</definedName>
    <definedName name="HTML_Control_1_4_1_1_1_1" localSheetId="14">{"'summary2'!$A$1:$L$47"}</definedName>
    <definedName name="HTML_Control_1_4_1_1_1_1">{"'summary2'!$A$1:$L$47"}</definedName>
    <definedName name="HTML_Control_1_4_1_1_1_2" localSheetId="14">{"'summary2'!$A$1:$L$47"}</definedName>
    <definedName name="HTML_Control_1_4_1_1_1_2">{"'summary2'!$A$1:$L$47"}</definedName>
    <definedName name="HTML_Control_1_4_1_1_1_3" localSheetId="14">{"'summary2'!$A$1:$L$47"}</definedName>
    <definedName name="HTML_Control_1_4_1_1_1_3">{"'summary2'!$A$1:$L$47"}</definedName>
    <definedName name="HTML_Control_1_4_1_1_1_4" localSheetId="14">{"'summary2'!$A$1:$L$47"}</definedName>
    <definedName name="HTML_Control_1_4_1_1_1_4">{"'summary2'!$A$1:$L$47"}</definedName>
    <definedName name="HTML_Control_1_4_1_1_1_5" localSheetId="14">{"'summary2'!$A$1:$L$47"}</definedName>
    <definedName name="HTML_Control_1_4_1_1_1_5">{"'summary2'!$A$1:$L$47"}</definedName>
    <definedName name="HTML_Control_1_4_1_1_2" localSheetId="14">{"'summary2'!$A$1:$L$47"}</definedName>
    <definedName name="HTML_Control_1_4_1_1_2">{"'summary2'!$A$1:$L$47"}</definedName>
    <definedName name="HTML_Control_1_4_1_1_3" localSheetId="14">{"'summary2'!$A$1:$L$47"}</definedName>
    <definedName name="HTML_Control_1_4_1_1_3">{"'summary2'!$A$1:$L$47"}</definedName>
    <definedName name="HTML_Control_1_4_1_1_4" localSheetId="14">{"'summary2'!$A$1:$L$47"}</definedName>
    <definedName name="HTML_Control_1_4_1_1_4">{"'summary2'!$A$1:$L$47"}</definedName>
    <definedName name="HTML_Control_1_4_1_1_5" localSheetId="14">{"'summary2'!$A$1:$L$47"}</definedName>
    <definedName name="HTML_Control_1_4_1_1_5">{"'summary2'!$A$1:$L$47"}</definedName>
    <definedName name="HTML_Control_1_4_1_2" localSheetId="14">{"'summary2'!$A$1:$L$47"}</definedName>
    <definedName name="HTML_Control_1_4_1_2">{"'summary2'!$A$1:$L$47"}</definedName>
    <definedName name="HTML_Control_1_4_1_2_1" localSheetId="14">{"'summary2'!$A$1:$L$47"}</definedName>
    <definedName name="HTML_Control_1_4_1_2_1">{"'summary2'!$A$1:$L$47"}</definedName>
    <definedName name="HTML_Control_1_4_1_2_2" localSheetId="14">{"'summary2'!$A$1:$L$47"}</definedName>
    <definedName name="HTML_Control_1_4_1_2_2">{"'summary2'!$A$1:$L$47"}</definedName>
    <definedName name="HTML_Control_1_4_1_2_3" localSheetId="14">{"'summary2'!$A$1:$L$47"}</definedName>
    <definedName name="HTML_Control_1_4_1_2_3">{"'summary2'!$A$1:$L$47"}</definedName>
    <definedName name="HTML_Control_1_4_1_2_4" localSheetId="14">{"'summary2'!$A$1:$L$47"}</definedName>
    <definedName name="HTML_Control_1_4_1_2_4">{"'summary2'!$A$1:$L$47"}</definedName>
    <definedName name="HTML_Control_1_4_1_2_5" localSheetId="14">{"'summary2'!$A$1:$L$47"}</definedName>
    <definedName name="HTML_Control_1_4_1_2_5">{"'summary2'!$A$1:$L$47"}</definedName>
    <definedName name="HTML_Control_1_4_1_3" localSheetId="14">{"'summary2'!$A$1:$L$47"}</definedName>
    <definedName name="HTML_Control_1_4_1_3">{"'summary2'!$A$1:$L$47"}</definedName>
    <definedName name="HTML_Control_1_4_1_3_1" localSheetId="14">{"'summary2'!$A$1:$L$47"}</definedName>
    <definedName name="HTML_Control_1_4_1_3_1">{"'summary2'!$A$1:$L$47"}</definedName>
    <definedName name="HTML_Control_1_4_1_3_2" localSheetId="14">{"'summary2'!$A$1:$L$47"}</definedName>
    <definedName name="HTML_Control_1_4_1_3_2">{"'summary2'!$A$1:$L$47"}</definedName>
    <definedName name="HTML_Control_1_4_1_3_3" localSheetId="14">{"'summary2'!$A$1:$L$47"}</definedName>
    <definedName name="HTML_Control_1_4_1_3_3">{"'summary2'!$A$1:$L$47"}</definedName>
    <definedName name="HTML_Control_1_4_1_3_4" localSheetId="14">{"'summary2'!$A$1:$L$47"}</definedName>
    <definedName name="HTML_Control_1_4_1_3_4">{"'summary2'!$A$1:$L$47"}</definedName>
    <definedName name="HTML_Control_1_4_1_3_5" localSheetId="14">{"'summary2'!$A$1:$L$47"}</definedName>
    <definedName name="HTML_Control_1_4_1_3_5">{"'summary2'!$A$1:$L$47"}</definedName>
    <definedName name="HTML_Control_1_4_1_4" localSheetId="14">{"'summary2'!$A$1:$L$47"}</definedName>
    <definedName name="HTML_Control_1_4_1_4">{"'summary2'!$A$1:$L$47"}</definedName>
    <definedName name="HTML_Control_1_4_1_4_1" localSheetId="14">{"'summary2'!$A$1:$L$47"}</definedName>
    <definedName name="HTML_Control_1_4_1_4_1">{"'summary2'!$A$1:$L$47"}</definedName>
    <definedName name="HTML_Control_1_4_1_4_2" localSheetId="14">{"'summary2'!$A$1:$L$47"}</definedName>
    <definedName name="HTML_Control_1_4_1_4_2">{"'summary2'!$A$1:$L$47"}</definedName>
    <definedName name="HTML_Control_1_4_1_4_3" localSheetId="14">{"'summary2'!$A$1:$L$47"}</definedName>
    <definedName name="HTML_Control_1_4_1_4_3">{"'summary2'!$A$1:$L$47"}</definedName>
    <definedName name="HTML_Control_1_4_1_4_4" localSheetId="14">{"'summary2'!$A$1:$L$47"}</definedName>
    <definedName name="HTML_Control_1_4_1_4_4">{"'summary2'!$A$1:$L$47"}</definedName>
    <definedName name="HTML_Control_1_4_1_4_5" localSheetId="14">{"'summary2'!$A$1:$L$47"}</definedName>
    <definedName name="HTML_Control_1_4_1_4_5">{"'summary2'!$A$1:$L$47"}</definedName>
    <definedName name="HTML_Control_1_4_1_5" localSheetId="14">{"'summary2'!$A$1:$L$47"}</definedName>
    <definedName name="HTML_Control_1_4_1_5">{"'summary2'!$A$1:$L$47"}</definedName>
    <definedName name="HTML_Control_1_4_1_5_1" localSheetId="14">{"'summary2'!$A$1:$L$47"}</definedName>
    <definedName name="HTML_Control_1_4_1_5_1">{"'summary2'!$A$1:$L$47"}</definedName>
    <definedName name="HTML_Control_1_4_1_5_2" localSheetId="14">{"'summary2'!$A$1:$L$47"}</definedName>
    <definedName name="HTML_Control_1_4_1_5_2">{"'summary2'!$A$1:$L$47"}</definedName>
    <definedName name="HTML_Control_1_4_1_5_3" localSheetId="14">{"'summary2'!$A$1:$L$47"}</definedName>
    <definedName name="HTML_Control_1_4_1_5_3">{"'summary2'!$A$1:$L$47"}</definedName>
    <definedName name="HTML_Control_1_4_1_5_4" localSheetId="14">{"'summary2'!$A$1:$L$47"}</definedName>
    <definedName name="HTML_Control_1_4_1_5_4">{"'summary2'!$A$1:$L$47"}</definedName>
    <definedName name="HTML_Control_1_4_1_5_5" localSheetId="14">{"'summary2'!$A$1:$L$47"}</definedName>
    <definedName name="HTML_Control_1_4_1_5_5">{"'summary2'!$A$1:$L$47"}</definedName>
    <definedName name="HTML_Control_1_4_2" localSheetId="14">{"'summary2'!$A$1:$L$47"}</definedName>
    <definedName name="HTML_Control_1_4_2">{"'summary2'!$A$1:$L$47"}</definedName>
    <definedName name="HTML_Control_1_4_2_1" localSheetId="14">{"'summary2'!$A$1:$L$47"}</definedName>
    <definedName name="HTML_Control_1_4_2_1">{"'summary2'!$A$1:$L$47"}</definedName>
    <definedName name="HTML_Control_1_4_2_1_1" localSheetId="14">{"'summary2'!$A$1:$L$47"}</definedName>
    <definedName name="HTML_Control_1_4_2_1_1">{"'summary2'!$A$1:$L$47"}</definedName>
    <definedName name="HTML_Control_1_4_2_1_2" localSheetId="14">{"'summary2'!$A$1:$L$47"}</definedName>
    <definedName name="HTML_Control_1_4_2_1_2">{"'summary2'!$A$1:$L$47"}</definedName>
    <definedName name="HTML_Control_1_4_2_1_3" localSheetId="14">{"'summary2'!$A$1:$L$47"}</definedName>
    <definedName name="HTML_Control_1_4_2_1_3">{"'summary2'!$A$1:$L$47"}</definedName>
    <definedName name="HTML_Control_1_4_2_1_4" localSheetId="14">{"'summary2'!$A$1:$L$47"}</definedName>
    <definedName name="HTML_Control_1_4_2_1_4">{"'summary2'!$A$1:$L$47"}</definedName>
    <definedName name="HTML_Control_1_4_2_1_5" localSheetId="14">{"'summary2'!$A$1:$L$47"}</definedName>
    <definedName name="HTML_Control_1_4_2_1_5">{"'summary2'!$A$1:$L$47"}</definedName>
    <definedName name="HTML_Control_1_4_2_2" localSheetId="14">{"'summary2'!$A$1:$L$47"}</definedName>
    <definedName name="HTML_Control_1_4_2_2">{"'summary2'!$A$1:$L$47"}</definedName>
    <definedName name="HTML_Control_1_4_2_3" localSheetId="14">{"'summary2'!$A$1:$L$47"}</definedName>
    <definedName name="HTML_Control_1_4_2_3">{"'summary2'!$A$1:$L$47"}</definedName>
    <definedName name="HTML_Control_1_4_2_4" localSheetId="14">{"'summary2'!$A$1:$L$47"}</definedName>
    <definedName name="HTML_Control_1_4_2_4">{"'summary2'!$A$1:$L$47"}</definedName>
    <definedName name="HTML_Control_1_4_2_5" localSheetId="14">{"'summary2'!$A$1:$L$47"}</definedName>
    <definedName name="HTML_Control_1_4_2_5">{"'summary2'!$A$1:$L$47"}</definedName>
    <definedName name="HTML_Control_1_4_3" localSheetId="14">{"'summary2'!$A$1:$L$47"}</definedName>
    <definedName name="HTML_Control_1_4_3">{"'summary2'!$A$1:$L$47"}</definedName>
    <definedName name="HTML_Control_1_4_3_1" localSheetId="14">{"'summary2'!$A$1:$L$47"}</definedName>
    <definedName name="HTML_Control_1_4_3_1">{"'summary2'!$A$1:$L$47"}</definedName>
    <definedName name="HTML_Control_1_4_3_2" localSheetId="14">{"'summary2'!$A$1:$L$47"}</definedName>
    <definedName name="HTML_Control_1_4_3_2">{"'summary2'!$A$1:$L$47"}</definedName>
    <definedName name="HTML_Control_1_4_3_3" localSheetId="14">{"'summary2'!$A$1:$L$47"}</definedName>
    <definedName name="HTML_Control_1_4_3_3">{"'summary2'!$A$1:$L$47"}</definedName>
    <definedName name="HTML_Control_1_4_3_4" localSheetId="14">{"'summary2'!$A$1:$L$47"}</definedName>
    <definedName name="HTML_Control_1_4_3_4">{"'summary2'!$A$1:$L$47"}</definedName>
    <definedName name="HTML_Control_1_4_3_5" localSheetId="14">{"'summary2'!$A$1:$L$47"}</definedName>
    <definedName name="HTML_Control_1_4_3_5">{"'summary2'!$A$1:$L$47"}</definedName>
    <definedName name="HTML_Control_1_4_4" localSheetId="14">{"'summary2'!$A$1:$L$47"}</definedName>
    <definedName name="HTML_Control_1_4_4">{"'summary2'!$A$1:$L$47"}</definedName>
    <definedName name="HTML_Control_1_4_4_1" localSheetId="14">{"'summary2'!$A$1:$L$47"}</definedName>
    <definedName name="HTML_Control_1_4_4_1">{"'summary2'!$A$1:$L$47"}</definedName>
    <definedName name="HTML_Control_1_4_4_2" localSheetId="14">{"'summary2'!$A$1:$L$47"}</definedName>
    <definedName name="HTML_Control_1_4_4_2">{"'summary2'!$A$1:$L$47"}</definedName>
    <definedName name="HTML_Control_1_4_4_3" localSheetId="14">{"'summary2'!$A$1:$L$47"}</definedName>
    <definedName name="HTML_Control_1_4_4_3">{"'summary2'!$A$1:$L$47"}</definedName>
    <definedName name="HTML_Control_1_4_4_4" localSheetId="14">{"'summary2'!$A$1:$L$47"}</definedName>
    <definedName name="HTML_Control_1_4_4_4">{"'summary2'!$A$1:$L$47"}</definedName>
    <definedName name="HTML_Control_1_4_4_5" localSheetId="14">{"'summary2'!$A$1:$L$47"}</definedName>
    <definedName name="HTML_Control_1_4_4_5">{"'summary2'!$A$1:$L$47"}</definedName>
    <definedName name="HTML_Control_1_4_5" localSheetId="14">{"'summary2'!$A$1:$L$47"}</definedName>
    <definedName name="HTML_Control_1_4_5">{"'summary2'!$A$1:$L$47"}</definedName>
    <definedName name="HTML_Control_1_4_5_1" localSheetId="14">{"'summary2'!$A$1:$L$47"}</definedName>
    <definedName name="HTML_Control_1_4_5_1">{"'summary2'!$A$1:$L$47"}</definedName>
    <definedName name="HTML_Control_1_4_5_2" localSheetId="14">{"'summary2'!$A$1:$L$47"}</definedName>
    <definedName name="HTML_Control_1_4_5_2">{"'summary2'!$A$1:$L$47"}</definedName>
    <definedName name="HTML_Control_1_4_5_3" localSheetId="14">{"'summary2'!$A$1:$L$47"}</definedName>
    <definedName name="HTML_Control_1_4_5_3">{"'summary2'!$A$1:$L$47"}</definedName>
    <definedName name="HTML_Control_1_4_5_4" localSheetId="14">{"'summary2'!$A$1:$L$47"}</definedName>
    <definedName name="HTML_Control_1_4_5_4">{"'summary2'!$A$1:$L$47"}</definedName>
    <definedName name="HTML_Control_1_4_5_5" localSheetId="14">{"'summary2'!$A$1:$L$47"}</definedName>
    <definedName name="HTML_Control_1_4_5_5">{"'summary2'!$A$1:$L$47"}</definedName>
    <definedName name="HTML_Control_1_5" localSheetId="14">{"'summary2'!$A$1:$L$47"}</definedName>
    <definedName name="HTML_Control_1_5">{"'summary2'!$A$1:$L$47"}</definedName>
    <definedName name="HTML_Control_1_5_1" localSheetId="14">{"'summary2'!$A$1:$L$47"}</definedName>
    <definedName name="HTML_Control_1_5_1">{"'summary2'!$A$1:$L$47"}</definedName>
    <definedName name="HTML_Control_1_5_1_1" localSheetId="14">{"'summary2'!$A$1:$L$47"}</definedName>
    <definedName name="HTML_Control_1_5_1_1">{"'summary2'!$A$1:$L$47"}</definedName>
    <definedName name="HTML_Control_1_5_1_1_1" localSheetId="14">{"'summary2'!$A$1:$L$47"}</definedName>
    <definedName name="HTML_Control_1_5_1_1_1">{"'summary2'!$A$1:$L$47"}</definedName>
    <definedName name="HTML_Control_1_5_1_1_1_1" localSheetId="14">{"'summary2'!$A$1:$L$47"}</definedName>
    <definedName name="HTML_Control_1_5_1_1_1_1">{"'summary2'!$A$1:$L$47"}</definedName>
    <definedName name="HTML_Control_1_5_1_1_1_2" localSheetId="14">{"'summary2'!$A$1:$L$47"}</definedName>
    <definedName name="HTML_Control_1_5_1_1_1_2">{"'summary2'!$A$1:$L$47"}</definedName>
    <definedName name="HTML_Control_1_5_1_1_1_3" localSheetId="14">{"'summary2'!$A$1:$L$47"}</definedName>
    <definedName name="HTML_Control_1_5_1_1_1_3">{"'summary2'!$A$1:$L$47"}</definedName>
    <definedName name="HTML_Control_1_5_1_1_1_4" localSheetId="14">{"'summary2'!$A$1:$L$47"}</definedName>
    <definedName name="HTML_Control_1_5_1_1_1_4">{"'summary2'!$A$1:$L$47"}</definedName>
    <definedName name="HTML_Control_1_5_1_1_1_5" localSheetId="14">{"'summary2'!$A$1:$L$47"}</definedName>
    <definedName name="HTML_Control_1_5_1_1_1_5">{"'summary2'!$A$1:$L$47"}</definedName>
    <definedName name="HTML_Control_1_5_1_1_2" localSheetId="14">{"'summary2'!$A$1:$L$47"}</definedName>
    <definedName name="HTML_Control_1_5_1_1_2">{"'summary2'!$A$1:$L$47"}</definedName>
    <definedName name="HTML_Control_1_5_1_1_3" localSheetId="14">{"'summary2'!$A$1:$L$47"}</definedName>
    <definedName name="HTML_Control_1_5_1_1_3">{"'summary2'!$A$1:$L$47"}</definedName>
    <definedName name="HTML_Control_1_5_1_1_4" localSheetId="14">{"'summary2'!$A$1:$L$47"}</definedName>
    <definedName name="HTML_Control_1_5_1_1_4">{"'summary2'!$A$1:$L$47"}</definedName>
    <definedName name="HTML_Control_1_5_1_1_5" localSheetId="14">{"'summary2'!$A$1:$L$47"}</definedName>
    <definedName name="HTML_Control_1_5_1_1_5">{"'summary2'!$A$1:$L$47"}</definedName>
    <definedName name="HTML_Control_1_5_1_2" localSheetId="14">{"'summary2'!$A$1:$L$47"}</definedName>
    <definedName name="HTML_Control_1_5_1_2">{"'summary2'!$A$1:$L$47"}</definedName>
    <definedName name="HTML_Control_1_5_1_2_1" localSheetId="14">{"'summary2'!$A$1:$L$47"}</definedName>
    <definedName name="HTML_Control_1_5_1_2_1">{"'summary2'!$A$1:$L$47"}</definedName>
    <definedName name="HTML_Control_1_5_1_2_2" localSheetId="14">{"'summary2'!$A$1:$L$47"}</definedName>
    <definedName name="HTML_Control_1_5_1_2_2">{"'summary2'!$A$1:$L$47"}</definedName>
    <definedName name="HTML_Control_1_5_1_2_3" localSheetId="14">{"'summary2'!$A$1:$L$47"}</definedName>
    <definedName name="HTML_Control_1_5_1_2_3">{"'summary2'!$A$1:$L$47"}</definedName>
    <definedName name="HTML_Control_1_5_1_2_4" localSheetId="14">{"'summary2'!$A$1:$L$47"}</definedName>
    <definedName name="HTML_Control_1_5_1_2_4">{"'summary2'!$A$1:$L$47"}</definedName>
    <definedName name="HTML_Control_1_5_1_2_5" localSheetId="14">{"'summary2'!$A$1:$L$47"}</definedName>
    <definedName name="HTML_Control_1_5_1_2_5">{"'summary2'!$A$1:$L$47"}</definedName>
    <definedName name="HTML_Control_1_5_1_3" localSheetId="14">{"'summary2'!$A$1:$L$47"}</definedName>
    <definedName name="HTML_Control_1_5_1_3">{"'summary2'!$A$1:$L$47"}</definedName>
    <definedName name="HTML_Control_1_5_1_3_1" localSheetId="14">{"'summary2'!$A$1:$L$47"}</definedName>
    <definedName name="HTML_Control_1_5_1_3_1">{"'summary2'!$A$1:$L$47"}</definedName>
    <definedName name="HTML_Control_1_5_1_3_2" localSheetId="14">{"'summary2'!$A$1:$L$47"}</definedName>
    <definedName name="HTML_Control_1_5_1_3_2">{"'summary2'!$A$1:$L$47"}</definedName>
    <definedName name="HTML_Control_1_5_1_3_3" localSheetId="14">{"'summary2'!$A$1:$L$47"}</definedName>
    <definedName name="HTML_Control_1_5_1_3_3">{"'summary2'!$A$1:$L$47"}</definedName>
    <definedName name="HTML_Control_1_5_1_3_4" localSheetId="14">{"'summary2'!$A$1:$L$47"}</definedName>
    <definedName name="HTML_Control_1_5_1_3_4">{"'summary2'!$A$1:$L$47"}</definedName>
    <definedName name="HTML_Control_1_5_1_3_5" localSheetId="14">{"'summary2'!$A$1:$L$47"}</definedName>
    <definedName name="HTML_Control_1_5_1_3_5">{"'summary2'!$A$1:$L$47"}</definedName>
    <definedName name="HTML_Control_1_5_1_4" localSheetId="14">{"'summary2'!$A$1:$L$47"}</definedName>
    <definedName name="HTML_Control_1_5_1_4">{"'summary2'!$A$1:$L$47"}</definedName>
    <definedName name="HTML_Control_1_5_1_4_1" localSheetId="14">{"'summary2'!$A$1:$L$47"}</definedName>
    <definedName name="HTML_Control_1_5_1_4_1">{"'summary2'!$A$1:$L$47"}</definedName>
    <definedName name="HTML_Control_1_5_1_4_2" localSheetId="14">{"'summary2'!$A$1:$L$47"}</definedName>
    <definedName name="HTML_Control_1_5_1_4_2">{"'summary2'!$A$1:$L$47"}</definedName>
    <definedName name="HTML_Control_1_5_1_4_3" localSheetId="14">{"'summary2'!$A$1:$L$47"}</definedName>
    <definedName name="HTML_Control_1_5_1_4_3">{"'summary2'!$A$1:$L$47"}</definedName>
    <definedName name="HTML_Control_1_5_1_4_4" localSheetId="14">{"'summary2'!$A$1:$L$47"}</definedName>
    <definedName name="HTML_Control_1_5_1_4_4">{"'summary2'!$A$1:$L$47"}</definedName>
    <definedName name="HTML_Control_1_5_1_4_5" localSheetId="14">{"'summary2'!$A$1:$L$47"}</definedName>
    <definedName name="HTML_Control_1_5_1_4_5">{"'summary2'!$A$1:$L$47"}</definedName>
    <definedName name="HTML_Control_1_5_1_5" localSheetId="14">{"'summary2'!$A$1:$L$47"}</definedName>
    <definedName name="HTML_Control_1_5_1_5">{"'summary2'!$A$1:$L$47"}</definedName>
    <definedName name="HTML_Control_1_5_1_5_1" localSheetId="14">{"'summary2'!$A$1:$L$47"}</definedName>
    <definedName name="HTML_Control_1_5_1_5_1">{"'summary2'!$A$1:$L$47"}</definedName>
    <definedName name="HTML_Control_1_5_1_5_2" localSheetId="14">{"'summary2'!$A$1:$L$47"}</definedName>
    <definedName name="HTML_Control_1_5_1_5_2">{"'summary2'!$A$1:$L$47"}</definedName>
    <definedName name="HTML_Control_1_5_1_5_3" localSheetId="14">{"'summary2'!$A$1:$L$47"}</definedName>
    <definedName name="HTML_Control_1_5_1_5_3">{"'summary2'!$A$1:$L$47"}</definedName>
    <definedName name="HTML_Control_1_5_1_5_4" localSheetId="14">{"'summary2'!$A$1:$L$47"}</definedName>
    <definedName name="HTML_Control_1_5_1_5_4">{"'summary2'!$A$1:$L$47"}</definedName>
    <definedName name="HTML_Control_1_5_1_5_5" localSheetId="14">{"'summary2'!$A$1:$L$47"}</definedName>
    <definedName name="HTML_Control_1_5_1_5_5">{"'summary2'!$A$1:$L$47"}</definedName>
    <definedName name="HTML_Control_1_5_2" localSheetId="14">{"'summary2'!$A$1:$L$47"}</definedName>
    <definedName name="HTML_Control_1_5_2">{"'summary2'!$A$1:$L$47"}</definedName>
    <definedName name="HTML_Control_1_5_2_1" localSheetId="14">{"'summary2'!$A$1:$L$47"}</definedName>
    <definedName name="HTML_Control_1_5_2_1">{"'summary2'!$A$1:$L$47"}</definedName>
    <definedName name="HTML_Control_1_5_2_1_1" localSheetId="14">{"'summary2'!$A$1:$L$47"}</definedName>
    <definedName name="HTML_Control_1_5_2_1_1">{"'summary2'!$A$1:$L$47"}</definedName>
    <definedName name="HTML_Control_1_5_2_1_2" localSheetId="14">{"'summary2'!$A$1:$L$47"}</definedName>
    <definedName name="HTML_Control_1_5_2_1_2">{"'summary2'!$A$1:$L$47"}</definedName>
    <definedName name="HTML_Control_1_5_2_1_3" localSheetId="14">{"'summary2'!$A$1:$L$47"}</definedName>
    <definedName name="HTML_Control_1_5_2_1_3">{"'summary2'!$A$1:$L$47"}</definedName>
    <definedName name="HTML_Control_1_5_2_1_4" localSheetId="14">{"'summary2'!$A$1:$L$47"}</definedName>
    <definedName name="HTML_Control_1_5_2_1_4">{"'summary2'!$A$1:$L$47"}</definedName>
    <definedName name="HTML_Control_1_5_2_1_5" localSheetId="14">{"'summary2'!$A$1:$L$47"}</definedName>
    <definedName name="HTML_Control_1_5_2_1_5">{"'summary2'!$A$1:$L$47"}</definedName>
    <definedName name="HTML_Control_1_5_2_2" localSheetId="14">{"'summary2'!$A$1:$L$47"}</definedName>
    <definedName name="HTML_Control_1_5_2_2">{"'summary2'!$A$1:$L$47"}</definedName>
    <definedName name="HTML_Control_1_5_2_3" localSheetId="14">{"'summary2'!$A$1:$L$47"}</definedName>
    <definedName name="HTML_Control_1_5_2_3">{"'summary2'!$A$1:$L$47"}</definedName>
    <definedName name="HTML_Control_1_5_2_4" localSheetId="14">{"'summary2'!$A$1:$L$47"}</definedName>
    <definedName name="HTML_Control_1_5_2_4">{"'summary2'!$A$1:$L$47"}</definedName>
    <definedName name="HTML_Control_1_5_2_5" localSheetId="14">{"'summary2'!$A$1:$L$47"}</definedName>
    <definedName name="HTML_Control_1_5_2_5">{"'summary2'!$A$1:$L$47"}</definedName>
    <definedName name="HTML_Control_1_5_3" localSheetId="14">{"'summary2'!$A$1:$L$47"}</definedName>
    <definedName name="HTML_Control_1_5_3">{"'summary2'!$A$1:$L$47"}</definedName>
    <definedName name="HTML_Control_1_5_3_1" localSheetId="14">{"'summary2'!$A$1:$L$47"}</definedName>
    <definedName name="HTML_Control_1_5_3_1">{"'summary2'!$A$1:$L$47"}</definedName>
    <definedName name="HTML_Control_1_5_3_2" localSheetId="14">{"'summary2'!$A$1:$L$47"}</definedName>
    <definedName name="HTML_Control_1_5_3_2">{"'summary2'!$A$1:$L$47"}</definedName>
    <definedName name="HTML_Control_1_5_3_3" localSheetId="14">{"'summary2'!$A$1:$L$47"}</definedName>
    <definedName name="HTML_Control_1_5_3_3">{"'summary2'!$A$1:$L$47"}</definedName>
    <definedName name="HTML_Control_1_5_3_4" localSheetId="14">{"'summary2'!$A$1:$L$47"}</definedName>
    <definedName name="HTML_Control_1_5_3_4">{"'summary2'!$A$1:$L$47"}</definedName>
    <definedName name="HTML_Control_1_5_3_5" localSheetId="14">{"'summary2'!$A$1:$L$47"}</definedName>
    <definedName name="HTML_Control_1_5_3_5">{"'summary2'!$A$1:$L$47"}</definedName>
    <definedName name="HTML_Control_1_5_4" localSheetId="14">{"'summary2'!$A$1:$L$47"}</definedName>
    <definedName name="HTML_Control_1_5_4">{"'summary2'!$A$1:$L$47"}</definedName>
    <definedName name="HTML_Control_1_5_4_1" localSheetId="14">{"'summary2'!$A$1:$L$47"}</definedName>
    <definedName name="HTML_Control_1_5_4_1">{"'summary2'!$A$1:$L$47"}</definedName>
    <definedName name="HTML_Control_1_5_4_2" localSheetId="14">{"'summary2'!$A$1:$L$47"}</definedName>
    <definedName name="HTML_Control_1_5_4_2">{"'summary2'!$A$1:$L$47"}</definedName>
    <definedName name="HTML_Control_1_5_4_3" localSheetId="14">{"'summary2'!$A$1:$L$47"}</definedName>
    <definedName name="HTML_Control_1_5_4_3">{"'summary2'!$A$1:$L$47"}</definedName>
    <definedName name="HTML_Control_1_5_4_4" localSheetId="14">{"'summary2'!$A$1:$L$47"}</definedName>
    <definedName name="HTML_Control_1_5_4_4">{"'summary2'!$A$1:$L$47"}</definedName>
    <definedName name="HTML_Control_1_5_4_5" localSheetId="14">{"'summary2'!$A$1:$L$47"}</definedName>
    <definedName name="HTML_Control_1_5_4_5">{"'summary2'!$A$1:$L$47"}</definedName>
    <definedName name="HTML_Control_1_5_5" localSheetId="14">{"'summary2'!$A$1:$L$47"}</definedName>
    <definedName name="HTML_Control_1_5_5">{"'summary2'!$A$1:$L$47"}</definedName>
    <definedName name="HTML_Control_1_5_5_1" localSheetId="14">{"'summary2'!$A$1:$L$47"}</definedName>
    <definedName name="HTML_Control_1_5_5_1">{"'summary2'!$A$1:$L$47"}</definedName>
    <definedName name="HTML_Control_1_5_5_2" localSheetId="14">{"'summary2'!$A$1:$L$47"}</definedName>
    <definedName name="HTML_Control_1_5_5_2">{"'summary2'!$A$1:$L$47"}</definedName>
    <definedName name="HTML_Control_1_5_5_3" localSheetId="14">{"'summary2'!$A$1:$L$47"}</definedName>
    <definedName name="HTML_Control_1_5_5_3">{"'summary2'!$A$1:$L$47"}</definedName>
    <definedName name="HTML_Control_1_5_5_4" localSheetId="14">{"'summary2'!$A$1:$L$47"}</definedName>
    <definedName name="HTML_Control_1_5_5_4">{"'summary2'!$A$1:$L$47"}</definedName>
    <definedName name="HTML_Control_1_5_5_5" localSheetId="14">{"'summary2'!$A$1:$L$47"}</definedName>
    <definedName name="HTML_Control_1_5_5_5">{"'summary2'!$A$1:$L$47"}</definedName>
    <definedName name="HTML_Control_2" localSheetId="14">{"'summary2'!$A$1:$L$47"}</definedName>
    <definedName name="HTML_Control_2">{"'summary2'!$A$1:$L$47"}</definedName>
    <definedName name="HTML_Control_2_1" localSheetId="14">{"'summary2'!$A$1:$L$47"}</definedName>
    <definedName name="HTML_Control_2_1">{"'summary2'!$A$1:$L$47"}</definedName>
    <definedName name="HTML_Control_2_1_1" localSheetId="14">{"'summary2'!$A$1:$L$47"}</definedName>
    <definedName name="HTML_Control_2_1_1">{"'summary2'!$A$1:$L$47"}</definedName>
    <definedName name="HTML_Control_2_1_1_1" localSheetId="14">{"'summary2'!$A$1:$L$47"}</definedName>
    <definedName name="HTML_Control_2_1_1_1">{"'summary2'!$A$1:$L$47"}</definedName>
    <definedName name="HTML_Control_2_1_1_1_1" localSheetId="14">{"'summary2'!$A$1:$L$47"}</definedName>
    <definedName name="HTML_Control_2_1_1_1_1">{"'summary2'!$A$1:$L$47"}</definedName>
    <definedName name="HTML_Control_2_1_1_1_1_1" localSheetId="14">{"'summary2'!$A$1:$L$47"}</definedName>
    <definedName name="HTML_Control_2_1_1_1_1_1">{"'summary2'!$A$1:$L$47"}</definedName>
    <definedName name="HTML_Control_2_1_1_1_1_2" localSheetId="14">{"'summary2'!$A$1:$L$47"}</definedName>
    <definedName name="HTML_Control_2_1_1_1_1_2">{"'summary2'!$A$1:$L$47"}</definedName>
    <definedName name="HTML_Control_2_1_1_1_1_3" localSheetId="14">{"'summary2'!$A$1:$L$47"}</definedName>
    <definedName name="HTML_Control_2_1_1_1_1_3">{"'summary2'!$A$1:$L$47"}</definedName>
    <definedName name="HTML_Control_2_1_1_1_1_4" localSheetId="14">{"'summary2'!$A$1:$L$47"}</definedName>
    <definedName name="HTML_Control_2_1_1_1_1_4">{"'summary2'!$A$1:$L$47"}</definedName>
    <definedName name="HTML_Control_2_1_1_1_1_5" localSheetId="14">{"'summary2'!$A$1:$L$47"}</definedName>
    <definedName name="HTML_Control_2_1_1_1_1_5">{"'summary2'!$A$1:$L$47"}</definedName>
    <definedName name="HTML_Control_2_1_1_1_2" localSheetId="14">{"'summary2'!$A$1:$L$47"}</definedName>
    <definedName name="HTML_Control_2_1_1_1_2">{"'summary2'!$A$1:$L$47"}</definedName>
    <definedName name="HTML_Control_2_1_1_1_3" localSheetId="14">{"'summary2'!$A$1:$L$47"}</definedName>
    <definedName name="HTML_Control_2_1_1_1_3">{"'summary2'!$A$1:$L$47"}</definedName>
    <definedName name="HTML_Control_2_1_1_1_4" localSheetId="14">{"'summary2'!$A$1:$L$47"}</definedName>
    <definedName name="HTML_Control_2_1_1_1_4">{"'summary2'!$A$1:$L$47"}</definedName>
    <definedName name="HTML_Control_2_1_1_1_5" localSheetId="14">{"'summary2'!$A$1:$L$47"}</definedName>
    <definedName name="HTML_Control_2_1_1_1_5">{"'summary2'!$A$1:$L$47"}</definedName>
    <definedName name="HTML_Control_2_1_1_2" localSheetId="14">{"'summary2'!$A$1:$L$47"}</definedName>
    <definedName name="HTML_Control_2_1_1_2">{"'summary2'!$A$1:$L$47"}</definedName>
    <definedName name="HTML_Control_2_1_1_2_1" localSheetId="14">{"'summary2'!$A$1:$L$47"}</definedName>
    <definedName name="HTML_Control_2_1_1_2_1">{"'summary2'!$A$1:$L$47"}</definedName>
    <definedName name="HTML_Control_2_1_1_2_1_1" localSheetId="14">{"'summary2'!$A$1:$L$47"}</definedName>
    <definedName name="HTML_Control_2_1_1_2_1_1">{"'summary2'!$A$1:$L$47"}</definedName>
    <definedName name="HTML_Control_2_1_1_2_2" localSheetId="14">{"'summary2'!$A$1:$L$47"}</definedName>
    <definedName name="HTML_Control_2_1_1_2_2">{"'summary2'!$A$1:$L$47"}</definedName>
    <definedName name="HTML_Control_2_1_1_2_3" localSheetId="14">{"'summary2'!$A$1:$L$47"}</definedName>
    <definedName name="HTML_Control_2_1_1_2_3">{"'summary2'!$A$1:$L$47"}</definedName>
    <definedName name="HTML_Control_2_1_1_2_4" localSheetId="14">{"'summary2'!$A$1:$L$47"}</definedName>
    <definedName name="HTML_Control_2_1_1_2_4">{"'summary2'!$A$1:$L$47"}</definedName>
    <definedName name="HTML_Control_2_1_1_2_5" localSheetId="14">{"'summary2'!$A$1:$L$47"}</definedName>
    <definedName name="HTML_Control_2_1_1_2_5">{"'summary2'!$A$1:$L$47"}</definedName>
    <definedName name="HTML_Control_2_1_1_3" localSheetId="14">{"'summary2'!$A$1:$L$47"}</definedName>
    <definedName name="HTML_Control_2_1_1_3">{"'summary2'!$A$1:$L$47"}</definedName>
    <definedName name="HTML_Control_2_1_1_3_1" localSheetId="14">{"'summary2'!$A$1:$L$47"}</definedName>
    <definedName name="HTML_Control_2_1_1_3_1">{"'summary2'!$A$1:$L$47"}</definedName>
    <definedName name="HTML_Control_2_1_1_3_2" localSheetId="14">{"'summary2'!$A$1:$L$47"}</definedName>
    <definedName name="HTML_Control_2_1_1_3_2">{"'summary2'!$A$1:$L$47"}</definedName>
    <definedName name="HTML_Control_2_1_1_3_3" localSheetId="14">{"'summary2'!$A$1:$L$47"}</definedName>
    <definedName name="HTML_Control_2_1_1_3_3">{"'summary2'!$A$1:$L$47"}</definedName>
    <definedName name="HTML_Control_2_1_1_3_4" localSheetId="14">{"'summary2'!$A$1:$L$47"}</definedName>
    <definedName name="HTML_Control_2_1_1_3_4">{"'summary2'!$A$1:$L$47"}</definedName>
    <definedName name="HTML_Control_2_1_1_3_5" localSheetId="14">{"'summary2'!$A$1:$L$47"}</definedName>
    <definedName name="HTML_Control_2_1_1_3_5">{"'summary2'!$A$1:$L$47"}</definedName>
    <definedName name="HTML_Control_2_1_1_4" localSheetId="14">{"'summary2'!$A$1:$L$47"}</definedName>
    <definedName name="HTML_Control_2_1_1_4">{"'summary2'!$A$1:$L$47"}</definedName>
    <definedName name="HTML_Control_2_1_1_4_1" localSheetId="14">{"'summary2'!$A$1:$L$47"}</definedName>
    <definedName name="HTML_Control_2_1_1_4_1">{"'summary2'!$A$1:$L$47"}</definedName>
    <definedName name="HTML_Control_2_1_1_4_2" localSheetId="14">{"'summary2'!$A$1:$L$47"}</definedName>
    <definedName name="HTML_Control_2_1_1_4_2">{"'summary2'!$A$1:$L$47"}</definedName>
    <definedName name="HTML_Control_2_1_1_4_3" localSheetId="14">{"'summary2'!$A$1:$L$47"}</definedName>
    <definedName name="HTML_Control_2_1_1_4_3">{"'summary2'!$A$1:$L$47"}</definedName>
    <definedName name="HTML_Control_2_1_1_4_4" localSheetId="14">{"'summary2'!$A$1:$L$47"}</definedName>
    <definedName name="HTML_Control_2_1_1_4_4">{"'summary2'!$A$1:$L$47"}</definedName>
    <definedName name="HTML_Control_2_1_1_4_5" localSheetId="14">{"'summary2'!$A$1:$L$47"}</definedName>
    <definedName name="HTML_Control_2_1_1_4_5">{"'summary2'!$A$1:$L$47"}</definedName>
    <definedName name="HTML_Control_2_1_1_5" localSheetId="14">{"'summary2'!$A$1:$L$47"}</definedName>
    <definedName name="HTML_Control_2_1_1_5">{"'summary2'!$A$1:$L$47"}</definedName>
    <definedName name="HTML_Control_2_1_1_5_1" localSheetId="14">{"'summary2'!$A$1:$L$47"}</definedName>
    <definedName name="HTML_Control_2_1_1_5_1">{"'summary2'!$A$1:$L$47"}</definedName>
    <definedName name="HTML_Control_2_1_1_5_2" localSheetId="14">{"'summary2'!$A$1:$L$47"}</definedName>
    <definedName name="HTML_Control_2_1_1_5_2">{"'summary2'!$A$1:$L$47"}</definedName>
    <definedName name="HTML_Control_2_1_1_5_3" localSheetId="14">{"'summary2'!$A$1:$L$47"}</definedName>
    <definedName name="HTML_Control_2_1_1_5_3">{"'summary2'!$A$1:$L$47"}</definedName>
    <definedName name="HTML_Control_2_1_1_5_4" localSheetId="14">{"'summary2'!$A$1:$L$47"}</definedName>
    <definedName name="HTML_Control_2_1_1_5_4">{"'summary2'!$A$1:$L$47"}</definedName>
    <definedName name="HTML_Control_2_1_1_5_5" localSheetId="14">{"'summary2'!$A$1:$L$47"}</definedName>
    <definedName name="HTML_Control_2_1_1_5_5">{"'summary2'!$A$1:$L$47"}</definedName>
    <definedName name="HTML_Control_2_1_2" localSheetId="14">{"'summary2'!$A$1:$L$47"}</definedName>
    <definedName name="HTML_Control_2_1_2">{"'summary2'!$A$1:$L$47"}</definedName>
    <definedName name="HTML_Control_2_1_2_1" localSheetId="14">{"'summary2'!$A$1:$L$47"}</definedName>
    <definedName name="HTML_Control_2_1_2_1">{"'summary2'!$A$1:$L$47"}</definedName>
    <definedName name="HTML_Control_2_1_2_1_1" localSheetId="14">{"'summary2'!$A$1:$L$47"}</definedName>
    <definedName name="HTML_Control_2_1_2_1_1">{"'summary2'!$A$1:$L$47"}</definedName>
    <definedName name="HTML_Control_2_1_2_1_2" localSheetId="14">{"'summary2'!$A$1:$L$47"}</definedName>
    <definedName name="HTML_Control_2_1_2_1_2">{"'summary2'!$A$1:$L$47"}</definedName>
    <definedName name="HTML_Control_2_1_2_1_3" localSheetId="14">{"'summary2'!$A$1:$L$47"}</definedName>
    <definedName name="HTML_Control_2_1_2_1_3">{"'summary2'!$A$1:$L$47"}</definedName>
    <definedName name="HTML_Control_2_1_2_1_4" localSheetId="14">{"'summary2'!$A$1:$L$47"}</definedName>
    <definedName name="HTML_Control_2_1_2_1_4">{"'summary2'!$A$1:$L$47"}</definedName>
    <definedName name="HTML_Control_2_1_2_1_5" localSheetId="14">{"'summary2'!$A$1:$L$47"}</definedName>
    <definedName name="HTML_Control_2_1_2_1_5">{"'summary2'!$A$1:$L$47"}</definedName>
    <definedName name="HTML_Control_2_1_2_2" localSheetId="14">{"'summary2'!$A$1:$L$47"}</definedName>
    <definedName name="HTML_Control_2_1_2_2">{"'summary2'!$A$1:$L$47"}</definedName>
    <definedName name="HTML_Control_2_1_2_3" localSheetId="14">{"'summary2'!$A$1:$L$47"}</definedName>
    <definedName name="HTML_Control_2_1_2_3">{"'summary2'!$A$1:$L$47"}</definedName>
    <definedName name="HTML_Control_2_1_2_4" localSheetId="14">{"'summary2'!$A$1:$L$47"}</definedName>
    <definedName name="HTML_Control_2_1_2_4">{"'summary2'!$A$1:$L$47"}</definedName>
    <definedName name="HTML_Control_2_1_2_5" localSheetId="14">{"'summary2'!$A$1:$L$47"}</definedName>
    <definedName name="HTML_Control_2_1_2_5">{"'summary2'!$A$1:$L$47"}</definedName>
    <definedName name="HTML_Control_2_1_3" localSheetId="14">{"'summary2'!$A$1:$L$47"}</definedName>
    <definedName name="HTML_Control_2_1_3">{"'summary2'!$A$1:$L$47"}</definedName>
    <definedName name="HTML_Control_2_1_3_1" localSheetId="14">{"'summary2'!$A$1:$L$47"}</definedName>
    <definedName name="HTML_Control_2_1_3_1">{"'summary2'!$A$1:$L$47"}</definedName>
    <definedName name="HTML_Control_2_1_3_2" localSheetId="14">{"'summary2'!$A$1:$L$47"}</definedName>
    <definedName name="HTML_Control_2_1_3_2">{"'summary2'!$A$1:$L$47"}</definedName>
    <definedName name="HTML_Control_2_1_3_3" localSheetId="14">{"'summary2'!$A$1:$L$47"}</definedName>
    <definedName name="HTML_Control_2_1_3_3">{"'summary2'!$A$1:$L$47"}</definedName>
    <definedName name="HTML_Control_2_1_3_4" localSheetId="14">{"'summary2'!$A$1:$L$47"}</definedName>
    <definedName name="HTML_Control_2_1_3_4">{"'summary2'!$A$1:$L$47"}</definedName>
    <definedName name="HTML_Control_2_1_3_5" localSheetId="14">{"'summary2'!$A$1:$L$47"}</definedName>
    <definedName name="HTML_Control_2_1_3_5">{"'summary2'!$A$1:$L$47"}</definedName>
    <definedName name="HTML_Control_2_1_4" localSheetId="14">{"'summary2'!$A$1:$L$47"}</definedName>
    <definedName name="HTML_Control_2_1_4">{"'summary2'!$A$1:$L$47"}</definedName>
    <definedName name="HTML_Control_2_1_4_1" localSheetId="14">{"'summary2'!$A$1:$L$47"}</definedName>
    <definedName name="HTML_Control_2_1_4_1">{"'summary2'!$A$1:$L$47"}</definedName>
    <definedName name="HTML_Control_2_1_4_2" localSheetId="14">{"'summary2'!$A$1:$L$47"}</definedName>
    <definedName name="HTML_Control_2_1_4_2">{"'summary2'!$A$1:$L$47"}</definedName>
    <definedName name="HTML_Control_2_1_4_3" localSheetId="14">{"'summary2'!$A$1:$L$47"}</definedName>
    <definedName name="HTML_Control_2_1_4_3">{"'summary2'!$A$1:$L$47"}</definedName>
    <definedName name="HTML_Control_2_1_4_4" localSheetId="14">{"'summary2'!$A$1:$L$47"}</definedName>
    <definedName name="HTML_Control_2_1_4_4">{"'summary2'!$A$1:$L$47"}</definedName>
    <definedName name="HTML_Control_2_1_4_5" localSheetId="14">{"'summary2'!$A$1:$L$47"}</definedName>
    <definedName name="HTML_Control_2_1_4_5">{"'summary2'!$A$1:$L$47"}</definedName>
    <definedName name="HTML_Control_2_1_5" localSheetId="14">{"'summary2'!$A$1:$L$47"}</definedName>
    <definedName name="HTML_Control_2_1_5">{"'summary2'!$A$1:$L$47"}</definedName>
    <definedName name="HTML_Control_2_1_5_1" localSheetId="14">{"'summary2'!$A$1:$L$47"}</definedName>
    <definedName name="HTML_Control_2_1_5_1">{"'summary2'!$A$1:$L$47"}</definedName>
    <definedName name="HTML_Control_2_1_5_2" localSheetId="14">{"'summary2'!$A$1:$L$47"}</definedName>
    <definedName name="HTML_Control_2_1_5_2">{"'summary2'!$A$1:$L$47"}</definedName>
    <definedName name="HTML_Control_2_1_5_3" localSheetId="14">{"'summary2'!$A$1:$L$47"}</definedName>
    <definedName name="HTML_Control_2_1_5_3">{"'summary2'!$A$1:$L$47"}</definedName>
    <definedName name="HTML_Control_2_1_5_4" localSheetId="14">{"'summary2'!$A$1:$L$47"}</definedName>
    <definedName name="HTML_Control_2_1_5_4">{"'summary2'!$A$1:$L$47"}</definedName>
    <definedName name="HTML_Control_2_1_5_5" localSheetId="14">{"'summary2'!$A$1:$L$47"}</definedName>
    <definedName name="HTML_Control_2_1_5_5">{"'summary2'!$A$1:$L$47"}</definedName>
    <definedName name="HTML_Control_2_2" localSheetId="14">{"'summary2'!$A$1:$L$47"}</definedName>
    <definedName name="HTML_Control_2_2">{"'summary2'!$A$1:$L$47"}</definedName>
    <definedName name="HTML_Control_2_2_1" localSheetId="14">{"'summary2'!$A$1:$L$47"}</definedName>
    <definedName name="HTML_Control_2_2_1">{"'summary2'!$A$1:$L$47"}</definedName>
    <definedName name="HTML_Control_2_2_1_1" localSheetId="14">{"'summary2'!$A$1:$L$47"}</definedName>
    <definedName name="HTML_Control_2_2_1_1">{"'summary2'!$A$1:$L$47"}</definedName>
    <definedName name="HTML_Control_2_2_1_1_1" localSheetId="14">{"'summary2'!$A$1:$L$47"}</definedName>
    <definedName name="HTML_Control_2_2_1_1_1">{"'summary2'!$A$1:$L$47"}</definedName>
    <definedName name="HTML_Control_2_2_1_1_1_1" localSheetId="14">{"'summary2'!$A$1:$L$47"}</definedName>
    <definedName name="HTML_Control_2_2_1_1_1_1">{"'summary2'!$A$1:$L$47"}</definedName>
    <definedName name="HTML_Control_2_2_1_1_1_2" localSheetId="14">{"'summary2'!$A$1:$L$47"}</definedName>
    <definedName name="HTML_Control_2_2_1_1_1_2">{"'summary2'!$A$1:$L$47"}</definedName>
    <definedName name="HTML_Control_2_2_1_1_1_3" localSheetId="14">{"'summary2'!$A$1:$L$47"}</definedName>
    <definedName name="HTML_Control_2_2_1_1_1_3">{"'summary2'!$A$1:$L$47"}</definedName>
    <definedName name="HTML_Control_2_2_1_1_1_4" localSheetId="14">{"'summary2'!$A$1:$L$47"}</definedName>
    <definedName name="HTML_Control_2_2_1_1_1_4">{"'summary2'!$A$1:$L$47"}</definedName>
    <definedName name="HTML_Control_2_2_1_1_1_5" localSheetId="14">{"'summary2'!$A$1:$L$47"}</definedName>
    <definedName name="HTML_Control_2_2_1_1_1_5">{"'summary2'!$A$1:$L$47"}</definedName>
    <definedName name="HTML_Control_2_2_1_1_2" localSheetId="14">{"'summary2'!$A$1:$L$47"}</definedName>
    <definedName name="HTML_Control_2_2_1_1_2">{"'summary2'!$A$1:$L$47"}</definedName>
    <definedName name="HTML_Control_2_2_1_1_3" localSheetId="14">{"'summary2'!$A$1:$L$47"}</definedName>
    <definedName name="HTML_Control_2_2_1_1_3">{"'summary2'!$A$1:$L$47"}</definedName>
    <definedName name="HTML_Control_2_2_1_1_4" localSheetId="14">{"'summary2'!$A$1:$L$47"}</definedName>
    <definedName name="HTML_Control_2_2_1_1_4">{"'summary2'!$A$1:$L$47"}</definedName>
    <definedName name="HTML_Control_2_2_1_1_5" localSheetId="14">{"'summary2'!$A$1:$L$47"}</definedName>
    <definedName name="HTML_Control_2_2_1_1_5">{"'summary2'!$A$1:$L$47"}</definedName>
    <definedName name="HTML_Control_2_2_1_2" localSheetId="14">{"'summary2'!$A$1:$L$47"}</definedName>
    <definedName name="HTML_Control_2_2_1_2">{"'summary2'!$A$1:$L$47"}</definedName>
    <definedName name="HTML_Control_2_2_1_2_1" localSheetId="14">{"'summary2'!$A$1:$L$47"}</definedName>
    <definedName name="HTML_Control_2_2_1_2_1">{"'summary2'!$A$1:$L$47"}</definedName>
    <definedName name="HTML_Control_2_2_1_2_2" localSheetId="14">{"'summary2'!$A$1:$L$47"}</definedName>
    <definedName name="HTML_Control_2_2_1_2_2">{"'summary2'!$A$1:$L$47"}</definedName>
    <definedName name="HTML_Control_2_2_1_2_3" localSheetId="14">{"'summary2'!$A$1:$L$47"}</definedName>
    <definedName name="HTML_Control_2_2_1_2_3">{"'summary2'!$A$1:$L$47"}</definedName>
    <definedName name="HTML_Control_2_2_1_2_4" localSheetId="14">{"'summary2'!$A$1:$L$47"}</definedName>
    <definedName name="HTML_Control_2_2_1_2_4">{"'summary2'!$A$1:$L$47"}</definedName>
    <definedName name="HTML_Control_2_2_1_2_5" localSheetId="14">{"'summary2'!$A$1:$L$47"}</definedName>
    <definedName name="HTML_Control_2_2_1_2_5">{"'summary2'!$A$1:$L$47"}</definedName>
    <definedName name="HTML_Control_2_2_1_3" localSheetId="14">{"'summary2'!$A$1:$L$47"}</definedName>
    <definedName name="HTML_Control_2_2_1_3">{"'summary2'!$A$1:$L$47"}</definedName>
    <definedName name="HTML_Control_2_2_1_3_1" localSheetId="14">{"'summary2'!$A$1:$L$47"}</definedName>
    <definedName name="HTML_Control_2_2_1_3_1">{"'summary2'!$A$1:$L$47"}</definedName>
    <definedName name="HTML_Control_2_2_1_3_2" localSheetId="14">{"'summary2'!$A$1:$L$47"}</definedName>
    <definedName name="HTML_Control_2_2_1_3_2">{"'summary2'!$A$1:$L$47"}</definedName>
    <definedName name="HTML_Control_2_2_1_3_3" localSheetId="14">{"'summary2'!$A$1:$L$47"}</definedName>
    <definedName name="HTML_Control_2_2_1_3_3">{"'summary2'!$A$1:$L$47"}</definedName>
    <definedName name="HTML_Control_2_2_1_3_4" localSheetId="14">{"'summary2'!$A$1:$L$47"}</definedName>
    <definedName name="HTML_Control_2_2_1_3_4">{"'summary2'!$A$1:$L$47"}</definedName>
    <definedName name="HTML_Control_2_2_1_3_5" localSheetId="14">{"'summary2'!$A$1:$L$47"}</definedName>
    <definedName name="HTML_Control_2_2_1_3_5">{"'summary2'!$A$1:$L$47"}</definedName>
    <definedName name="HTML_Control_2_2_1_4" localSheetId="14">{"'summary2'!$A$1:$L$47"}</definedName>
    <definedName name="HTML_Control_2_2_1_4">{"'summary2'!$A$1:$L$47"}</definedName>
    <definedName name="HTML_Control_2_2_1_4_1" localSheetId="14">{"'summary2'!$A$1:$L$47"}</definedName>
    <definedName name="HTML_Control_2_2_1_4_1">{"'summary2'!$A$1:$L$47"}</definedName>
    <definedName name="HTML_Control_2_2_1_4_2" localSheetId="14">{"'summary2'!$A$1:$L$47"}</definedName>
    <definedName name="HTML_Control_2_2_1_4_2">{"'summary2'!$A$1:$L$47"}</definedName>
    <definedName name="HTML_Control_2_2_1_4_3" localSheetId="14">{"'summary2'!$A$1:$L$47"}</definedName>
    <definedName name="HTML_Control_2_2_1_4_3">{"'summary2'!$A$1:$L$47"}</definedName>
    <definedName name="HTML_Control_2_2_1_4_4" localSheetId="14">{"'summary2'!$A$1:$L$47"}</definedName>
    <definedName name="HTML_Control_2_2_1_4_4">{"'summary2'!$A$1:$L$47"}</definedName>
    <definedName name="HTML_Control_2_2_1_4_5" localSheetId="14">{"'summary2'!$A$1:$L$47"}</definedName>
    <definedName name="HTML_Control_2_2_1_4_5">{"'summary2'!$A$1:$L$47"}</definedName>
    <definedName name="HTML_Control_2_2_1_5" localSheetId="14">{"'summary2'!$A$1:$L$47"}</definedName>
    <definedName name="HTML_Control_2_2_1_5">{"'summary2'!$A$1:$L$47"}</definedName>
    <definedName name="HTML_Control_2_2_1_5_1" localSheetId="14">{"'summary2'!$A$1:$L$47"}</definedName>
    <definedName name="HTML_Control_2_2_1_5_1">{"'summary2'!$A$1:$L$47"}</definedName>
    <definedName name="HTML_Control_2_2_1_5_2" localSheetId="14">{"'summary2'!$A$1:$L$47"}</definedName>
    <definedName name="HTML_Control_2_2_1_5_2">{"'summary2'!$A$1:$L$47"}</definedName>
    <definedName name="HTML_Control_2_2_1_5_3" localSheetId="14">{"'summary2'!$A$1:$L$47"}</definedName>
    <definedName name="HTML_Control_2_2_1_5_3">{"'summary2'!$A$1:$L$47"}</definedName>
    <definedName name="HTML_Control_2_2_1_5_4" localSheetId="14">{"'summary2'!$A$1:$L$47"}</definedName>
    <definedName name="HTML_Control_2_2_1_5_4">{"'summary2'!$A$1:$L$47"}</definedName>
    <definedName name="HTML_Control_2_2_1_5_5" localSheetId="14">{"'summary2'!$A$1:$L$47"}</definedName>
    <definedName name="HTML_Control_2_2_1_5_5">{"'summary2'!$A$1:$L$47"}</definedName>
    <definedName name="HTML_Control_2_2_2" localSheetId="14">{"'summary2'!$A$1:$L$47"}</definedName>
    <definedName name="HTML_Control_2_2_2">{"'summary2'!$A$1:$L$47"}</definedName>
    <definedName name="HTML_Control_2_2_2_1" localSheetId="14">{"'summary2'!$A$1:$L$47"}</definedName>
    <definedName name="HTML_Control_2_2_2_1">{"'summary2'!$A$1:$L$47"}</definedName>
    <definedName name="HTML_Control_2_2_2_1_1" localSheetId="14">{"'summary2'!$A$1:$L$47"}</definedName>
    <definedName name="HTML_Control_2_2_2_1_1">{"'summary2'!$A$1:$L$47"}</definedName>
    <definedName name="HTML_Control_2_2_2_1_2" localSheetId="14">{"'summary2'!$A$1:$L$47"}</definedName>
    <definedName name="HTML_Control_2_2_2_1_2">{"'summary2'!$A$1:$L$47"}</definedName>
    <definedName name="HTML_Control_2_2_2_1_3" localSheetId="14">{"'summary2'!$A$1:$L$47"}</definedName>
    <definedName name="HTML_Control_2_2_2_1_3">{"'summary2'!$A$1:$L$47"}</definedName>
    <definedName name="HTML_Control_2_2_2_1_4" localSheetId="14">{"'summary2'!$A$1:$L$47"}</definedName>
    <definedName name="HTML_Control_2_2_2_1_4">{"'summary2'!$A$1:$L$47"}</definedName>
    <definedName name="HTML_Control_2_2_2_1_5" localSheetId="14">{"'summary2'!$A$1:$L$47"}</definedName>
    <definedName name="HTML_Control_2_2_2_1_5">{"'summary2'!$A$1:$L$47"}</definedName>
    <definedName name="HTML_Control_2_2_2_2" localSheetId="14">{"'summary2'!$A$1:$L$47"}</definedName>
    <definedName name="HTML_Control_2_2_2_2">{"'summary2'!$A$1:$L$47"}</definedName>
    <definedName name="HTML_Control_2_2_2_3" localSheetId="14">{"'summary2'!$A$1:$L$47"}</definedName>
    <definedName name="HTML_Control_2_2_2_3">{"'summary2'!$A$1:$L$47"}</definedName>
    <definedName name="HTML_Control_2_2_2_4" localSheetId="14">{"'summary2'!$A$1:$L$47"}</definedName>
    <definedName name="HTML_Control_2_2_2_4">{"'summary2'!$A$1:$L$47"}</definedName>
    <definedName name="HTML_Control_2_2_2_5" localSheetId="14">{"'summary2'!$A$1:$L$47"}</definedName>
    <definedName name="HTML_Control_2_2_2_5">{"'summary2'!$A$1:$L$47"}</definedName>
    <definedName name="HTML_Control_2_2_3" localSheetId="14">{"'summary2'!$A$1:$L$47"}</definedName>
    <definedName name="HTML_Control_2_2_3">{"'summary2'!$A$1:$L$47"}</definedName>
    <definedName name="HTML_Control_2_2_3_1" localSheetId="14">{"'summary2'!$A$1:$L$47"}</definedName>
    <definedName name="HTML_Control_2_2_3_1">{"'summary2'!$A$1:$L$47"}</definedName>
    <definedName name="HTML_Control_2_2_3_2" localSheetId="14">{"'summary2'!$A$1:$L$47"}</definedName>
    <definedName name="HTML_Control_2_2_3_2">{"'summary2'!$A$1:$L$47"}</definedName>
    <definedName name="HTML_Control_2_2_3_3" localSheetId="14">{"'summary2'!$A$1:$L$47"}</definedName>
    <definedName name="HTML_Control_2_2_3_3">{"'summary2'!$A$1:$L$47"}</definedName>
    <definedName name="HTML_Control_2_2_3_4" localSheetId="14">{"'summary2'!$A$1:$L$47"}</definedName>
    <definedName name="HTML_Control_2_2_3_4">{"'summary2'!$A$1:$L$47"}</definedName>
    <definedName name="HTML_Control_2_2_3_5" localSheetId="14">{"'summary2'!$A$1:$L$47"}</definedName>
    <definedName name="HTML_Control_2_2_3_5">{"'summary2'!$A$1:$L$47"}</definedName>
    <definedName name="HTML_Control_2_2_4" localSheetId="14">{"'summary2'!$A$1:$L$47"}</definedName>
    <definedName name="HTML_Control_2_2_4">{"'summary2'!$A$1:$L$47"}</definedName>
    <definedName name="HTML_Control_2_2_4_1" localSheetId="14">{"'summary2'!$A$1:$L$47"}</definedName>
    <definedName name="HTML_Control_2_2_4_1">{"'summary2'!$A$1:$L$47"}</definedName>
    <definedName name="HTML_Control_2_2_4_2" localSheetId="14">{"'summary2'!$A$1:$L$47"}</definedName>
    <definedName name="HTML_Control_2_2_4_2">{"'summary2'!$A$1:$L$47"}</definedName>
    <definedName name="HTML_Control_2_2_4_3" localSheetId="14">{"'summary2'!$A$1:$L$47"}</definedName>
    <definedName name="HTML_Control_2_2_4_3">{"'summary2'!$A$1:$L$47"}</definedName>
    <definedName name="HTML_Control_2_2_4_4" localSheetId="14">{"'summary2'!$A$1:$L$47"}</definedName>
    <definedName name="HTML_Control_2_2_4_4">{"'summary2'!$A$1:$L$47"}</definedName>
    <definedName name="HTML_Control_2_2_4_5" localSheetId="14">{"'summary2'!$A$1:$L$47"}</definedName>
    <definedName name="HTML_Control_2_2_4_5">{"'summary2'!$A$1:$L$47"}</definedName>
    <definedName name="HTML_Control_2_2_5" localSheetId="14">{"'summary2'!$A$1:$L$47"}</definedName>
    <definedName name="HTML_Control_2_2_5">{"'summary2'!$A$1:$L$47"}</definedName>
    <definedName name="HTML_Control_2_2_5_1" localSheetId="14">{"'summary2'!$A$1:$L$47"}</definedName>
    <definedName name="HTML_Control_2_2_5_1">{"'summary2'!$A$1:$L$47"}</definedName>
    <definedName name="HTML_Control_2_2_5_2" localSheetId="14">{"'summary2'!$A$1:$L$47"}</definedName>
    <definedName name="HTML_Control_2_2_5_2">{"'summary2'!$A$1:$L$47"}</definedName>
    <definedName name="HTML_Control_2_2_5_3" localSheetId="14">{"'summary2'!$A$1:$L$47"}</definedName>
    <definedName name="HTML_Control_2_2_5_3">{"'summary2'!$A$1:$L$47"}</definedName>
    <definedName name="HTML_Control_2_2_5_4" localSheetId="14">{"'summary2'!$A$1:$L$47"}</definedName>
    <definedName name="HTML_Control_2_2_5_4">{"'summary2'!$A$1:$L$47"}</definedName>
    <definedName name="HTML_Control_2_2_5_5" localSheetId="14">{"'summary2'!$A$1:$L$47"}</definedName>
    <definedName name="HTML_Control_2_2_5_5">{"'summary2'!$A$1:$L$47"}</definedName>
    <definedName name="HTML_Control_2_3" localSheetId="14">{"'summary2'!$A$1:$L$47"}</definedName>
    <definedName name="HTML_Control_2_3">{"'summary2'!$A$1:$L$47"}</definedName>
    <definedName name="HTML_Control_2_3_1" localSheetId="14">{"'summary2'!$A$1:$L$47"}</definedName>
    <definedName name="HTML_Control_2_3_1">{"'summary2'!$A$1:$L$47"}</definedName>
    <definedName name="HTML_Control_2_3_1_1" localSheetId="14">{"'summary2'!$A$1:$L$47"}</definedName>
    <definedName name="HTML_Control_2_3_1_1">{"'summary2'!$A$1:$L$47"}</definedName>
    <definedName name="HTML_Control_2_3_1_1_1" localSheetId="14">{"'summary2'!$A$1:$L$47"}</definedName>
    <definedName name="HTML_Control_2_3_1_1_1">{"'summary2'!$A$1:$L$47"}</definedName>
    <definedName name="HTML_Control_2_3_1_1_1_1" localSheetId="14">{"'summary2'!$A$1:$L$47"}</definedName>
    <definedName name="HTML_Control_2_3_1_1_1_1">{"'summary2'!$A$1:$L$47"}</definedName>
    <definedName name="HTML_Control_2_3_1_1_1_2" localSheetId="14">{"'summary2'!$A$1:$L$47"}</definedName>
    <definedName name="HTML_Control_2_3_1_1_1_2">{"'summary2'!$A$1:$L$47"}</definedName>
    <definedName name="HTML_Control_2_3_1_1_1_3" localSheetId="14">{"'summary2'!$A$1:$L$47"}</definedName>
    <definedName name="HTML_Control_2_3_1_1_1_3">{"'summary2'!$A$1:$L$47"}</definedName>
    <definedName name="HTML_Control_2_3_1_1_1_4" localSheetId="14">{"'summary2'!$A$1:$L$47"}</definedName>
    <definedName name="HTML_Control_2_3_1_1_1_4">{"'summary2'!$A$1:$L$47"}</definedName>
    <definedName name="HTML_Control_2_3_1_1_1_5" localSheetId="14">{"'summary2'!$A$1:$L$47"}</definedName>
    <definedName name="HTML_Control_2_3_1_1_1_5">{"'summary2'!$A$1:$L$47"}</definedName>
    <definedName name="HTML_Control_2_3_1_1_2" localSheetId="14">{"'summary2'!$A$1:$L$47"}</definedName>
    <definedName name="HTML_Control_2_3_1_1_2">{"'summary2'!$A$1:$L$47"}</definedName>
    <definedName name="HTML_Control_2_3_1_1_3" localSheetId="14">{"'summary2'!$A$1:$L$47"}</definedName>
    <definedName name="HTML_Control_2_3_1_1_3">{"'summary2'!$A$1:$L$47"}</definedName>
    <definedName name="HTML_Control_2_3_1_1_4" localSheetId="14">{"'summary2'!$A$1:$L$47"}</definedName>
    <definedName name="HTML_Control_2_3_1_1_4">{"'summary2'!$A$1:$L$47"}</definedName>
    <definedName name="HTML_Control_2_3_1_1_5" localSheetId="14">{"'summary2'!$A$1:$L$47"}</definedName>
    <definedName name="HTML_Control_2_3_1_1_5">{"'summary2'!$A$1:$L$47"}</definedName>
    <definedName name="HTML_Control_2_3_1_2" localSheetId="14">{"'summary2'!$A$1:$L$47"}</definedName>
    <definedName name="HTML_Control_2_3_1_2">{"'summary2'!$A$1:$L$47"}</definedName>
    <definedName name="HTML_Control_2_3_1_2_1" localSheetId="14">{"'summary2'!$A$1:$L$47"}</definedName>
    <definedName name="HTML_Control_2_3_1_2_1">{"'summary2'!$A$1:$L$47"}</definedName>
    <definedName name="HTML_Control_2_3_1_2_2" localSheetId="14">{"'summary2'!$A$1:$L$47"}</definedName>
    <definedName name="HTML_Control_2_3_1_2_2">{"'summary2'!$A$1:$L$47"}</definedName>
    <definedName name="HTML_Control_2_3_1_2_3" localSheetId="14">{"'summary2'!$A$1:$L$47"}</definedName>
    <definedName name="HTML_Control_2_3_1_2_3">{"'summary2'!$A$1:$L$47"}</definedName>
    <definedName name="HTML_Control_2_3_1_2_4" localSheetId="14">{"'summary2'!$A$1:$L$47"}</definedName>
    <definedName name="HTML_Control_2_3_1_2_4">{"'summary2'!$A$1:$L$47"}</definedName>
    <definedName name="HTML_Control_2_3_1_2_5" localSheetId="14">{"'summary2'!$A$1:$L$47"}</definedName>
    <definedName name="HTML_Control_2_3_1_2_5">{"'summary2'!$A$1:$L$47"}</definedName>
    <definedName name="HTML_Control_2_3_1_3" localSheetId="14">{"'summary2'!$A$1:$L$47"}</definedName>
    <definedName name="HTML_Control_2_3_1_3">{"'summary2'!$A$1:$L$47"}</definedName>
    <definedName name="HTML_Control_2_3_1_3_1" localSheetId="14">{"'summary2'!$A$1:$L$47"}</definedName>
    <definedName name="HTML_Control_2_3_1_3_1">{"'summary2'!$A$1:$L$47"}</definedName>
    <definedName name="HTML_Control_2_3_1_3_2" localSheetId="14">{"'summary2'!$A$1:$L$47"}</definedName>
    <definedName name="HTML_Control_2_3_1_3_2">{"'summary2'!$A$1:$L$47"}</definedName>
    <definedName name="HTML_Control_2_3_1_3_3" localSheetId="14">{"'summary2'!$A$1:$L$47"}</definedName>
    <definedName name="HTML_Control_2_3_1_3_3">{"'summary2'!$A$1:$L$47"}</definedName>
    <definedName name="HTML_Control_2_3_1_3_4" localSheetId="14">{"'summary2'!$A$1:$L$47"}</definedName>
    <definedName name="HTML_Control_2_3_1_3_4">{"'summary2'!$A$1:$L$47"}</definedName>
    <definedName name="HTML_Control_2_3_1_3_5" localSheetId="14">{"'summary2'!$A$1:$L$47"}</definedName>
    <definedName name="HTML_Control_2_3_1_3_5">{"'summary2'!$A$1:$L$47"}</definedName>
    <definedName name="HTML_Control_2_3_1_4" localSheetId="14">{"'summary2'!$A$1:$L$47"}</definedName>
    <definedName name="HTML_Control_2_3_1_4">{"'summary2'!$A$1:$L$47"}</definedName>
    <definedName name="HTML_Control_2_3_1_4_1" localSheetId="14">{"'summary2'!$A$1:$L$47"}</definedName>
    <definedName name="HTML_Control_2_3_1_4_1">{"'summary2'!$A$1:$L$47"}</definedName>
    <definedName name="HTML_Control_2_3_1_4_2" localSheetId="14">{"'summary2'!$A$1:$L$47"}</definedName>
    <definedName name="HTML_Control_2_3_1_4_2">{"'summary2'!$A$1:$L$47"}</definedName>
    <definedName name="HTML_Control_2_3_1_4_3" localSheetId="14">{"'summary2'!$A$1:$L$47"}</definedName>
    <definedName name="HTML_Control_2_3_1_4_3">{"'summary2'!$A$1:$L$47"}</definedName>
    <definedName name="HTML_Control_2_3_1_4_4" localSheetId="14">{"'summary2'!$A$1:$L$47"}</definedName>
    <definedName name="HTML_Control_2_3_1_4_4">{"'summary2'!$A$1:$L$47"}</definedName>
    <definedName name="HTML_Control_2_3_1_4_5" localSheetId="14">{"'summary2'!$A$1:$L$47"}</definedName>
    <definedName name="HTML_Control_2_3_1_4_5">{"'summary2'!$A$1:$L$47"}</definedName>
    <definedName name="HTML_Control_2_3_1_5" localSheetId="14">{"'summary2'!$A$1:$L$47"}</definedName>
    <definedName name="HTML_Control_2_3_1_5">{"'summary2'!$A$1:$L$47"}</definedName>
    <definedName name="HTML_Control_2_3_1_5_1" localSheetId="14">{"'summary2'!$A$1:$L$47"}</definedName>
    <definedName name="HTML_Control_2_3_1_5_1">{"'summary2'!$A$1:$L$47"}</definedName>
    <definedName name="HTML_Control_2_3_1_5_2" localSheetId="14">{"'summary2'!$A$1:$L$47"}</definedName>
    <definedName name="HTML_Control_2_3_1_5_2">{"'summary2'!$A$1:$L$47"}</definedName>
    <definedName name="HTML_Control_2_3_1_5_3" localSheetId="14">{"'summary2'!$A$1:$L$47"}</definedName>
    <definedName name="HTML_Control_2_3_1_5_3">{"'summary2'!$A$1:$L$47"}</definedName>
    <definedName name="HTML_Control_2_3_1_5_4" localSheetId="14">{"'summary2'!$A$1:$L$47"}</definedName>
    <definedName name="HTML_Control_2_3_1_5_4">{"'summary2'!$A$1:$L$47"}</definedName>
    <definedName name="HTML_Control_2_3_1_5_5" localSheetId="14">{"'summary2'!$A$1:$L$47"}</definedName>
    <definedName name="HTML_Control_2_3_1_5_5">{"'summary2'!$A$1:$L$47"}</definedName>
    <definedName name="HTML_Control_2_3_2" localSheetId="14">{"'summary2'!$A$1:$L$47"}</definedName>
    <definedName name="HTML_Control_2_3_2">{"'summary2'!$A$1:$L$47"}</definedName>
    <definedName name="HTML_Control_2_3_2_1" localSheetId="14">{"'summary2'!$A$1:$L$47"}</definedName>
    <definedName name="HTML_Control_2_3_2_1">{"'summary2'!$A$1:$L$47"}</definedName>
    <definedName name="HTML_Control_2_3_2_1_1" localSheetId="14">{"'summary2'!$A$1:$L$47"}</definedName>
    <definedName name="HTML_Control_2_3_2_1_1">{"'summary2'!$A$1:$L$47"}</definedName>
    <definedName name="HTML_Control_2_3_2_1_2" localSheetId="14">{"'summary2'!$A$1:$L$47"}</definedName>
    <definedName name="HTML_Control_2_3_2_1_2">{"'summary2'!$A$1:$L$47"}</definedName>
    <definedName name="HTML_Control_2_3_2_1_3" localSheetId="14">{"'summary2'!$A$1:$L$47"}</definedName>
    <definedName name="HTML_Control_2_3_2_1_3">{"'summary2'!$A$1:$L$47"}</definedName>
    <definedName name="HTML_Control_2_3_2_1_4" localSheetId="14">{"'summary2'!$A$1:$L$47"}</definedName>
    <definedName name="HTML_Control_2_3_2_1_4">{"'summary2'!$A$1:$L$47"}</definedName>
    <definedName name="HTML_Control_2_3_2_1_5" localSheetId="14">{"'summary2'!$A$1:$L$47"}</definedName>
    <definedName name="HTML_Control_2_3_2_1_5">{"'summary2'!$A$1:$L$47"}</definedName>
    <definedName name="HTML_Control_2_3_2_2" localSheetId="14">{"'summary2'!$A$1:$L$47"}</definedName>
    <definedName name="HTML_Control_2_3_2_2">{"'summary2'!$A$1:$L$47"}</definedName>
    <definedName name="HTML_Control_2_3_2_3" localSheetId="14">{"'summary2'!$A$1:$L$47"}</definedName>
    <definedName name="HTML_Control_2_3_2_3">{"'summary2'!$A$1:$L$47"}</definedName>
    <definedName name="HTML_Control_2_3_2_4" localSheetId="14">{"'summary2'!$A$1:$L$47"}</definedName>
    <definedName name="HTML_Control_2_3_2_4">{"'summary2'!$A$1:$L$47"}</definedName>
    <definedName name="HTML_Control_2_3_2_5" localSheetId="14">{"'summary2'!$A$1:$L$47"}</definedName>
    <definedName name="HTML_Control_2_3_2_5">{"'summary2'!$A$1:$L$47"}</definedName>
    <definedName name="HTML_Control_2_3_3" localSheetId="14">{"'summary2'!$A$1:$L$47"}</definedName>
    <definedName name="HTML_Control_2_3_3">{"'summary2'!$A$1:$L$47"}</definedName>
    <definedName name="HTML_Control_2_3_3_1" localSheetId="14">{"'summary2'!$A$1:$L$47"}</definedName>
    <definedName name="HTML_Control_2_3_3_1">{"'summary2'!$A$1:$L$47"}</definedName>
    <definedName name="HTML_Control_2_3_3_2" localSheetId="14">{"'summary2'!$A$1:$L$47"}</definedName>
    <definedName name="HTML_Control_2_3_3_2">{"'summary2'!$A$1:$L$47"}</definedName>
    <definedName name="HTML_Control_2_3_3_3" localSheetId="14">{"'summary2'!$A$1:$L$47"}</definedName>
    <definedName name="HTML_Control_2_3_3_3">{"'summary2'!$A$1:$L$47"}</definedName>
    <definedName name="HTML_Control_2_3_3_4" localSheetId="14">{"'summary2'!$A$1:$L$47"}</definedName>
    <definedName name="HTML_Control_2_3_3_4">{"'summary2'!$A$1:$L$47"}</definedName>
    <definedName name="HTML_Control_2_3_3_5" localSheetId="14">{"'summary2'!$A$1:$L$47"}</definedName>
    <definedName name="HTML_Control_2_3_3_5">{"'summary2'!$A$1:$L$47"}</definedName>
    <definedName name="HTML_Control_2_3_4" localSheetId="14">{"'summary2'!$A$1:$L$47"}</definedName>
    <definedName name="HTML_Control_2_3_4">{"'summary2'!$A$1:$L$47"}</definedName>
    <definedName name="HTML_Control_2_3_4_1" localSheetId="14">{"'summary2'!$A$1:$L$47"}</definedName>
    <definedName name="HTML_Control_2_3_4_1">{"'summary2'!$A$1:$L$47"}</definedName>
    <definedName name="HTML_Control_2_3_4_2" localSheetId="14">{"'summary2'!$A$1:$L$47"}</definedName>
    <definedName name="HTML_Control_2_3_4_2">{"'summary2'!$A$1:$L$47"}</definedName>
    <definedName name="HTML_Control_2_3_4_3" localSheetId="14">{"'summary2'!$A$1:$L$47"}</definedName>
    <definedName name="HTML_Control_2_3_4_3">{"'summary2'!$A$1:$L$47"}</definedName>
    <definedName name="HTML_Control_2_3_4_4" localSheetId="14">{"'summary2'!$A$1:$L$47"}</definedName>
    <definedName name="HTML_Control_2_3_4_4">{"'summary2'!$A$1:$L$47"}</definedName>
    <definedName name="HTML_Control_2_3_4_5" localSheetId="14">{"'summary2'!$A$1:$L$47"}</definedName>
    <definedName name="HTML_Control_2_3_4_5">{"'summary2'!$A$1:$L$47"}</definedName>
    <definedName name="HTML_Control_2_3_5" localSheetId="14">{"'summary2'!$A$1:$L$47"}</definedName>
    <definedName name="HTML_Control_2_3_5">{"'summary2'!$A$1:$L$47"}</definedName>
    <definedName name="HTML_Control_2_3_5_1" localSheetId="14">{"'summary2'!$A$1:$L$47"}</definedName>
    <definedName name="HTML_Control_2_3_5_1">{"'summary2'!$A$1:$L$47"}</definedName>
    <definedName name="HTML_Control_2_3_5_2" localSheetId="14">{"'summary2'!$A$1:$L$47"}</definedName>
    <definedName name="HTML_Control_2_3_5_2">{"'summary2'!$A$1:$L$47"}</definedName>
    <definedName name="HTML_Control_2_3_5_3" localSheetId="14">{"'summary2'!$A$1:$L$47"}</definedName>
    <definedName name="HTML_Control_2_3_5_3">{"'summary2'!$A$1:$L$47"}</definedName>
    <definedName name="HTML_Control_2_3_5_4" localSheetId="14">{"'summary2'!$A$1:$L$47"}</definedName>
    <definedName name="HTML_Control_2_3_5_4">{"'summary2'!$A$1:$L$47"}</definedName>
    <definedName name="HTML_Control_2_3_5_5" localSheetId="14">{"'summary2'!$A$1:$L$47"}</definedName>
    <definedName name="HTML_Control_2_3_5_5">{"'summary2'!$A$1:$L$47"}</definedName>
    <definedName name="HTML_Control_2_4" localSheetId="14">{"'summary2'!$A$1:$L$47"}</definedName>
    <definedName name="HTML_Control_2_4">{"'summary2'!$A$1:$L$47"}</definedName>
    <definedName name="HTML_Control_2_4_1" localSheetId="14">{"'summary2'!$A$1:$L$47"}</definedName>
    <definedName name="HTML_Control_2_4_1">{"'summary2'!$A$1:$L$47"}</definedName>
    <definedName name="HTML_Control_2_4_1_1" localSheetId="14">{"'summary2'!$A$1:$L$47"}</definedName>
    <definedName name="HTML_Control_2_4_1_1">{"'summary2'!$A$1:$L$47"}</definedName>
    <definedName name="HTML_Control_2_4_1_1_1" localSheetId="14">{"'summary2'!$A$1:$L$47"}</definedName>
    <definedName name="HTML_Control_2_4_1_1_1">{"'summary2'!$A$1:$L$47"}</definedName>
    <definedName name="HTML_Control_2_4_1_1_1_1" localSheetId="14">{"'summary2'!$A$1:$L$47"}</definedName>
    <definedName name="HTML_Control_2_4_1_1_1_1">{"'summary2'!$A$1:$L$47"}</definedName>
    <definedName name="HTML_Control_2_4_1_1_1_2" localSheetId="14">{"'summary2'!$A$1:$L$47"}</definedName>
    <definedName name="HTML_Control_2_4_1_1_1_2">{"'summary2'!$A$1:$L$47"}</definedName>
    <definedName name="HTML_Control_2_4_1_1_1_3" localSheetId="14">{"'summary2'!$A$1:$L$47"}</definedName>
    <definedName name="HTML_Control_2_4_1_1_1_3">{"'summary2'!$A$1:$L$47"}</definedName>
    <definedName name="HTML_Control_2_4_1_1_1_4" localSheetId="14">{"'summary2'!$A$1:$L$47"}</definedName>
    <definedName name="HTML_Control_2_4_1_1_1_4">{"'summary2'!$A$1:$L$47"}</definedName>
    <definedName name="HTML_Control_2_4_1_1_1_5" localSheetId="14">{"'summary2'!$A$1:$L$47"}</definedName>
    <definedName name="HTML_Control_2_4_1_1_1_5">{"'summary2'!$A$1:$L$47"}</definedName>
    <definedName name="HTML_Control_2_4_1_1_2" localSheetId="14">{"'summary2'!$A$1:$L$47"}</definedName>
    <definedName name="HTML_Control_2_4_1_1_2">{"'summary2'!$A$1:$L$47"}</definedName>
    <definedName name="HTML_Control_2_4_1_1_3" localSheetId="14">{"'summary2'!$A$1:$L$47"}</definedName>
    <definedName name="HTML_Control_2_4_1_1_3">{"'summary2'!$A$1:$L$47"}</definedName>
    <definedName name="HTML_Control_2_4_1_1_4" localSheetId="14">{"'summary2'!$A$1:$L$47"}</definedName>
    <definedName name="HTML_Control_2_4_1_1_4">{"'summary2'!$A$1:$L$47"}</definedName>
    <definedName name="HTML_Control_2_4_1_1_5" localSheetId="14">{"'summary2'!$A$1:$L$47"}</definedName>
    <definedName name="HTML_Control_2_4_1_1_5">{"'summary2'!$A$1:$L$47"}</definedName>
    <definedName name="HTML_Control_2_4_1_2" localSheetId="14">{"'summary2'!$A$1:$L$47"}</definedName>
    <definedName name="HTML_Control_2_4_1_2">{"'summary2'!$A$1:$L$47"}</definedName>
    <definedName name="HTML_Control_2_4_1_2_1" localSheetId="14">{"'summary2'!$A$1:$L$47"}</definedName>
    <definedName name="HTML_Control_2_4_1_2_1">{"'summary2'!$A$1:$L$47"}</definedName>
    <definedName name="HTML_Control_2_4_1_2_2" localSheetId="14">{"'summary2'!$A$1:$L$47"}</definedName>
    <definedName name="HTML_Control_2_4_1_2_2">{"'summary2'!$A$1:$L$47"}</definedName>
    <definedName name="HTML_Control_2_4_1_2_3" localSheetId="14">{"'summary2'!$A$1:$L$47"}</definedName>
    <definedName name="HTML_Control_2_4_1_2_3">{"'summary2'!$A$1:$L$47"}</definedName>
    <definedName name="HTML_Control_2_4_1_2_4" localSheetId="14">{"'summary2'!$A$1:$L$47"}</definedName>
    <definedName name="HTML_Control_2_4_1_2_4">{"'summary2'!$A$1:$L$47"}</definedName>
    <definedName name="HTML_Control_2_4_1_2_5" localSheetId="14">{"'summary2'!$A$1:$L$47"}</definedName>
    <definedName name="HTML_Control_2_4_1_2_5">{"'summary2'!$A$1:$L$47"}</definedName>
    <definedName name="HTML_Control_2_4_1_3" localSheetId="14">{"'summary2'!$A$1:$L$47"}</definedName>
    <definedName name="HTML_Control_2_4_1_3">{"'summary2'!$A$1:$L$47"}</definedName>
    <definedName name="HTML_Control_2_4_1_3_1" localSheetId="14">{"'summary2'!$A$1:$L$47"}</definedName>
    <definedName name="HTML_Control_2_4_1_3_1">{"'summary2'!$A$1:$L$47"}</definedName>
    <definedName name="HTML_Control_2_4_1_3_2" localSheetId="14">{"'summary2'!$A$1:$L$47"}</definedName>
    <definedName name="HTML_Control_2_4_1_3_2">{"'summary2'!$A$1:$L$47"}</definedName>
    <definedName name="HTML_Control_2_4_1_3_3" localSheetId="14">{"'summary2'!$A$1:$L$47"}</definedName>
    <definedName name="HTML_Control_2_4_1_3_3">{"'summary2'!$A$1:$L$47"}</definedName>
    <definedName name="HTML_Control_2_4_1_3_4" localSheetId="14">{"'summary2'!$A$1:$L$47"}</definedName>
    <definedName name="HTML_Control_2_4_1_3_4">{"'summary2'!$A$1:$L$47"}</definedName>
    <definedName name="HTML_Control_2_4_1_3_5" localSheetId="14">{"'summary2'!$A$1:$L$47"}</definedName>
    <definedName name="HTML_Control_2_4_1_3_5">{"'summary2'!$A$1:$L$47"}</definedName>
    <definedName name="HTML_Control_2_4_1_4" localSheetId="14">{"'summary2'!$A$1:$L$47"}</definedName>
    <definedName name="HTML_Control_2_4_1_4">{"'summary2'!$A$1:$L$47"}</definedName>
    <definedName name="HTML_Control_2_4_1_4_1" localSheetId="14">{"'summary2'!$A$1:$L$47"}</definedName>
    <definedName name="HTML_Control_2_4_1_4_1">{"'summary2'!$A$1:$L$47"}</definedName>
    <definedName name="HTML_Control_2_4_1_4_2" localSheetId="14">{"'summary2'!$A$1:$L$47"}</definedName>
    <definedName name="HTML_Control_2_4_1_4_2">{"'summary2'!$A$1:$L$47"}</definedName>
    <definedName name="HTML_Control_2_4_1_4_3" localSheetId="14">{"'summary2'!$A$1:$L$47"}</definedName>
    <definedName name="HTML_Control_2_4_1_4_3">{"'summary2'!$A$1:$L$47"}</definedName>
    <definedName name="HTML_Control_2_4_1_4_4" localSheetId="14">{"'summary2'!$A$1:$L$47"}</definedName>
    <definedName name="HTML_Control_2_4_1_4_4">{"'summary2'!$A$1:$L$47"}</definedName>
    <definedName name="HTML_Control_2_4_1_4_5" localSheetId="14">{"'summary2'!$A$1:$L$47"}</definedName>
    <definedName name="HTML_Control_2_4_1_4_5">{"'summary2'!$A$1:$L$47"}</definedName>
    <definedName name="HTML_Control_2_4_1_5" localSheetId="14">{"'summary2'!$A$1:$L$47"}</definedName>
    <definedName name="HTML_Control_2_4_1_5">{"'summary2'!$A$1:$L$47"}</definedName>
    <definedName name="HTML_Control_2_4_1_5_1" localSheetId="14">{"'summary2'!$A$1:$L$47"}</definedName>
    <definedName name="HTML_Control_2_4_1_5_1">{"'summary2'!$A$1:$L$47"}</definedName>
    <definedName name="HTML_Control_2_4_1_5_2" localSheetId="14">{"'summary2'!$A$1:$L$47"}</definedName>
    <definedName name="HTML_Control_2_4_1_5_2">{"'summary2'!$A$1:$L$47"}</definedName>
    <definedName name="HTML_Control_2_4_1_5_3" localSheetId="14">{"'summary2'!$A$1:$L$47"}</definedName>
    <definedName name="HTML_Control_2_4_1_5_3">{"'summary2'!$A$1:$L$47"}</definedName>
    <definedName name="HTML_Control_2_4_1_5_4" localSheetId="14">{"'summary2'!$A$1:$L$47"}</definedName>
    <definedName name="HTML_Control_2_4_1_5_4">{"'summary2'!$A$1:$L$47"}</definedName>
    <definedName name="HTML_Control_2_4_1_5_5" localSheetId="14">{"'summary2'!$A$1:$L$47"}</definedName>
    <definedName name="HTML_Control_2_4_1_5_5">{"'summary2'!$A$1:$L$47"}</definedName>
    <definedName name="HTML_Control_2_4_2" localSheetId="14">{"'summary2'!$A$1:$L$47"}</definedName>
    <definedName name="HTML_Control_2_4_2">{"'summary2'!$A$1:$L$47"}</definedName>
    <definedName name="HTML_Control_2_4_2_1" localSheetId="14">{"'summary2'!$A$1:$L$47"}</definedName>
    <definedName name="HTML_Control_2_4_2_1">{"'summary2'!$A$1:$L$47"}</definedName>
    <definedName name="HTML_Control_2_4_2_1_1" localSheetId="14">{"'summary2'!$A$1:$L$47"}</definedName>
    <definedName name="HTML_Control_2_4_2_1_1">{"'summary2'!$A$1:$L$47"}</definedName>
    <definedName name="HTML_Control_2_4_2_1_2" localSheetId="14">{"'summary2'!$A$1:$L$47"}</definedName>
    <definedName name="HTML_Control_2_4_2_1_2">{"'summary2'!$A$1:$L$47"}</definedName>
    <definedName name="HTML_Control_2_4_2_1_3" localSheetId="14">{"'summary2'!$A$1:$L$47"}</definedName>
    <definedName name="HTML_Control_2_4_2_1_3">{"'summary2'!$A$1:$L$47"}</definedName>
    <definedName name="HTML_Control_2_4_2_1_4" localSheetId="14">{"'summary2'!$A$1:$L$47"}</definedName>
    <definedName name="HTML_Control_2_4_2_1_4">{"'summary2'!$A$1:$L$47"}</definedName>
    <definedName name="HTML_Control_2_4_2_1_5" localSheetId="14">{"'summary2'!$A$1:$L$47"}</definedName>
    <definedName name="HTML_Control_2_4_2_1_5">{"'summary2'!$A$1:$L$47"}</definedName>
    <definedName name="HTML_Control_2_4_2_2" localSheetId="14">{"'summary2'!$A$1:$L$47"}</definedName>
    <definedName name="HTML_Control_2_4_2_2">{"'summary2'!$A$1:$L$47"}</definedName>
    <definedName name="HTML_Control_2_4_2_3" localSheetId="14">{"'summary2'!$A$1:$L$47"}</definedName>
    <definedName name="HTML_Control_2_4_2_3">{"'summary2'!$A$1:$L$47"}</definedName>
    <definedName name="HTML_Control_2_4_2_4" localSheetId="14">{"'summary2'!$A$1:$L$47"}</definedName>
    <definedName name="HTML_Control_2_4_2_4">{"'summary2'!$A$1:$L$47"}</definedName>
    <definedName name="HTML_Control_2_4_2_5" localSheetId="14">{"'summary2'!$A$1:$L$47"}</definedName>
    <definedName name="HTML_Control_2_4_2_5">{"'summary2'!$A$1:$L$47"}</definedName>
    <definedName name="HTML_Control_2_4_3" localSheetId="14">{"'summary2'!$A$1:$L$47"}</definedName>
    <definedName name="HTML_Control_2_4_3">{"'summary2'!$A$1:$L$47"}</definedName>
    <definedName name="HTML_Control_2_4_3_1" localSheetId="14">{"'summary2'!$A$1:$L$47"}</definedName>
    <definedName name="HTML_Control_2_4_3_1">{"'summary2'!$A$1:$L$47"}</definedName>
    <definedName name="HTML_Control_2_4_3_2" localSheetId="14">{"'summary2'!$A$1:$L$47"}</definedName>
    <definedName name="HTML_Control_2_4_3_2">{"'summary2'!$A$1:$L$47"}</definedName>
    <definedName name="HTML_Control_2_4_3_3" localSheetId="14">{"'summary2'!$A$1:$L$47"}</definedName>
    <definedName name="HTML_Control_2_4_3_3">{"'summary2'!$A$1:$L$47"}</definedName>
    <definedName name="HTML_Control_2_4_3_4" localSheetId="14">{"'summary2'!$A$1:$L$47"}</definedName>
    <definedName name="HTML_Control_2_4_3_4">{"'summary2'!$A$1:$L$47"}</definedName>
    <definedName name="HTML_Control_2_4_3_5" localSheetId="14">{"'summary2'!$A$1:$L$47"}</definedName>
    <definedName name="HTML_Control_2_4_3_5">{"'summary2'!$A$1:$L$47"}</definedName>
    <definedName name="HTML_Control_2_4_4" localSheetId="14">{"'summary2'!$A$1:$L$47"}</definedName>
    <definedName name="HTML_Control_2_4_4">{"'summary2'!$A$1:$L$47"}</definedName>
    <definedName name="HTML_Control_2_4_4_1" localSheetId="14">{"'summary2'!$A$1:$L$47"}</definedName>
    <definedName name="HTML_Control_2_4_4_1">{"'summary2'!$A$1:$L$47"}</definedName>
    <definedName name="HTML_Control_2_4_4_2" localSheetId="14">{"'summary2'!$A$1:$L$47"}</definedName>
    <definedName name="HTML_Control_2_4_4_2">{"'summary2'!$A$1:$L$47"}</definedName>
    <definedName name="HTML_Control_2_4_4_3" localSheetId="14">{"'summary2'!$A$1:$L$47"}</definedName>
    <definedName name="HTML_Control_2_4_4_3">{"'summary2'!$A$1:$L$47"}</definedName>
    <definedName name="HTML_Control_2_4_4_4" localSheetId="14">{"'summary2'!$A$1:$L$47"}</definedName>
    <definedName name="HTML_Control_2_4_4_4">{"'summary2'!$A$1:$L$47"}</definedName>
    <definedName name="HTML_Control_2_4_4_5" localSheetId="14">{"'summary2'!$A$1:$L$47"}</definedName>
    <definedName name="HTML_Control_2_4_4_5">{"'summary2'!$A$1:$L$47"}</definedName>
    <definedName name="HTML_Control_2_4_5" localSheetId="14">{"'summary2'!$A$1:$L$47"}</definedName>
    <definedName name="HTML_Control_2_4_5">{"'summary2'!$A$1:$L$47"}</definedName>
    <definedName name="HTML_Control_2_4_5_1" localSheetId="14">{"'summary2'!$A$1:$L$47"}</definedName>
    <definedName name="HTML_Control_2_4_5_1">{"'summary2'!$A$1:$L$47"}</definedName>
    <definedName name="HTML_Control_2_4_5_2" localSheetId="14">{"'summary2'!$A$1:$L$47"}</definedName>
    <definedName name="HTML_Control_2_4_5_2">{"'summary2'!$A$1:$L$47"}</definedName>
    <definedName name="HTML_Control_2_4_5_3" localSheetId="14">{"'summary2'!$A$1:$L$47"}</definedName>
    <definedName name="HTML_Control_2_4_5_3">{"'summary2'!$A$1:$L$47"}</definedName>
    <definedName name="HTML_Control_2_4_5_4" localSheetId="14">{"'summary2'!$A$1:$L$47"}</definedName>
    <definedName name="HTML_Control_2_4_5_4">{"'summary2'!$A$1:$L$47"}</definedName>
    <definedName name="HTML_Control_2_4_5_5" localSheetId="14">{"'summary2'!$A$1:$L$47"}</definedName>
    <definedName name="HTML_Control_2_4_5_5">{"'summary2'!$A$1:$L$47"}</definedName>
    <definedName name="HTML_Control_2_5" localSheetId="14">{"'summary2'!$A$1:$L$47"}</definedName>
    <definedName name="HTML_Control_2_5">{"'summary2'!$A$1:$L$47"}</definedName>
    <definedName name="HTML_Control_2_5_1" localSheetId="14">{"'summary2'!$A$1:$L$47"}</definedName>
    <definedName name="HTML_Control_2_5_1">{"'summary2'!$A$1:$L$47"}</definedName>
    <definedName name="HTML_Control_2_5_1_1" localSheetId="14">{"'summary2'!$A$1:$L$47"}</definedName>
    <definedName name="HTML_Control_2_5_1_1">{"'summary2'!$A$1:$L$47"}</definedName>
    <definedName name="HTML_Control_2_5_1_1_1" localSheetId="14">{"'summary2'!$A$1:$L$47"}</definedName>
    <definedName name="HTML_Control_2_5_1_1_1">{"'summary2'!$A$1:$L$47"}</definedName>
    <definedName name="HTML_Control_2_5_1_1_1_1" localSheetId="14">{"'summary2'!$A$1:$L$47"}</definedName>
    <definedName name="HTML_Control_2_5_1_1_1_1">{"'summary2'!$A$1:$L$47"}</definedName>
    <definedName name="HTML_Control_2_5_1_1_1_2" localSheetId="14">{"'summary2'!$A$1:$L$47"}</definedName>
    <definedName name="HTML_Control_2_5_1_1_1_2">{"'summary2'!$A$1:$L$47"}</definedName>
    <definedName name="HTML_Control_2_5_1_1_1_3" localSheetId="14">{"'summary2'!$A$1:$L$47"}</definedName>
    <definedName name="HTML_Control_2_5_1_1_1_3">{"'summary2'!$A$1:$L$47"}</definedName>
    <definedName name="HTML_Control_2_5_1_1_1_4" localSheetId="14">{"'summary2'!$A$1:$L$47"}</definedName>
    <definedName name="HTML_Control_2_5_1_1_1_4">{"'summary2'!$A$1:$L$47"}</definedName>
    <definedName name="HTML_Control_2_5_1_1_1_5" localSheetId="14">{"'summary2'!$A$1:$L$47"}</definedName>
    <definedName name="HTML_Control_2_5_1_1_1_5">{"'summary2'!$A$1:$L$47"}</definedName>
    <definedName name="HTML_Control_2_5_1_1_2" localSheetId="14">{"'summary2'!$A$1:$L$47"}</definedName>
    <definedName name="HTML_Control_2_5_1_1_2">{"'summary2'!$A$1:$L$47"}</definedName>
    <definedName name="HTML_Control_2_5_1_1_3" localSheetId="14">{"'summary2'!$A$1:$L$47"}</definedName>
    <definedName name="HTML_Control_2_5_1_1_3">{"'summary2'!$A$1:$L$47"}</definedName>
    <definedName name="HTML_Control_2_5_1_1_4" localSheetId="14">{"'summary2'!$A$1:$L$47"}</definedName>
    <definedName name="HTML_Control_2_5_1_1_4">{"'summary2'!$A$1:$L$47"}</definedName>
    <definedName name="HTML_Control_2_5_1_1_5" localSheetId="14">{"'summary2'!$A$1:$L$47"}</definedName>
    <definedName name="HTML_Control_2_5_1_1_5">{"'summary2'!$A$1:$L$47"}</definedName>
    <definedName name="HTML_Control_2_5_1_2" localSheetId="14">{"'summary2'!$A$1:$L$47"}</definedName>
    <definedName name="HTML_Control_2_5_1_2">{"'summary2'!$A$1:$L$47"}</definedName>
    <definedName name="HTML_Control_2_5_1_2_1" localSheetId="14">{"'summary2'!$A$1:$L$47"}</definedName>
    <definedName name="HTML_Control_2_5_1_2_1">{"'summary2'!$A$1:$L$47"}</definedName>
    <definedName name="HTML_Control_2_5_1_2_2" localSheetId="14">{"'summary2'!$A$1:$L$47"}</definedName>
    <definedName name="HTML_Control_2_5_1_2_2">{"'summary2'!$A$1:$L$47"}</definedName>
    <definedName name="HTML_Control_2_5_1_2_3" localSheetId="14">{"'summary2'!$A$1:$L$47"}</definedName>
    <definedName name="HTML_Control_2_5_1_2_3">{"'summary2'!$A$1:$L$47"}</definedName>
    <definedName name="HTML_Control_2_5_1_2_4" localSheetId="14">{"'summary2'!$A$1:$L$47"}</definedName>
    <definedName name="HTML_Control_2_5_1_2_4">{"'summary2'!$A$1:$L$47"}</definedName>
    <definedName name="HTML_Control_2_5_1_2_5" localSheetId="14">{"'summary2'!$A$1:$L$47"}</definedName>
    <definedName name="HTML_Control_2_5_1_2_5">{"'summary2'!$A$1:$L$47"}</definedName>
    <definedName name="HTML_Control_2_5_1_3" localSheetId="14">{"'summary2'!$A$1:$L$47"}</definedName>
    <definedName name="HTML_Control_2_5_1_3">{"'summary2'!$A$1:$L$47"}</definedName>
    <definedName name="HTML_Control_2_5_1_3_1" localSheetId="14">{"'summary2'!$A$1:$L$47"}</definedName>
    <definedName name="HTML_Control_2_5_1_3_1">{"'summary2'!$A$1:$L$47"}</definedName>
    <definedName name="HTML_Control_2_5_1_3_2" localSheetId="14">{"'summary2'!$A$1:$L$47"}</definedName>
    <definedName name="HTML_Control_2_5_1_3_2">{"'summary2'!$A$1:$L$47"}</definedName>
    <definedName name="HTML_Control_2_5_1_3_3" localSheetId="14">{"'summary2'!$A$1:$L$47"}</definedName>
    <definedName name="HTML_Control_2_5_1_3_3">{"'summary2'!$A$1:$L$47"}</definedName>
    <definedName name="HTML_Control_2_5_1_3_4" localSheetId="14">{"'summary2'!$A$1:$L$47"}</definedName>
    <definedName name="HTML_Control_2_5_1_3_4">{"'summary2'!$A$1:$L$47"}</definedName>
    <definedName name="HTML_Control_2_5_1_3_5" localSheetId="14">{"'summary2'!$A$1:$L$47"}</definedName>
    <definedName name="HTML_Control_2_5_1_3_5">{"'summary2'!$A$1:$L$47"}</definedName>
    <definedName name="HTML_Control_2_5_1_4" localSheetId="14">{"'summary2'!$A$1:$L$47"}</definedName>
    <definedName name="HTML_Control_2_5_1_4">{"'summary2'!$A$1:$L$47"}</definedName>
    <definedName name="HTML_Control_2_5_1_4_1" localSheetId="14">{"'summary2'!$A$1:$L$47"}</definedName>
    <definedName name="HTML_Control_2_5_1_4_1">{"'summary2'!$A$1:$L$47"}</definedName>
    <definedName name="HTML_Control_2_5_1_4_2" localSheetId="14">{"'summary2'!$A$1:$L$47"}</definedName>
    <definedName name="HTML_Control_2_5_1_4_2">{"'summary2'!$A$1:$L$47"}</definedName>
    <definedName name="HTML_Control_2_5_1_4_3" localSheetId="14">{"'summary2'!$A$1:$L$47"}</definedName>
    <definedName name="HTML_Control_2_5_1_4_3">{"'summary2'!$A$1:$L$47"}</definedName>
    <definedName name="HTML_Control_2_5_1_4_4" localSheetId="14">{"'summary2'!$A$1:$L$47"}</definedName>
    <definedName name="HTML_Control_2_5_1_4_4">{"'summary2'!$A$1:$L$47"}</definedName>
    <definedName name="HTML_Control_2_5_1_4_5" localSheetId="14">{"'summary2'!$A$1:$L$47"}</definedName>
    <definedName name="HTML_Control_2_5_1_4_5">{"'summary2'!$A$1:$L$47"}</definedName>
    <definedName name="HTML_Control_2_5_1_5" localSheetId="14">{"'summary2'!$A$1:$L$47"}</definedName>
    <definedName name="HTML_Control_2_5_1_5">{"'summary2'!$A$1:$L$47"}</definedName>
    <definedName name="HTML_Control_2_5_1_5_1" localSheetId="14">{"'summary2'!$A$1:$L$47"}</definedName>
    <definedName name="HTML_Control_2_5_1_5_1">{"'summary2'!$A$1:$L$47"}</definedName>
    <definedName name="HTML_Control_2_5_1_5_2" localSheetId="14">{"'summary2'!$A$1:$L$47"}</definedName>
    <definedName name="HTML_Control_2_5_1_5_2">{"'summary2'!$A$1:$L$47"}</definedName>
    <definedName name="HTML_Control_2_5_1_5_3" localSheetId="14">{"'summary2'!$A$1:$L$47"}</definedName>
    <definedName name="HTML_Control_2_5_1_5_3">{"'summary2'!$A$1:$L$47"}</definedName>
    <definedName name="HTML_Control_2_5_1_5_4" localSheetId="14">{"'summary2'!$A$1:$L$47"}</definedName>
    <definedName name="HTML_Control_2_5_1_5_4">{"'summary2'!$A$1:$L$47"}</definedName>
    <definedName name="HTML_Control_2_5_1_5_5" localSheetId="14">{"'summary2'!$A$1:$L$47"}</definedName>
    <definedName name="HTML_Control_2_5_1_5_5">{"'summary2'!$A$1:$L$47"}</definedName>
    <definedName name="HTML_Control_2_5_2" localSheetId="14">{"'summary2'!$A$1:$L$47"}</definedName>
    <definedName name="HTML_Control_2_5_2">{"'summary2'!$A$1:$L$47"}</definedName>
    <definedName name="HTML_Control_2_5_2_1" localSheetId="14">{"'summary2'!$A$1:$L$47"}</definedName>
    <definedName name="HTML_Control_2_5_2_1">{"'summary2'!$A$1:$L$47"}</definedName>
    <definedName name="HTML_Control_2_5_2_1_1" localSheetId="14">{"'summary2'!$A$1:$L$47"}</definedName>
    <definedName name="HTML_Control_2_5_2_1_1">{"'summary2'!$A$1:$L$47"}</definedName>
    <definedName name="HTML_Control_2_5_2_1_2" localSheetId="14">{"'summary2'!$A$1:$L$47"}</definedName>
    <definedName name="HTML_Control_2_5_2_1_2">{"'summary2'!$A$1:$L$47"}</definedName>
    <definedName name="HTML_Control_2_5_2_1_3" localSheetId="14">{"'summary2'!$A$1:$L$47"}</definedName>
    <definedName name="HTML_Control_2_5_2_1_3">{"'summary2'!$A$1:$L$47"}</definedName>
    <definedName name="HTML_Control_2_5_2_1_4" localSheetId="14">{"'summary2'!$A$1:$L$47"}</definedName>
    <definedName name="HTML_Control_2_5_2_1_4">{"'summary2'!$A$1:$L$47"}</definedName>
    <definedName name="HTML_Control_2_5_2_1_5" localSheetId="14">{"'summary2'!$A$1:$L$47"}</definedName>
    <definedName name="HTML_Control_2_5_2_1_5">{"'summary2'!$A$1:$L$47"}</definedName>
    <definedName name="HTML_Control_2_5_2_2" localSheetId="14">{"'summary2'!$A$1:$L$47"}</definedName>
    <definedName name="HTML_Control_2_5_2_2">{"'summary2'!$A$1:$L$47"}</definedName>
    <definedName name="HTML_Control_2_5_2_3" localSheetId="14">{"'summary2'!$A$1:$L$47"}</definedName>
    <definedName name="HTML_Control_2_5_2_3">{"'summary2'!$A$1:$L$47"}</definedName>
    <definedName name="HTML_Control_2_5_2_4" localSheetId="14">{"'summary2'!$A$1:$L$47"}</definedName>
    <definedName name="HTML_Control_2_5_2_4">{"'summary2'!$A$1:$L$47"}</definedName>
    <definedName name="HTML_Control_2_5_2_5" localSheetId="14">{"'summary2'!$A$1:$L$47"}</definedName>
    <definedName name="HTML_Control_2_5_2_5">{"'summary2'!$A$1:$L$47"}</definedName>
    <definedName name="HTML_Control_2_5_3" localSheetId="14">{"'summary2'!$A$1:$L$47"}</definedName>
    <definedName name="HTML_Control_2_5_3">{"'summary2'!$A$1:$L$47"}</definedName>
    <definedName name="HTML_Control_2_5_3_1" localSheetId="14">{"'summary2'!$A$1:$L$47"}</definedName>
    <definedName name="HTML_Control_2_5_3_1">{"'summary2'!$A$1:$L$47"}</definedName>
    <definedName name="HTML_Control_2_5_3_2" localSheetId="14">{"'summary2'!$A$1:$L$47"}</definedName>
    <definedName name="HTML_Control_2_5_3_2">{"'summary2'!$A$1:$L$47"}</definedName>
    <definedName name="HTML_Control_2_5_3_3" localSheetId="14">{"'summary2'!$A$1:$L$47"}</definedName>
    <definedName name="HTML_Control_2_5_3_3">{"'summary2'!$A$1:$L$47"}</definedName>
    <definedName name="HTML_Control_2_5_3_4" localSheetId="14">{"'summary2'!$A$1:$L$47"}</definedName>
    <definedName name="HTML_Control_2_5_3_4">{"'summary2'!$A$1:$L$47"}</definedName>
    <definedName name="HTML_Control_2_5_3_5" localSheetId="14">{"'summary2'!$A$1:$L$47"}</definedName>
    <definedName name="HTML_Control_2_5_3_5">{"'summary2'!$A$1:$L$47"}</definedName>
    <definedName name="HTML_Control_2_5_4" localSheetId="14">{"'summary2'!$A$1:$L$47"}</definedName>
    <definedName name="HTML_Control_2_5_4">{"'summary2'!$A$1:$L$47"}</definedName>
    <definedName name="HTML_Control_2_5_4_1" localSheetId="14">{"'summary2'!$A$1:$L$47"}</definedName>
    <definedName name="HTML_Control_2_5_4_1">{"'summary2'!$A$1:$L$47"}</definedName>
    <definedName name="HTML_Control_2_5_4_2" localSheetId="14">{"'summary2'!$A$1:$L$47"}</definedName>
    <definedName name="HTML_Control_2_5_4_2">{"'summary2'!$A$1:$L$47"}</definedName>
    <definedName name="HTML_Control_2_5_4_3" localSheetId="14">{"'summary2'!$A$1:$L$47"}</definedName>
    <definedName name="HTML_Control_2_5_4_3">{"'summary2'!$A$1:$L$47"}</definedName>
    <definedName name="HTML_Control_2_5_4_4" localSheetId="14">{"'summary2'!$A$1:$L$47"}</definedName>
    <definedName name="HTML_Control_2_5_4_4">{"'summary2'!$A$1:$L$47"}</definedName>
    <definedName name="HTML_Control_2_5_4_5" localSheetId="14">{"'summary2'!$A$1:$L$47"}</definedName>
    <definedName name="HTML_Control_2_5_4_5">{"'summary2'!$A$1:$L$47"}</definedName>
    <definedName name="HTML_Control_2_5_5" localSheetId="14">{"'summary2'!$A$1:$L$47"}</definedName>
    <definedName name="HTML_Control_2_5_5">{"'summary2'!$A$1:$L$47"}</definedName>
    <definedName name="HTML_Control_2_5_5_1" localSheetId="14">{"'summary2'!$A$1:$L$47"}</definedName>
    <definedName name="HTML_Control_2_5_5_1">{"'summary2'!$A$1:$L$47"}</definedName>
    <definedName name="HTML_Control_2_5_5_2" localSheetId="14">{"'summary2'!$A$1:$L$47"}</definedName>
    <definedName name="HTML_Control_2_5_5_2">{"'summary2'!$A$1:$L$47"}</definedName>
    <definedName name="HTML_Control_2_5_5_3" localSheetId="14">{"'summary2'!$A$1:$L$47"}</definedName>
    <definedName name="HTML_Control_2_5_5_3">{"'summary2'!$A$1:$L$47"}</definedName>
    <definedName name="HTML_Control_2_5_5_4" localSheetId="14">{"'summary2'!$A$1:$L$47"}</definedName>
    <definedName name="HTML_Control_2_5_5_4">{"'summary2'!$A$1:$L$47"}</definedName>
    <definedName name="HTML_Control_2_5_5_5" localSheetId="14">{"'summary2'!$A$1:$L$47"}</definedName>
    <definedName name="HTML_Control_2_5_5_5">{"'summary2'!$A$1:$L$47"}</definedName>
    <definedName name="HTML_Control_3" localSheetId="14">{"'summary2'!$A$1:$L$47"}</definedName>
    <definedName name="HTML_Control_3">{"'summary2'!$A$1:$L$47"}</definedName>
    <definedName name="HTML_Control_3_1" localSheetId="14">{"'summary2'!$A$1:$L$47"}</definedName>
    <definedName name="HTML_Control_3_1">{"'summary2'!$A$1:$L$47"}</definedName>
    <definedName name="HTML_Control_3_1_1" localSheetId="14">{"'summary2'!$A$1:$L$47"}</definedName>
    <definedName name="HTML_Control_3_1_1">{"'summary2'!$A$1:$L$47"}</definedName>
    <definedName name="HTML_Control_3_1_1_1" localSheetId="14">{"'summary2'!$A$1:$L$47"}</definedName>
    <definedName name="HTML_Control_3_1_1_1">{"'summary2'!$A$1:$L$47"}</definedName>
    <definedName name="HTML_Control_3_1_1_1_1" localSheetId="14">{"'summary2'!$A$1:$L$47"}</definedName>
    <definedName name="HTML_Control_3_1_1_1_1">{"'summary2'!$A$1:$L$47"}</definedName>
    <definedName name="HTML_Control_3_1_1_1_1_1" localSheetId="14">{"'summary2'!$A$1:$L$47"}</definedName>
    <definedName name="HTML_Control_3_1_1_1_1_1">{"'summary2'!$A$1:$L$47"}</definedName>
    <definedName name="HTML_Control_3_1_1_1_1_2" localSheetId="14">{"'summary2'!$A$1:$L$47"}</definedName>
    <definedName name="HTML_Control_3_1_1_1_1_2">{"'summary2'!$A$1:$L$47"}</definedName>
    <definedName name="HTML_Control_3_1_1_1_1_3" localSheetId="14">{"'summary2'!$A$1:$L$47"}</definedName>
    <definedName name="HTML_Control_3_1_1_1_1_3">{"'summary2'!$A$1:$L$47"}</definedName>
    <definedName name="HTML_Control_3_1_1_1_1_4" localSheetId="14">{"'summary2'!$A$1:$L$47"}</definedName>
    <definedName name="HTML_Control_3_1_1_1_1_4">{"'summary2'!$A$1:$L$47"}</definedName>
    <definedName name="HTML_Control_3_1_1_1_1_5" localSheetId="14">{"'summary2'!$A$1:$L$47"}</definedName>
    <definedName name="HTML_Control_3_1_1_1_1_5">{"'summary2'!$A$1:$L$47"}</definedName>
    <definedName name="HTML_Control_3_1_1_1_2" localSheetId="14">{"'summary2'!$A$1:$L$47"}</definedName>
    <definedName name="HTML_Control_3_1_1_1_2">{"'summary2'!$A$1:$L$47"}</definedName>
    <definedName name="HTML_Control_3_1_1_1_3" localSheetId="14">{"'summary2'!$A$1:$L$47"}</definedName>
    <definedName name="HTML_Control_3_1_1_1_3">{"'summary2'!$A$1:$L$47"}</definedName>
    <definedName name="HTML_Control_3_1_1_1_4" localSheetId="14">{"'summary2'!$A$1:$L$47"}</definedName>
    <definedName name="HTML_Control_3_1_1_1_4">{"'summary2'!$A$1:$L$47"}</definedName>
    <definedName name="HTML_Control_3_1_1_1_5" localSheetId="14">{"'summary2'!$A$1:$L$47"}</definedName>
    <definedName name="HTML_Control_3_1_1_1_5">{"'summary2'!$A$1:$L$47"}</definedName>
    <definedName name="HTML_Control_3_1_1_2" localSheetId="14">{"'summary2'!$A$1:$L$47"}</definedName>
    <definedName name="HTML_Control_3_1_1_2">{"'summary2'!$A$1:$L$47"}</definedName>
    <definedName name="HTML_Control_3_1_1_2_1" localSheetId="14">{"'summary2'!$A$1:$L$47"}</definedName>
    <definedName name="HTML_Control_3_1_1_2_1">{"'summary2'!$A$1:$L$47"}</definedName>
    <definedName name="HTML_Control_3_1_1_2_2" localSheetId="14">{"'summary2'!$A$1:$L$47"}</definedName>
    <definedName name="HTML_Control_3_1_1_2_2">{"'summary2'!$A$1:$L$47"}</definedName>
    <definedName name="HTML_Control_3_1_1_2_3" localSheetId="14">{"'summary2'!$A$1:$L$47"}</definedName>
    <definedName name="HTML_Control_3_1_1_2_3">{"'summary2'!$A$1:$L$47"}</definedName>
    <definedName name="HTML_Control_3_1_1_2_4" localSheetId="14">{"'summary2'!$A$1:$L$47"}</definedName>
    <definedName name="HTML_Control_3_1_1_2_4">{"'summary2'!$A$1:$L$47"}</definedName>
    <definedName name="HTML_Control_3_1_1_2_5" localSheetId="14">{"'summary2'!$A$1:$L$47"}</definedName>
    <definedName name="HTML_Control_3_1_1_2_5">{"'summary2'!$A$1:$L$47"}</definedName>
    <definedName name="HTML_Control_3_1_1_3" localSheetId="14">{"'summary2'!$A$1:$L$47"}</definedName>
    <definedName name="HTML_Control_3_1_1_3">{"'summary2'!$A$1:$L$47"}</definedName>
    <definedName name="HTML_Control_3_1_1_3_1" localSheetId="14">{"'summary2'!$A$1:$L$47"}</definedName>
    <definedName name="HTML_Control_3_1_1_3_1">{"'summary2'!$A$1:$L$47"}</definedName>
    <definedName name="HTML_Control_3_1_1_3_2" localSheetId="14">{"'summary2'!$A$1:$L$47"}</definedName>
    <definedName name="HTML_Control_3_1_1_3_2">{"'summary2'!$A$1:$L$47"}</definedName>
    <definedName name="HTML_Control_3_1_1_3_3" localSheetId="14">{"'summary2'!$A$1:$L$47"}</definedName>
    <definedName name="HTML_Control_3_1_1_3_3">{"'summary2'!$A$1:$L$47"}</definedName>
    <definedName name="HTML_Control_3_1_1_3_4" localSheetId="14">{"'summary2'!$A$1:$L$47"}</definedName>
    <definedName name="HTML_Control_3_1_1_3_4">{"'summary2'!$A$1:$L$47"}</definedName>
    <definedName name="HTML_Control_3_1_1_3_5" localSheetId="14">{"'summary2'!$A$1:$L$47"}</definedName>
    <definedName name="HTML_Control_3_1_1_3_5">{"'summary2'!$A$1:$L$47"}</definedName>
    <definedName name="HTML_Control_3_1_1_4" localSheetId="14">{"'summary2'!$A$1:$L$47"}</definedName>
    <definedName name="HTML_Control_3_1_1_4">{"'summary2'!$A$1:$L$47"}</definedName>
    <definedName name="HTML_Control_3_1_1_4_1" localSheetId="14">{"'summary2'!$A$1:$L$47"}</definedName>
    <definedName name="HTML_Control_3_1_1_4_1">{"'summary2'!$A$1:$L$47"}</definedName>
    <definedName name="HTML_Control_3_1_1_4_2" localSheetId="14">{"'summary2'!$A$1:$L$47"}</definedName>
    <definedName name="HTML_Control_3_1_1_4_2">{"'summary2'!$A$1:$L$47"}</definedName>
    <definedName name="HTML_Control_3_1_1_4_3" localSheetId="14">{"'summary2'!$A$1:$L$47"}</definedName>
    <definedName name="HTML_Control_3_1_1_4_3">{"'summary2'!$A$1:$L$47"}</definedName>
    <definedName name="HTML_Control_3_1_1_4_4" localSheetId="14">{"'summary2'!$A$1:$L$47"}</definedName>
    <definedName name="HTML_Control_3_1_1_4_4">{"'summary2'!$A$1:$L$47"}</definedName>
    <definedName name="HTML_Control_3_1_1_4_5" localSheetId="14">{"'summary2'!$A$1:$L$47"}</definedName>
    <definedName name="HTML_Control_3_1_1_4_5">{"'summary2'!$A$1:$L$47"}</definedName>
    <definedName name="HTML_Control_3_1_1_5" localSheetId="14">{"'summary2'!$A$1:$L$47"}</definedName>
    <definedName name="HTML_Control_3_1_1_5">{"'summary2'!$A$1:$L$47"}</definedName>
    <definedName name="HTML_Control_3_1_1_5_1" localSheetId="14">{"'summary2'!$A$1:$L$47"}</definedName>
    <definedName name="HTML_Control_3_1_1_5_1">{"'summary2'!$A$1:$L$47"}</definedName>
    <definedName name="HTML_Control_3_1_1_5_2" localSheetId="14">{"'summary2'!$A$1:$L$47"}</definedName>
    <definedName name="HTML_Control_3_1_1_5_2">{"'summary2'!$A$1:$L$47"}</definedName>
    <definedName name="HTML_Control_3_1_1_5_3" localSheetId="14">{"'summary2'!$A$1:$L$47"}</definedName>
    <definedName name="HTML_Control_3_1_1_5_3">{"'summary2'!$A$1:$L$47"}</definedName>
    <definedName name="HTML_Control_3_1_1_5_4" localSheetId="14">{"'summary2'!$A$1:$L$47"}</definedName>
    <definedName name="HTML_Control_3_1_1_5_4">{"'summary2'!$A$1:$L$47"}</definedName>
    <definedName name="HTML_Control_3_1_1_5_5" localSheetId="14">{"'summary2'!$A$1:$L$47"}</definedName>
    <definedName name="HTML_Control_3_1_1_5_5">{"'summary2'!$A$1:$L$47"}</definedName>
    <definedName name="HTML_Control_3_1_2" localSheetId="14">{"'summary2'!$A$1:$L$47"}</definedName>
    <definedName name="HTML_Control_3_1_2">{"'summary2'!$A$1:$L$47"}</definedName>
    <definedName name="HTML_Control_3_1_2_1" localSheetId="14">{"'summary2'!$A$1:$L$47"}</definedName>
    <definedName name="HTML_Control_3_1_2_1">{"'summary2'!$A$1:$L$47"}</definedName>
    <definedName name="HTML_Control_3_1_2_1_1" localSheetId="14">{"'summary2'!$A$1:$L$47"}</definedName>
    <definedName name="HTML_Control_3_1_2_1_1">{"'summary2'!$A$1:$L$47"}</definedName>
    <definedName name="HTML_Control_3_1_2_1_2" localSheetId="14">{"'summary2'!$A$1:$L$47"}</definedName>
    <definedName name="HTML_Control_3_1_2_1_2">{"'summary2'!$A$1:$L$47"}</definedName>
    <definedName name="HTML_Control_3_1_2_1_3" localSheetId="14">{"'summary2'!$A$1:$L$47"}</definedName>
    <definedName name="HTML_Control_3_1_2_1_3">{"'summary2'!$A$1:$L$47"}</definedName>
    <definedName name="HTML_Control_3_1_2_1_4" localSheetId="14">{"'summary2'!$A$1:$L$47"}</definedName>
    <definedName name="HTML_Control_3_1_2_1_4">{"'summary2'!$A$1:$L$47"}</definedName>
    <definedName name="HTML_Control_3_1_2_1_5" localSheetId="14">{"'summary2'!$A$1:$L$47"}</definedName>
    <definedName name="HTML_Control_3_1_2_1_5">{"'summary2'!$A$1:$L$47"}</definedName>
    <definedName name="HTML_Control_3_1_2_2" localSheetId="14">{"'summary2'!$A$1:$L$47"}</definedName>
    <definedName name="HTML_Control_3_1_2_2">{"'summary2'!$A$1:$L$47"}</definedName>
    <definedName name="HTML_Control_3_1_2_3" localSheetId="14">{"'summary2'!$A$1:$L$47"}</definedName>
    <definedName name="HTML_Control_3_1_2_3">{"'summary2'!$A$1:$L$47"}</definedName>
    <definedName name="HTML_Control_3_1_2_4" localSheetId="14">{"'summary2'!$A$1:$L$47"}</definedName>
    <definedName name="HTML_Control_3_1_2_4">{"'summary2'!$A$1:$L$47"}</definedName>
    <definedName name="HTML_Control_3_1_2_5" localSheetId="14">{"'summary2'!$A$1:$L$47"}</definedName>
    <definedName name="HTML_Control_3_1_2_5">{"'summary2'!$A$1:$L$47"}</definedName>
    <definedName name="HTML_Control_3_1_3" localSheetId="14">{"'summary2'!$A$1:$L$47"}</definedName>
    <definedName name="HTML_Control_3_1_3">{"'summary2'!$A$1:$L$47"}</definedName>
    <definedName name="HTML_Control_3_1_3_1" localSheetId="14">{"'summary2'!$A$1:$L$47"}</definedName>
    <definedName name="HTML_Control_3_1_3_1">{"'summary2'!$A$1:$L$47"}</definedName>
    <definedName name="HTML_Control_3_1_3_2" localSheetId="14">{"'summary2'!$A$1:$L$47"}</definedName>
    <definedName name="HTML_Control_3_1_3_2">{"'summary2'!$A$1:$L$47"}</definedName>
    <definedName name="HTML_Control_3_1_3_3" localSheetId="14">{"'summary2'!$A$1:$L$47"}</definedName>
    <definedName name="HTML_Control_3_1_3_3">{"'summary2'!$A$1:$L$47"}</definedName>
    <definedName name="HTML_Control_3_1_3_4" localSheetId="14">{"'summary2'!$A$1:$L$47"}</definedName>
    <definedName name="HTML_Control_3_1_3_4">{"'summary2'!$A$1:$L$47"}</definedName>
    <definedName name="HTML_Control_3_1_3_5" localSheetId="14">{"'summary2'!$A$1:$L$47"}</definedName>
    <definedName name="HTML_Control_3_1_3_5">{"'summary2'!$A$1:$L$47"}</definedName>
    <definedName name="HTML_Control_3_1_4" localSheetId="14">{"'summary2'!$A$1:$L$47"}</definedName>
    <definedName name="HTML_Control_3_1_4">{"'summary2'!$A$1:$L$47"}</definedName>
    <definedName name="HTML_Control_3_1_4_1" localSheetId="14">{"'summary2'!$A$1:$L$47"}</definedName>
    <definedName name="HTML_Control_3_1_4_1">{"'summary2'!$A$1:$L$47"}</definedName>
    <definedName name="HTML_Control_3_1_4_2" localSheetId="14">{"'summary2'!$A$1:$L$47"}</definedName>
    <definedName name="HTML_Control_3_1_4_2">{"'summary2'!$A$1:$L$47"}</definedName>
    <definedName name="HTML_Control_3_1_4_3" localSheetId="14">{"'summary2'!$A$1:$L$47"}</definedName>
    <definedName name="HTML_Control_3_1_4_3">{"'summary2'!$A$1:$L$47"}</definedName>
    <definedName name="HTML_Control_3_1_4_4" localSheetId="14">{"'summary2'!$A$1:$L$47"}</definedName>
    <definedName name="HTML_Control_3_1_4_4">{"'summary2'!$A$1:$L$47"}</definedName>
    <definedName name="HTML_Control_3_1_4_5" localSheetId="14">{"'summary2'!$A$1:$L$47"}</definedName>
    <definedName name="HTML_Control_3_1_4_5">{"'summary2'!$A$1:$L$47"}</definedName>
    <definedName name="HTML_Control_3_1_5" localSheetId="14">{"'summary2'!$A$1:$L$47"}</definedName>
    <definedName name="HTML_Control_3_1_5">{"'summary2'!$A$1:$L$47"}</definedName>
    <definedName name="HTML_Control_3_1_5_1" localSheetId="14">{"'summary2'!$A$1:$L$47"}</definedName>
    <definedName name="HTML_Control_3_1_5_1">{"'summary2'!$A$1:$L$47"}</definedName>
    <definedName name="HTML_Control_3_1_5_2" localSheetId="14">{"'summary2'!$A$1:$L$47"}</definedName>
    <definedName name="HTML_Control_3_1_5_2">{"'summary2'!$A$1:$L$47"}</definedName>
    <definedName name="HTML_Control_3_1_5_3" localSheetId="14">{"'summary2'!$A$1:$L$47"}</definedName>
    <definedName name="HTML_Control_3_1_5_3">{"'summary2'!$A$1:$L$47"}</definedName>
    <definedName name="HTML_Control_3_1_5_4" localSheetId="14">{"'summary2'!$A$1:$L$47"}</definedName>
    <definedName name="HTML_Control_3_1_5_4">{"'summary2'!$A$1:$L$47"}</definedName>
    <definedName name="HTML_Control_3_1_5_5" localSheetId="14">{"'summary2'!$A$1:$L$47"}</definedName>
    <definedName name="HTML_Control_3_1_5_5">{"'summary2'!$A$1:$L$47"}</definedName>
    <definedName name="HTML_Control_3_2" localSheetId="14">{"'summary2'!$A$1:$L$47"}</definedName>
    <definedName name="HTML_Control_3_2">{"'summary2'!$A$1:$L$47"}</definedName>
    <definedName name="HTML_Control_3_2_1" localSheetId="14">{"'summary2'!$A$1:$L$47"}</definedName>
    <definedName name="HTML_Control_3_2_1">{"'summary2'!$A$1:$L$47"}</definedName>
    <definedName name="HTML_Control_3_2_1_1" localSheetId="14">{"'summary2'!$A$1:$L$47"}</definedName>
    <definedName name="HTML_Control_3_2_1_1">{"'summary2'!$A$1:$L$47"}</definedName>
    <definedName name="HTML_Control_3_2_1_1_1" localSheetId="14">{"'summary2'!$A$1:$L$47"}</definedName>
    <definedName name="HTML_Control_3_2_1_1_1">{"'summary2'!$A$1:$L$47"}</definedName>
    <definedName name="HTML_Control_3_2_1_1_1_1" localSheetId="14">{"'summary2'!$A$1:$L$47"}</definedName>
    <definedName name="HTML_Control_3_2_1_1_1_1">{"'summary2'!$A$1:$L$47"}</definedName>
    <definedName name="HTML_Control_3_2_1_1_1_2" localSheetId="14">{"'summary2'!$A$1:$L$47"}</definedName>
    <definedName name="HTML_Control_3_2_1_1_1_2">{"'summary2'!$A$1:$L$47"}</definedName>
    <definedName name="HTML_Control_3_2_1_1_1_3" localSheetId="14">{"'summary2'!$A$1:$L$47"}</definedName>
    <definedName name="HTML_Control_3_2_1_1_1_3">{"'summary2'!$A$1:$L$47"}</definedName>
    <definedName name="HTML_Control_3_2_1_1_1_4" localSheetId="14">{"'summary2'!$A$1:$L$47"}</definedName>
    <definedName name="HTML_Control_3_2_1_1_1_4">{"'summary2'!$A$1:$L$47"}</definedName>
    <definedName name="HTML_Control_3_2_1_1_1_5" localSheetId="14">{"'summary2'!$A$1:$L$47"}</definedName>
    <definedName name="HTML_Control_3_2_1_1_1_5">{"'summary2'!$A$1:$L$47"}</definedName>
    <definedName name="HTML_Control_3_2_1_1_2" localSheetId="14">{"'summary2'!$A$1:$L$47"}</definedName>
    <definedName name="HTML_Control_3_2_1_1_2">{"'summary2'!$A$1:$L$47"}</definedName>
    <definedName name="HTML_Control_3_2_1_1_3" localSheetId="14">{"'summary2'!$A$1:$L$47"}</definedName>
    <definedName name="HTML_Control_3_2_1_1_3">{"'summary2'!$A$1:$L$47"}</definedName>
    <definedName name="HTML_Control_3_2_1_1_4" localSheetId="14">{"'summary2'!$A$1:$L$47"}</definedName>
    <definedName name="HTML_Control_3_2_1_1_4">{"'summary2'!$A$1:$L$47"}</definedName>
    <definedName name="HTML_Control_3_2_1_1_5" localSheetId="14">{"'summary2'!$A$1:$L$47"}</definedName>
    <definedName name="HTML_Control_3_2_1_1_5">{"'summary2'!$A$1:$L$47"}</definedName>
    <definedName name="HTML_Control_3_2_1_2" localSheetId="14">{"'summary2'!$A$1:$L$47"}</definedName>
    <definedName name="HTML_Control_3_2_1_2">{"'summary2'!$A$1:$L$47"}</definedName>
    <definedName name="HTML_Control_3_2_1_2_1" localSheetId="14">{"'summary2'!$A$1:$L$47"}</definedName>
    <definedName name="HTML_Control_3_2_1_2_1">{"'summary2'!$A$1:$L$47"}</definedName>
    <definedName name="HTML_Control_3_2_1_2_2" localSheetId="14">{"'summary2'!$A$1:$L$47"}</definedName>
    <definedName name="HTML_Control_3_2_1_2_2">{"'summary2'!$A$1:$L$47"}</definedName>
    <definedName name="HTML_Control_3_2_1_2_3" localSheetId="14">{"'summary2'!$A$1:$L$47"}</definedName>
    <definedName name="HTML_Control_3_2_1_2_3">{"'summary2'!$A$1:$L$47"}</definedName>
    <definedName name="HTML_Control_3_2_1_2_4" localSheetId="14">{"'summary2'!$A$1:$L$47"}</definedName>
    <definedName name="HTML_Control_3_2_1_2_4">{"'summary2'!$A$1:$L$47"}</definedName>
    <definedName name="HTML_Control_3_2_1_2_5" localSheetId="14">{"'summary2'!$A$1:$L$47"}</definedName>
    <definedName name="HTML_Control_3_2_1_2_5">{"'summary2'!$A$1:$L$47"}</definedName>
    <definedName name="HTML_Control_3_2_1_3" localSheetId="14">{"'summary2'!$A$1:$L$47"}</definedName>
    <definedName name="HTML_Control_3_2_1_3">{"'summary2'!$A$1:$L$47"}</definedName>
    <definedName name="HTML_Control_3_2_1_3_1" localSheetId="14">{"'summary2'!$A$1:$L$47"}</definedName>
    <definedName name="HTML_Control_3_2_1_3_1">{"'summary2'!$A$1:$L$47"}</definedName>
    <definedName name="HTML_Control_3_2_1_3_2" localSheetId="14">{"'summary2'!$A$1:$L$47"}</definedName>
    <definedName name="HTML_Control_3_2_1_3_2">{"'summary2'!$A$1:$L$47"}</definedName>
    <definedName name="HTML_Control_3_2_1_3_3" localSheetId="14">{"'summary2'!$A$1:$L$47"}</definedName>
    <definedName name="HTML_Control_3_2_1_3_3">{"'summary2'!$A$1:$L$47"}</definedName>
    <definedName name="HTML_Control_3_2_1_3_4" localSheetId="14">{"'summary2'!$A$1:$L$47"}</definedName>
    <definedName name="HTML_Control_3_2_1_3_4">{"'summary2'!$A$1:$L$47"}</definedName>
    <definedName name="HTML_Control_3_2_1_3_5" localSheetId="14">{"'summary2'!$A$1:$L$47"}</definedName>
    <definedName name="HTML_Control_3_2_1_3_5">{"'summary2'!$A$1:$L$47"}</definedName>
    <definedName name="HTML_Control_3_2_1_4" localSheetId="14">{"'summary2'!$A$1:$L$47"}</definedName>
    <definedName name="HTML_Control_3_2_1_4">{"'summary2'!$A$1:$L$47"}</definedName>
    <definedName name="HTML_Control_3_2_1_4_1" localSheetId="14">{"'summary2'!$A$1:$L$47"}</definedName>
    <definedName name="HTML_Control_3_2_1_4_1">{"'summary2'!$A$1:$L$47"}</definedName>
    <definedName name="HTML_Control_3_2_1_4_2" localSheetId="14">{"'summary2'!$A$1:$L$47"}</definedName>
    <definedName name="HTML_Control_3_2_1_4_2">{"'summary2'!$A$1:$L$47"}</definedName>
    <definedName name="HTML_Control_3_2_1_4_3" localSheetId="14">{"'summary2'!$A$1:$L$47"}</definedName>
    <definedName name="HTML_Control_3_2_1_4_3">{"'summary2'!$A$1:$L$47"}</definedName>
    <definedName name="HTML_Control_3_2_1_4_4" localSheetId="14">{"'summary2'!$A$1:$L$47"}</definedName>
    <definedName name="HTML_Control_3_2_1_4_4">{"'summary2'!$A$1:$L$47"}</definedName>
    <definedName name="HTML_Control_3_2_1_4_5" localSheetId="14">{"'summary2'!$A$1:$L$47"}</definedName>
    <definedName name="HTML_Control_3_2_1_4_5">{"'summary2'!$A$1:$L$47"}</definedName>
    <definedName name="HTML_Control_3_2_1_5" localSheetId="14">{"'summary2'!$A$1:$L$47"}</definedName>
    <definedName name="HTML_Control_3_2_1_5">{"'summary2'!$A$1:$L$47"}</definedName>
    <definedName name="HTML_Control_3_2_1_5_1" localSheetId="14">{"'summary2'!$A$1:$L$47"}</definedName>
    <definedName name="HTML_Control_3_2_1_5_1">{"'summary2'!$A$1:$L$47"}</definedName>
    <definedName name="HTML_Control_3_2_1_5_2" localSheetId="14">{"'summary2'!$A$1:$L$47"}</definedName>
    <definedName name="HTML_Control_3_2_1_5_2">{"'summary2'!$A$1:$L$47"}</definedName>
    <definedName name="HTML_Control_3_2_1_5_3" localSheetId="14">{"'summary2'!$A$1:$L$47"}</definedName>
    <definedName name="HTML_Control_3_2_1_5_3">{"'summary2'!$A$1:$L$47"}</definedName>
    <definedName name="HTML_Control_3_2_1_5_4" localSheetId="14">{"'summary2'!$A$1:$L$47"}</definedName>
    <definedName name="HTML_Control_3_2_1_5_4">{"'summary2'!$A$1:$L$47"}</definedName>
    <definedName name="HTML_Control_3_2_1_5_5" localSheetId="14">{"'summary2'!$A$1:$L$47"}</definedName>
    <definedName name="HTML_Control_3_2_1_5_5">{"'summary2'!$A$1:$L$47"}</definedName>
    <definedName name="HTML_Control_3_2_2" localSheetId="14">{"'summary2'!$A$1:$L$47"}</definedName>
    <definedName name="HTML_Control_3_2_2">{"'summary2'!$A$1:$L$47"}</definedName>
    <definedName name="HTML_Control_3_2_2_1" localSheetId="14">{"'summary2'!$A$1:$L$47"}</definedName>
    <definedName name="HTML_Control_3_2_2_1">{"'summary2'!$A$1:$L$47"}</definedName>
    <definedName name="HTML_Control_3_2_2_1_1" localSheetId="14">{"'summary2'!$A$1:$L$47"}</definedName>
    <definedName name="HTML_Control_3_2_2_1_1">{"'summary2'!$A$1:$L$47"}</definedName>
    <definedName name="HTML_Control_3_2_2_1_2" localSheetId="14">{"'summary2'!$A$1:$L$47"}</definedName>
    <definedName name="HTML_Control_3_2_2_1_2">{"'summary2'!$A$1:$L$47"}</definedName>
    <definedName name="HTML_Control_3_2_2_1_3" localSheetId="14">{"'summary2'!$A$1:$L$47"}</definedName>
    <definedName name="HTML_Control_3_2_2_1_3">{"'summary2'!$A$1:$L$47"}</definedName>
    <definedName name="HTML_Control_3_2_2_1_4" localSheetId="14">{"'summary2'!$A$1:$L$47"}</definedName>
    <definedName name="HTML_Control_3_2_2_1_4">{"'summary2'!$A$1:$L$47"}</definedName>
    <definedName name="HTML_Control_3_2_2_1_5" localSheetId="14">{"'summary2'!$A$1:$L$47"}</definedName>
    <definedName name="HTML_Control_3_2_2_1_5">{"'summary2'!$A$1:$L$47"}</definedName>
    <definedName name="HTML_Control_3_2_2_2" localSheetId="14">{"'summary2'!$A$1:$L$47"}</definedName>
    <definedName name="HTML_Control_3_2_2_2">{"'summary2'!$A$1:$L$47"}</definedName>
    <definedName name="HTML_Control_3_2_2_3" localSheetId="14">{"'summary2'!$A$1:$L$47"}</definedName>
    <definedName name="HTML_Control_3_2_2_3">{"'summary2'!$A$1:$L$47"}</definedName>
    <definedName name="HTML_Control_3_2_2_4" localSheetId="14">{"'summary2'!$A$1:$L$47"}</definedName>
    <definedName name="HTML_Control_3_2_2_4">{"'summary2'!$A$1:$L$47"}</definedName>
    <definedName name="HTML_Control_3_2_2_5" localSheetId="14">{"'summary2'!$A$1:$L$47"}</definedName>
    <definedName name="HTML_Control_3_2_2_5">{"'summary2'!$A$1:$L$47"}</definedName>
    <definedName name="HTML_Control_3_2_3" localSheetId="14">{"'summary2'!$A$1:$L$47"}</definedName>
    <definedName name="HTML_Control_3_2_3">{"'summary2'!$A$1:$L$47"}</definedName>
    <definedName name="HTML_Control_3_2_3_1" localSheetId="14">{"'summary2'!$A$1:$L$47"}</definedName>
    <definedName name="HTML_Control_3_2_3_1">{"'summary2'!$A$1:$L$47"}</definedName>
    <definedName name="HTML_Control_3_2_3_2" localSheetId="14">{"'summary2'!$A$1:$L$47"}</definedName>
    <definedName name="HTML_Control_3_2_3_2">{"'summary2'!$A$1:$L$47"}</definedName>
    <definedName name="HTML_Control_3_2_3_3" localSheetId="14">{"'summary2'!$A$1:$L$47"}</definedName>
    <definedName name="HTML_Control_3_2_3_3">{"'summary2'!$A$1:$L$47"}</definedName>
    <definedName name="HTML_Control_3_2_3_4" localSheetId="14">{"'summary2'!$A$1:$L$47"}</definedName>
    <definedName name="HTML_Control_3_2_3_4">{"'summary2'!$A$1:$L$47"}</definedName>
    <definedName name="HTML_Control_3_2_3_5" localSheetId="14">{"'summary2'!$A$1:$L$47"}</definedName>
    <definedName name="HTML_Control_3_2_3_5">{"'summary2'!$A$1:$L$47"}</definedName>
    <definedName name="HTML_Control_3_2_4" localSheetId="14">{"'summary2'!$A$1:$L$47"}</definedName>
    <definedName name="HTML_Control_3_2_4">{"'summary2'!$A$1:$L$47"}</definedName>
    <definedName name="HTML_Control_3_2_4_1" localSheetId="14">{"'summary2'!$A$1:$L$47"}</definedName>
    <definedName name="HTML_Control_3_2_4_1">{"'summary2'!$A$1:$L$47"}</definedName>
    <definedName name="HTML_Control_3_2_4_2" localSheetId="14">{"'summary2'!$A$1:$L$47"}</definedName>
    <definedName name="HTML_Control_3_2_4_2">{"'summary2'!$A$1:$L$47"}</definedName>
    <definedName name="HTML_Control_3_2_4_3" localSheetId="14">{"'summary2'!$A$1:$L$47"}</definedName>
    <definedName name="HTML_Control_3_2_4_3">{"'summary2'!$A$1:$L$47"}</definedName>
    <definedName name="HTML_Control_3_2_4_4" localSheetId="14">{"'summary2'!$A$1:$L$47"}</definedName>
    <definedName name="HTML_Control_3_2_4_4">{"'summary2'!$A$1:$L$47"}</definedName>
    <definedName name="HTML_Control_3_2_4_5" localSheetId="14">{"'summary2'!$A$1:$L$47"}</definedName>
    <definedName name="HTML_Control_3_2_4_5">{"'summary2'!$A$1:$L$47"}</definedName>
    <definedName name="HTML_Control_3_2_5" localSheetId="14">{"'summary2'!$A$1:$L$47"}</definedName>
    <definedName name="HTML_Control_3_2_5">{"'summary2'!$A$1:$L$47"}</definedName>
    <definedName name="HTML_Control_3_2_5_1" localSheetId="14">{"'summary2'!$A$1:$L$47"}</definedName>
    <definedName name="HTML_Control_3_2_5_1">{"'summary2'!$A$1:$L$47"}</definedName>
    <definedName name="HTML_Control_3_2_5_2" localSheetId="14">{"'summary2'!$A$1:$L$47"}</definedName>
    <definedName name="HTML_Control_3_2_5_2">{"'summary2'!$A$1:$L$47"}</definedName>
    <definedName name="HTML_Control_3_2_5_3" localSheetId="14">{"'summary2'!$A$1:$L$47"}</definedName>
    <definedName name="HTML_Control_3_2_5_3">{"'summary2'!$A$1:$L$47"}</definedName>
    <definedName name="HTML_Control_3_2_5_4" localSheetId="14">{"'summary2'!$A$1:$L$47"}</definedName>
    <definedName name="HTML_Control_3_2_5_4">{"'summary2'!$A$1:$L$47"}</definedName>
    <definedName name="HTML_Control_3_2_5_5" localSheetId="14">{"'summary2'!$A$1:$L$47"}</definedName>
    <definedName name="HTML_Control_3_2_5_5">{"'summary2'!$A$1:$L$47"}</definedName>
    <definedName name="HTML_Control_3_3" localSheetId="14">{"'summary2'!$A$1:$L$47"}</definedName>
    <definedName name="HTML_Control_3_3">{"'summary2'!$A$1:$L$47"}</definedName>
    <definedName name="HTML_Control_3_3_1" localSheetId="14">{"'summary2'!$A$1:$L$47"}</definedName>
    <definedName name="HTML_Control_3_3_1">{"'summary2'!$A$1:$L$47"}</definedName>
    <definedName name="HTML_Control_3_3_1_1" localSheetId="14">{"'summary2'!$A$1:$L$47"}</definedName>
    <definedName name="HTML_Control_3_3_1_1">{"'summary2'!$A$1:$L$47"}</definedName>
    <definedName name="HTML_Control_3_3_1_1_1" localSheetId="14">{"'summary2'!$A$1:$L$47"}</definedName>
    <definedName name="HTML_Control_3_3_1_1_1">{"'summary2'!$A$1:$L$47"}</definedName>
    <definedName name="HTML_Control_3_3_1_1_1_1" localSheetId="14">{"'summary2'!$A$1:$L$47"}</definedName>
    <definedName name="HTML_Control_3_3_1_1_1_1">{"'summary2'!$A$1:$L$47"}</definedName>
    <definedName name="HTML_Control_3_3_1_1_1_2" localSheetId="14">{"'summary2'!$A$1:$L$47"}</definedName>
    <definedName name="HTML_Control_3_3_1_1_1_2">{"'summary2'!$A$1:$L$47"}</definedName>
    <definedName name="HTML_Control_3_3_1_1_1_3" localSheetId="14">{"'summary2'!$A$1:$L$47"}</definedName>
    <definedName name="HTML_Control_3_3_1_1_1_3">{"'summary2'!$A$1:$L$47"}</definedName>
    <definedName name="HTML_Control_3_3_1_1_1_4" localSheetId="14">{"'summary2'!$A$1:$L$47"}</definedName>
    <definedName name="HTML_Control_3_3_1_1_1_4">{"'summary2'!$A$1:$L$47"}</definedName>
    <definedName name="HTML_Control_3_3_1_1_1_5" localSheetId="14">{"'summary2'!$A$1:$L$47"}</definedName>
    <definedName name="HTML_Control_3_3_1_1_1_5">{"'summary2'!$A$1:$L$47"}</definedName>
    <definedName name="HTML_Control_3_3_1_1_2" localSheetId="14">{"'summary2'!$A$1:$L$47"}</definedName>
    <definedName name="HTML_Control_3_3_1_1_2">{"'summary2'!$A$1:$L$47"}</definedName>
    <definedName name="HTML_Control_3_3_1_1_3" localSheetId="14">{"'summary2'!$A$1:$L$47"}</definedName>
    <definedName name="HTML_Control_3_3_1_1_3">{"'summary2'!$A$1:$L$47"}</definedName>
    <definedName name="HTML_Control_3_3_1_1_4" localSheetId="14">{"'summary2'!$A$1:$L$47"}</definedName>
    <definedName name="HTML_Control_3_3_1_1_4">{"'summary2'!$A$1:$L$47"}</definedName>
    <definedName name="HTML_Control_3_3_1_1_5" localSheetId="14">{"'summary2'!$A$1:$L$47"}</definedName>
    <definedName name="HTML_Control_3_3_1_1_5">{"'summary2'!$A$1:$L$47"}</definedName>
    <definedName name="HTML_Control_3_3_1_2" localSheetId="14">{"'summary2'!$A$1:$L$47"}</definedName>
    <definedName name="HTML_Control_3_3_1_2">{"'summary2'!$A$1:$L$47"}</definedName>
    <definedName name="HTML_Control_3_3_1_2_1" localSheetId="14">{"'summary2'!$A$1:$L$47"}</definedName>
    <definedName name="HTML_Control_3_3_1_2_1">{"'summary2'!$A$1:$L$47"}</definedName>
    <definedName name="HTML_Control_3_3_1_2_2" localSheetId="14">{"'summary2'!$A$1:$L$47"}</definedName>
    <definedName name="HTML_Control_3_3_1_2_2">{"'summary2'!$A$1:$L$47"}</definedName>
    <definedName name="HTML_Control_3_3_1_2_3" localSheetId="14">{"'summary2'!$A$1:$L$47"}</definedName>
    <definedName name="HTML_Control_3_3_1_2_3">{"'summary2'!$A$1:$L$47"}</definedName>
    <definedName name="HTML_Control_3_3_1_2_4" localSheetId="14">{"'summary2'!$A$1:$L$47"}</definedName>
    <definedName name="HTML_Control_3_3_1_2_4">{"'summary2'!$A$1:$L$47"}</definedName>
    <definedName name="HTML_Control_3_3_1_2_5" localSheetId="14">{"'summary2'!$A$1:$L$47"}</definedName>
    <definedName name="HTML_Control_3_3_1_2_5">{"'summary2'!$A$1:$L$47"}</definedName>
    <definedName name="HTML_Control_3_3_1_3" localSheetId="14">{"'summary2'!$A$1:$L$47"}</definedName>
    <definedName name="HTML_Control_3_3_1_3">{"'summary2'!$A$1:$L$47"}</definedName>
    <definedName name="HTML_Control_3_3_1_3_1" localSheetId="14">{"'summary2'!$A$1:$L$47"}</definedName>
    <definedName name="HTML_Control_3_3_1_3_1">{"'summary2'!$A$1:$L$47"}</definedName>
    <definedName name="HTML_Control_3_3_1_3_2" localSheetId="14">{"'summary2'!$A$1:$L$47"}</definedName>
    <definedName name="HTML_Control_3_3_1_3_2">{"'summary2'!$A$1:$L$47"}</definedName>
    <definedName name="HTML_Control_3_3_1_3_3" localSheetId="14">{"'summary2'!$A$1:$L$47"}</definedName>
    <definedName name="HTML_Control_3_3_1_3_3">{"'summary2'!$A$1:$L$47"}</definedName>
    <definedName name="HTML_Control_3_3_1_3_4" localSheetId="14">{"'summary2'!$A$1:$L$47"}</definedName>
    <definedName name="HTML_Control_3_3_1_3_4">{"'summary2'!$A$1:$L$47"}</definedName>
    <definedName name="HTML_Control_3_3_1_3_5" localSheetId="14">{"'summary2'!$A$1:$L$47"}</definedName>
    <definedName name="HTML_Control_3_3_1_3_5">{"'summary2'!$A$1:$L$47"}</definedName>
    <definedName name="HTML_Control_3_3_1_4" localSheetId="14">{"'summary2'!$A$1:$L$47"}</definedName>
    <definedName name="HTML_Control_3_3_1_4">{"'summary2'!$A$1:$L$47"}</definedName>
    <definedName name="HTML_Control_3_3_1_4_1" localSheetId="14">{"'summary2'!$A$1:$L$47"}</definedName>
    <definedName name="HTML_Control_3_3_1_4_1">{"'summary2'!$A$1:$L$47"}</definedName>
    <definedName name="HTML_Control_3_3_1_4_2" localSheetId="14">{"'summary2'!$A$1:$L$47"}</definedName>
    <definedName name="HTML_Control_3_3_1_4_2">{"'summary2'!$A$1:$L$47"}</definedName>
    <definedName name="HTML_Control_3_3_1_4_3" localSheetId="14">{"'summary2'!$A$1:$L$47"}</definedName>
    <definedName name="HTML_Control_3_3_1_4_3">{"'summary2'!$A$1:$L$47"}</definedName>
    <definedName name="HTML_Control_3_3_1_4_4" localSheetId="14">{"'summary2'!$A$1:$L$47"}</definedName>
    <definedName name="HTML_Control_3_3_1_4_4">{"'summary2'!$A$1:$L$47"}</definedName>
    <definedName name="HTML_Control_3_3_1_4_5" localSheetId="14">{"'summary2'!$A$1:$L$47"}</definedName>
    <definedName name="HTML_Control_3_3_1_4_5">{"'summary2'!$A$1:$L$47"}</definedName>
    <definedName name="HTML_Control_3_3_1_5" localSheetId="14">{"'summary2'!$A$1:$L$47"}</definedName>
    <definedName name="HTML_Control_3_3_1_5">{"'summary2'!$A$1:$L$47"}</definedName>
    <definedName name="HTML_Control_3_3_1_5_1" localSheetId="14">{"'summary2'!$A$1:$L$47"}</definedName>
    <definedName name="HTML_Control_3_3_1_5_1">{"'summary2'!$A$1:$L$47"}</definedName>
    <definedName name="HTML_Control_3_3_1_5_2" localSheetId="14">{"'summary2'!$A$1:$L$47"}</definedName>
    <definedName name="HTML_Control_3_3_1_5_2">{"'summary2'!$A$1:$L$47"}</definedName>
    <definedName name="HTML_Control_3_3_1_5_3" localSheetId="14">{"'summary2'!$A$1:$L$47"}</definedName>
    <definedName name="HTML_Control_3_3_1_5_3">{"'summary2'!$A$1:$L$47"}</definedName>
    <definedName name="HTML_Control_3_3_1_5_4" localSheetId="14">{"'summary2'!$A$1:$L$47"}</definedName>
    <definedName name="HTML_Control_3_3_1_5_4">{"'summary2'!$A$1:$L$47"}</definedName>
    <definedName name="HTML_Control_3_3_1_5_5" localSheetId="14">{"'summary2'!$A$1:$L$47"}</definedName>
    <definedName name="HTML_Control_3_3_1_5_5">{"'summary2'!$A$1:$L$47"}</definedName>
    <definedName name="HTML_Control_3_3_2" localSheetId="14">{"'summary2'!$A$1:$L$47"}</definedName>
    <definedName name="HTML_Control_3_3_2">{"'summary2'!$A$1:$L$47"}</definedName>
    <definedName name="HTML_Control_3_3_2_1" localSheetId="14">{"'summary2'!$A$1:$L$47"}</definedName>
    <definedName name="HTML_Control_3_3_2_1">{"'summary2'!$A$1:$L$47"}</definedName>
    <definedName name="HTML_Control_3_3_2_1_1" localSheetId="14">{"'summary2'!$A$1:$L$47"}</definedName>
    <definedName name="HTML_Control_3_3_2_1_1">{"'summary2'!$A$1:$L$47"}</definedName>
    <definedName name="HTML_Control_3_3_2_1_2" localSheetId="14">{"'summary2'!$A$1:$L$47"}</definedName>
    <definedName name="HTML_Control_3_3_2_1_2">{"'summary2'!$A$1:$L$47"}</definedName>
    <definedName name="HTML_Control_3_3_2_1_3" localSheetId="14">{"'summary2'!$A$1:$L$47"}</definedName>
    <definedName name="HTML_Control_3_3_2_1_3">{"'summary2'!$A$1:$L$47"}</definedName>
    <definedName name="HTML_Control_3_3_2_1_4" localSheetId="14">{"'summary2'!$A$1:$L$47"}</definedName>
    <definedName name="HTML_Control_3_3_2_1_4">{"'summary2'!$A$1:$L$47"}</definedName>
    <definedName name="HTML_Control_3_3_2_1_5" localSheetId="14">{"'summary2'!$A$1:$L$47"}</definedName>
    <definedName name="HTML_Control_3_3_2_1_5">{"'summary2'!$A$1:$L$47"}</definedName>
    <definedName name="HTML_Control_3_3_2_2" localSheetId="14">{"'summary2'!$A$1:$L$47"}</definedName>
    <definedName name="HTML_Control_3_3_2_2">{"'summary2'!$A$1:$L$47"}</definedName>
    <definedName name="HTML_Control_3_3_2_3" localSheetId="14">{"'summary2'!$A$1:$L$47"}</definedName>
    <definedName name="HTML_Control_3_3_2_3">{"'summary2'!$A$1:$L$47"}</definedName>
    <definedName name="HTML_Control_3_3_2_4" localSheetId="14">{"'summary2'!$A$1:$L$47"}</definedName>
    <definedName name="HTML_Control_3_3_2_4">{"'summary2'!$A$1:$L$47"}</definedName>
    <definedName name="HTML_Control_3_3_2_5" localSheetId="14">{"'summary2'!$A$1:$L$47"}</definedName>
    <definedName name="HTML_Control_3_3_2_5">{"'summary2'!$A$1:$L$47"}</definedName>
    <definedName name="HTML_Control_3_3_3" localSheetId="14">{"'summary2'!$A$1:$L$47"}</definedName>
    <definedName name="HTML_Control_3_3_3">{"'summary2'!$A$1:$L$47"}</definedName>
    <definedName name="HTML_Control_3_3_3_1" localSheetId="14">{"'summary2'!$A$1:$L$47"}</definedName>
    <definedName name="HTML_Control_3_3_3_1">{"'summary2'!$A$1:$L$47"}</definedName>
    <definedName name="HTML_Control_3_3_3_2" localSheetId="14">{"'summary2'!$A$1:$L$47"}</definedName>
    <definedName name="HTML_Control_3_3_3_2">{"'summary2'!$A$1:$L$47"}</definedName>
    <definedName name="HTML_Control_3_3_3_3" localSheetId="14">{"'summary2'!$A$1:$L$47"}</definedName>
    <definedName name="HTML_Control_3_3_3_3">{"'summary2'!$A$1:$L$47"}</definedName>
    <definedName name="HTML_Control_3_3_3_4" localSheetId="14">{"'summary2'!$A$1:$L$47"}</definedName>
    <definedName name="HTML_Control_3_3_3_4">{"'summary2'!$A$1:$L$47"}</definedName>
    <definedName name="HTML_Control_3_3_3_5" localSheetId="14">{"'summary2'!$A$1:$L$47"}</definedName>
    <definedName name="HTML_Control_3_3_3_5">{"'summary2'!$A$1:$L$47"}</definedName>
    <definedName name="HTML_Control_3_3_4" localSheetId="14">{"'summary2'!$A$1:$L$47"}</definedName>
    <definedName name="HTML_Control_3_3_4">{"'summary2'!$A$1:$L$47"}</definedName>
    <definedName name="HTML_Control_3_3_4_1" localSheetId="14">{"'summary2'!$A$1:$L$47"}</definedName>
    <definedName name="HTML_Control_3_3_4_1">{"'summary2'!$A$1:$L$47"}</definedName>
    <definedName name="HTML_Control_3_3_4_2" localSheetId="14">{"'summary2'!$A$1:$L$47"}</definedName>
    <definedName name="HTML_Control_3_3_4_2">{"'summary2'!$A$1:$L$47"}</definedName>
    <definedName name="HTML_Control_3_3_4_3" localSheetId="14">{"'summary2'!$A$1:$L$47"}</definedName>
    <definedName name="HTML_Control_3_3_4_3">{"'summary2'!$A$1:$L$47"}</definedName>
    <definedName name="HTML_Control_3_3_4_4" localSheetId="14">{"'summary2'!$A$1:$L$47"}</definedName>
    <definedName name="HTML_Control_3_3_4_4">{"'summary2'!$A$1:$L$47"}</definedName>
    <definedName name="HTML_Control_3_3_4_5" localSheetId="14">{"'summary2'!$A$1:$L$47"}</definedName>
    <definedName name="HTML_Control_3_3_4_5">{"'summary2'!$A$1:$L$47"}</definedName>
    <definedName name="HTML_Control_3_3_5" localSheetId="14">{"'summary2'!$A$1:$L$47"}</definedName>
    <definedName name="HTML_Control_3_3_5">{"'summary2'!$A$1:$L$47"}</definedName>
    <definedName name="HTML_Control_3_3_5_1" localSheetId="14">{"'summary2'!$A$1:$L$47"}</definedName>
    <definedName name="HTML_Control_3_3_5_1">{"'summary2'!$A$1:$L$47"}</definedName>
    <definedName name="HTML_Control_3_3_5_2" localSheetId="14">{"'summary2'!$A$1:$L$47"}</definedName>
    <definedName name="HTML_Control_3_3_5_2">{"'summary2'!$A$1:$L$47"}</definedName>
    <definedName name="HTML_Control_3_3_5_3" localSheetId="14">{"'summary2'!$A$1:$L$47"}</definedName>
    <definedName name="HTML_Control_3_3_5_3">{"'summary2'!$A$1:$L$47"}</definedName>
    <definedName name="HTML_Control_3_3_5_4" localSheetId="14">{"'summary2'!$A$1:$L$47"}</definedName>
    <definedName name="HTML_Control_3_3_5_4">{"'summary2'!$A$1:$L$47"}</definedName>
    <definedName name="HTML_Control_3_3_5_5" localSheetId="14">{"'summary2'!$A$1:$L$47"}</definedName>
    <definedName name="HTML_Control_3_3_5_5">{"'summary2'!$A$1:$L$47"}</definedName>
    <definedName name="HTML_Control_3_4" localSheetId="14">{"'summary2'!$A$1:$L$47"}</definedName>
    <definedName name="HTML_Control_3_4">{"'summary2'!$A$1:$L$47"}</definedName>
    <definedName name="HTML_Control_3_4_1" localSheetId="14">{"'summary2'!$A$1:$L$47"}</definedName>
    <definedName name="HTML_Control_3_4_1">{"'summary2'!$A$1:$L$47"}</definedName>
    <definedName name="HTML_Control_3_4_1_1" localSheetId="14">{"'summary2'!$A$1:$L$47"}</definedName>
    <definedName name="HTML_Control_3_4_1_1">{"'summary2'!$A$1:$L$47"}</definedName>
    <definedName name="HTML_Control_3_4_1_1_1" localSheetId="14">{"'summary2'!$A$1:$L$47"}</definedName>
    <definedName name="HTML_Control_3_4_1_1_1">{"'summary2'!$A$1:$L$47"}</definedName>
    <definedName name="HTML_Control_3_4_1_1_1_1" localSheetId="14">{"'summary2'!$A$1:$L$47"}</definedName>
    <definedName name="HTML_Control_3_4_1_1_1_1">{"'summary2'!$A$1:$L$47"}</definedName>
    <definedName name="HTML_Control_3_4_1_1_1_2" localSheetId="14">{"'summary2'!$A$1:$L$47"}</definedName>
    <definedName name="HTML_Control_3_4_1_1_1_2">{"'summary2'!$A$1:$L$47"}</definedName>
    <definedName name="HTML_Control_3_4_1_1_1_3" localSheetId="14">{"'summary2'!$A$1:$L$47"}</definedName>
    <definedName name="HTML_Control_3_4_1_1_1_3">{"'summary2'!$A$1:$L$47"}</definedName>
    <definedName name="HTML_Control_3_4_1_1_1_4" localSheetId="14">{"'summary2'!$A$1:$L$47"}</definedName>
    <definedName name="HTML_Control_3_4_1_1_1_4">{"'summary2'!$A$1:$L$47"}</definedName>
    <definedName name="HTML_Control_3_4_1_1_1_5" localSheetId="14">{"'summary2'!$A$1:$L$47"}</definedName>
    <definedName name="HTML_Control_3_4_1_1_1_5">{"'summary2'!$A$1:$L$47"}</definedName>
    <definedName name="HTML_Control_3_4_1_1_2" localSheetId="14">{"'summary2'!$A$1:$L$47"}</definedName>
    <definedName name="HTML_Control_3_4_1_1_2">{"'summary2'!$A$1:$L$47"}</definedName>
    <definedName name="HTML_Control_3_4_1_1_3" localSheetId="14">{"'summary2'!$A$1:$L$47"}</definedName>
    <definedName name="HTML_Control_3_4_1_1_3">{"'summary2'!$A$1:$L$47"}</definedName>
    <definedName name="HTML_Control_3_4_1_1_4" localSheetId="14">{"'summary2'!$A$1:$L$47"}</definedName>
    <definedName name="HTML_Control_3_4_1_1_4">{"'summary2'!$A$1:$L$47"}</definedName>
    <definedName name="HTML_Control_3_4_1_1_5" localSheetId="14">{"'summary2'!$A$1:$L$47"}</definedName>
    <definedName name="HTML_Control_3_4_1_1_5">{"'summary2'!$A$1:$L$47"}</definedName>
    <definedName name="HTML_Control_3_4_1_2" localSheetId="14">{"'summary2'!$A$1:$L$47"}</definedName>
    <definedName name="HTML_Control_3_4_1_2">{"'summary2'!$A$1:$L$47"}</definedName>
    <definedName name="HTML_Control_3_4_1_2_1" localSheetId="14">{"'summary2'!$A$1:$L$47"}</definedName>
    <definedName name="HTML_Control_3_4_1_2_1">{"'summary2'!$A$1:$L$47"}</definedName>
    <definedName name="HTML_Control_3_4_1_2_2" localSheetId="14">{"'summary2'!$A$1:$L$47"}</definedName>
    <definedName name="HTML_Control_3_4_1_2_2">{"'summary2'!$A$1:$L$47"}</definedName>
    <definedName name="HTML_Control_3_4_1_2_3" localSheetId="14">{"'summary2'!$A$1:$L$47"}</definedName>
    <definedName name="HTML_Control_3_4_1_2_3">{"'summary2'!$A$1:$L$47"}</definedName>
    <definedName name="HTML_Control_3_4_1_2_4" localSheetId="14">{"'summary2'!$A$1:$L$47"}</definedName>
    <definedName name="HTML_Control_3_4_1_2_4">{"'summary2'!$A$1:$L$47"}</definedName>
    <definedName name="HTML_Control_3_4_1_2_5" localSheetId="14">{"'summary2'!$A$1:$L$47"}</definedName>
    <definedName name="HTML_Control_3_4_1_2_5">{"'summary2'!$A$1:$L$47"}</definedName>
    <definedName name="HTML_Control_3_4_1_3" localSheetId="14">{"'summary2'!$A$1:$L$47"}</definedName>
    <definedName name="HTML_Control_3_4_1_3">{"'summary2'!$A$1:$L$47"}</definedName>
    <definedName name="HTML_Control_3_4_1_3_1" localSheetId="14">{"'summary2'!$A$1:$L$47"}</definedName>
    <definedName name="HTML_Control_3_4_1_3_1">{"'summary2'!$A$1:$L$47"}</definedName>
    <definedName name="HTML_Control_3_4_1_3_2" localSheetId="14">{"'summary2'!$A$1:$L$47"}</definedName>
    <definedName name="HTML_Control_3_4_1_3_2">{"'summary2'!$A$1:$L$47"}</definedName>
    <definedName name="HTML_Control_3_4_1_3_3" localSheetId="14">{"'summary2'!$A$1:$L$47"}</definedName>
    <definedName name="HTML_Control_3_4_1_3_3">{"'summary2'!$A$1:$L$47"}</definedName>
    <definedName name="HTML_Control_3_4_1_3_4" localSheetId="14">{"'summary2'!$A$1:$L$47"}</definedName>
    <definedName name="HTML_Control_3_4_1_3_4">{"'summary2'!$A$1:$L$47"}</definedName>
    <definedName name="HTML_Control_3_4_1_3_5" localSheetId="14">{"'summary2'!$A$1:$L$47"}</definedName>
    <definedName name="HTML_Control_3_4_1_3_5">{"'summary2'!$A$1:$L$47"}</definedName>
    <definedName name="HTML_Control_3_4_1_4" localSheetId="14">{"'summary2'!$A$1:$L$47"}</definedName>
    <definedName name="HTML_Control_3_4_1_4">{"'summary2'!$A$1:$L$47"}</definedName>
    <definedName name="HTML_Control_3_4_1_4_1" localSheetId="14">{"'summary2'!$A$1:$L$47"}</definedName>
    <definedName name="HTML_Control_3_4_1_4_1">{"'summary2'!$A$1:$L$47"}</definedName>
    <definedName name="HTML_Control_3_4_1_4_2" localSheetId="14">{"'summary2'!$A$1:$L$47"}</definedName>
    <definedName name="HTML_Control_3_4_1_4_2">{"'summary2'!$A$1:$L$47"}</definedName>
    <definedName name="HTML_Control_3_4_1_4_3" localSheetId="14">{"'summary2'!$A$1:$L$47"}</definedName>
    <definedName name="HTML_Control_3_4_1_4_3">{"'summary2'!$A$1:$L$47"}</definedName>
    <definedName name="HTML_Control_3_4_1_4_4" localSheetId="14">{"'summary2'!$A$1:$L$47"}</definedName>
    <definedName name="HTML_Control_3_4_1_4_4">{"'summary2'!$A$1:$L$47"}</definedName>
    <definedName name="HTML_Control_3_4_1_4_5" localSheetId="14">{"'summary2'!$A$1:$L$47"}</definedName>
    <definedName name="HTML_Control_3_4_1_4_5">{"'summary2'!$A$1:$L$47"}</definedName>
    <definedName name="HTML_Control_3_4_1_5" localSheetId="14">{"'summary2'!$A$1:$L$47"}</definedName>
    <definedName name="HTML_Control_3_4_1_5">{"'summary2'!$A$1:$L$47"}</definedName>
    <definedName name="HTML_Control_3_4_1_5_1" localSheetId="14">{"'summary2'!$A$1:$L$47"}</definedName>
    <definedName name="HTML_Control_3_4_1_5_1">{"'summary2'!$A$1:$L$47"}</definedName>
    <definedName name="HTML_Control_3_4_1_5_2" localSheetId="14">{"'summary2'!$A$1:$L$47"}</definedName>
    <definedName name="HTML_Control_3_4_1_5_2">{"'summary2'!$A$1:$L$47"}</definedName>
    <definedName name="HTML_Control_3_4_1_5_3" localSheetId="14">{"'summary2'!$A$1:$L$47"}</definedName>
    <definedName name="HTML_Control_3_4_1_5_3">{"'summary2'!$A$1:$L$47"}</definedName>
    <definedName name="HTML_Control_3_4_1_5_4" localSheetId="14">{"'summary2'!$A$1:$L$47"}</definedName>
    <definedName name="HTML_Control_3_4_1_5_4">{"'summary2'!$A$1:$L$47"}</definedName>
    <definedName name="HTML_Control_3_4_1_5_5" localSheetId="14">{"'summary2'!$A$1:$L$47"}</definedName>
    <definedName name="HTML_Control_3_4_1_5_5">{"'summary2'!$A$1:$L$47"}</definedName>
    <definedName name="HTML_Control_3_4_2" localSheetId="14">{"'summary2'!$A$1:$L$47"}</definedName>
    <definedName name="HTML_Control_3_4_2">{"'summary2'!$A$1:$L$47"}</definedName>
    <definedName name="HTML_Control_3_4_2_1" localSheetId="14">{"'summary2'!$A$1:$L$47"}</definedName>
    <definedName name="HTML_Control_3_4_2_1">{"'summary2'!$A$1:$L$47"}</definedName>
    <definedName name="HTML_Control_3_4_2_1_1" localSheetId="14">{"'summary2'!$A$1:$L$47"}</definedName>
    <definedName name="HTML_Control_3_4_2_1_1">{"'summary2'!$A$1:$L$47"}</definedName>
    <definedName name="HTML_Control_3_4_2_1_2" localSheetId="14">{"'summary2'!$A$1:$L$47"}</definedName>
    <definedName name="HTML_Control_3_4_2_1_2">{"'summary2'!$A$1:$L$47"}</definedName>
    <definedName name="HTML_Control_3_4_2_1_3" localSheetId="14">{"'summary2'!$A$1:$L$47"}</definedName>
    <definedName name="HTML_Control_3_4_2_1_3">{"'summary2'!$A$1:$L$47"}</definedName>
    <definedName name="HTML_Control_3_4_2_1_4" localSheetId="14">{"'summary2'!$A$1:$L$47"}</definedName>
    <definedName name="HTML_Control_3_4_2_1_4">{"'summary2'!$A$1:$L$47"}</definedName>
    <definedName name="HTML_Control_3_4_2_1_5" localSheetId="14">{"'summary2'!$A$1:$L$47"}</definedName>
    <definedName name="HTML_Control_3_4_2_1_5">{"'summary2'!$A$1:$L$47"}</definedName>
    <definedName name="HTML_Control_3_4_2_2" localSheetId="14">{"'summary2'!$A$1:$L$47"}</definedName>
    <definedName name="HTML_Control_3_4_2_2">{"'summary2'!$A$1:$L$47"}</definedName>
    <definedName name="HTML_Control_3_4_2_3" localSheetId="14">{"'summary2'!$A$1:$L$47"}</definedName>
    <definedName name="HTML_Control_3_4_2_3">{"'summary2'!$A$1:$L$47"}</definedName>
    <definedName name="HTML_Control_3_4_2_4" localSheetId="14">{"'summary2'!$A$1:$L$47"}</definedName>
    <definedName name="HTML_Control_3_4_2_4">{"'summary2'!$A$1:$L$47"}</definedName>
    <definedName name="HTML_Control_3_4_2_5" localSheetId="14">{"'summary2'!$A$1:$L$47"}</definedName>
    <definedName name="HTML_Control_3_4_2_5">{"'summary2'!$A$1:$L$47"}</definedName>
    <definedName name="HTML_Control_3_4_3" localSheetId="14">{"'summary2'!$A$1:$L$47"}</definedName>
    <definedName name="HTML_Control_3_4_3">{"'summary2'!$A$1:$L$47"}</definedName>
    <definedName name="HTML_Control_3_4_3_1" localSheetId="14">{"'summary2'!$A$1:$L$47"}</definedName>
    <definedName name="HTML_Control_3_4_3_1">{"'summary2'!$A$1:$L$47"}</definedName>
    <definedName name="HTML_Control_3_4_3_2" localSheetId="14">{"'summary2'!$A$1:$L$47"}</definedName>
    <definedName name="HTML_Control_3_4_3_2">{"'summary2'!$A$1:$L$47"}</definedName>
    <definedName name="HTML_Control_3_4_3_3" localSheetId="14">{"'summary2'!$A$1:$L$47"}</definedName>
    <definedName name="HTML_Control_3_4_3_3">{"'summary2'!$A$1:$L$47"}</definedName>
    <definedName name="HTML_Control_3_4_3_4" localSheetId="14">{"'summary2'!$A$1:$L$47"}</definedName>
    <definedName name="HTML_Control_3_4_3_4">{"'summary2'!$A$1:$L$47"}</definedName>
    <definedName name="HTML_Control_3_4_3_5" localSheetId="14">{"'summary2'!$A$1:$L$47"}</definedName>
    <definedName name="HTML_Control_3_4_3_5">{"'summary2'!$A$1:$L$47"}</definedName>
    <definedName name="HTML_Control_3_4_4" localSheetId="14">{"'summary2'!$A$1:$L$47"}</definedName>
    <definedName name="HTML_Control_3_4_4">{"'summary2'!$A$1:$L$47"}</definedName>
    <definedName name="HTML_Control_3_4_4_1" localSheetId="14">{"'summary2'!$A$1:$L$47"}</definedName>
    <definedName name="HTML_Control_3_4_4_1">{"'summary2'!$A$1:$L$47"}</definedName>
    <definedName name="HTML_Control_3_4_4_2" localSheetId="14">{"'summary2'!$A$1:$L$47"}</definedName>
    <definedName name="HTML_Control_3_4_4_2">{"'summary2'!$A$1:$L$47"}</definedName>
    <definedName name="HTML_Control_3_4_4_3" localSheetId="14">{"'summary2'!$A$1:$L$47"}</definedName>
    <definedName name="HTML_Control_3_4_4_3">{"'summary2'!$A$1:$L$47"}</definedName>
    <definedName name="HTML_Control_3_4_4_4" localSheetId="14">{"'summary2'!$A$1:$L$47"}</definedName>
    <definedName name="HTML_Control_3_4_4_4">{"'summary2'!$A$1:$L$47"}</definedName>
    <definedName name="HTML_Control_3_4_4_5" localSheetId="14">{"'summary2'!$A$1:$L$47"}</definedName>
    <definedName name="HTML_Control_3_4_4_5">{"'summary2'!$A$1:$L$47"}</definedName>
    <definedName name="HTML_Control_3_4_5" localSheetId="14">{"'summary2'!$A$1:$L$47"}</definedName>
    <definedName name="HTML_Control_3_4_5">{"'summary2'!$A$1:$L$47"}</definedName>
    <definedName name="HTML_Control_3_4_5_1" localSheetId="14">{"'summary2'!$A$1:$L$47"}</definedName>
    <definedName name="HTML_Control_3_4_5_1">{"'summary2'!$A$1:$L$47"}</definedName>
    <definedName name="HTML_Control_3_4_5_2" localSheetId="14">{"'summary2'!$A$1:$L$47"}</definedName>
    <definedName name="HTML_Control_3_4_5_2">{"'summary2'!$A$1:$L$47"}</definedName>
    <definedName name="HTML_Control_3_4_5_3" localSheetId="14">{"'summary2'!$A$1:$L$47"}</definedName>
    <definedName name="HTML_Control_3_4_5_3">{"'summary2'!$A$1:$L$47"}</definedName>
    <definedName name="HTML_Control_3_4_5_4" localSheetId="14">{"'summary2'!$A$1:$L$47"}</definedName>
    <definedName name="HTML_Control_3_4_5_4">{"'summary2'!$A$1:$L$47"}</definedName>
    <definedName name="HTML_Control_3_4_5_5" localSheetId="14">{"'summary2'!$A$1:$L$47"}</definedName>
    <definedName name="HTML_Control_3_4_5_5">{"'summary2'!$A$1:$L$47"}</definedName>
    <definedName name="HTML_Control_3_5" localSheetId="14">{"'summary2'!$A$1:$L$47"}</definedName>
    <definedName name="HTML_Control_3_5">{"'summary2'!$A$1:$L$47"}</definedName>
    <definedName name="HTML_Control_3_5_1" localSheetId="14">{"'summary2'!$A$1:$L$47"}</definedName>
    <definedName name="HTML_Control_3_5_1">{"'summary2'!$A$1:$L$47"}</definedName>
    <definedName name="HTML_Control_3_5_1_1" localSheetId="14">{"'summary2'!$A$1:$L$47"}</definedName>
    <definedName name="HTML_Control_3_5_1_1">{"'summary2'!$A$1:$L$47"}</definedName>
    <definedName name="HTML_Control_3_5_1_1_1" localSheetId="14">{"'summary2'!$A$1:$L$47"}</definedName>
    <definedName name="HTML_Control_3_5_1_1_1">{"'summary2'!$A$1:$L$47"}</definedName>
    <definedName name="HTML_Control_3_5_1_1_1_1" localSheetId="14">{"'summary2'!$A$1:$L$47"}</definedName>
    <definedName name="HTML_Control_3_5_1_1_1_1">{"'summary2'!$A$1:$L$47"}</definedName>
    <definedName name="HTML_Control_3_5_1_1_1_2" localSheetId="14">{"'summary2'!$A$1:$L$47"}</definedName>
    <definedName name="HTML_Control_3_5_1_1_1_2">{"'summary2'!$A$1:$L$47"}</definedName>
    <definedName name="HTML_Control_3_5_1_1_1_3" localSheetId="14">{"'summary2'!$A$1:$L$47"}</definedName>
    <definedName name="HTML_Control_3_5_1_1_1_3">{"'summary2'!$A$1:$L$47"}</definedName>
    <definedName name="HTML_Control_3_5_1_1_1_4" localSheetId="14">{"'summary2'!$A$1:$L$47"}</definedName>
    <definedName name="HTML_Control_3_5_1_1_1_4">{"'summary2'!$A$1:$L$47"}</definedName>
    <definedName name="HTML_Control_3_5_1_1_1_5" localSheetId="14">{"'summary2'!$A$1:$L$47"}</definedName>
    <definedName name="HTML_Control_3_5_1_1_1_5">{"'summary2'!$A$1:$L$47"}</definedName>
    <definedName name="HTML_Control_3_5_1_1_2" localSheetId="14">{"'summary2'!$A$1:$L$47"}</definedName>
    <definedName name="HTML_Control_3_5_1_1_2">{"'summary2'!$A$1:$L$47"}</definedName>
    <definedName name="HTML_Control_3_5_1_1_3" localSheetId="14">{"'summary2'!$A$1:$L$47"}</definedName>
    <definedName name="HTML_Control_3_5_1_1_3">{"'summary2'!$A$1:$L$47"}</definedName>
    <definedName name="HTML_Control_3_5_1_1_4" localSheetId="14">{"'summary2'!$A$1:$L$47"}</definedName>
    <definedName name="HTML_Control_3_5_1_1_4">{"'summary2'!$A$1:$L$47"}</definedName>
    <definedName name="HTML_Control_3_5_1_1_5" localSheetId="14">{"'summary2'!$A$1:$L$47"}</definedName>
    <definedName name="HTML_Control_3_5_1_1_5">{"'summary2'!$A$1:$L$47"}</definedName>
    <definedName name="HTML_Control_3_5_1_2" localSheetId="14">{"'summary2'!$A$1:$L$47"}</definedName>
    <definedName name="HTML_Control_3_5_1_2">{"'summary2'!$A$1:$L$47"}</definedName>
    <definedName name="HTML_Control_3_5_1_2_1" localSheetId="14">{"'summary2'!$A$1:$L$47"}</definedName>
    <definedName name="HTML_Control_3_5_1_2_1">{"'summary2'!$A$1:$L$47"}</definedName>
    <definedName name="HTML_Control_3_5_1_2_2" localSheetId="14">{"'summary2'!$A$1:$L$47"}</definedName>
    <definedName name="HTML_Control_3_5_1_2_2">{"'summary2'!$A$1:$L$47"}</definedName>
    <definedName name="HTML_Control_3_5_1_2_3" localSheetId="14">{"'summary2'!$A$1:$L$47"}</definedName>
    <definedName name="HTML_Control_3_5_1_2_3">{"'summary2'!$A$1:$L$47"}</definedName>
    <definedName name="HTML_Control_3_5_1_2_4" localSheetId="14">{"'summary2'!$A$1:$L$47"}</definedName>
    <definedName name="HTML_Control_3_5_1_2_4">{"'summary2'!$A$1:$L$47"}</definedName>
    <definedName name="HTML_Control_3_5_1_2_5" localSheetId="14">{"'summary2'!$A$1:$L$47"}</definedName>
    <definedName name="HTML_Control_3_5_1_2_5">{"'summary2'!$A$1:$L$47"}</definedName>
    <definedName name="HTML_Control_3_5_1_3" localSheetId="14">{"'summary2'!$A$1:$L$47"}</definedName>
    <definedName name="HTML_Control_3_5_1_3">{"'summary2'!$A$1:$L$47"}</definedName>
    <definedName name="HTML_Control_3_5_1_3_1" localSheetId="14">{"'summary2'!$A$1:$L$47"}</definedName>
    <definedName name="HTML_Control_3_5_1_3_1">{"'summary2'!$A$1:$L$47"}</definedName>
    <definedName name="HTML_Control_3_5_1_3_2" localSheetId="14">{"'summary2'!$A$1:$L$47"}</definedName>
    <definedName name="HTML_Control_3_5_1_3_2">{"'summary2'!$A$1:$L$47"}</definedName>
    <definedName name="HTML_Control_3_5_1_3_3" localSheetId="14">{"'summary2'!$A$1:$L$47"}</definedName>
    <definedName name="HTML_Control_3_5_1_3_3">{"'summary2'!$A$1:$L$47"}</definedName>
    <definedName name="HTML_Control_3_5_1_3_4" localSheetId="14">{"'summary2'!$A$1:$L$47"}</definedName>
    <definedName name="HTML_Control_3_5_1_3_4">{"'summary2'!$A$1:$L$47"}</definedName>
    <definedName name="HTML_Control_3_5_1_3_5" localSheetId="14">{"'summary2'!$A$1:$L$47"}</definedName>
    <definedName name="HTML_Control_3_5_1_3_5">{"'summary2'!$A$1:$L$47"}</definedName>
    <definedName name="HTML_Control_3_5_1_4" localSheetId="14">{"'summary2'!$A$1:$L$47"}</definedName>
    <definedName name="HTML_Control_3_5_1_4">{"'summary2'!$A$1:$L$47"}</definedName>
    <definedName name="HTML_Control_3_5_1_4_1" localSheetId="14">{"'summary2'!$A$1:$L$47"}</definedName>
    <definedName name="HTML_Control_3_5_1_4_1">{"'summary2'!$A$1:$L$47"}</definedName>
    <definedName name="HTML_Control_3_5_1_4_2" localSheetId="14">{"'summary2'!$A$1:$L$47"}</definedName>
    <definedName name="HTML_Control_3_5_1_4_2">{"'summary2'!$A$1:$L$47"}</definedName>
    <definedName name="HTML_Control_3_5_1_4_3" localSheetId="14">{"'summary2'!$A$1:$L$47"}</definedName>
    <definedName name="HTML_Control_3_5_1_4_3">{"'summary2'!$A$1:$L$47"}</definedName>
    <definedName name="HTML_Control_3_5_1_4_4" localSheetId="14">{"'summary2'!$A$1:$L$47"}</definedName>
    <definedName name="HTML_Control_3_5_1_4_4">{"'summary2'!$A$1:$L$47"}</definedName>
    <definedName name="HTML_Control_3_5_1_4_5" localSheetId="14">{"'summary2'!$A$1:$L$47"}</definedName>
    <definedName name="HTML_Control_3_5_1_4_5">{"'summary2'!$A$1:$L$47"}</definedName>
    <definedName name="HTML_Control_3_5_1_5" localSheetId="14">{"'summary2'!$A$1:$L$47"}</definedName>
    <definedName name="HTML_Control_3_5_1_5">{"'summary2'!$A$1:$L$47"}</definedName>
    <definedName name="HTML_Control_3_5_1_5_1" localSheetId="14">{"'summary2'!$A$1:$L$47"}</definedName>
    <definedName name="HTML_Control_3_5_1_5_1">{"'summary2'!$A$1:$L$47"}</definedName>
    <definedName name="HTML_Control_3_5_1_5_2" localSheetId="14">{"'summary2'!$A$1:$L$47"}</definedName>
    <definedName name="HTML_Control_3_5_1_5_2">{"'summary2'!$A$1:$L$47"}</definedName>
    <definedName name="HTML_Control_3_5_1_5_3" localSheetId="14">{"'summary2'!$A$1:$L$47"}</definedName>
    <definedName name="HTML_Control_3_5_1_5_3">{"'summary2'!$A$1:$L$47"}</definedName>
    <definedName name="HTML_Control_3_5_1_5_4" localSheetId="14">{"'summary2'!$A$1:$L$47"}</definedName>
    <definedName name="HTML_Control_3_5_1_5_4">{"'summary2'!$A$1:$L$47"}</definedName>
    <definedName name="HTML_Control_3_5_1_5_5" localSheetId="14">{"'summary2'!$A$1:$L$47"}</definedName>
    <definedName name="HTML_Control_3_5_1_5_5">{"'summary2'!$A$1:$L$47"}</definedName>
    <definedName name="HTML_Control_3_5_2" localSheetId="14">{"'summary2'!$A$1:$L$47"}</definedName>
    <definedName name="HTML_Control_3_5_2">{"'summary2'!$A$1:$L$47"}</definedName>
    <definedName name="HTML_Control_3_5_2_1" localSheetId="14">{"'summary2'!$A$1:$L$47"}</definedName>
    <definedName name="HTML_Control_3_5_2_1">{"'summary2'!$A$1:$L$47"}</definedName>
    <definedName name="HTML_Control_3_5_2_1_1" localSheetId="14">{"'summary2'!$A$1:$L$47"}</definedName>
    <definedName name="HTML_Control_3_5_2_1_1">{"'summary2'!$A$1:$L$47"}</definedName>
    <definedName name="HTML_Control_3_5_2_1_2" localSheetId="14">{"'summary2'!$A$1:$L$47"}</definedName>
    <definedName name="HTML_Control_3_5_2_1_2">{"'summary2'!$A$1:$L$47"}</definedName>
    <definedName name="HTML_Control_3_5_2_1_3" localSheetId="14">{"'summary2'!$A$1:$L$47"}</definedName>
    <definedName name="HTML_Control_3_5_2_1_3">{"'summary2'!$A$1:$L$47"}</definedName>
    <definedName name="HTML_Control_3_5_2_1_4" localSheetId="14">{"'summary2'!$A$1:$L$47"}</definedName>
    <definedName name="HTML_Control_3_5_2_1_4">{"'summary2'!$A$1:$L$47"}</definedName>
    <definedName name="HTML_Control_3_5_2_1_5" localSheetId="14">{"'summary2'!$A$1:$L$47"}</definedName>
    <definedName name="HTML_Control_3_5_2_1_5">{"'summary2'!$A$1:$L$47"}</definedName>
    <definedName name="HTML_Control_3_5_2_2" localSheetId="14">{"'summary2'!$A$1:$L$47"}</definedName>
    <definedName name="HTML_Control_3_5_2_2">{"'summary2'!$A$1:$L$47"}</definedName>
    <definedName name="HTML_Control_3_5_2_3" localSheetId="14">{"'summary2'!$A$1:$L$47"}</definedName>
    <definedName name="HTML_Control_3_5_2_3">{"'summary2'!$A$1:$L$47"}</definedName>
    <definedName name="HTML_Control_3_5_2_4" localSheetId="14">{"'summary2'!$A$1:$L$47"}</definedName>
    <definedName name="HTML_Control_3_5_2_4">{"'summary2'!$A$1:$L$47"}</definedName>
    <definedName name="HTML_Control_3_5_2_5" localSheetId="14">{"'summary2'!$A$1:$L$47"}</definedName>
    <definedName name="HTML_Control_3_5_2_5">{"'summary2'!$A$1:$L$47"}</definedName>
    <definedName name="HTML_Control_3_5_3" localSheetId="14">{"'summary2'!$A$1:$L$47"}</definedName>
    <definedName name="HTML_Control_3_5_3">{"'summary2'!$A$1:$L$47"}</definedName>
    <definedName name="HTML_Control_3_5_3_1" localSheetId="14">{"'summary2'!$A$1:$L$47"}</definedName>
    <definedName name="HTML_Control_3_5_3_1">{"'summary2'!$A$1:$L$47"}</definedName>
    <definedName name="HTML_Control_3_5_3_2" localSheetId="14">{"'summary2'!$A$1:$L$47"}</definedName>
    <definedName name="HTML_Control_3_5_3_2">{"'summary2'!$A$1:$L$47"}</definedName>
    <definedName name="HTML_Control_3_5_3_3" localSheetId="14">{"'summary2'!$A$1:$L$47"}</definedName>
    <definedName name="HTML_Control_3_5_3_3">{"'summary2'!$A$1:$L$47"}</definedName>
    <definedName name="HTML_Control_3_5_3_4" localSheetId="14">{"'summary2'!$A$1:$L$47"}</definedName>
    <definedName name="HTML_Control_3_5_3_4">{"'summary2'!$A$1:$L$47"}</definedName>
    <definedName name="HTML_Control_3_5_3_5" localSheetId="14">{"'summary2'!$A$1:$L$47"}</definedName>
    <definedName name="HTML_Control_3_5_3_5">{"'summary2'!$A$1:$L$47"}</definedName>
    <definedName name="HTML_Control_3_5_4" localSheetId="14">{"'summary2'!$A$1:$L$47"}</definedName>
    <definedName name="HTML_Control_3_5_4">{"'summary2'!$A$1:$L$47"}</definedName>
    <definedName name="HTML_Control_3_5_4_1" localSheetId="14">{"'summary2'!$A$1:$L$47"}</definedName>
    <definedName name="HTML_Control_3_5_4_1">{"'summary2'!$A$1:$L$47"}</definedName>
    <definedName name="HTML_Control_3_5_4_2" localSheetId="14">{"'summary2'!$A$1:$L$47"}</definedName>
    <definedName name="HTML_Control_3_5_4_2">{"'summary2'!$A$1:$L$47"}</definedName>
    <definedName name="HTML_Control_3_5_4_3" localSheetId="14">{"'summary2'!$A$1:$L$47"}</definedName>
    <definedName name="HTML_Control_3_5_4_3">{"'summary2'!$A$1:$L$47"}</definedName>
    <definedName name="HTML_Control_3_5_4_4" localSheetId="14">{"'summary2'!$A$1:$L$47"}</definedName>
    <definedName name="HTML_Control_3_5_4_4">{"'summary2'!$A$1:$L$47"}</definedName>
    <definedName name="HTML_Control_3_5_4_5" localSheetId="14">{"'summary2'!$A$1:$L$47"}</definedName>
    <definedName name="HTML_Control_3_5_4_5">{"'summary2'!$A$1:$L$47"}</definedName>
    <definedName name="HTML_Control_3_5_5" localSheetId="14">{"'summary2'!$A$1:$L$47"}</definedName>
    <definedName name="HTML_Control_3_5_5">{"'summary2'!$A$1:$L$47"}</definedName>
    <definedName name="HTML_Control_3_5_5_1" localSheetId="14">{"'summary2'!$A$1:$L$47"}</definedName>
    <definedName name="HTML_Control_3_5_5_1">{"'summary2'!$A$1:$L$47"}</definedName>
    <definedName name="HTML_Control_3_5_5_2" localSheetId="14">{"'summary2'!$A$1:$L$47"}</definedName>
    <definedName name="HTML_Control_3_5_5_2">{"'summary2'!$A$1:$L$47"}</definedName>
    <definedName name="HTML_Control_3_5_5_3" localSheetId="14">{"'summary2'!$A$1:$L$47"}</definedName>
    <definedName name="HTML_Control_3_5_5_3">{"'summary2'!$A$1:$L$47"}</definedName>
    <definedName name="HTML_Control_3_5_5_4" localSheetId="14">{"'summary2'!$A$1:$L$47"}</definedName>
    <definedName name="HTML_Control_3_5_5_4">{"'summary2'!$A$1:$L$47"}</definedName>
    <definedName name="HTML_Control_3_5_5_5" localSheetId="14">{"'summary2'!$A$1:$L$47"}</definedName>
    <definedName name="HTML_Control_3_5_5_5">{"'summary2'!$A$1:$L$47"}</definedName>
    <definedName name="HTML_Control_4" localSheetId="14">{"'summary2'!$A$1:$L$47"}</definedName>
    <definedName name="HTML_Control_4">{"'summary2'!$A$1:$L$47"}</definedName>
    <definedName name="HTML_Control_4_1" localSheetId="14">{"'summary2'!$A$1:$L$47"}</definedName>
    <definedName name="HTML_Control_4_1">{"'summary2'!$A$1:$L$47"}</definedName>
    <definedName name="HTML_Control_4_1_1" localSheetId="14">{"'Worksheet'!$A$3:$R$184"}</definedName>
    <definedName name="HTML_Control_4_1_1">{"'Worksheet'!$A$3:$R$184"}</definedName>
    <definedName name="HTML_Control_4_1_1_1" localSheetId="14">{"'Worksheet'!$A$3:$R$184"}</definedName>
    <definedName name="HTML_Control_4_1_1_1">{"'Worksheet'!$A$3:$R$184"}</definedName>
    <definedName name="HTML_Control_4_1_1_1_1" localSheetId="14">{"'Worksheet'!$A$3:$R$184"}</definedName>
    <definedName name="HTML_Control_4_1_1_1_1">{"'Worksheet'!$A$3:$R$184"}</definedName>
    <definedName name="HTML_Control_4_1_1_1_1_1" localSheetId="14">{"'Worksheet'!$A$3:$R$184"}</definedName>
    <definedName name="HTML_Control_4_1_1_1_1_1">{"'Worksheet'!$A$3:$R$184"}</definedName>
    <definedName name="HTML_Control_4_1_1_1_1_2" localSheetId="14">{"'Worksheet'!$A$3:$R$184"}</definedName>
    <definedName name="HTML_Control_4_1_1_1_1_2">{"'Worksheet'!$A$3:$R$184"}</definedName>
    <definedName name="HTML_Control_4_1_1_1_1_3" localSheetId="14">{"'Worksheet'!$A$3:$R$184"}</definedName>
    <definedName name="HTML_Control_4_1_1_1_1_3">{"'Worksheet'!$A$3:$R$184"}</definedName>
    <definedName name="HTML_Control_4_1_1_1_1_4" localSheetId="14">{"'Worksheet'!$A$3:$R$184"}</definedName>
    <definedName name="HTML_Control_4_1_1_1_1_4">{"'Worksheet'!$A$3:$R$184"}</definedName>
    <definedName name="HTML_Control_4_1_1_1_1_5" localSheetId="14">{"'Worksheet'!$A$3:$R$184"}</definedName>
    <definedName name="HTML_Control_4_1_1_1_1_5">{"'Worksheet'!$A$3:$R$184"}</definedName>
    <definedName name="HTML_Control_4_1_1_1_2" localSheetId="14">{"'Worksheet'!$A$3:$R$184"}</definedName>
    <definedName name="HTML_Control_4_1_1_1_2">{"'Worksheet'!$A$3:$R$184"}</definedName>
    <definedName name="HTML_Control_4_1_1_1_3" localSheetId="14">{"'Worksheet'!$A$3:$R$184"}</definedName>
    <definedName name="HTML_Control_4_1_1_1_3">{"'Worksheet'!$A$3:$R$184"}</definedName>
    <definedName name="HTML_Control_4_1_1_1_4" localSheetId="14">{"'Worksheet'!$A$3:$R$184"}</definedName>
    <definedName name="HTML_Control_4_1_1_1_4">{"'Worksheet'!$A$3:$R$184"}</definedName>
    <definedName name="HTML_Control_4_1_1_1_5" localSheetId="14">{"'Worksheet'!$A$3:$R$184"}</definedName>
    <definedName name="HTML_Control_4_1_1_1_5">{"'Worksheet'!$A$3:$R$184"}</definedName>
    <definedName name="HTML_Control_4_1_1_2" localSheetId="14">{"'Worksheet'!$A$3:$R$184"}</definedName>
    <definedName name="HTML_Control_4_1_1_2">{"'Worksheet'!$A$3:$R$184"}</definedName>
    <definedName name="HTML_Control_4_1_1_2_1" localSheetId="14">{"'Worksheet'!$A$3:$R$184"}</definedName>
    <definedName name="HTML_Control_4_1_1_2_1">{"'Worksheet'!$A$3:$R$184"}</definedName>
    <definedName name="HTML_Control_4_1_1_2_2" localSheetId="14">{"'Worksheet'!$A$3:$R$184"}</definedName>
    <definedName name="HTML_Control_4_1_1_2_2">{"'Worksheet'!$A$3:$R$184"}</definedName>
    <definedName name="HTML_Control_4_1_1_2_3" localSheetId="14">{"'Worksheet'!$A$3:$R$184"}</definedName>
    <definedName name="HTML_Control_4_1_1_2_3">{"'Worksheet'!$A$3:$R$184"}</definedName>
    <definedName name="HTML_Control_4_1_1_2_4" localSheetId="14">{"'Worksheet'!$A$3:$R$184"}</definedName>
    <definedName name="HTML_Control_4_1_1_2_4">{"'Worksheet'!$A$3:$R$184"}</definedName>
    <definedName name="HTML_Control_4_1_1_2_5" localSheetId="14">{"'Worksheet'!$A$3:$R$184"}</definedName>
    <definedName name="HTML_Control_4_1_1_2_5">{"'Worksheet'!$A$3:$R$184"}</definedName>
    <definedName name="HTML_Control_4_1_1_3" localSheetId="14">{"'Worksheet'!$A$3:$R$184"}</definedName>
    <definedName name="HTML_Control_4_1_1_3">{"'Worksheet'!$A$3:$R$184"}</definedName>
    <definedName name="HTML_Control_4_1_1_3_1" localSheetId="14">{"'Worksheet'!$A$3:$R$184"}</definedName>
    <definedName name="HTML_Control_4_1_1_3_1">{"'Worksheet'!$A$3:$R$184"}</definedName>
    <definedName name="HTML_Control_4_1_1_3_2" localSheetId="14">{"'Worksheet'!$A$3:$R$184"}</definedName>
    <definedName name="HTML_Control_4_1_1_3_2">{"'Worksheet'!$A$3:$R$184"}</definedName>
    <definedName name="HTML_Control_4_1_1_3_3" localSheetId="14">{"'Worksheet'!$A$3:$R$184"}</definedName>
    <definedName name="HTML_Control_4_1_1_3_3">{"'Worksheet'!$A$3:$R$184"}</definedName>
    <definedName name="HTML_Control_4_1_1_3_4" localSheetId="14">{"'Worksheet'!$A$3:$R$184"}</definedName>
    <definedName name="HTML_Control_4_1_1_3_4">{"'Worksheet'!$A$3:$R$184"}</definedName>
    <definedName name="HTML_Control_4_1_1_3_5" localSheetId="14">{"'Worksheet'!$A$3:$R$184"}</definedName>
    <definedName name="HTML_Control_4_1_1_3_5">{"'Worksheet'!$A$3:$R$184"}</definedName>
    <definedName name="HTML_Control_4_1_1_4" localSheetId="14">{"'Worksheet'!$A$3:$R$184"}</definedName>
    <definedName name="HTML_Control_4_1_1_4">{"'Worksheet'!$A$3:$R$184"}</definedName>
    <definedName name="HTML_Control_4_1_1_4_1" localSheetId="14">{"'Worksheet'!$A$3:$R$184"}</definedName>
    <definedName name="HTML_Control_4_1_1_4_1">{"'Worksheet'!$A$3:$R$184"}</definedName>
    <definedName name="HTML_Control_4_1_1_4_2" localSheetId="14">{"'Worksheet'!$A$3:$R$184"}</definedName>
    <definedName name="HTML_Control_4_1_1_4_2">{"'Worksheet'!$A$3:$R$184"}</definedName>
    <definedName name="HTML_Control_4_1_1_4_3" localSheetId="14">{"'Worksheet'!$A$3:$R$184"}</definedName>
    <definedName name="HTML_Control_4_1_1_4_3">{"'Worksheet'!$A$3:$R$184"}</definedName>
    <definedName name="HTML_Control_4_1_1_4_4" localSheetId="14">{"'Worksheet'!$A$3:$R$184"}</definedName>
    <definedName name="HTML_Control_4_1_1_4_4">{"'Worksheet'!$A$3:$R$184"}</definedName>
    <definedName name="HTML_Control_4_1_1_4_5" localSheetId="14">{"'Worksheet'!$A$3:$R$184"}</definedName>
    <definedName name="HTML_Control_4_1_1_4_5">{"'Worksheet'!$A$3:$R$184"}</definedName>
    <definedName name="HTML_Control_4_1_1_5" localSheetId="14">{"'Worksheet'!$A$3:$R$184"}</definedName>
    <definedName name="HTML_Control_4_1_1_5">{"'Worksheet'!$A$3:$R$184"}</definedName>
    <definedName name="HTML_Control_4_1_1_5_1" localSheetId="14">{"'Worksheet'!$A$3:$R$184"}</definedName>
    <definedName name="HTML_Control_4_1_1_5_1">{"'Worksheet'!$A$3:$R$184"}</definedName>
    <definedName name="HTML_Control_4_1_1_5_2" localSheetId="14">{"'Worksheet'!$A$3:$R$184"}</definedName>
    <definedName name="HTML_Control_4_1_1_5_2">{"'Worksheet'!$A$3:$R$184"}</definedName>
    <definedName name="HTML_Control_4_1_1_5_3" localSheetId="14">{"'Worksheet'!$A$3:$R$184"}</definedName>
    <definedName name="HTML_Control_4_1_1_5_3">{"'Worksheet'!$A$3:$R$184"}</definedName>
    <definedName name="HTML_Control_4_1_1_5_4" localSheetId="14">{"'Worksheet'!$A$3:$R$184"}</definedName>
    <definedName name="HTML_Control_4_1_1_5_4">{"'Worksheet'!$A$3:$R$184"}</definedName>
    <definedName name="HTML_Control_4_1_1_5_5" localSheetId="14">{"'Worksheet'!$A$3:$R$184"}</definedName>
    <definedName name="HTML_Control_4_1_1_5_5">{"'Worksheet'!$A$3:$R$184"}</definedName>
    <definedName name="HTML_Control_4_1_2" localSheetId="14">{"'Worksheet'!$A$3:$R$184"}</definedName>
    <definedName name="HTML_Control_4_1_2">{"'Worksheet'!$A$3:$R$184"}</definedName>
    <definedName name="HTML_Control_4_1_2_1" localSheetId="14">{"'Worksheet'!$A$3:$R$184"}</definedName>
    <definedName name="HTML_Control_4_1_2_1">{"'Worksheet'!$A$3:$R$184"}</definedName>
    <definedName name="HTML_Control_4_1_2_1_1" localSheetId="14">{"'Worksheet'!$A$3:$R$184"}</definedName>
    <definedName name="HTML_Control_4_1_2_1_1">{"'Worksheet'!$A$3:$R$184"}</definedName>
    <definedName name="HTML_Control_4_1_2_1_2" localSheetId="14">{"'Worksheet'!$A$3:$R$184"}</definedName>
    <definedName name="HTML_Control_4_1_2_1_2">{"'Worksheet'!$A$3:$R$184"}</definedName>
    <definedName name="HTML_Control_4_1_2_1_3" localSheetId="14">{"'Worksheet'!$A$3:$R$184"}</definedName>
    <definedName name="HTML_Control_4_1_2_1_3">{"'Worksheet'!$A$3:$R$184"}</definedName>
    <definedName name="HTML_Control_4_1_2_1_4" localSheetId="14">{"'Worksheet'!$A$3:$R$184"}</definedName>
    <definedName name="HTML_Control_4_1_2_1_4">{"'Worksheet'!$A$3:$R$184"}</definedName>
    <definedName name="HTML_Control_4_1_2_1_5" localSheetId="14">{"'Worksheet'!$A$3:$R$184"}</definedName>
    <definedName name="HTML_Control_4_1_2_1_5">{"'Worksheet'!$A$3:$R$184"}</definedName>
    <definedName name="HTML_Control_4_1_2_2" localSheetId="14">{"'Worksheet'!$A$3:$R$184"}</definedName>
    <definedName name="HTML_Control_4_1_2_2">{"'Worksheet'!$A$3:$R$184"}</definedName>
    <definedName name="HTML_Control_4_1_2_3" localSheetId="14">{"'Worksheet'!$A$3:$R$184"}</definedName>
    <definedName name="HTML_Control_4_1_2_3">{"'Worksheet'!$A$3:$R$184"}</definedName>
    <definedName name="HTML_Control_4_1_2_4" localSheetId="14">{"'Worksheet'!$A$3:$R$184"}</definedName>
    <definedName name="HTML_Control_4_1_2_4">{"'Worksheet'!$A$3:$R$184"}</definedName>
    <definedName name="HTML_Control_4_1_2_5" localSheetId="14">{"'Worksheet'!$A$3:$R$184"}</definedName>
    <definedName name="HTML_Control_4_1_2_5">{"'Worksheet'!$A$3:$R$184"}</definedName>
    <definedName name="HTML_Control_4_1_3" localSheetId="14">{"'Worksheet'!$A$3:$R$184"}</definedName>
    <definedName name="HTML_Control_4_1_3">{"'Worksheet'!$A$3:$R$184"}</definedName>
    <definedName name="HTML_Control_4_1_3_1" localSheetId="14">{"'Worksheet'!$A$3:$R$184"}</definedName>
    <definedName name="HTML_Control_4_1_3_1">{"'Worksheet'!$A$3:$R$184"}</definedName>
    <definedName name="HTML_Control_4_1_3_2" localSheetId="14">{"'Worksheet'!$A$3:$R$184"}</definedName>
    <definedName name="HTML_Control_4_1_3_2">{"'Worksheet'!$A$3:$R$184"}</definedName>
    <definedName name="HTML_Control_4_1_3_3" localSheetId="14">{"'Worksheet'!$A$3:$R$184"}</definedName>
    <definedName name="HTML_Control_4_1_3_3">{"'Worksheet'!$A$3:$R$184"}</definedName>
    <definedName name="HTML_Control_4_1_3_4" localSheetId="14">{"'Worksheet'!$A$3:$R$184"}</definedName>
    <definedName name="HTML_Control_4_1_3_4">{"'Worksheet'!$A$3:$R$184"}</definedName>
    <definedName name="HTML_Control_4_1_3_5" localSheetId="14">{"'Worksheet'!$A$3:$R$184"}</definedName>
    <definedName name="HTML_Control_4_1_3_5">{"'Worksheet'!$A$3:$R$184"}</definedName>
    <definedName name="HTML_Control_4_1_4" localSheetId="14">{"'Worksheet'!$A$3:$R$184"}</definedName>
    <definedName name="HTML_Control_4_1_4">{"'Worksheet'!$A$3:$R$184"}</definedName>
    <definedName name="HTML_Control_4_1_4_1" localSheetId="14">{"'Worksheet'!$A$3:$R$184"}</definedName>
    <definedName name="HTML_Control_4_1_4_1">{"'Worksheet'!$A$3:$R$184"}</definedName>
    <definedName name="HTML_Control_4_1_4_2" localSheetId="14">{"'Worksheet'!$A$3:$R$184"}</definedName>
    <definedName name="HTML_Control_4_1_4_2">{"'Worksheet'!$A$3:$R$184"}</definedName>
    <definedName name="HTML_Control_4_1_4_3" localSheetId="14">{"'Worksheet'!$A$3:$R$184"}</definedName>
    <definedName name="HTML_Control_4_1_4_3">{"'Worksheet'!$A$3:$R$184"}</definedName>
    <definedName name="HTML_Control_4_1_4_4" localSheetId="14">{"'Worksheet'!$A$3:$R$184"}</definedName>
    <definedName name="HTML_Control_4_1_4_4">{"'Worksheet'!$A$3:$R$184"}</definedName>
    <definedName name="HTML_Control_4_1_4_5" localSheetId="14">{"'Worksheet'!$A$3:$R$184"}</definedName>
    <definedName name="HTML_Control_4_1_4_5">{"'Worksheet'!$A$3:$R$184"}</definedName>
    <definedName name="HTML_Control_4_1_5" localSheetId="14">{"'Worksheet'!$A$3:$R$184"}</definedName>
    <definedName name="HTML_Control_4_1_5">{"'Worksheet'!$A$3:$R$184"}</definedName>
    <definedName name="HTML_Control_4_1_5_1" localSheetId="14">{"'Worksheet'!$A$3:$R$184"}</definedName>
    <definedName name="HTML_Control_4_1_5_1">{"'Worksheet'!$A$3:$R$184"}</definedName>
    <definedName name="HTML_Control_4_1_5_2" localSheetId="14">{"'Worksheet'!$A$3:$R$184"}</definedName>
    <definedName name="HTML_Control_4_1_5_2">{"'Worksheet'!$A$3:$R$184"}</definedName>
    <definedName name="HTML_Control_4_1_5_3" localSheetId="14">{"'Worksheet'!$A$3:$R$184"}</definedName>
    <definedName name="HTML_Control_4_1_5_3">{"'Worksheet'!$A$3:$R$184"}</definedName>
    <definedName name="HTML_Control_4_1_5_4" localSheetId="14">{"'Worksheet'!$A$3:$R$184"}</definedName>
    <definedName name="HTML_Control_4_1_5_4">{"'Worksheet'!$A$3:$R$184"}</definedName>
    <definedName name="HTML_Control_4_1_5_5" localSheetId="14">{"'Worksheet'!$A$3:$R$184"}</definedName>
    <definedName name="HTML_Control_4_1_5_5">{"'Worksheet'!$A$3:$R$184"}</definedName>
    <definedName name="HTML_Control_4_2" localSheetId="14">{"'summary2'!$A$1:$L$47"}</definedName>
    <definedName name="HTML_Control_4_2">{"'summary2'!$A$1:$L$47"}</definedName>
    <definedName name="HTML_Control_4_2_1" localSheetId="14">{"'Worksheet'!$A$3:$R$184"}</definedName>
    <definedName name="HTML_Control_4_2_1">{"'Worksheet'!$A$3:$R$184"}</definedName>
    <definedName name="HTML_Control_4_2_1_1" localSheetId="14">{"'Worksheet'!$A$3:$R$184"}</definedName>
    <definedName name="HTML_Control_4_2_1_1">{"'Worksheet'!$A$3:$R$184"}</definedName>
    <definedName name="HTML_Control_4_2_1_1_1" localSheetId="14">{"'Worksheet'!$A$3:$R$184"}</definedName>
    <definedName name="HTML_Control_4_2_1_1_1">{"'Worksheet'!$A$3:$R$184"}</definedName>
    <definedName name="HTML_Control_4_2_1_1_1_1" localSheetId="14">{"'Worksheet'!$A$3:$R$184"}</definedName>
    <definedName name="HTML_Control_4_2_1_1_1_1">{"'Worksheet'!$A$3:$R$184"}</definedName>
    <definedName name="HTML_Control_4_2_1_1_1_2" localSheetId="14">{"'Worksheet'!$A$3:$R$184"}</definedName>
    <definedName name="HTML_Control_4_2_1_1_1_2">{"'Worksheet'!$A$3:$R$184"}</definedName>
    <definedName name="HTML_Control_4_2_1_1_1_3" localSheetId="14">{"'Worksheet'!$A$3:$R$184"}</definedName>
    <definedName name="HTML_Control_4_2_1_1_1_3">{"'Worksheet'!$A$3:$R$184"}</definedName>
    <definedName name="HTML_Control_4_2_1_1_1_4" localSheetId="14">{"'Worksheet'!$A$3:$R$184"}</definedName>
    <definedName name="HTML_Control_4_2_1_1_1_4">{"'Worksheet'!$A$3:$R$184"}</definedName>
    <definedName name="HTML_Control_4_2_1_1_1_5" localSheetId="14">{"'Worksheet'!$A$3:$R$184"}</definedName>
    <definedName name="HTML_Control_4_2_1_1_1_5">{"'Worksheet'!$A$3:$R$184"}</definedName>
    <definedName name="HTML_Control_4_2_1_1_2" localSheetId="14">{"'Worksheet'!$A$3:$R$184"}</definedName>
    <definedName name="HTML_Control_4_2_1_1_2">{"'Worksheet'!$A$3:$R$184"}</definedName>
    <definedName name="HTML_Control_4_2_1_1_3" localSheetId="14">{"'Worksheet'!$A$3:$R$184"}</definedName>
    <definedName name="HTML_Control_4_2_1_1_3">{"'Worksheet'!$A$3:$R$184"}</definedName>
    <definedName name="HTML_Control_4_2_1_1_4" localSheetId="14">{"'Worksheet'!$A$3:$R$184"}</definedName>
    <definedName name="HTML_Control_4_2_1_1_4">{"'Worksheet'!$A$3:$R$184"}</definedName>
    <definedName name="HTML_Control_4_2_1_1_5" localSheetId="14">{"'Worksheet'!$A$3:$R$184"}</definedName>
    <definedName name="HTML_Control_4_2_1_1_5">{"'Worksheet'!$A$3:$R$184"}</definedName>
    <definedName name="HTML_Control_4_2_1_2" localSheetId="14">{"'Worksheet'!$A$3:$R$184"}</definedName>
    <definedName name="HTML_Control_4_2_1_2">{"'Worksheet'!$A$3:$R$184"}</definedName>
    <definedName name="HTML_Control_4_2_1_2_1" localSheetId="14">{"'Worksheet'!$A$3:$R$184"}</definedName>
    <definedName name="HTML_Control_4_2_1_2_1">{"'Worksheet'!$A$3:$R$184"}</definedName>
    <definedName name="HTML_Control_4_2_1_2_2" localSheetId="14">{"'Worksheet'!$A$3:$R$184"}</definedName>
    <definedName name="HTML_Control_4_2_1_2_2">{"'Worksheet'!$A$3:$R$184"}</definedName>
    <definedName name="HTML_Control_4_2_1_2_3" localSheetId="14">{"'Worksheet'!$A$3:$R$184"}</definedName>
    <definedName name="HTML_Control_4_2_1_2_3">{"'Worksheet'!$A$3:$R$184"}</definedName>
    <definedName name="HTML_Control_4_2_1_2_4" localSheetId="14">{"'Worksheet'!$A$3:$R$184"}</definedName>
    <definedName name="HTML_Control_4_2_1_2_4">{"'Worksheet'!$A$3:$R$184"}</definedName>
    <definedName name="HTML_Control_4_2_1_2_5" localSheetId="14">{"'Worksheet'!$A$3:$R$184"}</definedName>
    <definedName name="HTML_Control_4_2_1_2_5">{"'Worksheet'!$A$3:$R$184"}</definedName>
    <definedName name="HTML_Control_4_2_1_3" localSheetId="14">{"'Worksheet'!$A$3:$R$184"}</definedName>
    <definedName name="HTML_Control_4_2_1_3">{"'Worksheet'!$A$3:$R$184"}</definedName>
    <definedName name="HTML_Control_4_2_1_3_1" localSheetId="14">{"'Worksheet'!$A$3:$R$184"}</definedName>
    <definedName name="HTML_Control_4_2_1_3_1">{"'Worksheet'!$A$3:$R$184"}</definedName>
    <definedName name="HTML_Control_4_2_1_3_2" localSheetId="14">{"'Worksheet'!$A$3:$R$184"}</definedName>
    <definedName name="HTML_Control_4_2_1_3_2">{"'Worksheet'!$A$3:$R$184"}</definedName>
    <definedName name="HTML_Control_4_2_1_3_3" localSheetId="14">{"'Worksheet'!$A$3:$R$184"}</definedName>
    <definedName name="HTML_Control_4_2_1_3_3">{"'Worksheet'!$A$3:$R$184"}</definedName>
    <definedName name="HTML_Control_4_2_1_3_4" localSheetId="14">{"'Worksheet'!$A$3:$R$184"}</definedName>
    <definedName name="HTML_Control_4_2_1_3_4">{"'Worksheet'!$A$3:$R$184"}</definedName>
    <definedName name="HTML_Control_4_2_1_3_5" localSheetId="14">{"'Worksheet'!$A$3:$R$184"}</definedName>
    <definedName name="HTML_Control_4_2_1_3_5">{"'Worksheet'!$A$3:$R$184"}</definedName>
    <definedName name="HTML_Control_4_2_1_4" localSheetId="14">{"'Worksheet'!$A$3:$R$184"}</definedName>
    <definedName name="HTML_Control_4_2_1_4">{"'Worksheet'!$A$3:$R$184"}</definedName>
    <definedName name="HTML_Control_4_2_1_4_1" localSheetId="14">{"'Worksheet'!$A$3:$R$184"}</definedName>
    <definedName name="HTML_Control_4_2_1_4_1">{"'Worksheet'!$A$3:$R$184"}</definedName>
    <definedName name="HTML_Control_4_2_1_4_2" localSheetId="14">{"'Worksheet'!$A$3:$R$184"}</definedName>
    <definedName name="HTML_Control_4_2_1_4_2">{"'Worksheet'!$A$3:$R$184"}</definedName>
    <definedName name="HTML_Control_4_2_1_4_3" localSheetId="14">{"'Worksheet'!$A$3:$R$184"}</definedName>
    <definedName name="HTML_Control_4_2_1_4_3">{"'Worksheet'!$A$3:$R$184"}</definedName>
    <definedName name="HTML_Control_4_2_1_4_4" localSheetId="14">{"'Worksheet'!$A$3:$R$184"}</definedName>
    <definedName name="HTML_Control_4_2_1_4_4">{"'Worksheet'!$A$3:$R$184"}</definedName>
    <definedName name="HTML_Control_4_2_1_4_5" localSheetId="14">{"'Worksheet'!$A$3:$R$184"}</definedName>
    <definedName name="HTML_Control_4_2_1_4_5">{"'Worksheet'!$A$3:$R$184"}</definedName>
    <definedName name="HTML_Control_4_2_1_5" localSheetId="14">{"'Worksheet'!$A$3:$R$184"}</definedName>
    <definedName name="HTML_Control_4_2_1_5">{"'Worksheet'!$A$3:$R$184"}</definedName>
    <definedName name="HTML_Control_4_2_1_5_1" localSheetId="14">{"'Worksheet'!$A$3:$R$184"}</definedName>
    <definedName name="HTML_Control_4_2_1_5_1">{"'Worksheet'!$A$3:$R$184"}</definedName>
    <definedName name="HTML_Control_4_2_1_5_2" localSheetId="14">{"'Worksheet'!$A$3:$R$184"}</definedName>
    <definedName name="HTML_Control_4_2_1_5_2">{"'Worksheet'!$A$3:$R$184"}</definedName>
    <definedName name="HTML_Control_4_2_1_5_3" localSheetId="14">{"'Worksheet'!$A$3:$R$184"}</definedName>
    <definedName name="HTML_Control_4_2_1_5_3">{"'Worksheet'!$A$3:$R$184"}</definedName>
    <definedName name="HTML_Control_4_2_1_5_4" localSheetId="14">{"'Worksheet'!$A$3:$R$184"}</definedName>
    <definedName name="HTML_Control_4_2_1_5_4">{"'Worksheet'!$A$3:$R$184"}</definedName>
    <definedName name="HTML_Control_4_2_1_5_5" localSheetId="14">{"'Worksheet'!$A$3:$R$184"}</definedName>
    <definedName name="HTML_Control_4_2_1_5_5">{"'Worksheet'!$A$3:$R$184"}</definedName>
    <definedName name="HTML_Control_4_2_2" localSheetId="14">{"'Worksheet'!$A$3:$R$184"}</definedName>
    <definedName name="HTML_Control_4_2_2">{"'Worksheet'!$A$3:$R$184"}</definedName>
    <definedName name="HTML_Control_4_2_2_1" localSheetId="14">{"'Worksheet'!$A$3:$R$184"}</definedName>
    <definedName name="HTML_Control_4_2_2_1">{"'Worksheet'!$A$3:$R$184"}</definedName>
    <definedName name="HTML_Control_4_2_2_1_1" localSheetId="14">{"'Worksheet'!$A$3:$R$184"}</definedName>
    <definedName name="HTML_Control_4_2_2_1_1">{"'Worksheet'!$A$3:$R$184"}</definedName>
    <definedName name="HTML_Control_4_2_2_1_2" localSheetId="14">{"'Worksheet'!$A$3:$R$184"}</definedName>
    <definedName name="HTML_Control_4_2_2_1_2">{"'Worksheet'!$A$3:$R$184"}</definedName>
    <definedName name="HTML_Control_4_2_2_1_3" localSheetId="14">{"'Worksheet'!$A$3:$R$184"}</definedName>
    <definedName name="HTML_Control_4_2_2_1_3">{"'Worksheet'!$A$3:$R$184"}</definedName>
    <definedName name="HTML_Control_4_2_2_1_4" localSheetId="14">{"'Worksheet'!$A$3:$R$184"}</definedName>
    <definedName name="HTML_Control_4_2_2_1_4">{"'Worksheet'!$A$3:$R$184"}</definedName>
    <definedName name="HTML_Control_4_2_2_1_5" localSheetId="14">{"'Worksheet'!$A$3:$R$184"}</definedName>
    <definedName name="HTML_Control_4_2_2_1_5">{"'Worksheet'!$A$3:$R$184"}</definedName>
    <definedName name="HTML_Control_4_2_2_2" localSheetId="14">{"'Worksheet'!$A$3:$R$184"}</definedName>
    <definedName name="HTML_Control_4_2_2_2">{"'Worksheet'!$A$3:$R$184"}</definedName>
    <definedName name="HTML_Control_4_2_2_3" localSheetId="14">{"'Worksheet'!$A$3:$R$184"}</definedName>
    <definedName name="HTML_Control_4_2_2_3">{"'Worksheet'!$A$3:$R$184"}</definedName>
    <definedName name="HTML_Control_4_2_2_4" localSheetId="14">{"'Worksheet'!$A$3:$R$184"}</definedName>
    <definedName name="HTML_Control_4_2_2_4">{"'Worksheet'!$A$3:$R$184"}</definedName>
    <definedName name="HTML_Control_4_2_2_5" localSheetId="14">{"'Worksheet'!$A$3:$R$184"}</definedName>
    <definedName name="HTML_Control_4_2_2_5">{"'Worksheet'!$A$3:$R$184"}</definedName>
    <definedName name="HTML_Control_4_2_3" localSheetId="14">{"'Worksheet'!$A$3:$R$184"}</definedName>
    <definedName name="HTML_Control_4_2_3">{"'Worksheet'!$A$3:$R$184"}</definedName>
    <definedName name="HTML_Control_4_2_3_1" localSheetId="14">{"'Worksheet'!$A$3:$R$184"}</definedName>
    <definedName name="HTML_Control_4_2_3_1">{"'Worksheet'!$A$3:$R$184"}</definedName>
    <definedName name="HTML_Control_4_2_3_2" localSheetId="14">{"'Worksheet'!$A$3:$R$184"}</definedName>
    <definedName name="HTML_Control_4_2_3_2">{"'Worksheet'!$A$3:$R$184"}</definedName>
    <definedName name="HTML_Control_4_2_3_3" localSheetId="14">{"'Worksheet'!$A$3:$R$184"}</definedName>
    <definedName name="HTML_Control_4_2_3_3">{"'Worksheet'!$A$3:$R$184"}</definedName>
    <definedName name="HTML_Control_4_2_3_4" localSheetId="14">{"'Worksheet'!$A$3:$R$184"}</definedName>
    <definedName name="HTML_Control_4_2_3_4">{"'Worksheet'!$A$3:$R$184"}</definedName>
    <definedName name="HTML_Control_4_2_3_5" localSheetId="14">{"'Worksheet'!$A$3:$R$184"}</definedName>
    <definedName name="HTML_Control_4_2_3_5">{"'Worksheet'!$A$3:$R$184"}</definedName>
    <definedName name="HTML_Control_4_2_4" localSheetId="14">{"'Worksheet'!$A$3:$R$184"}</definedName>
    <definedName name="HTML_Control_4_2_4">{"'Worksheet'!$A$3:$R$184"}</definedName>
    <definedName name="HTML_Control_4_2_4_1" localSheetId="14">{"'Worksheet'!$A$3:$R$184"}</definedName>
    <definedName name="HTML_Control_4_2_4_1">{"'Worksheet'!$A$3:$R$184"}</definedName>
    <definedName name="HTML_Control_4_2_4_2" localSheetId="14">{"'Worksheet'!$A$3:$R$184"}</definedName>
    <definedName name="HTML_Control_4_2_4_2">{"'Worksheet'!$A$3:$R$184"}</definedName>
    <definedName name="HTML_Control_4_2_4_3" localSheetId="14">{"'Worksheet'!$A$3:$R$184"}</definedName>
    <definedName name="HTML_Control_4_2_4_3">{"'Worksheet'!$A$3:$R$184"}</definedName>
    <definedName name="HTML_Control_4_2_4_4" localSheetId="14">{"'Worksheet'!$A$3:$R$184"}</definedName>
    <definedName name="HTML_Control_4_2_4_4">{"'Worksheet'!$A$3:$R$184"}</definedName>
    <definedName name="HTML_Control_4_2_4_5" localSheetId="14">{"'Worksheet'!$A$3:$R$184"}</definedName>
    <definedName name="HTML_Control_4_2_4_5">{"'Worksheet'!$A$3:$R$184"}</definedName>
    <definedName name="HTML_Control_4_2_5" localSheetId="14">{"'Worksheet'!$A$3:$R$184"}</definedName>
    <definedName name="HTML_Control_4_2_5">{"'Worksheet'!$A$3:$R$184"}</definedName>
    <definedName name="HTML_Control_4_2_5_1" localSheetId="14">{"'Worksheet'!$A$3:$R$184"}</definedName>
    <definedName name="HTML_Control_4_2_5_1">{"'Worksheet'!$A$3:$R$184"}</definedName>
    <definedName name="HTML_Control_4_2_5_2" localSheetId="14">{"'Worksheet'!$A$3:$R$184"}</definedName>
    <definedName name="HTML_Control_4_2_5_2">{"'Worksheet'!$A$3:$R$184"}</definedName>
    <definedName name="HTML_Control_4_2_5_3" localSheetId="14">{"'Worksheet'!$A$3:$R$184"}</definedName>
    <definedName name="HTML_Control_4_2_5_3">{"'Worksheet'!$A$3:$R$184"}</definedName>
    <definedName name="HTML_Control_4_2_5_4" localSheetId="14">{"'Worksheet'!$A$3:$R$184"}</definedName>
    <definedName name="HTML_Control_4_2_5_4">{"'Worksheet'!$A$3:$R$184"}</definedName>
    <definedName name="HTML_Control_4_2_5_5" localSheetId="14">{"'Worksheet'!$A$3:$R$184"}</definedName>
    <definedName name="HTML_Control_4_2_5_5">{"'Worksheet'!$A$3:$R$184"}</definedName>
    <definedName name="HTML_Control_4_3" localSheetId="14">{"'summary2'!$A$1:$L$47"}</definedName>
    <definedName name="HTML_Control_4_3">{"'summary2'!$A$1:$L$47"}</definedName>
    <definedName name="HTML_Control_4_3_1" localSheetId="14">{"'Worksheet'!$A$3:$R$184"}</definedName>
    <definedName name="HTML_Control_4_3_1">{"'Worksheet'!$A$3:$R$184"}</definedName>
    <definedName name="HTML_Control_4_3_1_1" localSheetId="14">{"'Worksheet'!$A$3:$R$184"}</definedName>
    <definedName name="HTML_Control_4_3_1_1">{"'Worksheet'!$A$3:$R$184"}</definedName>
    <definedName name="HTML_Control_4_3_1_1_1" localSheetId="14">{"'Worksheet'!$A$3:$R$184"}</definedName>
    <definedName name="HTML_Control_4_3_1_1_1">{"'Worksheet'!$A$3:$R$184"}</definedName>
    <definedName name="HTML_Control_4_3_1_1_1_1" localSheetId="14">{"'Worksheet'!$A$3:$R$184"}</definedName>
    <definedName name="HTML_Control_4_3_1_1_1_1">{"'Worksheet'!$A$3:$R$184"}</definedName>
    <definedName name="HTML_Control_4_3_1_1_1_2" localSheetId="14">{"'Worksheet'!$A$3:$R$184"}</definedName>
    <definedName name="HTML_Control_4_3_1_1_1_2">{"'Worksheet'!$A$3:$R$184"}</definedName>
    <definedName name="HTML_Control_4_3_1_1_1_3" localSheetId="14">{"'Worksheet'!$A$3:$R$184"}</definedName>
    <definedName name="HTML_Control_4_3_1_1_1_3">{"'Worksheet'!$A$3:$R$184"}</definedName>
    <definedName name="HTML_Control_4_3_1_1_1_4" localSheetId="14">{"'Worksheet'!$A$3:$R$184"}</definedName>
    <definedName name="HTML_Control_4_3_1_1_1_4">{"'Worksheet'!$A$3:$R$184"}</definedName>
    <definedName name="HTML_Control_4_3_1_1_1_5" localSheetId="14">{"'Worksheet'!$A$3:$R$184"}</definedName>
    <definedName name="HTML_Control_4_3_1_1_1_5">{"'Worksheet'!$A$3:$R$184"}</definedName>
    <definedName name="HTML_Control_4_3_1_1_2" localSheetId="14">{"'Worksheet'!$A$3:$R$184"}</definedName>
    <definedName name="HTML_Control_4_3_1_1_2">{"'Worksheet'!$A$3:$R$184"}</definedName>
    <definedName name="HTML_Control_4_3_1_1_3" localSheetId="14">{"'Worksheet'!$A$3:$R$184"}</definedName>
    <definedName name="HTML_Control_4_3_1_1_3">{"'Worksheet'!$A$3:$R$184"}</definedName>
    <definedName name="HTML_Control_4_3_1_1_4" localSheetId="14">{"'Worksheet'!$A$3:$R$184"}</definedName>
    <definedName name="HTML_Control_4_3_1_1_4">{"'Worksheet'!$A$3:$R$184"}</definedName>
    <definedName name="HTML_Control_4_3_1_1_5" localSheetId="14">{"'Worksheet'!$A$3:$R$184"}</definedName>
    <definedName name="HTML_Control_4_3_1_1_5">{"'Worksheet'!$A$3:$R$184"}</definedName>
    <definedName name="HTML_Control_4_3_1_2" localSheetId="14">{"'Worksheet'!$A$3:$R$184"}</definedName>
    <definedName name="HTML_Control_4_3_1_2">{"'Worksheet'!$A$3:$R$184"}</definedName>
    <definedName name="HTML_Control_4_3_1_2_1" localSheetId="14">{"'Worksheet'!$A$3:$R$184"}</definedName>
    <definedName name="HTML_Control_4_3_1_2_1">{"'Worksheet'!$A$3:$R$184"}</definedName>
    <definedName name="HTML_Control_4_3_1_2_2" localSheetId="14">{"'Worksheet'!$A$3:$R$184"}</definedName>
    <definedName name="HTML_Control_4_3_1_2_2">{"'Worksheet'!$A$3:$R$184"}</definedName>
    <definedName name="HTML_Control_4_3_1_2_3" localSheetId="14">{"'Worksheet'!$A$3:$R$184"}</definedName>
    <definedName name="HTML_Control_4_3_1_2_3">{"'Worksheet'!$A$3:$R$184"}</definedName>
    <definedName name="HTML_Control_4_3_1_2_4" localSheetId="14">{"'Worksheet'!$A$3:$R$184"}</definedName>
    <definedName name="HTML_Control_4_3_1_2_4">{"'Worksheet'!$A$3:$R$184"}</definedName>
    <definedName name="HTML_Control_4_3_1_2_5" localSheetId="14">{"'Worksheet'!$A$3:$R$184"}</definedName>
    <definedName name="HTML_Control_4_3_1_2_5">{"'Worksheet'!$A$3:$R$184"}</definedName>
    <definedName name="HTML_Control_4_3_1_3" localSheetId="14">{"'Worksheet'!$A$3:$R$184"}</definedName>
    <definedName name="HTML_Control_4_3_1_3">{"'Worksheet'!$A$3:$R$184"}</definedName>
    <definedName name="HTML_Control_4_3_1_3_1" localSheetId="14">{"'Worksheet'!$A$3:$R$184"}</definedName>
    <definedName name="HTML_Control_4_3_1_3_1">{"'Worksheet'!$A$3:$R$184"}</definedName>
    <definedName name="HTML_Control_4_3_1_3_2" localSheetId="14">{"'Worksheet'!$A$3:$R$184"}</definedName>
    <definedName name="HTML_Control_4_3_1_3_2">{"'Worksheet'!$A$3:$R$184"}</definedName>
    <definedName name="HTML_Control_4_3_1_3_3" localSheetId="14">{"'Worksheet'!$A$3:$R$184"}</definedName>
    <definedName name="HTML_Control_4_3_1_3_3">{"'Worksheet'!$A$3:$R$184"}</definedName>
    <definedName name="HTML_Control_4_3_1_3_4" localSheetId="14">{"'Worksheet'!$A$3:$R$184"}</definedName>
    <definedName name="HTML_Control_4_3_1_3_4">{"'Worksheet'!$A$3:$R$184"}</definedName>
    <definedName name="HTML_Control_4_3_1_3_5" localSheetId="14">{"'Worksheet'!$A$3:$R$184"}</definedName>
    <definedName name="HTML_Control_4_3_1_3_5">{"'Worksheet'!$A$3:$R$184"}</definedName>
    <definedName name="HTML_Control_4_3_1_4" localSheetId="14">{"'Worksheet'!$A$3:$R$184"}</definedName>
    <definedName name="HTML_Control_4_3_1_4">{"'Worksheet'!$A$3:$R$184"}</definedName>
    <definedName name="HTML_Control_4_3_1_4_1" localSheetId="14">{"'Worksheet'!$A$3:$R$184"}</definedName>
    <definedName name="HTML_Control_4_3_1_4_1">{"'Worksheet'!$A$3:$R$184"}</definedName>
    <definedName name="HTML_Control_4_3_1_4_2" localSheetId="14">{"'Worksheet'!$A$3:$R$184"}</definedName>
    <definedName name="HTML_Control_4_3_1_4_2">{"'Worksheet'!$A$3:$R$184"}</definedName>
    <definedName name="HTML_Control_4_3_1_4_3" localSheetId="14">{"'Worksheet'!$A$3:$R$184"}</definedName>
    <definedName name="HTML_Control_4_3_1_4_3">{"'Worksheet'!$A$3:$R$184"}</definedName>
    <definedName name="HTML_Control_4_3_1_4_4" localSheetId="14">{"'Worksheet'!$A$3:$R$184"}</definedName>
    <definedName name="HTML_Control_4_3_1_4_4">{"'Worksheet'!$A$3:$R$184"}</definedName>
    <definedName name="HTML_Control_4_3_1_4_5" localSheetId="14">{"'Worksheet'!$A$3:$R$184"}</definedName>
    <definedName name="HTML_Control_4_3_1_4_5">{"'Worksheet'!$A$3:$R$184"}</definedName>
    <definedName name="HTML_Control_4_3_1_5" localSheetId="14">{"'Worksheet'!$A$3:$R$184"}</definedName>
    <definedName name="HTML_Control_4_3_1_5">{"'Worksheet'!$A$3:$R$184"}</definedName>
    <definedName name="HTML_Control_4_3_1_5_1" localSheetId="14">{"'Worksheet'!$A$3:$R$184"}</definedName>
    <definedName name="HTML_Control_4_3_1_5_1">{"'Worksheet'!$A$3:$R$184"}</definedName>
    <definedName name="HTML_Control_4_3_1_5_2" localSheetId="14">{"'Worksheet'!$A$3:$R$184"}</definedName>
    <definedName name="HTML_Control_4_3_1_5_2">{"'Worksheet'!$A$3:$R$184"}</definedName>
    <definedName name="HTML_Control_4_3_1_5_3" localSheetId="14">{"'Worksheet'!$A$3:$R$184"}</definedName>
    <definedName name="HTML_Control_4_3_1_5_3">{"'Worksheet'!$A$3:$R$184"}</definedName>
    <definedName name="HTML_Control_4_3_1_5_4" localSheetId="14">{"'Worksheet'!$A$3:$R$184"}</definedName>
    <definedName name="HTML_Control_4_3_1_5_4">{"'Worksheet'!$A$3:$R$184"}</definedName>
    <definedName name="HTML_Control_4_3_1_5_5" localSheetId="14">{"'Worksheet'!$A$3:$R$184"}</definedName>
    <definedName name="HTML_Control_4_3_1_5_5">{"'Worksheet'!$A$3:$R$184"}</definedName>
    <definedName name="HTML_Control_4_3_2" localSheetId="14">{"'Worksheet'!$A$3:$R$184"}</definedName>
    <definedName name="HTML_Control_4_3_2">{"'Worksheet'!$A$3:$R$184"}</definedName>
    <definedName name="HTML_Control_4_3_2_1" localSheetId="14">{"'Worksheet'!$A$3:$R$184"}</definedName>
    <definedName name="HTML_Control_4_3_2_1">{"'Worksheet'!$A$3:$R$184"}</definedName>
    <definedName name="HTML_Control_4_3_2_1_1" localSheetId="14">{"'Worksheet'!$A$3:$R$184"}</definedName>
    <definedName name="HTML_Control_4_3_2_1_1">{"'Worksheet'!$A$3:$R$184"}</definedName>
    <definedName name="HTML_Control_4_3_2_1_2" localSheetId="14">{"'Worksheet'!$A$3:$R$184"}</definedName>
    <definedName name="HTML_Control_4_3_2_1_2">{"'Worksheet'!$A$3:$R$184"}</definedName>
    <definedName name="HTML_Control_4_3_2_1_3" localSheetId="14">{"'Worksheet'!$A$3:$R$184"}</definedName>
    <definedName name="HTML_Control_4_3_2_1_3">{"'Worksheet'!$A$3:$R$184"}</definedName>
    <definedName name="HTML_Control_4_3_2_1_4" localSheetId="14">{"'Worksheet'!$A$3:$R$184"}</definedName>
    <definedName name="HTML_Control_4_3_2_1_4">{"'Worksheet'!$A$3:$R$184"}</definedName>
    <definedName name="HTML_Control_4_3_2_1_5" localSheetId="14">{"'Worksheet'!$A$3:$R$184"}</definedName>
    <definedName name="HTML_Control_4_3_2_1_5">{"'Worksheet'!$A$3:$R$184"}</definedName>
    <definedName name="HTML_Control_4_3_2_2" localSheetId="14">{"'Worksheet'!$A$3:$R$184"}</definedName>
    <definedName name="HTML_Control_4_3_2_2">{"'Worksheet'!$A$3:$R$184"}</definedName>
    <definedName name="HTML_Control_4_3_2_3" localSheetId="14">{"'Worksheet'!$A$3:$R$184"}</definedName>
    <definedName name="HTML_Control_4_3_2_3">{"'Worksheet'!$A$3:$R$184"}</definedName>
    <definedName name="HTML_Control_4_3_2_4" localSheetId="14">{"'Worksheet'!$A$3:$R$184"}</definedName>
    <definedName name="HTML_Control_4_3_2_4">{"'Worksheet'!$A$3:$R$184"}</definedName>
    <definedName name="HTML_Control_4_3_2_5" localSheetId="14">{"'Worksheet'!$A$3:$R$184"}</definedName>
    <definedName name="HTML_Control_4_3_2_5">{"'Worksheet'!$A$3:$R$184"}</definedName>
    <definedName name="HTML_Control_4_3_3" localSheetId="14">{"'Worksheet'!$A$3:$R$184"}</definedName>
    <definedName name="HTML_Control_4_3_3">{"'Worksheet'!$A$3:$R$184"}</definedName>
    <definedName name="HTML_Control_4_3_3_1" localSheetId="14">{"'Worksheet'!$A$3:$R$184"}</definedName>
    <definedName name="HTML_Control_4_3_3_1">{"'Worksheet'!$A$3:$R$184"}</definedName>
    <definedName name="HTML_Control_4_3_3_2" localSheetId="14">{"'Worksheet'!$A$3:$R$184"}</definedName>
    <definedName name="HTML_Control_4_3_3_2">{"'Worksheet'!$A$3:$R$184"}</definedName>
    <definedName name="HTML_Control_4_3_3_3" localSheetId="14">{"'Worksheet'!$A$3:$R$184"}</definedName>
    <definedName name="HTML_Control_4_3_3_3">{"'Worksheet'!$A$3:$R$184"}</definedName>
    <definedName name="HTML_Control_4_3_3_4" localSheetId="14">{"'Worksheet'!$A$3:$R$184"}</definedName>
    <definedName name="HTML_Control_4_3_3_4">{"'Worksheet'!$A$3:$R$184"}</definedName>
    <definedName name="HTML_Control_4_3_3_5" localSheetId="14">{"'Worksheet'!$A$3:$R$184"}</definedName>
    <definedName name="HTML_Control_4_3_3_5">{"'Worksheet'!$A$3:$R$184"}</definedName>
    <definedName name="HTML_Control_4_3_4" localSheetId="14">{"'Worksheet'!$A$3:$R$184"}</definedName>
    <definedName name="HTML_Control_4_3_4">{"'Worksheet'!$A$3:$R$184"}</definedName>
    <definedName name="HTML_Control_4_3_4_1" localSheetId="14">{"'Worksheet'!$A$3:$R$184"}</definedName>
    <definedName name="HTML_Control_4_3_4_1">{"'Worksheet'!$A$3:$R$184"}</definedName>
    <definedName name="HTML_Control_4_3_4_2" localSheetId="14">{"'Worksheet'!$A$3:$R$184"}</definedName>
    <definedName name="HTML_Control_4_3_4_2">{"'Worksheet'!$A$3:$R$184"}</definedName>
    <definedName name="HTML_Control_4_3_4_3" localSheetId="14">{"'Worksheet'!$A$3:$R$184"}</definedName>
    <definedName name="HTML_Control_4_3_4_3">{"'Worksheet'!$A$3:$R$184"}</definedName>
    <definedName name="HTML_Control_4_3_4_4" localSheetId="14">{"'Worksheet'!$A$3:$R$184"}</definedName>
    <definedName name="HTML_Control_4_3_4_4">{"'Worksheet'!$A$3:$R$184"}</definedName>
    <definedName name="HTML_Control_4_3_4_5" localSheetId="14">{"'Worksheet'!$A$3:$R$184"}</definedName>
    <definedName name="HTML_Control_4_3_4_5">{"'Worksheet'!$A$3:$R$184"}</definedName>
    <definedName name="HTML_Control_4_3_5" localSheetId="14">{"'Worksheet'!$A$3:$R$184"}</definedName>
    <definedName name="HTML_Control_4_3_5">{"'Worksheet'!$A$3:$R$184"}</definedName>
    <definedName name="HTML_Control_4_3_5_1" localSheetId="14">{"'Worksheet'!$A$3:$R$184"}</definedName>
    <definedName name="HTML_Control_4_3_5_1">{"'Worksheet'!$A$3:$R$184"}</definedName>
    <definedName name="HTML_Control_4_3_5_2" localSheetId="14">{"'Worksheet'!$A$3:$R$184"}</definedName>
    <definedName name="HTML_Control_4_3_5_2">{"'Worksheet'!$A$3:$R$184"}</definedName>
    <definedName name="HTML_Control_4_3_5_3" localSheetId="14">{"'Worksheet'!$A$3:$R$184"}</definedName>
    <definedName name="HTML_Control_4_3_5_3">{"'Worksheet'!$A$3:$R$184"}</definedName>
    <definedName name="HTML_Control_4_3_5_4" localSheetId="14">{"'Worksheet'!$A$3:$R$184"}</definedName>
    <definedName name="HTML_Control_4_3_5_4">{"'Worksheet'!$A$3:$R$184"}</definedName>
    <definedName name="HTML_Control_4_3_5_5" localSheetId="14">{"'Worksheet'!$A$3:$R$184"}</definedName>
    <definedName name="HTML_Control_4_3_5_5">{"'Worksheet'!$A$3:$R$184"}</definedName>
    <definedName name="HTML_Control_4_4" localSheetId="14">{"'summary2'!$A$1:$L$47"}</definedName>
    <definedName name="HTML_Control_4_4">{"'summary2'!$A$1:$L$47"}</definedName>
    <definedName name="HTML_Control_4_4_1" localSheetId="14">{"'Worksheet'!$A$3:$R$184"}</definedName>
    <definedName name="HTML_Control_4_4_1">{"'Worksheet'!$A$3:$R$184"}</definedName>
    <definedName name="HTML_Control_4_4_1_1" localSheetId="14">{"'Worksheet'!$A$3:$R$184"}</definedName>
    <definedName name="HTML_Control_4_4_1_1">{"'Worksheet'!$A$3:$R$184"}</definedName>
    <definedName name="HTML_Control_4_4_1_1_1" localSheetId="14">{"'Worksheet'!$A$3:$R$184"}</definedName>
    <definedName name="HTML_Control_4_4_1_1_1">{"'Worksheet'!$A$3:$R$184"}</definedName>
    <definedName name="HTML_Control_4_4_1_1_1_1" localSheetId="14">{"'Worksheet'!$A$3:$R$184"}</definedName>
    <definedName name="HTML_Control_4_4_1_1_1_1">{"'Worksheet'!$A$3:$R$184"}</definedName>
    <definedName name="HTML_Control_4_4_1_1_1_2" localSheetId="14">{"'Worksheet'!$A$3:$R$184"}</definedName>
    <definedName name="HTML_Control_4_4_1_1_1_2">{"'Worksheet'!$A$3:$R$184"}</definedName>
    <definedName name="HTML_Control_4_4_1_1_1_3" localSheetId="14">{"'Worksheet'!$A$3:$R$184"}</definedName>
    <definedName name="HTML_Control_4_4_1_1_1_3">{"'Worksheet'!$A$3:$R$184"}</definedName>
    <definedName name="HTML_Control_4_4_1_1_1_4" localSheetId="14">{"'Worksheet'!$A$3:$R$184"}</definedName>
    <definedName name="HTML_Control_4_4_1_1_1_4">{"'Worksheet'!$A$3:$R$184"}</definedName>
    <definedName name="HTML_Control_4_4_1_1_1_5" localSheetId="14">{"'Worksheet'!$A$3:$R$184"}</definedName>
    <definedName name="HTML_Control_4_4_1_1_1_5">{"'Worksheet'!$A$3:$R$184"}</definedName>
    <definedName name="HTML_Control_4_4_1_1_2" localSheetId="14">{"'Worksheet'!$A$3:$R$184"}</definedName>
    <definedName name="HTML_Control_4_4_1_1_2">{"'Worksheet'!$A$3:$R$184"}</definedName>
    <definedName name="HTML_Control_4_4_1_1_3" localSheetId="14">{"'Worksheet'!$A$3:$R$184"}</definedName>
    <definedName name="HTML_Control_4_4_1_1_3">{"'Worksheet'!$A$3:$R$184"}</definedName>
    <definedName name="HTML_Control_4_4_1_1_4" localSheetId="14">{"'Worksheet'!$A$3:$R$184"}</definedName>
    <definedName name="HTML_Control_4_4_1_1_4">{"'Worksheet'!$A$3:$R$184"}</definedName>
    <definedName name="HTML_Control_4_4_1_1_5" localSheetId="14">{"'Worksheet'!$A$3:$R$184"}</definedName>
    <definedName name="HTML_Control_4_4_1_1_5">{"'Worksheet'!$A$3:$R$184"}</definedName>
    <definedName name="HTML_Control_4_4_1_2" localSheetId="14">{"'Worksheet'!$A$3:$R$184"}</definedName>
    <definedName name="HTML_Control_4_4_1_2">{"'Worksheet'!$A$3:$R$184"}</definedName>
    <definedName name="HTML_Control_4_4_1_2_1" localSheetId="14">{"'Worksheet'!$A$3:$R$184"}</definedName>
    <definedName name="HTML_Control_4_4_1_2_1">{"'Worksheet'!$A$3:$R$184"}</definedName>
    <definedName name="HTML_Control_4_4_1_2_2" localSheetId="14">{"'Worksheet'!$A$3:$R$184"}</definedName>
    <definedName name="HTML_Control_4_4_1_2_2">{"'Worksheet'!$A$3:$R$184"}</definedName>
    <definedName name="HTML_Control_4_4_1_2_3" localSheetId="14">{"'Worksheet'!$A$3:$R$184"}</definedName>
    <definedName name="HTML_Control_4_4_1_2_3">{"'Worksheet'!$A$3:$R$184"}</definedName>
    <definedName name="HTML_Control_4_4_1_2_4" localSheetId="14">{"'Worksheet'!$A$3:$R$184"}</definedName>
    <definedName name="HTML_Control_4_4_1_2_4">{"'Worksheet'!$A$3:$R$184"}</definedName>
    <definedName name="HTML_Control_4_4_1_2_5" localSheetId="14">{"'Worksheet'!$A$3:$R$184"}</definedName>
    <definedName name="HTML_Control_4_4_1_2_5">{"'Worksheet'!$A$3:$R$184"}</definedName>
    <definedName name="HTML_Control_4_4_1_3" localSheetId="14">{"'Worksheet'!$A$3:$R$184"}</definedName>
    <definedName name="HTML_Control_4_4_1_3">{"'Worksheet'!$A$3:$R$184"}</definedName>
    <definedName name="HTML_Control_4_4_1_3_1" localSheetId="14">{"'Worksheet'!$A$3:$R$184"}</definedName>
    <definedName name="HTML_Control_4_4_1_3_1">{"'Worksheet'!$A$3:$R$184"}</definedName>
    <definedName name="HTML_Control_4_4_1_3_2" localSheetId="14">{"'Worksheet'!$A$3:$R$184"}</definedName>
    <definedName name="HTML_Control_4_4_1_3_2">{"'Worksheet'!$A$3:$R$184"}</definedName>
    <definedName name="HTML_Control_4_4_1_3_3" localSheetId="14">{"'Worksheet'!$A$3:$R$184"}</definedName>
    <definedName name="HTML_Control_4_4_1_3_3">{"'Worksheet'!$A$3:$R$184"}</definedName>
    <definedName name="HTML_Control_4_4_1_3_4" localSheetId="14">{"'Worksheet'!$A$3:$R$184"}</definedName>
    <definedName name="HTML_Control_4_4_1_3_4">{"'Worksheet'!$A$3:$R$184"}</definedName>
    <definedName name="HTML_Control_4_4_1_3_5" localSheetId="14">{"'Worksheet'!$A$3:$R$184"}</definedName>
    <definedName name="HTML_Control_4_4_1_3_5">{"'Worksheet'!$A$3:$R$184"}</definedName>
    <definedName name="HTML_Control_4_4_1_4" localSheetId="14">{"'Worksheet'!$A$3:$R$184"}</definedName>
    <definedName name="HTML_Control_4_4_1_4">{"'Worksheet'!$A$3:$R$184"}</definedName>
    <definedName name="HTML_Control_4_4_1_4_1" localSheetId="14">{"'Worksheet'!$A$3:$R$184"}</definedName>
    <definedName name="HTML_Control_4_4_1_4_1">{"'Worksheet'!$A$3:$R$184"}</definedName>
    <definedName name="HTML_Control_4_4_1_4_2" localSheetId="14">{"'Worksheet'!$A$3:$R$184"}</definedName>
    <definedName name="HTML_Control_4_4_1_4_2">{"'Worksheet'!$A$3:$R$184"}</definedName>
    <definedName name="HTML_Control_4_4_1_4_3" localSheetId="14">{"'Worksheet'!$A$3:$R$184"}</definedName>
    <definedName name="HTML_Control_4_4_1_4_3">{"'Worksheet'!$A$3:$R$184"}</definedName>
    <definedName name="HTML_Control_4_4_1_4_4" localSheetId="14">{"'Worksheet'!$A$3:$R$184"}</definedName>
    <definedName name="HTML_Control_4_4_1_4_4">{"'Worksheet'!$A$3:$R$184"}</definedName>
    <definedName name="HTML_Control_4_4_1_4_5" localSheetId="14">{"'Worksheet'!$A$3:$R$184"}</definedName>
    <definedName name="HTML_Control_4_4_1_4_5">{"'Worksheet'!$A$3:$R$184"}</definedName>
    <definedName name="HTML_Control_4_4_1_5" localSheetId="14">{"'Worksheet'!$A$3:$R$184"}</definedName>
    <definedName name="HTML_Control_4_4_1_5">{"'Worksheet'!$A$3:$R$184"}</definedName>
    <definedName name="HTML_Control_4_4_1_5_1" localSheetId="14">{"'Worksheet'!$A$3:$R$184"}</definedName>
    <definedName name="HTML_Control_4_4_1_5_1">{"'Worksheet'!$A$3:$R$184"}</definedName>
    <definedName name="HTML_Control_4_4_1_5_2" localSheetId="14">{"'Worksheet'!$A$3:$R$184"}</definedName>
    <definedName name="HTML_Control_4_4_1_5_2">{"'Worksheet'!$A$3:$R$184"}</definedName>
    <definedName name="HTML_Control_4_4_1_5_3" localSheetId="14">{"'Worksheet'!$A$3:$R$184"}</definedName>
    <definedName name="HTML_Control_4_4_1_5_3">{"'Worksheet'!$A$3:$R$184"}</definedName>
    <definedName name="HTML_Control_4_4_1_5_4" localSheetId="14">{"'Worksheet'!$A$3:$R$184"}</definedName>
    <definedName name="HTML_Control_4_4_1_5_4">{"'Worksheet'!$A$3:$R$184"}</definedName>
    <definedName name="HTML_Control_4_4_1_5_5" localSheetId="14">{"'Worksheet'!$A$3:$R$184"}</definedName>
    <definedName name="HTML_Control_4_4_1_5_5">{"'Worksheet'!$A$3:$R$184"}</definedName>
    <definedName name="HTML_Control_4_4_2" localSheetId="14">{"'Worksheet'!$A$3:$R$184"}</definedName>
    <definedName name="HTML_Control_4_4_2">{"'Worksheet'!$A$3:$R$184"}</definedName>
    <definedName name="HTML_Control_4_4_2_1" localSheetId="14">{"'Worksheet'!$A$3:$R$184"}</definedName>
    <definedName name="HTML_Control_4_4_2_1">{"'Worksheet'!$A$3:$R$184"}</definedName>
    <definedName name="HTML_Control_4_4_2_1_1" localSheetId="14">{"'Worksheet'!$A$3:$R$184"}</definedName>
    <definedName name="HTML_Control_4_4_2_1_1">{"'Worksheet'!$A$3:$R$184"}</definedName>
    <definedName name="HTML_Control_4_4_2_1_2" localSheetId="14">{"'Worksheet'!$A$3:$R$184"}</definedName>
    <definedName name="HTML_Control_4_4_2_1_2">{"'Worksheet'!$A$3:$R$184"}</definedName>
    <definedName name="HTML_Control_4_4_2_1_3" localSheetId="14">{"'Worksheet'!$A$3:$R$184"}</definedName>
    <definedName name="HTML_Control_4_4_2_1_3">{"'Worksheet'!$A$3:$R$184"}</definedName>
    <definedName name="HTML_Control_4_4_2_1_4" localSheetId="14">{"'Worksheet'!$A$3:$R$184"}</definedName>
    <definedName name="HTML_Control_4_4_2_1_4">{"'Worksheet'!$A$3:$R$184"}</definedName>
    <definedName name="HTML_Control_4_4_2_1_5" localSheetId="14">{"'Worksheet'!$A$3:$R$184"}</definedName>
    <definedName name="HTML_Control_4_4_2_1_5">{"'Worksheet'!$A$3:$R$184"}</definedName>
    <definedName name="HTML_Control_4_4_2_2" localSheetId="14">{"'Worksheet'!$A$3:$R$184"}</definedName>
    <definedName name="HTML_Control_4_4_2_2">{"'Worksheet'!$A$3:$R$184"}</definedName>
    <definedName name="HTML_Control_4_4_2_3" localSheetId="14">{"'Worksheet'!$A$3:$R$184"}</definedName>
    <definedName name="HTML_Control_4_4_2_3">{"'Worksheet'!$A$3:$R$184"}</definedName>
    <definedName name="HTML_Control_4_4_2_4" localSheetId="14">{"'Worksheet'!$A$3:$R$184"}</definedName>
    <definedName name="HTML_Control_4_4_2_4">{"'Worksheet'!$A$3:$R$184"}</definedName>
    <definedName name="HTML_Control_4_4_2_5" localSheetId="14">{"'Worksheet'!$A$3:$R$184"}</definedName>
    <definedName name="HTML_Control_4_4_2_5">{"'Worksheet'!$A$3:$R$184"}</definedName>
    <definedName name="HTML_Control_4_4_3" localSheetId="14">{"'Worksheet'!$A$3:$R$184"}</definedName>
    <definedName name="HTML_Control_4_4_3">{"'Worksheet'!$A$3:$R$184"}</definedName>
    <definedName name="HTML_Control_4_4_3_1" localSheetId="14">{"'Worksheet'!$A$3:$R$184"}</definedName>
    <definedName name="HTML_Control_4_4_3_1">{"'Worksheet'!$A$3:$R$184"}</definedName>
    <definedName name="HTML_Control_4_4_3_2" localSheetId="14">{"'Worksheet'!$A$3:$R$184"}</definedName>
    <definedName name="HTML_Control_4_4_3_2">{"'Worksheet'!$A$3:$R$184"}</definedName>
    <definedName name="HTML_Control_4_4_3_3" localSheetId="14">{"'Worksheet'!$A$3:$R$184"}</definedName>
    <definedName name="HTML_Control_4_4_3_3">{"'Worksheet'!$A$3:$R$184"}</definedName>
    <definedName name="HTML_Control_4_4_3_4" localSheetId="14">{"'Worksheet'!$A$3:$R$184"}</definedName>
    <definedName name="HTML_Control_4_4_3_4">{"'Worksheet'!$A$3:$R$184"}</definedName>
    <definedName name="HTML_Control_4_4_3_5" localSheetId="14">{"'Worksheet'!$A$3:$R$184"}</definedName>
    <definedName name="HTML_Control_4_4_3_5">{"'Worksheet'!$A$3:$R$184"}</definedName>
    <definedName name="HTML_Control_4_4_4" localSheetId="14">{"'Worksheet'!$A$3:$R$184"}</definedName>
    <definedName name="HTML_Control_4_4_4">{"'Worksheet'!$A$3:$R$184"}</definedName>
    <definedName name="HTML_Control_4_4_4_1" localSheetId="14">{"'Worksheet'!$A$3:$R$184"}</definedName>
    <definedName name="HTML_Control_4_4_4_1">{"'Worksheet'!$A$3:$R$184"}</definedName>
    <definedName name="HTML_Control_4_4_4_2" localSheetId="14">{"'Worksheet'!$A$3:$R$184"}</definedName>
    <definedName name="HTML_Control_4_4_4_2">{"'Worksheet'!$A$3:$R$184"}</definedName>
    <definedName name="HTML_Control_4_4_4_3" localSheetId="14">{"'Worksheet'!$A$3:$R$184"}</definedName>
    <definedName name="HTML_Control_4_4_4_3">{"'Worksheet'!$A$3:$R$184"}</definedName>
    <definedName name="HTML_Control_4_4_4_4" localSheetId="14">{"'Worksheet'!$A$3:$R$184"}</definedName>
    <definedName name="HTML_Control_4_4_4_4">{"'Worksheet'!$A$3:$R$184"}</definedName>
    <definedName name="HTML_Control_4_4_4_5" localSheetId="14">{"'Worksheet'!$A$3:$R$184"}</definedName>
    <definedName name="HTML_Control_4_4_4_5">{"'Worksheet'!$A$3:$R$184"}</definedName>
    <definedName name="HTML_Control_4_4_5" localSheetId="14">{"'Worksheet'!$A$3:$R$184"}</definedName>
    <definedName name="HTML_Control_4_4_5">{"'Worksheet'!$A$3:$R$184"}</definedName>
    <definedName name="HTML_Control_4_4_5_1" localSheetId="14">{"'Worksheet'!$A$3:$R$184"}</definedName>
    <definedName name="HTML_Control_4_4_5_1">{"'Worksheet'!$A$3:$R$184"}</definedName>
    <definedName name="HTML_Control_4_4_5_2" localSheetId="14">{"'Worksheet'!$A$3:$R$184"}</definedName>
    <definedName name="HTML_Control_4_4_5_2">{"'Worksheet'!$A$3:$R$184"}</definedName>
    <definedName name="HTML_Control_4_4_5_3" localSheetId="14">{"'Worksheet'!$A$3:$R$184"}</definedName>
    <definedName name="HTML_Control_4_4_5_3">{"'Worksheet'!$A$3:$R$184"}</definedName>
    <definedName name="HTML_Control_4_4_5_4" localSheetId="14">{"'Worksheet'!$A$3:$R$184"}</definedName>
    <definedName name="HTML_Control_4_4_5_4">{"'Worksheet'!$A$3:$R$184"}</definedName>
    <definedName name="HTML_Control_4_4_5_5" localSheetId="14">{"'Worksheet'!$A$3:$R$184"}</definedName>
    <definedName name="HTML_Control_4_4_5_5">{"'Worksheet'!$A$3:$R$184"}</definedName>
    <definedName name="HTML_Control_4_5" localSheetId="14">{"'summary2'!$A$1:$L$47"}</definedName>
    <definedName name="HTML_Control_4_5">{"'summary2'!$A$1:$L$47"}</definedName>
    <definedName name="HTML_Control_4_5_1" localSheetId="14">{"'Worksheet'!$A$3:$R$184"}</definedName>
    <definedName name="HTML_Control_4_5_1">{"'Worksheet'!$A$3:$R$184"}</definedName>
    <definedName name="HTML_Control_4_5_1_1" localSheetId="14">{"'Worksheet'!$A$3:$R$184"}</definedName>
    <definedName name="HTML_Control_4_5_1_1">{"'Worksheet'!$A$3:$R$184"}</definedName>
    <definedName name="HTML_Control_4_5_1_1_1" localSheetId="14">{"'Worksheet'!$A$3:$R$184"}</definedName>
    <definedName name="HTML_Control_4_5_1_1_1">{"'Worksheet'!$A$3:$R$184"}</definedName>
    <definedName name="HTML_Control_4_5_1_1_1_1" localSheetId="14">{"'Worksheet'!$A$3:$R$184"}</definedName>
    <definedName name="HTML_Control_4_5_1_1_1_1">{"'Worksheet'!$A$3:$R$184"}</definedName>
    <definedName name="HTML_Control_4_5_1_1_1_2" localSheetId="14">{"'Worksheet'!$A$3:$R$184"}</definedName>
    <definedName name="HTML_Control_4_5_1_1_1_2">{"'Worksheet'!$A$3:$R$184"}</definedName>
    <definedName name="HTML_Control_4_5_1_1_1_3" localSheetId="14">{"'Worksheet'!$A$3:$R$184"}</definedName>
    <definedName name="HTML_Control_4_5_1_1_1_3">{"'Worksheet'!$A$3:$R$184"}</definedName>
    <definedName name="HTML_Control_4_5_1_1_1_4" localSheetId="14">{"'Worksheet'!$A$3:$R$184"}</definedName>
    <definedName name="HTML_Control_4_5_1_1_1_4">{"'Worksheet'!$A$3:$R$184"}</definedName>
    <definedName name="HTML_Control_4_5_1_1_1_5" localSheetId="14">{"'Worksheet'!$A$3:$R$184"}</definedName>
    <definedName name="HTML_Control_4_5_1_1_1_5">{"'Worksheet'!$A$3:$R$184"}</definedName>
    <definedName name="HTML_Control_4_5_1_1_2" localSheetId="14">{"'Worksheet'!$A$3:$R$184"}</definedName>
    <definedName name="HTML_Control_4_5_1_1_2">{"'Worksheet'!$A$3:$R$184"}</definedName>
    <definedName name="HTML_Control_4_5_1_1_3" localSheetId="14">{"'Worksheet'!$A$3:$R$184"}</definedName>
    <definedName name="HTML_Control_4_5_1_1_3">{"'Worksheet'!$A$3:$R$184"}</definedName>
    <definedName name="HTML_Control_4_5_1_1_4" localSheetId="14">{"'Worksheet'!$A$3:$R$184"}</definedName>
    <definedName name="HTML_Control_4_5_1_1_4">{"'Worksheet'!$A$3:$R$184"}</definedName>
    <definedName name="HTML_Control_4_5_1_1_5" localSheetId="14">{"'Worksheet'!$A$3:$R$184"}</definedName>
    <definedName name="HTML_Control_4_5_1_1_5">{"'Worksheet'!$A$3:$R$184"}</definedName>
    <definedName name="HTML_Control_4_5_1_2" localSheetId="14">{"'Worksheet'!$A$3:$R$184"}</definedName>
    <definedName name="HTML_Control_4_5_1_2">{"'Worksheet'!$A$3:$R$184"}</definedName>
    <definedName name="HTML_Control_4_5_1_2_1" localSheetId="14">{"'Worksheet'!$A$3:$R$184"}</definedName>
    <definedName name="HTML_Control_4_5_1_2_1">{"'Worksheet'!$A$3:$R$184"}</definedName>
    <definedName name="HTML_Control_4_5_1_2_2" localSheetId="14">{"'Worksheet'!$A$3:$R$184"}</definedName>
    <definedName name="HTML_Control_4_5_1_2_2">{"'Worksheet'!$A$3:$R$184"}</definedName>
    <definedName name="HTML_Control_4_5_1_2_3" localSheetId="14">{"'Worksheet'!$A$3:$R$184"}</definedName>
    <definedName name="HTML_Control_4_5_1_2_3">{"'Worksheet'!$A$3:$R$184"}</definedName>
    <definedName name="HTML_Control_4_5_1_2_4" localSheetId="14">{"'Worksheet'!$A$3:$R$184"}</definedName>
    <definedName name="HTML_Control_4_5_1_2_4">{"'Worksheet'!$A$3:$R$184"}</definedName>
    <definedName name="HTML_Control_4_5_1_2_5" localSheetId="14">{"'Worksheet'!$A$3:$R$184"}</definedName>
    <definedName name="HTML_Control_4_5_1_2_5">{"'Worksheet'!$A$3:$R$184"}</definedName>
    <definedName name="HTML_Control_4_5_1_3" localSheetId="14">{"'Worksheet'!$A$3:$R$184"}</definedName>
    <definedName name="HTML_Control_4_5_1_3">{"'Worksheet'!$A$3:$R$184"}</definedName>
    <definedName name="HTML_Control_4_5_1_3_1" localSheetId="14">{"'Worksheet'!$A$3:$R$184"}</definedName>
    <definedName name="HTML_Control_4_5_1_3_1">{"'Worksheet'!$A$3:$R$184"}</definedName>
    <definedName name="HTML_Control_4_5_1_3_2" localSheetId="14">{"'Worksheet'!$A$3:$R$184"}</definedName>
    <definedName name="HTML_Control_4_5_1_3_2">{"'Worksheet'!$A$3:$R$184"}</definedName>
    <definedName name="HTML_Control_4_5_1_3_3" localSheetId="14">{"'Worksheet'!$A$3:$R$184"}</definedName>
    <definedName name="HTML_Control_4_5_1_3_3">{"'Worksheet'!$A$3:$R$184"}</definedName>
    <definedName name="HTML_Control_4_5_1_3_4" localSheetId="14">{"'Worksheet'!$A$3:$R$184"}</definedName>
    <definedName name="HTML_Control_4_5_1_3_4">{"'Worksheet'!$A$3:$R$184"}</definedName>
    <definedName name="HTML_Control_4_5_1_3_5" localSheetId="14">{"'Worksheet'!$A$3:$R$184"}</definedName>
    <definedName name="HTML_Control_4_5_1_3_5">{"'Worksheet'!$A$3:$R$184"}</definedName>
    <definedName name="HTML_Control_4_5_1_4" localSheetId="14">{"'Worksheet'!$A$3:$R$184"}</definedName>
    <definedName name="HTML_Control_4_5_1_4">{"'Worksheet'!$A$3:$R$184"}</definedName>
    <definedName name="HTML_Control_4_5_1_4_1" localSheetId="14">{"'Worksheet'!$A$3:$R$184"}</definedName>
    <definedName name="HTML_Control_4_5_1_4_1">{"'Worksheet'!$A$3:$R$184"}</definedName>
    <definedName name="HTML_Control_4_5_1_4_2" localSheetId="14">{"'Worksheet'!$A$3:$R$184"}</definedName>
    <definedName name="HTML_Control_4_5_1_4_2">{"'Worksheet'!$A$3:$R$184"}</definedName>
    <definedName name="HTML_Control_4_5_1_4_3" localSheetId="14">{"'Worksheet'!$A$3:$R$184"}</definedName>
    <definedName name="HTML_Control_4_5_1_4_3">{"'Worksheet'!$A$3:$R$184"}</definedName>
    <definedName name="HTML_Control_4_5_1_4_4" localSheetId="14">{"'Worksheet'!$A$3:$R$184"}</definedName>
    <definedName name="HTML_Control_4_5_1_4_4">{"'Worksheet'!$A$3:$R$184"}</definedName>
    <definedName name="HTML_Control_4_5_1_4_5" localSheetId="14">{"'Worksheet'!$A$3:$R$184"}</definedName>
    <definedName name="HTML_Control_4_5_1_4_5">{"'Worksheet'!$A$3:$R$184"}</definedName>
    <definedName name="HTML_Control_4_5_1_5" localSheetId="14">{"'Worksheet'!$A$3:$R$184"}</definedName>
    <definedName name="HTML_Control_4_5_1_5">{"'Worksheet'!$A$3:$R$184"}</definedName>
    <definedName name="HTML_Control_4_5_1_5_1" localSheetId="14">{"'Worksheet'!$A$3:$R$184"}</definedName>
    <definedName name="HTML_Control_4_5_1_5_1">{"'Worksheet'!$A$3:$R$184"}</definedName>
    <definedName name="HTML_Control_4_5_1_5_2" localSheetId="14">{"'Worksheet'!$A$3:$R$184"}</definedName>
    <definedName name="HTML_Control_4_5_1_5_2">{"'Worksheet'!$A$3:$R$184"}</definedName>
    <definedName name="HTML_Control_4_5_1_5_3" localSheetId="14">{"'Worksheet'!$A$3:$R$184"}</definedName>
    <definedName name="HTML_Control_4_5_1_5_3">{"'Worksheet'!$A$3:$R$184"}</definedName>
    <definedName name="HTML_Control_4_5_1_5_4" localSheetId="14">{"'Worksheet'!$A$3:$R$184"}</definedName>
    <definedName name="HTML_Control_4_5_1_5_4">{"'Worksheet'!$A$3:$R$184"}</definedName>
    <definedName name="HTML_Control_4_5_1_5_5" localSheetId="14">{"'Worksheet'!$A$3:$R$184"}</definedName>
    <definedName name="HTML_Control_4_5_1_5_5">{"'Worksheet'!$A$3:$R$184"}</definedName>
    <definedName name="HTML_Control_4_5_2" localSheetId="14">{"'Worksheet'!$A$3:$R$184"}</definedName>
    <definedName name="HTML_Control_4_5_2">{"'Worksheet'!$A$3:$R$184"}</definedName>
    <definedName name="HTML_Control_4_5_2_1" localSheetId="14">{"'Worksheet'!$A$3:$R$184"}</definedName>
    <definedName name="HTML_Control_4_5_2_1">{"'Worksheet'!$A$3:$R$184"}</definedName>
    <definedName name="HTML_Control_4_5_2_1_1" localSheetId="14">{"'Worksheet'!$A$3:$R$184"}</definedName>
    <definedName name="HTML_Control_4_5_2_1_1">{"'Worksheet'!$A$3:$R$184"}</definedName>
    <definedName name="HTML_Control_4_5_2_1_2" localSheetId="14">{"'Worksheet'!$A$3:$R$184"}</definedName>
    <definedName name="HTML_Control_4_5_2_1_2">{"'Worksheet'!$A$3:$R$184"}</definedName>
    <definedName name="HTML_Control_4_5_2_1_3" localSheetId="14">{"'Worksheet'!$A$3:$R$184"}</definedName>
    <definedName name="HTML_Control_4_5_2_1_3">{"'Worksheet'!$A$3:$R$184"}</definedName>
    <definedName name="HTML_Control_4_5_2_1_4" localSheetId="14">{"'Worksheet'!$A$3:$R$184"}</definedName>
    <definedName name="HTML_Control_4_5_2_1_4">{"'Worksheet'!$A$3:$R$184"}</definedName>
    <definedName name="HTML_Control_4_5_2_1_5" localSheetId="14">{"'Worksheet'!$A$3:$R$184"}</definedName>
    <definedName name="HTML_Control_4_5_2_1_5">{"'Worksheet'!$A$3:$R$184"}</definedName>
    <definedName name="HTML_Control_4_5_2_2" localSheetId="14">{"'Worksheet'!$A$3:$R$184"}</definedName>
    <definedName name="HTML_Control_4_5_2_2">{"'Worksheet'!$A$3:$R$184"}</definedName>
    <definedName name="HTML_Control_4_5_2_3" localSheetId="14">{"'Worksheet'!$A$3:$R$184"}</definedName>
    <definedName name="HTML_Control_4_5_2_3">{"'Worksheet'!$A$3:$R$184"}</definedName>
    <definedName name="HTML_Control_4_5_2_4" localSheetId="14">{"'Worksheet'!$A$3:$R$184"}</definedName>
    <definedName name="HTML_Control_4_5_2_4">{"'Worksheet'!$A$3:$R$184"}</definedName>
    <definedName name="HTML_Control_4_5_2_5" localSheetId="14">{"'Worksheet'!$A$3:$R$184"}</definedName>
    <definedName name="HTML_Control_4_5_2_5">{"'Worksheet'!$A$3:$R$184"}</definedName>
    <definedName name="HTML_Control_4_5_3" localSheetId="14">{"'Worksheet'!$A$3:$R$184"}</definedName>
    <definedName name="HTML_Control_4_5_3">{"'Worksheet'!$A$3:$R$184"}</definedName>
    <definedName name="HTML_Control_4_5_3_1" localSheetId="14">{"'Worksheet'!$A$3:$R$184"}</definedName>
    <definedName name="HTML_Control_4_5_3_1">{"'Worksheet'!$A$3:$R$184"}</definedName>
    <definedName name="HTML_Control_4_5_3_2" localSheetId="14">{"'Worksheet'!$A$3:$R$184"}</definedName>
    <definedName name="HTML_Control_4_5_3_2">{"'Worksheet'!$A$3:$R$184"}</definedName>
    <definedName name="HTML_Control_4_5_3_3" localSheetId="14">{"'Worksheet'!$A$3:$R$184"}</definedName>
    <definedName name="HTML_Control_4_5_3_3">{"'Worksheet'!$A$3:$R$184"}</definedName>
    <definedName name="HTML_Control_4_5_3_4" localSheetId="14">{"'Worksheet'!$A$3:$R$184"}</definedName>
    <definedName name="HTML_Control_4_5_3_4">{"'Worksheet'!$A$3:$R$184"}</definedName>
    <definedName name="HTML_Control_4_5_3_5" localSheetId="14">{"'Worksheet'!$A$3:$R$184"}</definedName>
    <definedName name="HTML_Control_4_5_3_5">{"'Worksheet'!$A$3:$R$184"}</definedName>
    <definedName name="HTML_Control_4_5_4" localSheetId="14">{"'Worksheet'!$A$3:$R$184"}</definedName>
    <definedName name="HTML_Control_4_5_4">{"'Worksheet'!$A$3:$R$184"}</definedName>
    <definedName name="HTML_Control_4_5_4_1" localSheetId="14">{"'Worksheet'!$A$3:$R$184"}</definedName>
    <definedName name="HTML_Control_4_5_4_1">{"'Worksheet'!$A$3:$R$184"}</definedName>
    <definedName name="HTML_Control_4_5_4_2" localSheetId="14">{"'Worksheet'!$A$3:$R$184"}</definedName>
    <definedName name="HTML_Control_4_5_4_2">{"'Worksheet'!$A$3:$R$184"}</definedName>
    <definedName name="HTML_Control_4_5_4_3" localSheetId="14">{"'Worksheet'!$A$3:$R$184"}</definedName>
    <definedName name="HTML_Control_4_5_4_3">{"'Worksheet'!$A$3:$R$184"}</definedName>
    <definedName name="HTML_Control_4_5_4_4" localSheetId="14">{"'Worksheet'!$A$3:$R$184"}</definedName>
    <definedName name="HTML_Control_4_5_4_4">{"'Worksheet'!$A$3:$R$184"}</definedName>
    <definedName name="HTML_Control_4_5_4_5" localSheetId="14">{"'Worksheet'!$A$3:$R$184"}</definedName>
    <definedName name="HTML_Control_4_5_4_5">{"'Worksheet'!$A$3:$R$184"}</definedName>
    <definedName name="HTML_Control_4_5_5" localSheetId="14">{"'Worksheet'!$A$3:$R$184"}</definedName>
    <definedName name="HTML_Control_4_5_5">{"'Worksheet'!$A$3:$R$184"}</definedName>
    <definedName name="HTML_Control_4_5_5_1" localSheetId="14">{"'Worksheet'!$A$3:$R$184"}</definedName>
    <definedName name="HTML_Control_4_5_5_1">{"'Worksheet'!$A$3:$R$184"}</definedName>
    <definedName name="HTML_Control_4_5_5_2" localSheetId="14">{"'Worksheet'!$A$3:$R$184"}</definedName>
    <definedName name="HTML_Control_4_5_5_2">{"'Worksheet'!$A$3:$R$184"}</definedName>
    <definedName name="HTML_Control_4_5_5_3" localSheetId="14">{"'Worksheet'!$A$3:$R$184"}</definedName>
    <definedName name="HTML_Control_4_5_5_3">{"'Worksheet'!$A$3:$R$184"}</definedName>
    <definedName name="HTML_Control_4_5_5_4" localSheetId="14">{"'Worksheet'!$A$3:$R$184"}</definedName>
    <definedName name="HTML_Control_4_5_5_4">{"'Worksheet'!$A$3:$R$184"}</definedName>
    <definedName name="HTML_Control_4_5_5_5" localSheetId="14">{"'Worksheet'!$A$3:$R$184"}</definedName>
    <definedName name="HTML_Control_4_5_5_5">{"'Worksheet'!$A$3:$R$184"}</definedName>
    <definedName name="HTML_Control_5" localSheetId="14">{"'summary2'!$A$1:$L$47"}</definedName>
    <definedName name="HTML_Control_5">{"'summary2'!$A$1:$L$47"}</definedName>
    <definedName name="HTML_Control_5_1" localSheetId="14">{"'summary2'!$A$1:$L$47"}</definedName>
    <definedName name="HTML_Control_5_1">{"'summary2'!$A$1:$L$47"}</definedName>
    <definedName name="HTML_Control_5_1_1" localSheetId="14">{"'Worksheet'!$A$3:$R$184"}</definedName>
    <definedName name="HTML_Control_5_1_1">{"'Worksheet'!$A$3:$R$184"}</definedName>
    <definedName name="HTML_Control_5_1_1_1" localSheetId="14">{"'Worksheet'!$A$3:$R$184"}</definedName>
    <definedName name="HTML_Control_5_1_1_1">{"'Worksheet'!$A$3:$R$184"}</definedName>
    <definedName name="HTML_Control_5_1_1_1_1" localSheetId="14">{"'Worksheet'!$A$3:$R$184"}</definedName>
    <definedName name="HTML_Control_5_1_1_1_1">{"'Worksheet'!$A$3:$R$184"}</definedName>
    <definedName name="HTML_Control_5_1_1_1_1_1" localSheetId="14">{"'Worksheet'!$A$3:$R$184"}</definedName>
    <definedName name="HTML_Control_5_1_1_1_1_1">{"'Worksheet'!$A$3:$R$184"}</definedName>
    <definedName name="HTML_Control_5_1_1_1_1_2" localSheetId="14">{"'Worksheet'!$A$3:$R$184"}</definedName>
    <definedName name="HTML_Control_5_1_1_1_1_2">{"'Worksheet'!$A$3:$R$184"}</definedName>
    <definedName name="HTML_Control_5_1_1_1_1_3" localSheetId="14">{"'Worksheet'!$A$3:$R$184"}</definedName>
    <definedName name="HTML_Control_5_1_1_1_1_3">{"'Worksheet'!$A$3:$R$184"}</definedName>
    <definedName name="HTML_Control_5_1_1_1_1_4" localSheetId="14">{"'Worksheet'!$A$3:$R$184"}</definedName>
    <definedName name="HTML_Control_5_1_1_1_1_4">{"'Worksheet'!$A$3:$R$184"}</definedName>
    <definedName name="HTML_Control_5_1_1_1_1_5" localSheetId="14">{"'Worksheet'!$A$3:$R$184"}</definedName>
    <definedName name="HTML_Control_5_1_1_1_1_5">{"'Worksheet'!$A$3:$R$184"}</definedName>
    <definedName name="HTML_Control_5_1_1_1_2" localSheetId="14">{"'Worksheet'!$A$3:$R$184"}</definedName>
    <definedName name="HTML_Control_5_1_1_1_2">{"'Worksheet'!$A$3:$R$184"}</definedName>
    <definedName name="HTML_Control_5_1_1_1_3" localSheetId="14">{"'Worksheet'!$A$3:$R$184"}</definedName>
    <definedName name="HTML_Control_5_1_1_1_3">{"'Worksheet'!$A$3:$R$184"}</definedName>
    <definedName name="HTML_Control_5_1_1_1_4" localSheetId="14">{"'Worksheet'!$A$3:$R$184"}</definedName>
    <definedName name="HTML_Control_5_1_1_1_4">{"'Worksheet'!$A$3:$R$184"}</definedName>
    <definedName name="HTML_Control_5_1_1_1_5" localSheetId="14">{"'Worksheet'!$A$3:$R$184"}</definedName>
    <definedName name="HTML_Control_5_1_1_1_5">{"'Worksheet'!$A$3:$R$184"}</definedName>
    <definedName name="HTML_Control_5_1_1_2" localSheetId="14">{"'Worksheet'!$A$3:$R$184"}</definedName>
    <definedName name="HTML_Control_5_1_1_2">{"'Worksheet'!$A$3:$R$184"}</definedName>
    <definedName name="HTML_Control_5_1_1_2_1" localSheetId="14">{"'Worksheet'!$A$3:$R$184"}</definedName>
    <definedName name="HTML_Control_5_1_1_2_1">{"'Worksheet'!$A$3:$R$184"}</definedName>
    <definedName name="HTML_Control_5_1_1_2_2" localSheetId="14">{"'Worksheet'!$A$3:$R$184"}</definedName>
    <definedName name="HTML_Control_5_1_1_2_2">{"'Worksheet'!$A$3:$R$184"}</definedName>
    <definedName name="HTML_Control_5_1_1_2_3" localSheetId="14">{"'Worksheet'!$A$3:$R$184"}</definedName>
    <definedName name="HTML_Control_5_1_1_2_3">{"'Worksheet'!$A$3:$R$184"}</definedName>
    <definedName name="HTML_Control_5_1_1_2_4" localSheetId="14">{"'Worksheet'!$A$3:$R$184"}</definedName>
    <definedName name="HTML_Control_5_1_1_2_4">{"'Worksheet'!$A$3:$R$184"}</definedName>
    <definedName name="HTML_Control_5_1_1_2_5" localSheetId="14">{"'Worksheet'!$A$3:$R$184"}</definedName>
    <definedName name="HTML_Control_5_1_1_2_5">{"'Worksheet'!$A$3:$R$184"}</definedName>
    <definedName name="HTML_Control_5_1_1_3" localSheetId="14">{"'Worksheet'!$A$3:$R$184"}</definedName>
    <definedName name="HTML_Control_5_1_1_3">{"'Worksheet'!$A$3:$R$184"}</definedName>
    <definedName name="HTML_Control_5_1_1_3_1" localSheetId="14">{"'Worksheet'!$A$3:$R$184"}</definedName>
    <definedName name="HTML_Control_5_1_1_3_1">{"'Worksheet'!$A$3:$R$184"}</definedName>
    <definedName name="HTML_Control_5_1_1_3_2" localSheetId="14">{"'Worksheet'!$A$3:$R$184"}</definedName>
    <definedName name="HTML_Control_5_1_1_3_2">{"'Worksheet'!$A$3:$R$184"}</definedName>
    <definedName name="HTML_Control_5_1_1_3_3" localSheetId="14">{"'Worksheet'!$A$3:$R$184"}</definedName>
    <definedName name="HTML_Control_5_1_1_3_3">{"'Worksheet'!$A$3:$R$184"}</definedName>
    <definedName name="HTML_Control_5_1_1_3_4" localSheetId="14">{"'Worksheet'!$A$3:$R$184"}</definedName>
    <definedName name="HTML_Control_5_1_1_3_4">{"'Worksheet'!$A$3:$R$184"}</definedName>
    <definedName name="HTML_Control_5_1_1_3_5" localSheetId="14">{"'Worksheet'!$A$3:$R$184"}</definedName>
    <definedName name="HTML_Control_5_1_1_3_5">{"'Worksheet'!$A$3:$R$184"}</definedName>
    <definedName name="HTML_Control_5_1_1_4" localSheetId="14">{"'Worksheet'!$A$3:$R$184"}</definedName>
    <definedName name="HTML_Control_5_1_1_4">{"'Worksheet'!$A$3:$R$184"}</definedName>
    <definedName name="HTML_Control_5_1_1_4_1" localSheetId="14">{"'Worksheet'!$A$3:$R$184"}</definedName>
    <definedName name="HTML_Control_5_1_1_4_1">{"'Worksheet'!$A$3:$R$184"}</definedName>
    <definedName name="HTML_Control_5_1_1_4_2" localSheetId="14">{"'Worksheet'!$A$3:$R$184"}</definedName>
    <definedName name="HTML_Control_5_1_1_4_2">{"'Worksheet'!$A$3:$R$184"}</definedName>
    <definedName name="HTML_Control_5_1_1_4_3" localSheetId="14">{"'Worksheet'!$A$3:$R$184"}</definedName>
    <definedName name="HTML_Control_5_1_1_4_3">{"'Worksheet'!$A$3:$R$184"}</definedName>
    <definedName name="HTML_Control_5_1_1_4_4" localSheetId="14">{"'Worksheet'!$A$3:$R$184"}</definedName>
    <definedName name="HTML_Control_5_1_1_4_4">{"'Worksheet'!$A$3:$R$184"}</definedName>
    <definedName name="HTML_Control_5_1_1_4_5" localSheetId="14">{"'Worksheet'!$A$3:$R$184"}</definedName>
    <definedName name="HTML_Control_5_1_1_4_5">{"'Worksheet'!$A$3:$R$184"}</definedName>
    <definedName name="HTML_Control_5_1_1_5" localSheetId="14">{"'Worksheet'!$A$3:$R$184"}</definedName>
    <definedName name="HTML_Control_5_1_1_5">{"'Worksheet'!$A$3:$R$184"}</definedName>
    <definedName name="HTML_Control_5_1_1_5_1" localSheetId="14">{"'Worksheet'!$A$3:$R$184"}</definedName>
    <definedName name="HTML_Control_5_1_1_5_1">{"'Worksheet'!$A$3:$R$184"}</definedName>
    <definedName name="HTML_Control_5_1_1_5_2" localSheetId="14">{"'Worksheet'!$A$3:$R$184"}</definedName>
    <definedName name="HTML_Control_5_1_1_5_2">{"'Worksheet'!$A$3:$R$184"}</definedName>
    <definedName name="HTML_Control_5_1_1_5_3" localSheetId="14">{"'Worksheet'!$A$3:$R$184"}</definedName>
    <definedName name="HTML_Control_5_1_1_5_3">{"'Worksheet'!$A$3:$R$184"}</definedName>
    <definedName name="HTML_Control_5_1_1_5_4" localSheetId="14">{"'Worksheet'!$A$3:$R$184"}</definedName>
    <definedName name="HTML_Control_5_1_1_5_4">{"'Worksheet'!$A$3:$R$184"}</definedName>
    <definedName name="HTML_Control_5_1_1_5_5" localSheetId="14">{"'Worksheet'!$A$3:$R$184"}</definedName>
    <definedName name="HTML_Control_5_1_1_5_5">{"'Worksheet'!$A$3:$R$184"}</definedName>
    <definedName name="HTML_Control_5_1_2" localSheetId="14">{"'Worksheet'!$A$3:$R$184"}</definedName>
    <definedName name="HTML_Control_5_1_2">{"'Worksheet'!$A$3:$R$184"}</definedName>
    <definedName name="HTML_Control_5_1_2_1" localSheetId="14">{"'Worksheet'!$A$3:$R$184"}</definedName>
    <definedName name="HTML_Control_5_1_2_1">{"'Worksheet'!$A$3:$R$184"}</definedName>
    <definedName name="HTML_Control_5_1_2_1_1" localSheetId="14">{"'Worksheet'!$A$3:$R$184"}</definedName>
    <definedName name="HTML_Control_5_1_2_1_1">{"'Worksheet'!$A$3:$R$184"}</definedName>
    <definedName name="HTML_Control_5_1_2_1_2" localSheetId="14">{"'Worksheet'!$A$3:$R$184"}</definedName>
    <definedName name="HTML_Control_5_1_2_1_2">{"'Worksheet'!$A$3:$R$184"}</definedName>
    <definedName name="HTML_Control_5_1_2_1_3" localSheetId="14">{"'Worksheet'!$A$3:$R$184"}</definedName>
    <definedName name="HTML_Control_5_1_2_1_3">{"'Worksheet'!$A$3:$R$184"}</definedName>
    <definedName name="HTML_Control_5_1_2_1_4" localSheetId="14">{"'Worksheet'!$A$3:$R$184"}</definedName>
    <definedName name="HTML_Control_5_1_2_1_4">{"'Worksheet'!$A$3:$R$184"}</definedName>
    <definedName name="HTML_Control_5_1_2_1_5" localSheetId="14">{"'Worksheet'!$A$3:$R$184"}</definedName>
    <definedName name="HTML_Control_5_1_2_1_5">{"'Worksheet'!$A$3:$R$184"}</definedName>
    <definedName name="HTML_Control_5_1_2_2" localSheetId="14">{"'Worksheet'!$A$3:$R$184"}</definedName>
    <definedName name="HTML_Control_5_1_2_2">{"'Worksheet'!$A$3:$R$184"}</definedName>
    <definedName name="HTML_Control_5_1_2_3" localSheetId="14">{"'Worksheet'!$A$3:$R$184"}</definedName>
    <definedName name="HTML_Control_5_1_2_3">{"'Worksheet'!$A$3:$R$184"}</definedName>
    <definedName name="HTML_Control_5_1_2_4" localSheetId="14">{"'Worksheet'!$A$3:$R$184"}</definedName>
    <definedName name="HTML_Control_5_1_2_4">{"'Worksheet'!$A$3:$R$184"}</definedName>
    <definedName name="HTML_Control_5_1_2_5" localSheetId="14">{"'Worksheet'!$A$3:$R$184"}</definedName>
    <definedName name="HTML_Control_5_1_2_5">{"'Worksheet'!$A$3:$R$184"}</definedName>
    <definedName name="HTML_Control_5_1_3" localSheetId="14">{"'Worksheet'!$A$3:$R$184"}</definedName>
    <definedName name="HTML_Control_5_1_3">{"'Worksheet'!$A$3:$R$184"}</definedName>
    <definedName name="HTML_Control_5_1_3_1" localSheetId="14">{"'Worksheet'!$A$3:$R$184"}</definedName>
    <definedName name="HTML_Control_5_1_3_1">{"'Worksheet'!$A$3:$R$184"}</definedName>
    <definedName name="HTML_Control_5_1_3_2" localSheetId="14">{"'Worksheet'!$A$3:$R$184"}</definedName>
    <definedName name="HTML_Control_5_1_3_2">{"'Worksheet'!$A$3:$R$184"}</definedName>
    <definedName name="HTML_Control_5_1_3_3" localSheetId="14">{"'Worksheet'!$A$3:$R$184"}</definedName>
    <definedName name="HTML_Control_5_1_3_3">{"'Worksheet'!$A$3:$R$184"}</definedName>
    <definedName name="HTML_Control_5_1_3_4" localSheetId="14">{"'Worksheet'!$A$3:$R$184"}</definedName>
    <definedName name="HTML_Control_5_1_3_4">{"'Worksheet'!$A$3:$R$184"}</definedName>
    <definedName name="HTML_Control_5_1_3_5" localSheetId="14">{"'Worksheet'!$A$3:$R$184"}</definedName>
    <definedName name="HTML_Control_5_1_3_5">{"'Worksheet'!$A$3:$R$184"}</definedName>
    <definedName name="HTML_Control_5_1_4" localSheetId="14">{"'Worksheet'!$A$3:$R$184"}</definedName>
    <definedName name="HTML_Control_5_1_4">{"'Worksheet'!$A$3:$R$184"}</definedName>
    <definedName name="HTML_Control_5_1_4_1" localSheetId="14">{"'Worksheet'!$A$3:$R$184"}</definedName>
    <definedName name="HTML_Control_5_1_4_1">{"'Worksheet'!$A$3:$R$184"}</definedName>
    <definedName name="HTML_Control_5_1_4_2" localSheetId="14">{"'Worksheet'!$A$3:$R$184"}</definedName>
    <definedName name="HTML_Control_5_1_4_2">{"'Worksheet'!$A$3:$R$184"}</definedName>
    <definedName name="HTML_Control_5_1_4_3" localSheetId="14">{"'Worksheet'!$A$3:$R$184"}</definedName>
    <definedName name="HTML_Control_5_1_4_3">{"'Worksheet'!$A$3:$R$184"}</definedName>
    <definedName name="HTML_Control_5_1_4_4" localSheetId="14">{"'Worksheet'!$A$3:$R$184"}</definedName>
    <definedName name="HTML_Control_5_1_4_4">{"'Worksheet'!$A$3:$R$184"}</definedName>
    <definedName name="HTML_Control_5_1_4_5" localSheetId="14">{"'Worksheet'!$A$3:$R$184"}</definedName>
    <definedName name="HTML_Control_5_1_4_5">{"'Worksheet'!$A$3:$R$184"}</definedName>
    <definedName name="HTML_Control_5_1_5" localSheetId="14">{"'Worksheet'!$A$3:$R$184"}</definedName>
    <definedName name="HTML_Control_5_1_5">{"'Worksheet'!$A$3:$R$184"}</definedName>
    <definedName name="HTML_Control_5_1_5_1" localSheetId="14">{"'Worksheet'!$A$3:$R$184"}</definedName>
    <definedName name="HTML_Control_5_1_5_1">{"'Worksheet'!$A$3:$R$184"}</definedName>
    <definedName name="HTML_Control_5_1_5_2" localSheetId="14">{"'Worksheet'!$A$3:$R$184"}</definedName>
    <definedName name="HTML_Control_5_1_5_2">{"'Worksheet'!$A$3:$R$184"}</definedName>
    <definedName name="HTML_Control_5_1_5_3" localSheetId="14">{"'Worksheet'!$A$3:$R$184"}</definedName>
    <definedName name="HTML_Control_5_1_5_3">{"'Worksheet'!$A$3:$R$184"}</definedName>
    <definedName name="HTML_Control_5_1_5_4" localSheetId="14">{"'Worksheet'!$A$3:$R$184"}</definedName>
    <definedName name="HTML_Control_5_1_5_4">{"'Worksheet'!$A$3:$R$184"}</definedName>
    <definedName name="HTML_Control_5_1_5_5" localSheetId="14">{"'Worksheet'!$A$3:$R$184"}</definedName>
    <definedName name="HTML_Control_5_1_5_5">{"'Worksheet'!$A$3:$R$184"}</definedName>
    <definedName name="HTML_Control_5_2" localSheetId="14">{"'summary2'!$A$1:$L$47"}</definedName>
    <definedName name="HTML_Control_5_2">{"'summary2'!$A$1:$L$47"}</definedName>
    <definedName name="HTML_Control_5_2_1" localSheetId="14">{"'Worksheet'!$A$3:$R$184"}</definedName>
    <definedName name="HTML_Control_5_2_1">{"'Worksheet'!$A$3:$R$184"}</definedName>
    <definedName name="HTML_Control_5_2_1_1" localSheetId="14">{"'Worksheet'!$A$3:$R$184"}</definedName>
    <definedName name="HTML_Control_5_2_1_1">{"'Worksheet'!$A$3:$R$184"}</definedName>
    <definedName name="HTML_Control_5_2_1_1_1" localSheetId="14">{"'Worksheet'!$A$3:$R$184"}</definedName>
    <definedName name="HTML_Control_5_2_1_1_1">{"'Worksheet'!$A$3:$R$184"}</definedName>
    <definedName name="HTML_Control_5_2_1_1_1_1" localSheetId="14">{"'Worksheet'!$A$3:$R$184"}</definedName>
    <definedName name="HTML_Control_5_2_1_1_1_1">{"'Worksheet'!$A$3:$R$184"}</definedName>
    <definedName name="HTML_Control_5_2_1_1_1_2" localSheetId="14">{"'Worksheet'!$A$3:$R$184"}</definedName>
    <definedName name="HTML_Control_5_2_1_1_1_2">{"'Worksheet'!$A$3:$R$184"}</definedName>
    <definedName name="HTML_Control_5_2_1_1_1_3" localSheetId="14">{"'Worksheet'!$A$3:$R$184"}</definedName>
    <definedName name="HTML_Control_5_2_1_1_1_3">{"'Worksheet'!$A$3:$R$184"}</definedName>
    <definedName name="HTML_Control_5_2_1_1_1_4" localSheetId="14">{"'Worksheet'!$A$3:$R$184"}</definedName>
    <definedName name="HTML_Control_5_2_1_1_1_4">{"'Worksheet'!$A$3:$R$184"}</definedName>
    <definedName name="HTML_Control_5_2_1_1_1_5" localSheetId="14">{"'Worksheet'!$A$3:$R$184"}</definedName>
    <definedName name="HTML_Control_5_2_1_1_1_5">{"'Worksheet'!$A$3:$R$184"}</definedName>
    <definedName name="HTML_Control_5_2_1_1_2" localSheetId="14">{"'Worksheet'!$A$3:$R$184"}</definedName>
    <definedName name="HTML_Control_5_2_1_1_2">{"'Worksheet'!$A$3:$R$184"}</definedName>
    <definedName name="HTML_Control_5_2_1_1_3" localSheetId="14">{"'Worksheet'!$A$3:$R$184"}</definedName>
    <definedName name="HTML_Control_5_2_1_1_3">{"'Worksheet'!$A$3:$R$184"}</definedName>
    <definedName name="HTML_Control_5_2_1_1_4" localSheetId="14">{"'Worksheet'!$A$3:$R$184"}</definedName>
    <definedName name="HTML_Control_5_2_1_1_4">{"'Worksheet'!$A$3:$R$184"}</definedName>
    <definedName name="HTML_Control_5_2_1_1_5" localSheetId="14">{"'Worksheet'!$A$3:$R$184"}</definedName>
    <definedName name="HTML_Control_5_2_1_1_5">{"'Worksheet'!$A$3:$R$184"}</definedName>
    <definedName name="HTML_Control_5_2_1_2" localSheetId="14">{"'Worksheet'!$A$3:$R$184"}</definedName>
    <definedName name="HTML_Control_5_2_1_2">{"'Worksheet'!$A$3:$R$184"}</definedName>
    <definedName name="HTML_Control_5_2_1_2_1" localSheetId="14">{"'Worksheet'!$A$3:$R$184"}</definedName>
    <definedName name="HTML_Control_5_2_1_2_1">{"'Worksheet'!$A$3:$R$184"}</definedName>
    <definedName name="HTML_Control_5_2_1_2_2" localSheetId="14">{"'Worksheet'!$A$3:$R$184"}</definedName>
    <definedName name="HTML_Control_5_2_1_2_2">{"'Worksheet'!$A$3:$R$184"}</definedName>
    <definedName name="HTML_Control_5_2_1_2_3" localSheetId="14">{"'Worksheet'!$A$3:$R$184"}</definedName>
    <definedName name="HTML_Control_5_2_1_2_3">{"'Worksheet'!$A$3:$R$184"}</definedName>
    <definedName name="HTML_Control_5_2_1_2_4" localSheetId="14">{"'Worksheet'!$A$3:$R$184"}</definedName>
    <definedName name="HTML_Control_5_2_1_2_4">{"'Worksheet'!$A$3:$R$184"}</definedName>
    <definedName name="HTML_Control_5_2_1_2_5" localSheetId="14">{"'Worksheet'!$A$3:$R$184"}</definedName>
    <definedName name="HTML_Control_5_2_1_2_5">{"'Worksheet'!$A$3:$R$184"}</definedName>
    <definedName name="HTML_Control_5_2_1_3" localSheetId="14">{"'Worksheet'!$A$3:$R$184"}</definedName>
    <definedName name="HTML_Control_5_2_1_3">{"'Worksheet'!$A$3:$R$184"}</definedName>
    <definedName name="HTML_Control_5_2_1_3_1" localSheetId="14">{"'Worksheet'!$A$3:$R$184"}</definedName>
    <definedName name="HTML_Control_5_2_1_3_1">{"'Worksheet'!$A$3:$R$184"}</definedName>
    <definedName name="HTML_Control_5_2_1_3_2" localSheetId="14">{"'Worksheet'!$A$3:$R$184"}</definedName>
    <definedName name="HTML_Control_5_2_1_3_2">{"'Worksheet'!$A$3:$R$184"}</definedName>
    <definedName name="HTML_Control_5_2_1_3_3" localSheetId="14">{"'Worksheet'!$A$3:$R$184"}</definedName>
    <definedName name="HTML_Control_5_2_1_3_3">{"'Worksheet'!$A$3:$R$184"}</definedName>
    <definedName name="HTML_Control_5_2_1_3_4" localSheetId="14">{"'Worksheet'!$A$3:$R$184"}</definedName>
    <definedName name="HTML_Control_5_2_1_3_4">{"'Worksheet'!$A$3:$R$184"}</definedName>
    <definedName name="HTML_Control_5_2_1_3_5" localSheetId="14">{"'Worksheet'!$A$3:$R$184"}</definedName>
    <definedName name="HTML_Control_5_2_1_3_5">{"'Worksheet'!$A$3:$R$184"}</definedName>
    <definedName name="HTML_Control_5_2_1_4" localSheetId="14">{"'Worksheet'!$A$3:$R$184"}</definedName>
    <definedName name="HTML_Control_5_2_1_4">{"'Worksheet'!$A$3:$R$184"}</definedName>
    <definedName name="HTML_Control_5_2_1_4_1" localSheetId="14">{"'Worksheet'!$A$3:$R$184"}</definedName>
    <definedName name="HTML_Control_5_2_1_4_1">{"'Worksheet'!$A$3:$R$184"}</definedName>
    <definedName name="HTML_Control_5_2_1_4_2" localSheetId="14">{"'Worksheet'!$A$3:$R$184"}</definedName>
    <definedName name="HTML_Control_5_2_1_4_2">{"'Worksheet'!$A$3:$R$184"}</definedName>
    <definedName name="HTML_Control_5_2_1_4_3" localSheetId="14">{"'Worksheet'!$A$3:$R$184"}</definedName>
    <definedName name="HTML_Control_5_2_1_4_3">{"'Worksheet'!$A$3:$R$184"}</definedName>
    <definedName name="HTML_Control_5_2_1_4_4" localSheetId="14">{"'Worksheet'!$A$3:$R$184"}</definedName>
    <definedName name="HTML_Control_5_2_1_4_4">{"'Worksheet'!$A$3:$R$184"}</definedName>
    <definedName name="HTML_Control_5_2_1_4_5" localSheetId="14">{"'Worksheet'!$A$3:$R$184"}</definedName>
    <definedName name="HTML_Control_5_2_1_4_5">{"'Worksheet'!$A$3:$R$184"}</definedName>
    <definedName name="HTML_Control_5_2_1_5" localSheetId="14">{"'Worksheet'!$A$3:$R$184"}</definedName>
    <definedName name="HTML_Control_5_2_1_5">{"'Worksheet'!$A$3:$R$184"}</definedName>
    <definedName name="HTML_Control_5_2_1_5_1" localSheetId="14">{"'Worksheet'!$A$3:$R$184"}</definedName>
    <definedName name="HTML_Control_5_2_1_5_1">{"'Worksheet'!$A$3:$R$184"}</definedName>
    <definedName name="HTML_Control_5_2_1_5_2" localSheetId="14">{"'Worksheet'!$A$3:$R$184"}</definedName>
    <definedName name="HTML_Control_5_2_1_5_2">{"'Worksheet'!$A$3:$R$184"}</definedName>
    <definedName name="HTML_Control_5_2_1_5_3" localSheetId="14">{"'Worksheet'!$A$3:$R$184"}</definedName>
    <definedName name="HTML_Control_5_2_1_5_3">{"'Worksheet'!$A$3:$R$184"}</definedName>
    <definedName name="HTML_Control_5_2_1_5_4" localSheetId="14">{"'Worksheet'!$A$3:$R$184"}</definedName>
    <definedName name="HTML_Control_5_2_1_5_4">{"'Worksheet'!$A$3:$R$184"}</definedName>
    <definedName name="HTML_Control_5_2_1_5_5" localSheetId="14">{"'Worksheet'!$A$3:$R$184"}</definedName>
    <definedName name="HTML_Control_5_2_1_5_5">{"'Worksheet'!$A$3:$R$184"}</definedName>
    <definedName name="HTML_Control_5_2_2" localSheetId="14">{"'Worksheet'!$A$3:$R$184"}</definedName>
    <definedName name="HTML_Control_5_2_2">{"'Worksheet'!$A$3:$R$184"}</definedName>
    <definedName name="HTML_Control_5_2_2_1" localSheetId="14">{"'Worksheet'!$A$3:$R$184"}</definedName>
    <definedName name="HTML_Control_5_2_2_1">{"'Worksheet'!$A$3:$R$184"}</definedName>
    <definedName name="HTML_Control_5_2_2_1_1" localSheetId="14">{"'Worksheet'!$A$3:$R$184"}</definedName>
    <definedName name="HTML_Control_5_2_2_1_1">{"'Worksheet'!$A$3:$R$184"}</definedName>
    <definedName name="HTML_Control_5_2_2_1_2" localSheetId="14">{"'Worksheet'!$A$3:$R$184"}</definedName>
    <definedName name="HTML_Control_5_2_2_1_2">{"'Worksheet'!$A$3:$R$184"}</definedName>
    <definedName name="HTML_Control_5_2_2_1_3" localSheetId="14">{"'Worksheet'!$A$3:$R$184"}</definedName>
    <definedName name="HTML_Control_5_2_2_1_3">{"'Worksheet'!$A$3:$R$184"}</definedName>
    <definedName name="HTML_Control_5_2_2_1_4" localSheetId="14">{"'Worksheet'!$A$3:$R$184"}</definedName>
    <definedName name="HTML_Control_5_2_2_1_4">{"'Worksheet'!$A$3:$R$184"}</definedName>
    <definedName name="HTML_Control_5_2_2_1_5" localSheetId="14">{"'Worksheet'!$A$3:$R$184"}</definedName>
    <definedName name="HTML_Control_5_2_2_1_5">{"'Worksheet'!$A$3:$R$184"}</definedName>
    <definedName name="HTML_Control_5_2_2_2" localSheetId="14">{"'Worksheet'!$A$3:$R$184"}</definedName>
    <definedName name="HTML_Control_5_2_2_2">{"'Worksheet'!$A$3:$R$184"}</definedName>
    <definedName name="HTML_Control_5_2_2_3" localSheetId="14">{"'Worksheet'!$A$3:$R$184"}</definedName>
    <definedName name="HTML_Control_5_2_2_3">{"'Worksheet'!$A$3:$R$184"}</definedName>
    <definedName name="HTML_Control_5_2_2_4" localSheetId="14">{"'Worksheet'!$A$3:$R$184"}</definedName>
    <definedName name="HTML_Control_5_2_2_4">{"'Worksheet'!$A$3:$R$184"}</definedName>
    <definedName name="HTML_Control_5_2_2_5" localSheetId="14">{"'Worksheet'!$A$3:$R$184"}</definedName>
    <definedName name="HTML_Control_5_2_2_5">{"'Worksheet'!$A$3:$R$184"}</definedName>
    <definedName name="HTML_Control_5_2_3" localSheetId="14">{"'Worksheet'!$A$3:$R$184"}</definedName>
    <definedName name="HTML_Control_5_2_3">{"'Worksheet'!$A$3:$R$184"}</definedName>
    <definedName name="HTML_Control_5_2_3_1" localSheetId="14">{"'Worksheet'!$A$3:$R$184"}</definedName>
    <definedName name="HTML_Control_5_2_3_1">{"'Worksheet'!$A$3:$R$184"}</definedName>
    <definedName name="HTML_Control_5_2_3_2" localSheetId="14">{"'Worksheet'!$A$3:$R$184"}</definedName>
    <definedName name="HTML_Control_5_2_3_2">{"'Worksheet'!$A$3:$R$184"}</definedName>
    <definedName name="HTML_Control_5_2_3_3" localSheetId="14">{"'Worksheet'!$A$3:$R$184"}</definedName>
    <definedName name="HTML_Control_5_2_3_3">{"'Worksheet'!$A$3:$R$184"}</definedName>
    <definedName name="HTML_Control_5_2_3_4" localSheetId="14">{"'Worksheet'!$A$3:$R$184"}</definedName>
    <definedName name="HTML_Control_5_2_3_4">{"'Worksheet'!$A$3:$R$184"}</definedName>
    <definedName name="HTML_Control_5_2_3_5" localSheetId="14">{"'Worksheet'!$A$3:$R$184"}</definedName>
    <definedName name="HTML_Control_5_2_3_5">{"'Worksheet'!$A$3:$R$184"}</definedName>
    <definedName name="HTML_Control_5_2_4" localSheetId="14">{"'Worksheet'!$A$3:$R$184"}</definedName>
    <definedName name="HTML_Control_5_2_4">{"'Worksheet'!$A$3:$R$184"}</definedName>
    <definedName name="HTML_Control_5_2_4_1" localSheetId="14">{"'Worksheet'!$A$3:$R$184"}</definedName>
    <definedName name="HTML_Control_5_2_4_1">{"'Worksheet'!$A$3:$R$184"}</definedName>
    <definedName name="HTML_Control_5_2_4_2" localSheetId="14">{"'Worksheet'!$A$3:$R$184"}</definedName>
    <definedName name="HTML_Control_5_2_4_2">{"'Worksheet'!$A$3:$R$184"}</definedName>
    <definedName name="HTML_Control_5_2_4_3" localSheetId="14">{"'Worksheet'!$A$3:$R$184"}</definedName>
    <definedName name="HTML_Control_5_2_4_3">{"'Worksheet'!$A$3:$R$184"}</definedName>
    <definedName name="HTML_Control_5_2_4_4" localSheetId="14">{"'Worksheet'!$A$3:$R$184"}</definedName>
    <definedName name="HTML_Control_5_2_4_4">{"'Worksheet'!$A$3:$R$184"}</definedName>
    <definedName name="HTML_Control_5_2_4_5" localSheetId="14">{"'Worksheet'!$A$3:$R$184"}</definedName>
    <definedName name="HTML_Control_5_2_4_5">{"'Worksheet'!$A$3:$R$184"}</definedName>
    <definedName name="HTML_Control_5_2_5" localSheetId="14">{"'Worksheet'!$A$3:$R$184"}</definedName>
    <definedName name="HTML_Control_5_2_5">{"'Worksheet'!$A$3:$R$184"}</definedName>
    <definedName name="HTML_Control_5_2_5_1" localSheetId="14">{"'Worksheet'!$A$3:$R$184"}</definedName>
    <definedName name="HTML_Control_5_2_5_1">{"'Worksheet'!$A$3:$R$184"}</definedName>
    <definedName name="HTML_Control_5_2_5_2" localSheetId="14">{"'Worksheet'!$A$3:$R$184"}</definedName>
    <definedName name="HTML_Control_5_2_5_2">{"'Worksheet'!$A$3:$R$184"}</definedName>
    <definedName name="HTML_Control_5_2_5_3" localSheetId="14">{"'Worksheet'!$A$3:$R$184"}</definedName>
    <definedName name="HTML_Control_5_2_5_3">{"'Worksheet'!$A$3:$R$184"}</definedName>
    <definedName name="HTML_Control_5_2_5_4" localSheetId="14">{"'Worksheet'!$A$3:$R$184"}</definedName>
    <definedName name="HTML_Control_5_2_5_4">{"'Worksheet'!$A$3:$R$184"}</definedName>
    <definedName name="HTML_Control_5_2_5_5" localSheetId="14">{"'Worksheet'!$A$3:$R$184"}</definedName>
    <definedName name="HTML_Control_5_2_5_5">{"'Worksheet'!$A$3:$R$184"}</definedName>
    <definedName name="HTML_Control_5_3" localSheetId="14">{"'summary2'!$A$1:$L$47"}</definedName>
    <definedName name="HTML_Control_5_3">{"'summary2'!$A$1:$L$47"}</definedName>
    <definedName name="HTML_Control_5_3_1" localSheetId="14">{"'Worksheet'!$A$3:$R$184"}</definedName>
    <definedName name="HTML_Control_5_3_1">{"'Worksheet'!$A$3:$R$184"}</definedName>
    <definedName name="HTML_Control_5_3_1_1" localSheetId="14">{"'Worksheet'!$A$3:$R$184"}</definedName>
    <definedName name="HTML_Control_5_3_1_1">{"'Worksheet'!$A$3:$R$184"}</definedName>
    <definedName name="HTML_Control_5_3_1_1_1" localSheetId="14">{"'Worksheet'!$A$3:$R$184"}</definedName>
    <definedName name="HTML_Control_5_3_1_1_1">{"'Worksheet'!$A$3:$R$184"}</definedName>
    <definedName name="HTML_Control_5_3_1_1_1_1" localSheetId="14">{"'Worksheet'!$A$3:$R$184"}</definedName>
    <definedName name="HTML_Control_5_3_1_1_1_1">{"'Worksheet'!$A$3:$R$184"}</definedName>
    <definedName name="HTML_Control_5_3_1_1_1_2" localSheetId="14">{"'Worksheet'!$A$3:$R$184"}</definedName>
    <definedName name="HTML_Control_5_3_1_1_1_2">{"'Worksheet'!$A$3:$R$184"}</definedName>
    <definedName name="HTML_Control_5_3_1_1_1_3" localSheetId="14">{"'Worksheet'!$A$3:$R$184"}</definedName>
    <definedName name="HTML_Control_5_3_1_1_1_3">{"'Worksheet'!$A$3:$R$184"}</definedName>
    <definedName name="HTML_Control_5_3_1_1_1_4" localSheetId="14">{"'Worksheet'!$A$3:$R$184"}</definedName>
    <definedName name="HTML_Control_5_3_1_1_1_4">{"'Worksheet'!$A$3:$R$184"}</definedName>
    <definedName name="HTML_Control_5_3_1_1_1_5" localSheetId="14">{"'Worksheet'!$A$3:$R$184"}</definedName>
    <definedName name="HTML_Control_5_3_1_1_1_5">{"'Worksheet'!$A$3:$R$184"}</definedName>
    <definedName name="HTML_Control_5_3_1_1_2" localSheetId="14">{"'Worksheet'!$A$3:$R$184"}</definedName>
    <definedName name="HTML_Control_5_3_1_1_2">{"'Worksheet'!$A$3:$R$184"}</definedName>
    <definedName name="HTML_Control_5_3_1_1_3" localSheetId="14">{"'Worksheet'!$A$3:$R$184"}</definedName>
    <definedName name="HTML_Control_5_3_1_1_3">{"'Worksheet'!$A$3:$R$184"}</definedName>
    <definedName name="HTML_Control_5_3_1_1_4" localSheetId="14">{"'Worksheet'!$A$3:$R$184"}</definedName>
    <definedName name="HTML_Control_5_3_1_1_4">{"'Worksheet'!$A$3:$R$184"}</definedName>
    <definedName name="HTML_Control_5_3_1_1_5" localSheetId="14">{"'Worksheet'!$A$3:$R$184"}</definedName>
    <definedName name="HTML_Control_5_3_1_1_5">{"'Worksheet'!$A$3:$R$184"}</definedName>
    <definedName name="HTML_Control_5_3_1_2" localSheetId="14">{"'Worksheet'!$A$3:$R$184"}</definedName>
    <definedName name="HTML_Control_5_3_1_2">{"'Worksheet'!$A$3:$R$184"}</definedName>
    <definedName name="HTML_Control_5_3_1_2_1" localSheetId="14">{"'Worksheet'!$A$3:$R$184"}</definedName>
    <definedName name="HTML_Control_5_3_1_2_1">{"'Worksheet'!$A$3:$R$184"}</definedName>
    <definedName name="HTML_Control_5_3_1_2_2" localSheetId="14">{"'Worksheet'!$A$3:$R$184"}</definedName>
    <definedName name="HTML_Control_5_3_1_2_2">{"'Worksheet'!$A$3:$R$184"}</definedName>
    <definedName name="HTML_Control_5_3_1_2_3" localSheetId="14">{"'Worksheet'!$A$3:$R$184"}</definedName>
    <definedName name="HTML_Control_5_3_1_2_3">{"'Worksheet'!$A$3:$R$184"}</definedName>
    <definedName name="HTML_Control_5_3_1_2_4" localSheetId="14">{"'Worksheet'!$A$3:$R$184"}</definedName>
    <definedName name="HTML_Control_5_3_1_2_4">{"'Worksheet'!$A$3:$R$184"}</definedName>
    <definedName name="HTML_Control_5_3_1_2_5" localSheetId="14">{"'Worksheet'!$A$3:$R$184"}</definedName>
    <definedName name="HTML_Control_5_3_1_2_5">{"'Worksheet'!$A$3:$R$184"}</definedName>
    <definedName name="HTML_Control_5_3_1_3" localSheetId="14">{"'Worksheet'!$A$3:$R$184"}</definedName>
    <definedName name="HTML_Control_5_3_1_3">{"'Worksheet'!$A$3:$R$184"}</definedName>
    <definedName name="HTML_Control_5_3_1_3_1" localSheetId="14">{"'Worksheet'!$A$3:$R$184"}</definedName>
    <definedName name="HTML_Control_5_3_1_3_1">{"'Worksheet'!$A$3:$R$184"}</definedName>
    <definedName name="HTML_Control_5_3_1_3_2" localSheetId="14">{"'Worksheet'!$A$3:$R$184"}</definedName>
    <definedName name="HTML_Control_5_3_1_3_2">{"'Worksheet'!$A$3:$R$184"}</definedName>
    <definedName name="HTML_Control_5_3_1_3_3" localSheetId="14">{"'Worksheet'!$A$3:$R$184"}</definedName>
    <definedName name="HTML_Control_5_3_1_3_3">{"'Worksheet'!$A$3:$R$184"}</definedName>
    <definedName name="HTML_Control_5_3_1_3_4" localSheetId="14">{"'Worksheet'!$A$3:$R$184"}</definedName>
    <definedName name="HTML_Control_5_3_1_3_4">{"'Worksheet'!$A$3:$R$184"}</definedName>
    <definedName name="HTML_Control_5_3_1_3_5" localSheetId="14">{"'Worksheet'!$A$3:$R$184"}</definedName>
    <definedName name="HTML_Control_5_3_1_3_5">{"'Worksheet'!$A$3:$R$184"}</definedName>
    <definedName name="HTML_Control_5_3_1_4" localSheetId="14">{"'Worksheet'!$A$3:$R$184"}</definedName>
    <definedName name="HTML_Control_5_3_1_4">{"'Worksheet'!$A$3:$R$184"}</definedName>
    <definedName name="HTML_Control_5_3_1_4_1" localSheetId="14">{"'Worksheet'!$A$3:$R$184"}</definedName>
    <definedName name="HTML_Control_5_3_1_4_1">{"'Worksheet'!$A$3:$R$184"}</definedName>
    <definedName name="HTML_Control_5_3_1_4_2" localSheetId="14">{"'Worksheet'!$A$3:$R$184"}</definedName>
    <definedName name="HTML_Control_5_3_1_4_2">{"'Worksheet'!$A$3:$R$184"}</definedName>
    <definedName name="HTML_Control_5_3_1_4_3" localSheetId="14">{"'Worksheet'!$A$3:$R$184"}</definedName>
    <definedName name="HTML_Control_5_3_1_4_3">{"'Worksheet'!$A$3:$R$184"}</definedName>
    <definedName name="HTML_Control_5_3_1_4_4" localSheetId="14">{"'Worksheet'!$A$3:$R$184"}</definedName>
    <definedName name="HTML_Control_5_3_1_4_4">{"'Worksheet'!$A$3:$R$184"}</definedName>
    <definedName name="HTML_Control_5_3_1_4_5" localSheetId="14">{"'Worksheet'!$A$3:$R$184"}</definedName>
    <definedName name="HTML_Control_5_3_1_4_5">{"'Worksheet'!$A$3:$R$184"}</definedName>
    <definedName name="HTML_Control_5_3_1_5" localSheetId="14">{"'Worksheet'!$A$3:$R$184"}</definedName>
    <definedName name="HTML_Control_5_3_1_5">{"'Worksheet'!$A$3:$R$184"}</definedName>
    <definedName name="HTML_Control_5_3_1_5_1" localSheetId="14">{"'Worksheet'!$A$3:$R$184"}</definedName>
    <definedName name="HTML_Control_5_3_1_5_1">{"'Worksheet'!$A$3:$R$184"}</definedName>
    <definedName name="HTML_Control_5_3_1_5_2" localSheetId="14">{"'Worksheet'!$A$3:$R$184"}</definedName>
    <definedName name="HTML_Control_5_3_1_5_2">{"'Worksheet'!$A$3:$R$184"}</definedName>
    <definedName name="HTML_Control_5_3_1_5_3" localSheetId="14">{"'Worksheet'!$A$3:$R$184"}</definedName>
    <definedName name="HTML_Control_5_3_1_5_3">{"'Worksheet'!$A$3:$R$184"}</definedName>
    <definedName name="HTML_Control_5_3_1_5_4" localSheetId="14">{"'Worksheet'!$A$3:$R$184"}</definedName>
    <definedName name="HTML_Control_5_3_1_5_4">{"'Worksheet'!$A$3:$R$184"}</definedName>
    <definedName name="HTML_Control_5_3_1_5_5" localSheetId="14">{"'Worksheet'!$A$3:$R$184"}</definedName>
    <definedName name="HTML_Control_5_3_1_5_5">{"'Worksheet'!$A$3:$R$184"}</definedName>
    <definedName name="HTML_Control_5_3_2" localSheetId="14">{"'Worksheet'!$A$3:$R$184"}</definedName>
    <definedName name="HTML_Control_5_3_2">{"'Worksheet'!$A$3:$R$184"}</definedName>
    <definedName name="HTML_Control_5_3_2_1" localSheetId="14">{"'Worksheet'!$A$3:$R$184"}</definedName>
    <definedName name="HTML_Control_5_3_2_1">{"'Worksheet'!$A$3:$R$184"}</definedName>
    <definedName name="HTML_Control_5_3_2_1_1" localSheetId="14">{"'Worksheet'!$A$3:$R$184"}</definedName>
    <definedName name="HTML_Control_5_3_2_1_1">{"'Worksheet'!$A$3:$R$184"}</definedName>
    <definedName name="HTML_Control_5_3_2_1_2" localSheetId="14">{"'Worksheet'!$A$3:$R$184"}</definedName>
    <definedName name="HTML_Control_5_3_2_1_2">{"'Worksheet'!$A$3:$R$184"}</definedName>
    <definedName name="HTML_Control_5_3_2_1_3" localSheetId="14">{"'Worksheet'!$A$3:$R$184"}</definedName>
    <definedName name="HTML_Control_5_3_2_1_3">{"'Worksheet'!$A$3:$R$184"}</definedName>
    <definedName name="HTML_Control_5_3_2_1_4" localSheetId="14">{"'Worksheet'!$A$3:$R$184"}</definedName>
    <definedName name="HTML_Control_5_3_2_1_4">{"'Worksheet'!$A$3:$R$184"}</definedName>
    <definedName name="HTML_Control_5_3_2_1_5" localSheetId="14">{"'Worksheet'!$A$3:$R$184"}</definedName>
    <definedName name="HTML_Control_5_3_2_1_5">{"'Worksheet'!$A$3:$R$184"}</definedName>
    <definedName name="HTML_Control_5_3_2_2" localSheetId="14">{"'Worksheet'!$A$3:$R$184"}</definedName>
    <definedName name="HTML_Control_5_3_2_2">{"'Worksheet'!$A$3:$R$184"}</definedName>
    <definedName name="HTML_Control_5_3_2_3" localSheetId="14">{"'Worksheet'!$A$3:$R$184"}</definedName>
    <definedName name="HTML_Control_5_3_2_3">{"'Worksheet'!$A$3:$R$184"}</definedName>
    <definedName name="HTML_Control_5_3_2_4" localSheetId="14">{"'Worksheet'!$A$3:$R$184"}</definedName>
    <definedName name="HTML_Control_5_3_2_4">{"'Worksheet'!$A$3:$R$184"}</definedName>
    <definedName name="HTML_Control_5_3_2_5" localSheetId="14">{"'Worksheet'!$A$3:$R$184"}</definedName>
    <definedName name="HTML_Control_5_3_2_5">{"'Worksheet'!$A$3:$R$184"}</definedName>
    <definedName name="HTML_Control_5_3_3" localSheetId="14">{"'Worksheet'!$A$3:$R$184"}</definedName>
    <definedName name="HTML_Control_5_3_3">{"'Worksheet'!$A$3:$R$184"}</definedName>
    <definedName name="HTML_Control_5_3_3_1" localSheetId="14">{"'Worksheet'!$A$3:$R$184"}</definedName>
    <definedName name="HTML_Control_5_3_3_1">{"'Worksheet'!$A$3:$R$184"}</definedName>
    <definedName name="HTML_Control_5_3_3_2" localSheetId="14">{"'Worksheet'!$A$3:$R$184"}</definedName>
    <definedName name="HTML_Control_5_3_3_2">{"'Worksheet'!$A$3:$R$184"}</definedName>
    <definedName name="HTML_Control_5_3_3_3" localSheetId="14">{"'Worksheet'!$A$3:$R$184"}</definedName>
    <definedName name="HTML_Control_5_3_3_3">{"'Worksheet'!$A$3:$R$184"}</definedName>
    <definedName name="HTML_Control_5_3_3_4" localSheetId="14">{"'Worksheet'!$A$3:$R$184"}</definedName>
    <definedName name="HTML_Control_5_3_3_4">{"'Worksheet'!$A$3:$R$184"}</definedName>
    <definedName name="HTML_Control_5_3_3_5" localSheetId="14">{"'Worksheet'!$A$3:$R$184"}</definedName>
    <definedName name="HTML_Control_5_3_3_5">{"'Worksheet'!$A$3:$R$184"}</definedName>
    <definedName name="HTML_Control_5_3_4" localSheetId="14">{"'Worksheet'!$A$3:$R$184"}</definedName>
    <definedName name="HTML_Control_5_3_4">{"'Worksheet'!$A$3:$R$184"}</definedName>
    <definedName name="HTML_Control_5_3_4_1" localSheetId="14">{"'Worksheet'!$A$3:$R$184"}</definedName>
    <definedName name="HTML_Control_5_3_4_1">{"'Worksheet'!$A$3:$R$184"}</definedName>
    <definedName name="HTML_Control_5_3_4_2" localSheetId="14">{"'Worksheet'!$A$3:$R$184"}</definedName>
    <definedName name="HTML_Control_5_3_4_2">{"'Worksheet'!$A$3:$R$184"}</definedName>
    <definedName name="HTML_Control_5_3_4_3" localSheetId="14">{"'Worksheet'!$A$3:$R$184"}</definedName>
    <definedName name="HTML_Control_5_3_4_3">{"'Worksheet'!$A$3:$R$184"}</definedName>
    <definedName name="HTML_Control_5_3_4_4" localSheetId="14">{"'Worksheet'!$A$3:$R$184"}</definedName>
    <definedName name="HTML_Control_5_3_4_4">{"'Worksheet'!$A$3:$R$184"}</definedName>
    <definedName name="HTML_Control_5_3_4_5" localSheetId="14">{"'Worksheet'!$A$3:$R$184"}</definedName>
    <definedName name="HTML_Control_5_3_4_5">{"'Worksheet'!$A$3:$R$184"}</definedName>
    <definedName name="HTML_Control_5_3_5" localSheetId="14">{"'Worksheet'!$A$3:$R$184"}</definedName>
    <definedName name="HTML_Control_5_3_5">{"'Worksheet'!$A$3:$R$184"}</definedName>
    <definedName name="HTML_Control_5_3_5_1" localSheetId="14">{"'Worksheet'!$A$3:$R$184"}</definedName>
    <definedName name="HTML_Control_5_3_5_1">{"'Worksheet'!$A$3:$R$184"}</definedName>
    <definedName name="HTML_Control_5_3_5_2" localSheetId="14">{"'Worksheet'!$A$3:$R$184"}</definedName>
    <definedName name="HTML_Control_5_3_5_2">{"'Worksheet'!$A$3:$R$184"}</definedName>
    <definedName name="HTML_Control_5_3_5_3" localSheetId="14">{"'Worksheet'!$A$3:$R$184"}</definedName>
    <definedName name="HTML_Control_5_3_5_3">{"'Worksheet'!$A$3:$R$184"}</definedName>
    <definedName name="HTML_Control_5_3_5_4" localSheetId="14">{"'Worksheet'!$A$3:$R$184"}</definedName>
    <definedName name="HTML_Control_5_3_5_4">{"'Worksheet'!$A$3:$R$184"}</definedName>
    <definedName name="HTML_Control_5_3_5_5" localSheetId="14">{"'Worksheet'!$A$3:$R$184"}</definedName>
    <definedName name="HTML_Control_5_3_5_5">{"'Worksheet'!$A$3:$R$184"}</definedName>
    <definedName name="HTML_Control_5_4" localSheetId="14">{"'summary2'!$A$1:$L$47"}</definedName>
    <definedName name="HTML_Control_5_4">{"'summary2'!$A$1:$L$47"}</definedName>
    <definedName name="HTML_Control_5_4_1" localSheetId="14">{"'Worksheet'!$A$3:$R$184"}</definedName>
    <definedName name="HTML_Control_5_4_1">{"'Worksheet'!$A$3:$R$184"}</definedName>
    <definedName name="HTML_Control_5_4_1_1" localSheetId="14">{"'Worksheet'!$A$3:$R$184"}</definedName>
    <definedName name="HTML_Control_5_4_1_1">{"'Worksheet'!$A$3:$R$184"}</definedName>
    <definedName name="HTML_Control_5_4_1_1_1" localSheetId="14">{"'Worksheet'!$A$3:$R$184"}</definedName>
    <definedName name="HTML_Control_5_4_1_1_1">{"'Worksheet'!$A$3:$R$184"}</definedName>
    <definedName name="HTML_Control_5_4_1_1_1_1" localSheetId="14">{"'Worksheet'!$A$3:$R$184"}</definedName>
    <definedName name="HTML_Control_5_4_1_1_1_1">{"'Worksheet'!$A$3:$R$184"}</definedName>
    <definedName name="HTML_Control_5_4_1_1_1_2" localSheetId="14">{"'Worksheet'!$A$3:$R$184"}</definedName>
    <definedName name="HTML_Control_5_4_1_1_1_2">{"'Worksheet'!$A$3:$R$184"}</definedName>
    <definedName name="HTML_Control_5_4_1_1_1_3" localSheetId="14">{"'Worksheet'!$A$3:$R$184"}</definedName>
    <definedName name="HTML_Control_5_4_1_1_1_3">{"'Worksheet'!$A$3:$R$184"}</definedName>
    <definedName name="HTML_Control_5_4_1_1_1_4" localSheetId="14">{"'Worksheet'!$A$3:$R$184"}</definedName>
    <definedName name="HTML_Control_5_4_1_1_1_4">{"'Worksheet'!$A$3:$R$184"}</definedName>
    <definedName name="HTML_Control_5_4_1_1_1_5" localSheetId="14">{"'Worksheet'!$A$3:$R$184"}</definedName>
    <definedName name="HTML_Control_5_4_1_1_1_5">{"'Worksheet'!$A$3:$R$184"}</definedName>
    <definedName name="HTML_Control_5_4_1_1_2" localSheetId="14">{"'Worksheet'!$A$3:$R$184"}</definedName>
    <definedName name="HTML_Control_5_4_1_1_2">{"'Worksheet'!$A$3:$R$184"}</definedName>
    <definedName name="HTML_Control_5_4_1_1_3" localSheetId="14">{"'Worksheet'!$A$3:$R$184"}</definedName>
    <definedName name="HTML_Control_5_4_1_1_3">{"'Worksheet'!$A$3:$R$184"}</definedName>
    <definedName name="HTML_Control_5_4_1_1_4" localSheetId="14">{"'Worksheet'!$A$3:$R$184"}</definedName>
    <definedName name="HTML_Control_5_4_1_1_4">{"'Worksheet'!$A$3:$R$184"}</definedName>
    <definedName name="HTML_Control_5_4_1_1_5" localSheetId="14">{"'Worksheet'!$A$3:$R$184"}</definedName>
    <definedName name="HTML_Control_5_4_1_1_5">{"'Worksheet'!$A$3:$R$184"}</definedName>
    <definedName name="HTML_Control_5_4_1_2" localSheetId="14">{"'Worksheet'!$A$3:$R$184"}</definedName>
    <definedName name="HTML_Control_5_4_1_2">{"'Worksheet'!$A$3:$R$184"}</definedName>
    <definedName name="HTML_Control_5_4_1_2_1" localSheetId="14">{"'Worksheet'!$A$3:$R$184"}</definedName>
    <definedName name="HTML_Control_5_4_1_2_1">{"'Worksheet'!$A$3:$R$184"}</definedName>
    <definedName name="HTML_Control_5_4_1_2_2" localSheetId="14">{"'Worksheet'!$A$3:$R$184"}</definedName>
    <definedName name="HTML_Control_5_4_1_2_2">{"'Worksheet'!$A$3:$R$184"}</definedName>
    <definedName name="HTML_Control_5_4_1_2_3" localSheetId="14">{"'Worksheet'!$A$3:$R$184"}</definedName>
    <definedName name="HTML_Control_5_4_1_2_3">{"'Worksheet'!$A$3:$R$184"}</definedName>
    <definedName name="HTML_Control_5_4_1_2_4" localSheetId="14">{"'Worksheet'!$A$3:$R$184"}</definedName>
    <definedName name="HTML_Control_5_4_1_2_4">{"'Worksheet'!$A$3:$R$184"}</definedName>
    <definedName name="HTML_Control_5_4_1_2_5" localSheetId="14">{"'Worksheet'!$A$3:$R$184"}</definedName>
    <definedName name="HTML_Control_5_4_1_2_5">{"'Worksheet'!$A$3:$R$184"}</definedName>
    <definedName name="HTML_Control_5_4_1_3" localSheetId="14">{"'Worksheet'!$A$3:$R$184"}</definedName>
    <definedName name="HTML_Control_5_4_1_3">{"'Worksheet'!$A$3:$R$184"}</definedName>
    <definedName name="HTML_Control_5_4_1_3_1" localSheetId="14">{"'Worksheet'!$A$3:$R$184"}</definedName>
    <definedName name="HTML_Control_5_4_1_3_1">{"'Worksheet'!$A$3:$R$184"}</definedName>
    <definedName name="HTML_Control_5_4_1_3_2" localSheetId="14">{"'Worksheet'!$A$3:$R$184"}</definedName>
    <definedName name="HTML_Control_5_4_1_3_2">{"'Worksheet'!$A$3:$R$184"}</definedName>
    <definedName name="HTML_Control_5_4_1_3_3" localSheetId="14">{"'Worksheet'!$A$3:$R$184"}</definedName>
    <definedName name="HTML_Control_5_4_1_3_3">{"'Worksheet'!$A$3:$R$184"}</definedName>
    <definedName name="HTML_Control_5_4_1_3_4" localSheetId="14">{"'Worksheet'!$A$3:$R$184"}</definedName>
    <definedName name="HTML_Control_5_4_1_3_4">{"'Worksheet'!$A$3:$R$184"}</definedName>
    <definedName name="HTML_Control_5_4_1_3_5" localSheetId="14">{"'Worksheet'!$A$3:$R$184"}</definedName>
    <definedName name="HTML_Control_5_4_1_3_5">{"'Worksheet'!$A$3:$R$184"}</definedName>
    <definedName name="HTML_Control_5_4_1_4" localSheetId="14">{"'Worksheet'!$A$3:$R$184"}</definedName>
    <definedName name="HTML_Control_5_4_1_4">{"'Worksheet'!$A$3:$R$184"}</definedName>
    <definedName name="HTML_Control_5_4_1_4_1" localSheetId="14">{"'Worksheet'!$A$3:$R$184"}</definedName>
    <definedName name="HTML_Control_5_4_1_4_1">{"'Worksheet'!$A$3:$R$184"}</definedName>
    <definedName name="HTML_Control_5_4_1_4_2" localSheetId="14">{"'Worksheet'!$A$3:$R$184"}</definedName>
    <definedName name="HTML_Control_5_4_1_4_2">{"'Worksheet'!$A$3:$R$184"}</definedName>
    <definedName name="HTML_Control_5_4_1_4_3" localSheetId="14">{"'Worksheet'!$A$3:$R$184"}</definedName>
    <definedName name="HTML_Control_5_4_1_4_3">{"'Worksheet'!$A$3:$R$184"}</definedName>
    <definedName name="HTML_Control_5_4_1_4_4" localSheetId="14">{"'Worksheet'!$A$3:$R$184"}</definedName>
    <definedName name="HTML_Control_5_4_1_4_4">{"'Worksheet'!$A$3:$R$184"}</definedName>
    <definedName name="HTML_Control_5_4_1_4_5" localSheetId="14">{"'Worksheet'!$A$3:$R$184"}</definedName>
    <definedName name="HTML_Control_5_4_1_4_5">{"'Worksheet'!$A$3:$R$184"}</definedName>
    <definedName name="HTML_Control_5_4_1_5" localSheetId="14">{"'Worksheet'!$A$3:$R$184"}</definedName>
    <definedName name="HTML_Control_5_4_1_5">{"'Worksheet'!$A$3:$R$184"}</definedName>
    <definedName name="HTML_Control_5_4_1_5_1" localSheetId="14">{"'Worksheet'!$A$3:$R$184"}</definedName>
    <definedName name="HTML_Control_5_4_1_5_1">{"'Worksheet'!$A$3:$R$184"}</definedName>
    <definedName name="HTML_Control_5_4_1_5_2" localSheetId="14">{"'Worksheet'!$A$3:$R$184"}</definedName>
    <definedName name="HTML_Control_5_4_1_5_2">{"'Worksheet'!$A$3:$R$184"}</definedName>
    <definedName name="HTML_Control_5_4_1_5_3" localSheetId="14">{"'Worksheet'!$A$3:$R$184"}</definedName>
    <definedName name="HTML_Control_5_4_1_5_3">{"'Worksheet'!$A$3:$R$184"}</definedName>
    <definedName name="HTML_Control_5_4_1_5_4" localSheetId="14">{"'Worksheet'!$A$3:$R$184"}</definedName>
    <definedName name="HTML_Control_5_4_1_5_4">{"'Worksheet'!$A$3:$R$184"}</definedName>
    <definedName name="HTML_Control_5_4_1_5_5" localSheetId="14">{"'Worksheet'!$A$3:$R$184"}</definedName>
    <definedName name="HTML_Control_5_4_1_5_5">{"'Worksheet'!$A$3:$R$184"}</definedName>
    <definedName name="HTML_Control_5_4_2" localSheetId="14">{"'Worksheet'!$A$3:$R$184"}</definedName>
    <definedName name="HTML_Control_5_4_2">{"'Worksheet'!$A$3:$R$184"}</definedName>
    <definedName name="HTML_Control_5_4_2_1" localSheetId="14">{"'Worksheet'!$A$3:$R$184"}</definedName>
    <definedName name="HTML_Control_5_4_2_1">{"'Worksheet'!$A$3:$R$184"}</definedName>
    <definedName name="HTML_Control_5_4_2_1_1" localSheetId="14">{"'Worksheet'!$A$3:$R$184"}</definedName>
    <definedName name="HTML_Control_5_4_2_1_1">{"'Worksheet'!$A$3:$R$184"}</definedName>
    <definedName name="HTML_Control_5_4_2_1_2" localSheetId="14">{"'Worksheet'!$A$3:$R$184"}</definedName>
    <definedName name="HTML_Control_5_4_2_1_2">{"'Worksheet'!$A$3:$R$184"}</definedName>
    <definedName name="HTML_Control_5_4_2_1_3" localSheetId="14">{"'Worksheet'!$A$3:$R$184"}</definedName>
    <definedName name="HTML_Control_5_4_2_1_3">{"'Worksheet'!$A$3:$R$184"}</definedName>
    <definedName name="HTML_Control_5_4_2_1_4" localSheetId="14">{"'Worksheet'!$A$3:$R$184"}</definedName>
    <definedName name="HTML_Control_5_4_2_1_4">{"'Worksheet'!$A$3:$R$184"}</definedName>
    <definedName name="HTML_Control_5_4_2_1_5" localSheetId="14">{"'Worksheet'!$A$3:$R$184"}</definedName>
    <definedName name="HTML_Control_5_4_2_1_5">{"'Worksheet'!$A$3:$R$184"}</definedName>
    <definedName name="HTML_Control_5_4_2_2" localSheetId="14">{"'Worksheet'!$A$3:$R$184"}</definedName>
    <definedName name="HTML_Control_5_4_2_2">{"'Worksheet'!$A$3:$R$184"}</definedName>
    <definedName name="HTML_Control_5_4_2_3" localSheetId="14">{"'Worksheet'!$A$3:$R$184"}</definedName>
    <definedName name="HTML_Control_5_4_2_3">{"'Worksheet'!$A$3:$R$184"}</definedName>
    <definedName name="HTML_Control_5_4_2_4" localSheetId="14">{"'Worksheet'!$A$3:$R$184"}</definedName>
    <definedName name="HTML_Control_5_4_2_4">{"'Worksheet'!$A$3:$R$184"}</definedName>
    <definedName name="HTML_Control_5_4_2_5" localSheetId="14">{"'Worksheet'!$A$3:$R$184"}</definedName>
    <definedName name="HTML_Control_5_4_2_5">{"'Worksheet'!$A$3:$R$184"}</definedName>
    <definedName name="HTML_Control_5_4_3" localSheetId="14">{"'Worksheet'!$A$3:$R$184"}</definedName>
    <definedName name="HTML_Control_5_4_3">{"'Worksheet'!$A$3:$R$184"}</definedName>
    <definedName name="HTML_Control_5_4_3_1" localSheetId="14">{"'Worksheet'!$A$3:$R$184"}</definedName>
    <definedName name="HTML_Control_5_4_3_1">{"'Worksheet'!$A$3:$R$184"}</definedName>
    <definedName name="HTML_Control_5_4_3_2" localSheetId="14">{"'Worksheet'!$A$3:$R$184"}</definedName>
    <definedName name="HTML_Control_5_4_3_2">{"'Worksheet'!$A$3:$R$184"}</definedName>
    <definedName name="HTML_Control_5_4_3_3" localSheetId="14">{"'Worksheet'!$A$3:$R$184"}</definedName>
    <definedName name="HTML_Control_5_4_3_3">{"'Worksheet'!$A$3:$R$184"}</definedName>
    <definedName name="HTML_Control_5_4_3_4" localSheetId="14">{"'Worksheet'!$A$3:$R$184"}</definedName>
    <definedName name="HTML_Control_5_4_3_4">{"'Worksheet'!$A$3:$R$184"}</definedName>
    <definedName name="HTML_Control_5_4_3_5" localSheetId="14">{"'Worksheet'!$A$3:$R$184"}</definedName>
    <definedName name="HTML_Control_5_4_3_5">{"'Worksheet'!$A$3:$R$184"}</definedName>
    <definedName name="HTML_Control_5_4_4" localSheetId="14">{"'Worksheet'!$A$3:$R$184"}</definedName>
    <definedName name="HTML_Control_5_4_4">{"'Worksheet'!$A$3:$R$184"}</definedName>
    <definedName name="HTML_Control_5_4_4_1" localSheetId="14">{"'Worksheet'!$A$3:$R$184"}</definedName>
    <definedName name="HTML_Control_5_4_4_1">{"'Worksheet'!$A$3:$R$184"}</definedName>
    <definedName name="HTML_Control_5_4_4_2" localSheetId="14">{"'Worksheet'!$A$3:$R$184"}</definedName>
    <definedName name="HTML_Control_5_4_4_2">{"'Worksheet'!$A$3:$R$184"}</definedName>
    <definedName name="HTML_Control_5_4_4_3" localSheetId="14">{"'Worksheet'!$A$3:$R$184"}</definedName>
    <definedName name="HTML_Control_5_4_4_3">{"'Worksheet'!$A$3:$R$184"}</definedName>
    <definedName name="HTML_Control_5_4_4_4" localSheetId="14">{"'Worksheet'!$A$3:$R$184"}</definedName>
    <definedName name="HTML_Control_5_4_4_4">{"'Worksheet'!$A$3:$R$184"}</definedName>
    <definedName name="HTML_Control_5_4_4_5" localSheetId="14">{"'Worksheet'!$A$3:$R$184"}</definedName>
    <definedName name="HTML_Control_5_4_4_5">{"'Worksheet'!$A$3:$R$184"}</definedName>
    <definedName name="HTML_Control_5_4_5" localSheetId="14">{"'Worksheet'!$A$3:$R$184"}</definedName>
    <definedName name="HTML_Control_5_4_5">{"'Worksheet'!$A$3:$R$184"}</definedName>
    <definedName name="HTML_Control_5_4_5_1" localSheetId="14">{"'Worksheet'!$A$3:$R$184"}</definedName>
    <definedName name="HTML_Control_5_4_5_1">{"'Worksheet'!$A$3:$R$184"}</definedName>
    <definedName name="HTML_Control_5_4_5_2" localSheetId="14">{"'Worksheet'!$A$3:$R$184"}</definedName>
    <definedName name="HTML_Control_5_4_5_2">{"'Worksheet'!$A$3:$R$184"}</definedName>
    <definedName name="HTML_Control_5_4_5_3" localSheetId="14">{"'Worksheet'!$A$3:$R$184"}</definedName>
    <definedName name="HTML_Control_5_4_5_3">{"'Worksheet'!$A$3:$R$184"}</definedName>
    <definedName name="HTML_Control_5_4_5_4" localSheetId="14">{"'Worksheet'!$A$3:$R$184"}</definedName>
    <definedName name="HTML_Control_5_4_5_4">{"'Worksheet'!$A$3:$R$184"}</definedName>
    <definedName name="HTML_Control_5_4_5_5" localSheetId="14">{"'Worksheet'!$A$3:$R$184"}</definedName>
    <definedName name="HTML_Control_5_4_5_5">{"'Worksheet'!$A$3:$R$184"}</definedName>
    <definedName name="HTML_Control_5_5" localSheetId="14">{"'summary2'!$A$1:$L$47"}</definedName>
    <definedName name="HTML_Control_5_5">{"'summary2'!$A$1:$L$47"}</definedName>
    <definedName name="HTML_Control_5_5_1" localSheetId="14">{"'Worksheet'!$A$3:$R$184"}</definedName>
    <definedName name="HTML_Control_5_5_1">{"'Worksheet'!$A$3:$R$184"}</definedName>
    <definedName name="HTML_Control_5_5_1_1" localSheetId="14">{"'Worksheet'!$A$3:$R$184"}</definedName>
    <definedName name="HTML_Control_5_5_1_1">{"'Worksheet'!$A$3:$R$184"}</definedName>
    <definedName name="HTML_Control_5_5_1_1_1" localSheetId="14">{"'Worksheet'!$A$3:$R$184"}</definedName>
    <definedName name="HTML_Control_5_5_1_1_1">{"'Worksheet'!$A$3:$R$184"}</definedName>
    <definedName name="HTML_Control_5_5_1_1_1_1" localSheetId="14">{"'Worksheet'!$A$3:$R$184"}</definedName>
    <definedName name="HTML_Control_5_5_1_1_1_1">{"'Worksheet'!$A$3:$R$184"}</definedName>
    <definedName name="HTML_Control_5_5_1_1_1_2" localSheetId="14">{"'Worksheet'!$A$3:$R$184"}</definedName>
    <definedName name="HTML_Control_5_5_1_1_1_2">{"'Worksheet'!$A$3:$R$184"}</definedName>
    <definedName name="HTML_Control_5_5_1_1_1_3" localSheetId="14">{"'Worksheet'!$A$3:$R$184"}</definedName>
    <definedName name="HTML_Control_5_5_1_1_1_3">{"'Worksheet'!$A$3:$R$184"}</definedName>
    <definedName name="HTML_Control_5_5_1_1_1_4" localSheetId="14">{"'Worksheet'!$A$3:$R$184"}</definedName>
    <definedName name="HTML_Control_5_5_1_1_1_4">{"'Worksheet'!$A$3:$R$184"}</definedName>
    <definedName name="HTML_Control_5_5_1_1_1_5" localSheetId="14">{"'Worksheet'!$A$3:$R$184"}</definedName>
    <definedName name="HTML_Control_5_5_1_1_1_5">{"'Worksheet'!$A$3:$R$184"}</definedName>
    <definedName name="HTML_Control_5_5_1_1_2" localSheetId="14">{"'Worksheet'!$A$3:$R$184"}</definedName>
    <definedName name="HTML_Control_5_5_1_1_2">{"'Worksheet'!$A$3:$R$184"}</definedName>
    <definedName name="HTML_Control_5_5_1_1_3" localSheetId="14">{"'Worksheet'!$A$3:$R$184"}</definedName>
    <definedName name="HTML_Control_5_5_1_1_3">{"'Worksheet'!$A$3:$R$184"}</definedName>
    <definedName name="HTML_Control_5_5_1_1_4" localSheetId="14">{"'Worksheet'!$A$3:$R$184"}</definedName>
    <definedName name="HTML_Control_5_5_1_1_4">{"'Worksheet'!$A$3:$R$184"}</definedName>
    <definedName name="HTML_Control_5_5_1_1_5" localSheetId="14">{"'Worksheet'!$A$3:$R$184"}</definedName>
    <definedName name="HTML_Control_5_5_1_1_5">{"'Worksheet'!$A$3:$R$184"}</definedName>
    <definedName name="HTML_Control_5_5_1_2" localSheetId="14">{"'Worksheet'!$A$3:$R$184"}</definedName>
    <definedName name="HTML_Control_5_5_1_2">{"'Worksheet'!$A$3:$R$184"}</definedName>
    <definedName name="HTML_Control_5_5_1_2_1" localSheetId="14">{"'Worksheet'!$A$3:$R$184"}</definedName>
    <definedName name="HTML_Control_5_5_1_2_1">{"'Worksheet'!$A$3:$R$184"}</definedName>
    <definedName name="HTML_Control_5_5_1_2_2" localSheetId="14">{"'Worksheet'!$A$3:$R$184"}</definedName>
    <definedName name="HTML_Control_5_5_1_2_2">{"'Worksheet'!$A$3:$R$184"}</definedName>
    <definedName name="HTML_Control_5_5_1_2_3" localSheetId="14">{"'Worksheet'!$A$3:$R$184"}</definedName>
    <definedName name="HTML_Control_5_5_1_2_3">{"'Worksheet'!$A$3:$R$184"}</definedName>
    <definedName name="HTML_Control_5_5_1_2_4" localSheetId="14">{"'Worksheet'!$A$3:$R$184"}</definedName>
    <definedName name="HTML_Control_5_5_1_2_4">{"'Worksheet'!$A$3:$R$184"}</definedName>
    <definedName name="HTML_Control_5_5_1_2_5" localSheetId="14">{"'Worksheet'!$A$3:$R$184"}</definedName>
    <definedName name="HTML_Control_5_5_1_2_5">{"'Worksheet'!$A$3:$R$184"}</definedName>
    <definedName name="HTML_Control_5_5_1_3" localSheetId="14">{"'Worksheet'!$A$3:$R$184"}</definedName>
    <definedName name="HTML_Control_5_5_1_3">{"'Worksheet'!$A$3:$R$184"}</definedName>
    <definedName name="HTML_Control_5_5_1_3_1" localSheetId="14">{"'Worksheet'!$A$3:$R$184"}</definedName>
    <definedName name="HTML_Control_5_5_1_3_1">{"'Worksheet'!$A$3:$R$184"}</definedName>
    <definedName name="HTML_Control_5_5_1_3_2" localSheetId="14">{"'Worksheet'!$A$3:$R$184"}</definedName>
    <definedName name="HTML_Control_5_5_1_3_2">{"'Worksheet'!$A$3:$R$184"}</definedName>
    <definedName name="HTML_Control_5_5_1_3_3" localSheetId="14">{"'Worksheet'!$A$3:$R$184"}</definedName>
    <definedName name="HTML_Control_5_5_1_3_3">{"'Worksheet'!$A$3:$R$184"}</definedName>
    <definedName name="HTML_Control_5_5_1_3_4" localSheetId="14">{"'Worksheet'!$A$3:$R$184"}</definedName>
    <definedName name="HTML_Control_5_5_1_3_4">{"'Worksheet'!$A$3:$R$184"}</definedName>
    <definedName name="HTML_Control_5_5_1_3_5" localSheetId="14">{"'Worksheet'!$A$3:$R$184"}</definedName>
    <definedName name="HTML_Control_5_5_1_3_5">{"'Worksheet'!$A$3:$R$184"}</definedName>
    <definedName name="HTML_Control_5_5_1_4" localSheetId="14">{"'Worksheet'!$A$3:$R$184"}</definedName>
    <definedName name="HTML_Control_5_5_1_4">{"'Worksheet'!$A$3:$R$184"}</definedName>
    <definedName name="HTML_Control_5_5_1_4_1" localSheetId="14">{"'Worksheet'!$A$3:$R$184"}</definedName>
    <definedName name="HTML_Control_5_5_1_4_1">{"'Worksheet'!$A$3:$R$184"}</definedName>
    <definedName name="HTML_Control_5_5_1_4_2" localSheetId="14">{"'Worksheet'!$A$3:$R$184"}</definedName>
    <definedName name="HTML_Control_5_5_1_4_2">{"'Worksheet'!$A$3:$R$184"}</definedName>
    <definedName name="HTML_Control_5_5_1_4_3" localSheetId="14">{"'Worksheet'!$A$3:$R$184"}</definedName>
    <definedName name="HTML_Control_5_5_1_4_3">{"'Worksheet'!$A$3:$R$184"}</definedName>
    <definedName name="HTML_Control_5_5_1_4_4" localSheetId="14">{"'Worksheet'!$A$3:$R$184"}</definedName>
    <definedName name="HTML_Control_5_5_1_4_4">{"'Worksheet'!$A$3:$R$184"}</definedName>
    <definedName name="HTML_Control_5_5_1_4_5" localSheetId="14">{"'Worksheet'!$A$3:$R$184"}</definedName>
    <definedName name="HTML_Control_5_5_1_4_5">{"'Worksheet'!$A$3:$R$184"}</definedName>
    <definedName name="HTML_Control_5_5_1_5" localSheetId="14">{"'Worksheet'!$A$3:$R$184"}</definedName>
    <definedName name="HTML_Control_5_5_1_5">{"'Worksheet'!$A$3:$R$184"}</definedName>
    <definedName name="HTML_Control_5_5_1_5_1" localSheetId="14">{"'Worksheet'!$A$3:$R$184"}</definedName>
    <definedName name="HTML_Control_5_5_1_5_1">{"'Worksheet'!$A$3:$R$184"}</definedName>
    <definedName name="HTML_Control_5_5_1_5_2" localSheetId="14">{"'Worksheet'!$A$3:$R$184"}</definedName>
    <definedName name="HTML_Control_5_5_1_5_2">{"'Worksheet'!$A$3:$R$184"}</definedName>
    <definedName name="HTML_Control_5_5_1_5_3" localSheetId="14">{"'Worksheet'!$A$3:$R$184"}</definedName>
    <definedName name="HTML_Control_5_5_1_5_3">{"'Worksheet'!$A$3:$R$184"}</definedName>
    <definedName name="HTML_Control_5_5_1_5_4" localSheetId="14">{"'Worksheet'!$A$3:$R$184"}</definedName>
    <definedName name="HTML_Control_5_5_1_5_4">{"'Worksheet'!$A$3:$R$184"}</definedName>
    <definedName name="HTML_Control_5_5_1_5_5" localSheetId="14">{"'Worksheet'!$A$3:$R$184"}</definedName>
    <definedName name="HTML_Control_5_5_1_5_5">{"'Worksheet'!$A$3:$R$184"}</definedName>
    <definedName name="HTML_Control_5_5_2" localSheetId="14">{"'Worksheet'!$A$3:$R$184"}</definedName>
    <definedName name="HTML_Control_5_5_2">{"'Worksheet'!$A$3:$R$184"}</definedName>
    <definedName name="HTML_Control_5_5_2_1" localSheetId="14">{"'Worksheet'!$A$3:$R$184"}</definedName>
    <definedName name="HTML_Control_5_5_2_1">{"'Worksheet'!$A$3:$R$184"}</definedName>
    <definedName name="HTML_Control_5_5_2_1_1" localSheetId="14">{"'Worksheet'!$A$3:$R$184"}</definedName>
    <definedName name="HTML_Control_5_5_2_1_1">{"'Worksheet'!$A$3:$R$184"}</definedName>
    <definedName name="HTML_Control_5_5_2_1_2" localSheetId="14">{"'Worksheet'!$A$3:$R$184"}</definedName>
    <definedName name="HTML_Control_5_5_2_1_2">{"'Worksheet'!$A$3:$R$184"}</definedName>
    <definedName name="HTML_Control_5_5_2_1_3" localSheetId="14">{"'Worksheet'!$A$3:$R$184"}</definedName>
    <definedName name="HTML_Control_5_5_2_1_3">{"'Worksheet'!$A$3:$R$184"}</definedName>
    <definedName name="HTML_Control_5_5_2_1_4" localSheetId="14">{"'Worksheet'!$A$3:$R$184"}</definedName>
    <definedName name="HTML_Control_5_5_2_1_4">{"'Worksheet'!$A$3:$R$184"}</definedName>
    <definedName name="HTML_Control_5_5_2_1_5" localSheetId="14">{"'Worksheet'!$A$3:$R$184"}</definedName>
    <definedName name="HTML_Control_5_5_2_1_5">{"'Worksheet'!$A$3:$R$184"}</definedName>
    <definedName name="HTML_Control_5_5_2_2" localSheetId="14">{"'Worksheet'!$A$3:$R$184"}</definedName>
    <definedName name="HTML_Control_5_5_2_2">{"'Worksheet'!$A$3:$R$184"}</definedName>
    <definedName name="HTML_Control_5_5_2_3" localSheetId="14">{"'Worksheet'!$A$3:$R$184"}</definedName>
    <definedName name="HTML_Control_5_5_2_3">{"'Worksheet'!$A$3:$R$184"}</definedName>
    <definedName name="HTML_Control_5_5_2_4" localSheetId="14">{"'Worksheet'!$A$3:$R$184"}</definedName>
    <definedName name="HTML_Control_5_5_2_4">{"'Worksheet'!$A$3:$R$184"}</definedName>
    <definedName name="HTML_Control_5_5_2_5" localSheetId="14">{"'Worksheet'!$A$3:$R$184"}</definedName>
    <definedName name="HTML_Control_5_5_2_5">{"'Worksheet'!$A$3:$R$184"}</definedName>
    <definedName name="HTML_Control_5_5_3" localSheetId="14">{"'Worksheet'!$A$3:$R$184"}</definedName>
    <definedName name="HTML_Control_5_5_3">{"'Worksheet'!$A$3:$R$184"}</definedName>
    <definedName name="HTML_Control_5_5_3_1" localSheetId="14">{"'Worksheet'!$A$3:$R$184"}</definedName>
    <definedName name="HTML_Control_5_5_3_1">{"'Worksheet'!$A$3:$R$184"}</definedName>
    <definedName name="HTML_Control_5_5_3_2" localSheetId="14">{"'Worksheet'!$A$3:$R$184"}</definedName>
    <definedName name="HTML_Control_5_5_3_2">{"'Worksheet'!$A$3:$R$184"}</definedName>
    <definedName name="HTML_Control_5_5_3_3" localSheetId="14">{"'Worksheet'!$A$3:$R$184"}</definedName>
    <definedName name="HTML_Control_5_5_3_3">{"'Worksheet'!$A$3:$R$184"}</definedName>
    <definedName name="HTML_Control_5_5_3_4" localSheetId="14">{"'Worksheet'!$A$3:$R$184"}</definedName>
    <definedName name="HTML_Control_5_5_3_4">{"'Worksheet'!$A$3:$R$184"}</definedName>
    <definedName name="HTML_Control_5_5_3_5" localSheetId="14">{"'Worksheet'!$A$3:$R$184"}</definedName>
    <definedName name="HTML_Control_5_5_3_5">{"'Worksheet'!$A$3:$R$184"}</definedName>
    <definedName name="HTML_Control_5_5_4" localSheetId="14">{"'Worksheet'!$A$3:$R$184"}</definedName>
    <definedName name="HTML_Control_5_5_4">{"'Worksheet'!$A$3:$R$184"}</definedName>
    <definedName name="HTML_Control_5_5_4_1" localSheetId="14">{"'Worksheet'!$A$3:$R$184"}</definedName>
    <definedName name="HTML_Control_5_5_4_1">{"'Worksheet'!$A$3:$R$184"}</definedName>
    <definedName name="HTML_Control_5_5_4_2" localSheetId="14">{"'Worksheet'!$A$3:$R$184"}</definedName>
    <definedName name="HTML_Control_5_5_4_2">{"'Worksheet'!$A$3:$R$184"}</definedName>
    <definedName name="HTML_Control_5_5_4_3" localSheetId="14">{"'Worksheet'!$A$3:$R$184"}</definedName>
    <definedName name="HTML_Control_5_5_4_3">{"'Worksheet'!$A$3:$R$184"}</definedName>
    <definedName name="HTML_Control_5_5_4_4" localSheetId="14">{"'Worksheet'!$A$3:$R$184"}</definedName>
    <definedName name="HTML_Control_5_5_4_4">{"'Worksheet'!$A$3:$R$184"}</definedName>
    <definedName name="HTML_Control_5_5_4_5" localSheetId="14">{"'Worksheet'!$A$3:$R$184"}</definedName>
    <definedName name="HTML_Control_5_5_4_5">{"'Worksheet'!$A$3:$R$184"}</definedName>
    <definedName name="HTML_Control_5_5_5" localSheetId="14">{"'Worksheet'!$A$3:$R$184"}</definedName>
    <definedName name="HTML_Control_5_5_5">{"'Worksheet'!$A$3:$R$184"}</definedName>
    <definedName name="HTML_Control_5_5_5_1" localSheetId="14">{"'Worksheet'!$A$3:$R$184"}</definedName>
    <definedName name="HTML_Control_5_5_5_1">{"'Worksheet'!$A$3:$R$184"}</definedName>
    <definedName name="HTML_Control_5_5_5_2" localSheetId="14">{"'Worksheet'!$A$3:$R$184"}</definedName>
    <definedName name="HTML_Control_5_5_5_2">{"'Worksheet'!$A$3:$R$184"}</definedName>
    <definedName name="HTML_Control_5_5_5_3" localSheetId="14">{"'Worksheet'!$A$3:$R$184"}</definedName>
    <definedName name="HTML_Control_5_5_5_3">{"'Worksheet'!$A$3:$R$184"}</definedName>
    <definedName name="HTML_Control_5_5_5_4" localSheetId="14">{"'Worksheet'!$A$3:$R$184"}</definedName>
    <definedName name="HTML_Control_5_5_5_4">{"'Worksheet'!$A$3:$R$184"}</definedName>
    <definedName name="HTML_Control_5_5_5_5" localSheetId="14">{"'Worksheet'!$A$3:$R$184"}</definedName>
    <definedName name="HTML_Control_5_5_5_5">{"'Worksheet'!$A$3:$R$184"}</definedName>
    <definedName name="HTML_Description">"CA 101 Monies that will be included in process (activity) budgets for 2000"</definedName>
    <definedName name="HTML_Description_1">""</definedName>
    <definedName name="HTML_Description_1_1">"DRAFT"</definedName>
    <definedName name="HTML_Description_1_1_1">""</definedName>
    <definedName name="HTML_Description_1_1_1_1">"DRAFT"</definedName>
    <definedName name="HTML_Email">""</definedName>
    <definedName name="HTML_Email_1">""</definedName>
    <definedName name="HTML_Email_1_1">"Patrick_Blattner@Studio.Disney.com"</definedName>
    <definedName name="HTML_Email_1_1_1">""</definedName>
    <definedName name="HTML_Email_1_1_1_1">"Patrick_Blattner@Studio.Disney.com"</definedName>
    <definedName name="HTML_Header">"2000 CA 101 COST ALLOCATION TO PROCESSES"</definedName>
    <definedName name="HTML_Header_1">"Worksheet"</definedName>
    <definedName name="HTML_Header_1_1">"EXISTING &amp; FUTURE PRODUCTS (CONFIDENTIAL)"</definedName>
    <definedName name="HTML_Header_1_1_1">"Worksheet"</definedName>
    <definedName name="HTML_Header_1_1_1_1">"EXISTING &amp; FUTURE PRODUCTS (CONFIDENTIAL)"</definedName>
    <definedName name="HTML_LastUpdate">"07/23/1999"</definedName>
    <definedName name="HTML_LastUpdate_1">"3/19/1999"</definedName>
    <definedName name="HTML_LastUpdate_1_1">"2/8/98"</definedName>
    <definedName name="HTML_LastUpdate_1_1_1">"3/19/1999"</definedName>
    <definedName name="HTML_LastUpdate_1_1_1_1">"2/8/98"</definedName>
    <definedName name="HTML_LineAfter">TRUE</definedName>
    <definedName name="HTML_LineBefore">TRUE</definedName>
    <definedName name="HTML_LineBefore_1">FALSE</definedName>
    <definedName name="HTML_LineBefore_1_1">TRUE</definedName>
    <definedName name="HTML_LineBefore_1_1_1">FALSE</definedName>
    <definedName name="HTML_LineBefore_1_1_1_1">TRUE</definedName>
    <definedName name="HTML_Name">"Licensed User"</definedName>
    <definedName name="HTML_Name_1">"Al Kinne"</definedName>
    <definedName name="HTML_Name_1_1">"Patrick Blattner"</definedName>
    <definedName name="HTML_Name_1_1_1">"Al Kinne"</definedName>
    <definedName name="HTML_Name_1_1_1_1">"Patrick Blattner"</definedName>
    <definedName name="HTML_OBDlg2">TRUE</definedName>
    <definedName name="HTML_OBDlg4">TRUE</definedName>
    <definedName name="HTML_OS">0</definedName>
    <definedName name="HTML_PathFile">"G:\BPS\Systems Plan\Mid-Year 1999 Systems Plan\MyHTML.htm"</definedName>
    <definedName name="HTML_PathFile_1">"N:\excel\work\MyHTML.htm"</definedName>
    <definedName name="HTML_PathFile_1_1">"K:\ANIMATE\SECURE\Production\INTRANET\ANI.HTML.htm"</definedName>
    <definedName name="HTML_PathFile_1_1_1">"N:\excel\work\MyHTML.htm"</definedName>
    <definedName name="HTML_PathFile_1_1_1_1">"K:\ANIMATE\SECURE\Production\INTRANET\ANI.HTML.htm"</definedName>
    <definedName name="HTML_Title">"CA 101 MONIES ALLOCATED TO PROCESS (ACTIVITY) BUDGETS"</definedName>
    <definedName name="HTML_Title_1">"Interconnection Rev's &amp; Purch's for 1999"</definedName>
    <definedName name="HTML_Title_1_1">"2D ANIMATION PRODUCTION TABLE"</definedName>
    <definedName name="HTML_Title_1_1_1">"Interconnection Rev's &amp; Purch's for 1999"</definedName>
    <definedName name="HTML_Title_1_1_1_1">"2D ANIMATION PRODUCTION TABLE"</definedName>
    <definedName name="Hubs">#REF!</definedName>
    <definedName name="HydroFin">#REF!</definedName>
    <definedName name="hyhnnj" localSheetId="14">{#N/A,#N/A,FALSE,"Expenditures";#N/A,#N/A,FALSE,"Property Placed In-Service";#N/A,#N/A,FALSE,"Removals";#N/A,#N/A,FALSE,"Retirements";#N/A,#N/A,FALSE,"CWIP Balances";#N/A,#N/A,FALSE,"CWIP_Expend_Ratios";#N/A,#N/A,FALSE,"CWIP_Yr_End";#N/A,#N/A,FALSE,"Nuc_Fuel";#N/A,#N/A,FALSE,"New_Gen";#N/A,#N/A,FALSE,"New_Trans";#N/A,#N/A,FALSE,"DSM";#N/A,#N/A,FALSE,"Factors"}</definedName>
    <definedName name="hyhnnj">{#N/A,#N/A,FALSE,"Expenditures";#N/A,#N/A,FALSE,"Property Placed In-Service";#N/A,#N/A,FALSE,"Removals";#N/A,#N/A,FALSE,"Retirements";#N/A,#N/A,FALSE,"CWIP Balances";#N/A,#N/A,FALSE,"CWIP_Expend_Ratios";#N/A,#N/A,FALSE,"CWIP_Yr_End";#N/A,#N/A,FALSE,"Nuc_Fuel";#N/A,#N/A,FALSE,"New_Gen";#N/A,#N/A,FALSE,"New_Trans";#N/A,#N/A,FALSE,"DSM";#N/A,#N/A,FALSE,"Factors"}</definedName>
    <definedName name="hyp">#REF!</definedName>
    <definedName name="hyyujj" localSheetId="14">{#N/A,#N/A,FALSE,"schA"}</definedName>
    <definedName name="hyyujj">{#N/A,#N/A,FALSE,"schA"}</definedName>
    <definedName name="IBDES">#REF!</definedName>
    <definedName name="ICABINETSRELAY">#REF!</definedName>
    <definedName name="ICB">#REF!</definedName>
    <definedName name="ICCVT">#REF!</definedName>
    <definedName name="ICT">#REF!</definedName>
    <definedName name="IDN">#REF!</definedName>
    <definedName name="IDS">#REF!</definedName>
    <definedName name="IE_AA">OFFSET(#REF!,0,5,,#REF!)</definedName>
    <definedName name="IE_AE">OFFSET(#REF!,0,5,,#REF!)</definedName>
    <definedName name="IE_OR">OFFSET(#REF!,0,5,,#REF!)</definedName>
    <definedName name="IFENC">#REF!</definedName>
    <definedName name="igtfuel">#REF!</definedName>
    <definedName name="II_AA">OFFSET(#REF!,0,5,,#REF!)</definedName>
    <definedName name="II_AE">OFFSET(#REF!,0,5,,#REF!)</definedName>
    <definedName name="II_OR">OFFSET(#REF!,0,5,,#REF!)</definedName>
    <definedName name="IISS">#REF!</definedName>
    <definedName name="ILDS">#REF!</definedName>
    <definedName name="IMEF">#REF!</definedName>
    <definedName name="imkta_roic">#REF!</definedName>
    <definedName name="imkta_rtree">#REF!</definedName>
    <definedName name="imkta_rtree2">#REF!</definedName>
    <definedName name="imkta_rtree3">#REF!</definedName>
    <definedName name="imkta_sales">#REF!</definedName>
    <definedName name="imkta_wacc">#REF!</definedName>
    <definedName name="imkta2_roic">#REF!</definedName>
    <definedName name="Implemented">#REF!</definedName>
    <definedName name="ImpliedLeaseValue">#REF!</definedName>
    <definedName name="IMPORTDFF1">#REF!</definedName>
    <definedName name="inc">#REF!</definedName>
    <definedName name="inc_tax_rate">#REF!</definedName>
    <definedName name="Incentive_forecast">#REF!</definedName>
    <definedName name="Incentive_Graphs">#REF!</definedName>
    <definedName name="Incentives_Print">#REF!</definedName>
    <definedName name="InclPlanGas">#REF!</definedName>
    <definedName name="IncludeCTC">#REF!</definedName>
    <definedName name="IncludeGas">#REF!</definedName>
    <definedName name="income">#REF!</definedName>
    <definedName name="Income_collected2">#REF!</definedName>
    <definedName name="ind_pct">#REF!</definedName>
    <definedName name="Index">#REF!</definedName>
    <definedName name="Index_Curve">#REF!</definedName>
    <definedName name="IndexGas">#REF!</definedName>
    <definedName name="infl_curr">#REF!</definedName>
    <definedName name="infl_fac">#REF!</definedName>
    <definedName name="InflationUS">#REF!</definedName>
    <definedName name="Influence">#REF!</definedName>
    <definedName name="Info">#REF!</definedName>
    <definedName name="INFO_BRO_COM">#REF!</definedName>
    <definedName name="INFO_BRO_DIS">#REF!</definedName>
    <definedName name="INFO_BRO_IMR">#REF!</definedName>
    <definedName name="INFO_BRO_MMR">#REF!</definedName>
    <definedName name="InitiativeCodes">OFFSET(#REF!,1,0,#REF!,1)</definedName>
    <definedName name="inout">#REF!</definedName>
    <definedName name="input">#REF!</definedName>
    <definedName name="INSTITUTE">#REF!</definedName>
    <definedName name="int_pct">#REF!</definedName>
    <definedName name="int_rate">#REF!</definedName>
    <definedName name="interest_rate">#REF!</definedName>
    <definedName name="Interval_cutoff">#REF!</definedName>
    <definedName name="IntRate">#REF!</definedName>
    <definedName name="Investd">#REF!</definedName>
    <definedName name="investment" localSheetId="14">{#N/A,#N/A,FALSE,"PRJCTED MNTHLY QTY's"}</definedName>
    <definedName name="investment">{#N/A,#N/A,FALSE,"PRJCTED MNTHLY QTY's"}</definedName>
    <definedName name="InvFifo">#REF!</definedName>
    <definedName name="ION">#REF!</definedName>
    <definedName name="IPFS">#REF!</definedName>
    <definedName name="IPP5MW">#REF!</definedName>
    <definedName name="IPT">#REF!</definedName>
    <definedName name="IQ_ACCOUNT_CHANGE">"c1449"</definedName>
    <definedName name="IQ_ACCOUNTS_PAY">"c1343"</definedName>
    <definedName name="IQ_ACCR_INT_PAY">"c1"</definedName>
    <definedName name="IQ_ACCR_INT_PAY_CF">"c2"</definedName>
    <definedName name="IQ_ACCR_INT_RECEIV">"c3"</definedName>
    <definedName name="IQ_ACCR_INT_RECEIV_CF">"c4"</definedName>
    <definedName name="IQ_ACCRUED_EXP">"c1341"</definedName>
    <definedName name="IQ_ACCT_RECV_10YR_ANN_GROWTH">"c1924"</definedName>
    <definedName name="IQ_ACCT_RECV_1YR_ANN_GROWTH">"c1919"</definedName>
    <definedName name="IQ_ACCT_RECV_2YR_ANN_GROWTH">"c1920"</definedName>
    <definedName name="IQ_ACCT_RECV_3YR_ANN_GROWTH">"c1921"</definedName>
    <definedName name="IQ_ACCT_RECV_5YR_ANN_GROWTH">"c1922"</definedName>
    <definedName name="IQ_ACCT_RECV_7YR_ANN_GROWTH">"c1923"</definedName>
    <definedName name="IQ_ACCUM_DEP">"c1340"</definedName>
    <definedName name="IQ_ACCUMULATED_PENSION_OBLIGATION">"c2244"</definedName>
    <definedName name="IQ_ACCUMULATED_PENSION_OBLIGATION_DOMESTIC">"c2657"</definedName>
    <definedName name="IQ_ACCUMULATED_PENSION_OBLIGATION_FOREIGN">"c2665"</definedName>
    <definedName name="IQ_ACQ_COST_SUB">"c2125"</definedName>
    <definedName name="IQ_ACQ_COSTS_CAPITALIZED">"c5"</definedName>
    <definedName name="IQ_ACQUIRE_REAL_ESTATE_CF">"c6"</definedName>
    <definedName name="IQ_ACQUISITION_RE_ASSETS">"c1628"</definedName>
    <definedName name="IQ_AD">"c7"</definedName>
    <definedName name="IQ_ADD_PAID_IN">"c1344"</definedName>
    <definedName name="IQ_ADDIN">"AUTO"</definedName>
    <definedName name="IQ_ADJ_AVG_BANK_ASSETS">"c2671"</definedName>
    <definedName name="IQ_ADMIN_RATIO">"c2784"</definedName>
    <definedName name="IQ_ADVERTISING">"c2246"</definedName>
    <definedName name="IQ_ADVERTISING_MARKETING">"c1566"</definedName>
    <definedName name="IQ_AE">"c8"</definedName>
    <definedName name="IQ_AE_BNK">"c9"</definedName>
    <definedName name="IQ_AE_BR">"c10"</definedName>
    <definedName name="IQ_AE_FIN">"c11"</definedName>
    <definedName name="IQ_AE_INS">"c12"</definedName>
    <definedName name="IQ_AE_REIT">"c13"</definedName>
    <definedName name="IQ_AE_UTI">"c14"</definedName>
    <definedName name="IQ_AH_EARNED">"c2744"</definedName>
    <definedName name="IQ_AH_POLICY_BENEFITS_EXP">"c2789"</definedName>
    <definedName name="IQ_AIR_AIRPLANES_NOT_IN_SERVICE">"c2842"</definedName>
    <definedName name="IQ_AIR_AIRPLANES_SUBLEASED">"c2841"</definedName>
    <definedName name="IQ_AIR_ASK">"c2813"</definedName>
    <definedName name="IQ_AIR_ASK_INCREASE">"c2826"</definedName>
    <definedName name="IQ_AIR_ASM">"c2812"</definedName>
    <definedName name="IQ_AIR_ASM_INCREASE">"c2825"</definedName>
    <definedName name="IQ_AIR_AVG_AGE">"c2843"</definedName>
    <definedName name="IQ_AIR_BREAK_EVEN_FACTOR">"c2822"</definedName>
    <definedName name="IQ_AIR_CAPITAL_LEASE">"c2833"</definedName>
    <definedName name="IQ_AIR_COMPLETION_FACTOR">"c2824"</definedName>
    <definedName name="IQ_AIR_ENPLANED_PSGRS">"c2809"</definedName>
    <definedName name="IQ_AIR_FUEL_CONSUMED">"c2806"</definedName>
    <definedName name="IQ_AIR_FUEL_CONSUMED_L">"c2807"</definedName>
    <definedName name="IQ_AIR_FUEL_COST">"c2803"</definedName>
    <definedName name="IQ_AIR_FUEL_COST_L">"c2804"</definedName>
    <definedName name="IQ_AIR_FUEL_EXP">"c2802"</definedName>
    <definedName name="IQ_AIR_FUEL_EXP_PERCENT">"c2805"</definedName>
    <definedName name="IQ_AIR_LEASED">"c2835"</definedName>
    <definedName name="IQ_AIR_LOAD_FACTOR">"c2823"</definedName>
    <definedName name="IQ_AIR_NEW_AIRPLANES">"c2839"</definedName>
    <definedName name="IQ_AIR_OPER_EXP_ASK">"c2821"</definedName>
    <definedName name="IQ_AIR_OPER_EXP_ASM">"c2820"</definedName>
    <definedName name="IQ_AIR_OPER_LEASE">"c2834"</definedName>
    <definedName name="IQ_AIR_OPER_REV_YIELD_ASK">"c2819"</definedName>
    <definedName name="IQ_AIR_OPER_REV_YIELD_ASM">"c2818"</definedName>
    <definedName name="IQ_AIR_OPTIONS">"c2837"</definedName>
    <definedName name="IQ_AIR_ORDERS">"c2836"</definedName>
    <definedName name="IQ_AIR_OWNED">"c2832"</definedName>
    <definedName name="IQ_AIR_PSGR_REV_YIELD_ASK">"c2817"</definedName>
    <definedName name="IQ_AIR_PSGR_REV_YIELD_ASM">"c2816"</definedName>
    <definedName name="IQ_AIR_PSGR_REV_YIELD_RPK">"c2815"</definedName>
    <definedName name="IQ_AIR_PSGR_REV_YIELD_RPM">"c2814"</definedName>
    <definedName name="IQ_AIR_PURCHASE_RIGHTS">"c2838"</definedName>
    <definedName name="IQ_AIR_RETIRED_AIRPLANES">"c2840"</definedName>
    <definedName name="IQ_AIR_REV_PSGRS_CARRIED">"c2808"</definedName>
    <definedName name="IQ_AIR_REV_SCHEDULED_SERVICE">"c2830"</definedName>
    <definedName name="IQ_AIR_RPK">"c2811"</definedName>
    <definedName name="IQ_AIR_RPM">"c2810"</definedName>
    <definedName name="IQ_AIR_STAGE_LENGTH">"c2828"</definedName>
    <definedName name="IQ_AIR_STAGE_LENGTH_KM">"c2829"</definedName>
    <definedName name="IQ_AIR_TOTAL">"c2831"</definedName>
    <definedName name="IQ_AIR_UTILIZATION">"c2827"</definedName>
    <definedName name="IQ_ALLOW_BORROW_CONST">"c15"</definedName>
    <definedName name="IQ_ALLOW_CONST">"c1342"</definedName>
    <definedName name="IQ_ALLOW_DOUBT_ACCT">"c2092"</definedName>
    <definedName name="IQ_ALLOW_EQUITY_CONST">"c16"</definedName>
    <definedName name="IQ_ALLOW_LL">"c17"</definedName>
    <definedName name="IQ_ALLOWANCE_10YR_ANN_GROWTH">"c18"</definedName>
    <definedName name="IQ_ALLOWANCE_1YR_ANN_GROWTH">"c19"</definedName>
    <definedName name="IQ_ALLOWANCE_2YR_ANN_GROWTH">"c20"</definedName>
    <definedName name="IQ_ALLOWANCE_3YR_ANN_GROWTH">"c21"</definedName>
    <definedName name="IQ_ALLOWANCE_5YR_ANN_GROWTH">"c22"</definedName>
    <definedName name="IQ_ALLOWANCE_7YR_ANN_GROWTH">"c23"</definedName>
    <definedName name="IQ_ALLOWANCE_CHARGE_OFFS">"c24"</definedName>
    <definedName name="IQ_ALLOWANCE_NON_PERF_LOANS">"c25"</definedName>
    <definedName name="IQ_ALLOWANCE_TOTAL_LOANS">"c26"</definedName>
    <definedName name="IQ_AMORTIZATION">"c1591"</definedName>
    <definedName name="IQ_AMT_OUT">"c2145"</definedName>
    <definedName name="IQ_ANNU_DISTRIBUTION_UNIT">"c3004"</definedName>
    <definedName name="IQ_ANNUALIZED_DIVIDEND">"c1579"</definedName>
    <definedName name="IQ_ANNUITY_LIAB">"c27"</definedName>
    <definedName name="IQ_ANNUITY_PAY">"c28"</definedName>
    <definedName name="IQ_ANNUITY_POLICY_EXP">"c29"</definedName>
    <definedName name="IQ_ANNUITY_REC">"c30"</definedName>
    <definedName name="IQ_ANNUITY_REV">"c31"</definedName>
    <definedName name="IQ_AP">"c32"</definedName>
    <definedName name="IQ_AP_BNK">"c33"</definedName>
    <definedName name="IQ_AP_BR">"c34"</definedName>
    <definedName name="IQ_AP_FIN">"c35"</definedName>
    <definedName name="IQ_AP_INS">"c36"</definedName>
    <definedName name="IQ_AP_REIT">"c37"</definedName>
    <definedName name="IQ_AP_UTI">"c38"</definedName>
    <definedName name="IQ_APIC">"c39"</definedName>
    <definedName name="IQ_AR">"c40"</definedName>
    <definedName name="IQ_AR_BR">"c41"</definedName>
    <definedName name="IQ_AR_LT">"c42"</definedName>
    <definedName name="IQ_AR_REIT">"c43"</definedName>
    <definedName name="IQ_AR_TURNS">"c44"</definedName>
    <definedName name="IQ_AR_UTI">"c45"</definedName>
    <definedName name="IQ_ARPU">"c2126"</definedName>
    <definedName name="IQ_ASSET_MGMT_FEE">"c46"</definedName>
    <definedName name="IQ_ASSET_TURNS">"c47"</definedName>
    <definedName name="IQ_ASSET_WRITEDOWN">"c48"</definedName>
    <definedName name="IQ_ASSET_WRITEDOWN_BNK">"c49"</definedName>
    <definedName name="IQ_ASSET_WRITEDOWN_BR">"c50"</definedName>
    <definedName name="IQ_ASSET_WRITEDOWN_CF">"c51"</definedName>
    <definedName name="IQ_ASSET_WRITEDOWN_CF_BNK">"c52"</definedName>
    <definedName name="IQ_ASSET_WRITEDOWN_CF_BR">"c53"</definedName>
    <definedName name="IQ_ASSET_WRITEDOWN_CF_FIN">"c54"</definedName>
    <definedName name="IQ_ASSET_WRITEDOWN_CF_INS">"c55"</definedName>
    <definedName name="IQ_ASSET_WRITEDOWN_CF_REIT">"c56"</definedName>
    <definedName name="IQ_ASSET_WRITEDOWN_CF_UTI">"c57"</definedName>
    <definedName name="IQ_ASSET_WRITEDOWN_FIN">"c58"</definedName>
    <definedName name="IQ_ASSET_WRITEDOWN_INS">"c59"</definedName>
    <definedName name="IQ_ASSET_WRITEDOWN_REIT">"c60"</definedName>
    <definedName name="IQ_ASSET_WRITEDOWN_UTI">"c61"</definedName>
    <definedName name="IQ_ASSETS_CAP_LEASE_DEPR">"c2068"</definedName>
    <definedName name="IQ_ASSETS_CAP_LEASE_GROSS">"c2069"</definedName>
    <definedName name="IQ_ASSETS_OPER_LEASE_DEPR">"c2070"</definedName>
    <definedName name="IQ_ASSETS_OPER_LEASE_GROSS">"c2071"</definedName>
    <definedName name="IQ_ASSUMED_AH_EARNED">"c2741"</definedName>
    <definedName name="IQ_ASSUMED_EARNED">"c2731"</definedName>
    <definedName name="IQ_ASSUMED_LIFE_EARNED">"c2736"</definedName>
    <definedName name="IQ_ASSUMED_LIFE_IN_FORCE">"c2766"</definedName>
    <definedName name="IQ_ASSUMED_PC_EARNED">"c2746"</definedName>
    <definedName name="IQ_ASSUMED_WRITTEN">"c2725"</definedName>
    <definedName name="IQ_AUDITOR_NAME">"c1539"</definedName>
    <definedName name="IQ_AUDITOR_OPINION">"c1540"</definedName>
    <definedName name="IQ_AUTO_WRITTEN">"c62"</definedName>
    <definedName name="IQ_AVG_BANK_ASSETS">"c2072"</definedName>
    <definedName name="IQ_AVG_BANK_LOANS">"c2073"</definedName>
    <definedName name="IQ_AVG_BROKER_REC">"c63"</definedName>
    <definedName name="IQ_AVG_BROKER_REC_NO">"c64"</definedName>
    <definedName name="IQ_AVG_BROKER_REC_NO_REUT">"c5315"</definedName>
    <definedName name="IQ_AVG_BROKER_REC_REUT">"c3630"</definedName>
    <definedName name="IQ_AVG_DAILY_VOL">"c65"</definedName>
    <definedName name="IQ_AVG_INDUSTRY_REC">"c4455"</definedName>
    <definedName name="IQ_AVG_INT_BEAR_LIAB">"c66"</definedName>
    <definedName name="IQ_AVG_INT_BEAR_LIAB_10YR_ANN_GROWTH">"c67"</definedName>
    <definedName name="IQ_AVG_INT_BEAR_LIAB_1YR_ANN_GROWTH">"c68"</definedName>
    <definedName name="IQ_AVG_INT_BEAR_LIAB_2YR_ANN_GROWTH">"c69"</definedName>
    <definedName name="IQ_AVG_INT_BEAR_LIAB_3YR_ANN_GROWTH">"c70"</definedName>
    <definedName name="IQ_AVG_INT_BEAR_LIAB_5YR_ANN_GROWTH">"c71"</definedName>
    <definedName name="IQ_AVG_INT_BEAR_LIAB_7YR_ANN_GROWTH">"c72"</definedName>
    <definedName name="IQ_AVG_INT_EARN_ASSETS">"c73"</definedName>
    <definedName name="IQ_AVG_INT_EARN_ASSETS_10YR_ANN_GROWTH">"c74"</definedName>
    <definedName name="IQ_AVG_INT_EARN_ASSETS_1YR_ANN_GROWTH">"c75"</definedName>
    <definedName name="IQ_AVG_INT_EARN_ASSETS_2YR_ANN_GROWTH">"c76"</definedName>
    <definedName name="IQ_AVG_INT_EARN_ASSETS_3YR_ANN_GROWTH">"c77"</definedName>
    <definedName name="IQ_AVG_INT_EARN_ASSETS_5YR_ANN_GROWTH">"c78"</definedName>
    <definedName name="IQ_AVG_INT_EARN_ASSETS_7YR_ANN_GROWTH">"c79"</definedName>
    <definedName name="IQ_AVG_MKTCAP">"c80"</definedName>
    <definedName name="IQ_AVG_PRICE">"c81"</definedName>
    <definedName name="IQ_AVG_SHAREOUTSTANDING">"c83"</definedName>
    <definedName name="IQ_AVG_TEV">"c84"</definedName>
    <definedName name="IQ_AVG_VOLUME">"c1346"</definedName>
    <definedName name="IQ_BANK_DEBT">"c2544"</definedName>
    <definedName name="IQ_BANK_DEBT_PCT">"c2545"</definedName>
    <definedName name="IQ_BASIC_EPS_EXCL">"c85"</definedName>
    <definedName name="IQ_BASIC_EPS_INCL">"c86"</definedName>
    <definedName name="IQ_BASIC_NORMAL_EPS">"c1592"</definedName>
    <definedName name="IQ_BASIC_WEIGHT">"c87"</definedName>
    <definedName name="IQ_BENCHMARK_SECURITY">"c2154"</definedName>
    <definedName name="IQ_BENCHMARK_SPRD">"c2153"</definedName>
    <definedName name="IQ_BETA">"c2133"</definedName>
    <definedName name="IQ_BETA_1YR">"c1966"</definedName>
    <definedName name="IQ_BETA_1YR_RSQ">"c2132"</definedName>
    <definedName name="IQ_BETA_2YR">"c1965"</definedName>
    <definedName name="IQ_BETA_2YR_RSQ">"c2131"</definedName>
    <definedName name="IQ_BETA_5YR">"c88"</definedName>
    <definedName name="IQ_BETA_5YR_RSQ">"c2130"</definedName>
    <definedName name="IQ_BIG_INT_BEAR_CD">"c89"</definedName>
    <definedName name="IQ_BOARD_MEMBER">"c96"</definedName>
    <definedName name="IQ_BOARD_MEMBER_BACKGROUND">"c2101"</definedName>
    <definedName name="IQ_BOARD_MEMBER_TITLE">"c97"</definedName>
    <definedName name="IQ_BOND_COUPON">"c2183"</definedName>
    <definedName name="IQ_BOND_COUPON_TYPE">"c2184"</definedName>
    <definedName name="IQ_BOND_PRICE">"c2162"</definedName>
    <definedName name="IQ_BROK_COMISSION">"c98"</definedName>
    <definedName name="IQ_BROK_COMMISSION">"c3514"</definedName>
    <definedName name="IQ_BUILDINGS">"c99"</definedName>
    <definedName name="IQ_BUS_SEG_ASSETS">"c4067"</definedName>
    <definedName name="IQ_BUS_SEG_ASSETS_ABS">"c4089"</definedName>
    <definedName name="IQ_BUS_SEG_ASSETS_TOTAL">"c4112"</definedName>
    <definedName name="IQ_BUS_SEG_CAPEX">"c4079"</definedName>
    <definedName name="IQ_BUS_SEG_CAPEX_ABS">"c4101"</definedName>
    <definedName name="IQ_BUS_SEG_CAPEX_TOTAL">"c4116"</definedName>
    <definedName name="IQ_BUS_SEG_DA">"c4078"</definedName>
    <definedName name="IQ_BUS_SEG_DA_ABS">"c4100"</definedName>
    <definedName name="IQ_BUS_SEG_DA_TOTAL">"c4115"</definedName>
    <definedName name="IQ_BUS_SEG_EARNINGS_OP">"c4063"</definedName>
    <definedName name="IQ_BUS_SEG_EARNINGS_OP_ABS">"c4085"</definedName>
    <definedName name="IQ_BUS_SEG_EARNINGS_OP_TOTAL">"c4108"</definedName>
    <definedName name="IQ_BUS_SEG_EBT">"c4064"</definedName>
    <definedName name="IQ_BUS_SEG_EBT_ABS">"c4086"</definedName>
    <definedName name="IQ_BUS_SEG_EBT_TOTAL">"c4110"</definedName>
    <definedName name="IQ_BUS_SEG_GP">"c4066"</definedName>
    <definedName name="IQ_BUS_SEG_GP_ABS">"c4088"</definedName>
    <definedName name="IQ_BUS_SEG_GP_TOTAL">"c4109"</definedName>
    <definedName name="IQ_BUS_SEG_INC_TAX">"c4077"</definedName>
    <definedName name="IQ_BUS_SEG_INC_TAX_ABS">"c4099"</definedName>
    <definedName name="IQ_BUS_SEG_INC_TAX_TOTAL">"c4114"</definedName>
    <definedName name="IQ_BUS_SEG_INTEREST_EXP">"c4076"</definedName>
    <definedName name="IQ_BUS_SEG_INTEREST_EXP_ABS">"c4098"</definedName>
    <definedName name="IQ_BUS_SEG_INTEREST_EXP_TOTAL">"c4113"</definedName>
    <definedName name="IQ_BUS_SEG_NAME">"c5482"</definedName>
    <definedName name="IQ_BUS_SEG_NAME_ABS">"c5483"</definedName>
    <definedName name="IQ_BUS_SEG_NI">"c4065"</definedName>
    <definedName name="IQ_BUS_SEG_NI_ABS">"c4087"</definedName>
    <definedName name="IQ_BUS_SEG_NI_TOTAL">"c4111"</definedName>
    <definedName name="IQ_BUS_SEG_OPER_INC">"c4062"</definedName>
    <definedName name="IQ_BUS_SEG_OPER_INC_ABS">"c4084"</definedName>
    <definedName name="IQ_BUS_SEG_OPER_INC_TOTAL">"c4107"</definedName>
    <definedName name="IQ_BUS_SEG_REV">"c4068"</definedName>
    <definedName name="IQ_BUS_SEG_REV_ABS">"c4090"</definedName>
    <definedName name="IQ_BUS_SEG_REV_TOTAL">"c4106"</definedName>
    <definedName name="IQ_BUSINESS_DESCRIPTION">"c322"</definedName>
    <definedName name="IQ_BV_OVER_SHARES">"c1349"</definedName>
    <definedName name="IQ_BV_SHARE">"c100"</definedName>
    <definedName name="IQ_CABLE_ARPU">"c2869"</definedName>
    <definedName name="IQ_CABLE_ARPU_ANALOG">"c2864"</definedName>
    <definedName name="IQ_CABLE_ARPU_BASIC">"c2866"</definedName>
    <definedName name="IQ_CABLE_ARPU_BBAND">"c2867"</definedName>
    <definedName name="IQ_CABLE_ARPU_DIG">"c2865"</definedName>
    <definedName name="IQ_CABLE_ARPU_PHONE">"c2868"</definedName>
    <definedName name="IQ_CABLE_BASIC_PENETRATION">"c2850"</definedName>
    <definedName name="IQ_CABLE_BBAND_PENETRATION">"c2852"</definedName>
    <definedName name="IQ_CABLE_BBAND_PENETRATION_THP">"c2851"</definedName>
    <definedName name="IQ_CABLE_CHURN">"c2874"</definedName>
    <definedName name="IQ_CABLE_CHURN_BASIC">"c2871"</definedName>
    <definedName name="IQ_CABLE_CHURN_BBAND">"c2872"</definedName>
    <definedName name="IQ_CABLE_CHURN_DIG">"c2870"</definedName>
    <definedName name="IQ_CABLE_CHURN_PHONE">"c2873"</definedName>
    <definedName name="IQ_CABLE_HOMES_PER_MILE">"c2849"</definedName>
    <definedName name="IQ_CABLE_HP_BBAND">"c2845"</definedName>
    <definedName name="IQ_CABLE_HP_DIG">"c2844"</definedName>
    <definedName name="IQ_CABLE_HP_PHONE">"c2846"</definedName>
    <definedName name="IQ_CABLE_MILES_PASSED">"c2848"</definedName>
    <definedName name="IQ_CABLE_OTHER_REV">"c2882"</definedName>
    <definedName name="IQ_CABLE_PHONE_PENETRATION">"c2853"</definedName>
    <definedName name="IQ_CABLE_PROGRAMMING_COSTS">"c2884"</definedName>
    <definedName name="IQ_CABLE_REV_ADVERT">"c2880"</definedName>
    <definedName name="IQ_CABLE_REV_ANALOG">"c2875"</definedName>
    <definedName name="IQ_CABLE_REV_BASIC">"c2877"</definedName>
    <definedName name="IQ_CABLE_REV_BBAND">"c2878"</definedName>
    <definedName name="IQ_CABLE_REV_COMMERCIAL">"c2881"</definedName>
    <definedName name="IQ_CABLE_REV_DIG">"c2876"</definedName>
    <definedName name="IQ_CABLE_REV_PHONE">"c2879"</definedName>
    <definedName name="IQ_CABLE_RGU">"c2863"</definedName>
    <definedName name="IQ_CABLE_SUBS_ANALOG">"c2855"</definedName>
    <definedName name="IQ_CABLE_SUBS_BASIC">"c2857"</definedName>
    <definedName name="IQ_CABLE_SUBS_BBAND">"c2858"</definedName>
    <definedName name="IQ_CABLE_SUBS_BUNDLED">"c2861"</definedName>
    <definedName name="IQ_CABLE_SUBS_DIG">"c2856"</definedName>
    <definedName name="IQ_CABLE_SUBS_NON_VIDEO">"c2860"</definedName>
    <definedName name="IQ_CABLE_SUBS_PHONE">"c2859"</definedName>
    <definedName name="IQ_CABLE_SUBS_TOTAL">"c2862"</definedName>
    <definedName name="IQ_CABLE_THP">"c2847"</definedName>
    <definedName name="IQ_CABLE_TOTAL_PENETRATION">"c2854"</definedName>
    <definedName name="IQ_CABLE_TOTAL_REV">"c2883"</definedName>
    <definedName name="IQ_CAL_Q">"c101"</definedName>
    <definedName name="IQ_CAL_Y">"c102"</definedName>
    <definedName name="IQ_CALC_TYPE_BS">"c3086"</definedName>
    <definedName name="IQ_CALC_TYPE_CF">"c3085"</definedName>
    <definedName name="IQ_CALC_TYPE_IS">"c3084"</definedName>
    <definedName name="IQ_CALL_DATE_SCHEDULE">"c2481"</definedName>
    <definedName name="IQ_CALL_FEATURE">"c2197"</definedName>
    <definedName name="IQ_CALL_PRICE_SCHEDULE">"c2482"</definedName>
    <definedName name="IQ_CALLABLE">"c2196"</definedName>
    <definedName name="IQ_CAP_LOSS_CF_1YR">"c3474"</definedName>
    <definedName name="IQ_CAP_LOSS_CF_2YR">"c3475"</definedName>
    <definedName name="IQ_CAP_LOSS_CF_3YR">"c3476"</definedName>
    <definedName name="IQ_CAP_LOSS_CF_4YR">"c3477"</definedName>
    <definedName name="IQ_CAP_LOSS_CF_5YR">"c3478"</definedName>
    <definedName name="IQ_CAP_LOSS_CF_AFTER_FIVE">"c3479"</definedName>
    <definedName name="IQ_CAP_LOSS_CF_MAX_YEAR">"c3482"</definedName>
    <definedName name="IQ_CAP_LOSS_CF_NO_EXP">"c3480"</definedName>
    <definedName name="IQ_CAP_LOSS_CF_TOTAL">"c3481"</definedName>
    <definedName name="IQ_CAPEX">"c103"</definedName>
    <definedName name="IQ_CAPEX_10YR_ANN_GROWTH">"c104"</definedName>
    <definedName name="IQ_CAPEX_1YR_ANN_GROWTH">"c105"</definedName>
    <definedName name="IQ_CAPEX_2YR_ANN_GROWTH">"c106"</definedName>
    <definedName name="IQ_CAPEX_3YR_ANN_GROWTH">"c107"</definedName>
    <definedName name="IQ_CAPEX_5YR_ANN_GROWTH">"c108"</definedName>
    <definedName name="IQ_CAPEX_7YR_ANN_GROWTH">"c109"</definedName>
    <definedName name="IQ_CAPEX_BNK">"c110"</definedName>
    <definedName name="IQ_CAPEX_BR">"c111"</definedName>
    <definedName name="IQ_CAPEX_FIN">"c112"</definedName>
    <definedName name="IQ_CAPEX_INS">"c113"</definedName>
    <definedName name="IQ_CAPEX_UTI">"c114"</definedName>
    <definedName name="IQ_CAPITAL_LEASE">"c1350"</definedName>
    <definedName name="IQ_CAPITAL_LEASES">"c115"</definedName>
    <definedName name="IQ_CAPITAL_LEASES_TOTAL">"c3031"</definedName>
    <definedName name="IQ_CAPITAL_LEASES_TOTAL_PCT">"c2506"</definedName>
    <definedName name="IQ_CAPITALIZED_INTEREST">"c2076"</definedName>
    <definedName name="IQ_CAPITALIZED_INTEREST_BOP">"c3459"</definedName>
    <definedName name="IQ_CAPITALIZED_INTEREST_EOP">"c3464"</definedName>
    <definedName name="IQ_CAPITALIZED_INTEREST_EXP">"c3461"</definedName>
    <definedName name="IQ_CAPITALIZED_INTEREST_OTHER_ADJ">"c3463"</definedName>
    <definedName name="IQ_CAPITALIZED_INTEREST_WRITE_OFF">"c3462"</definedName>
    <definedName name="IQ_CASH">"c1458"</definedName>
    <definedName name="IQ_CASH_ACQUIRE_CF">"c1630"</definedName>
    <definedName name="IQ_CASH_CONVERSION">"c117"</definedName>
    <definedName name="IQ_CASH_DUE_BANKS">"c1351"</definedName>
    <definedName name="IQ_CASH_EQUIV">"c118"</definedName>
    <definedName name="IQ_CASH_FINAN">"c119"</definedName>
    <definedName name="IQ_CASH_FLOW_ACT_OR_EST">"c4154"</definedName>
    <definedName name="IQ_CASH_INTEREST">"c120"</definedName>
    <definedName name="IQ_CASH_INVEST">"c121"</definedName>
    <definedName name="IQ_CASH_OPER">"c122"</definedName>
    <definedName name="IQ_CASH_OPER_ACT_OR_EST">"c4164"</definedName>
    <definedName name="IQ_CASH_SEGREG">"c123"</definedName>
    <definedName name="IQ_CASH_SHARE">"c1911"</definedName>
    <definedName name="IQ_CASH_ST">"c1355"</definedName>
    <definedName name="IQ_CASH_ST_INVEST">"c124"</definedName>
    <definedName name="IQ_CASH_TAXES">"c125"</definedName>
    <definedName name="IQ_CEDED_AH_EARNED">"c2743"</definedName>
    <definedName name="IQ_CEDED_CLAIM_EXP_INCUR">"c2756"</definedName>
    <definedName name="IQ_CEDED_CLAIM_EXP_PAID">"c2759"</definedName>
    <definedName name="IQ_CEDED_CLAIM_EXP_RES">"c2753"</definedName>
    <definedName name="IQ_CEDED_EARNED">"c2733"</definedName>
    <definedName name="IQ_CEDED_LIFE_EARNED">"c2738"</definedName>
    <definedName name="IQ_CEDED_LIFE_IN_FORCE">"c2768"</definedName>
    <definedName name="IQ_CEDED_PC_EARNED">"c2748"</definedName>
    <definedName name="IQ_CEDED_WRITTEN">"c2727"</definedName>
    <definedName name="IQ_CFO_10YR_ANN_GROWTH">"c126"</definedName>
    <definedName name="IQ_CFO_1YR_ANN_GROWTH">"c127"</definedName>
    <definedName name="IQ_CFO_2YR_ANN_GROWTH">"c128"</definedName>
    <definedName name="IQ_CFO_3YR_ANN_GROWTH">"c129"</definedName>
    <definedName name="IQ_CFO_5YR_ANN_GROWTH">"c130"</definedName>
    <definedName name="IQ_CFO_7YR_ANN_GROWTH">"c131"</definedName>
    <definedName name="IQ_CFO_CURRENT_LIAB">"c132"</definedName>
    <definedName name="IQ_CFPS_ACT_OR_EST">"c2217"</definedName>
    <definedName name="IQ_CFPS_EST">"c1667"</definedName>
    <definedName name="IQ_CFPS_HIGH_EST">"c1669"</definedName>
    <definedName name="IQ_CFPS_LOW_EST">"c1670"</definedName>
    <definedName name="IQ_CFPS_MEDIAN_EST">"c1668"</definedName>
    <definedName name="IQ_CFPS_NUM_EST">"c1671"</definedName>
    <definedName name="IQ_CFPS_STDDEV_EST">"c1672"</definedName>
    <definedName name="IQ_CH">110000</definedName>
    <definedName name="IQ_CHANGE_AP">"c133"</definedName>
    <definedName name="IQ_CHANGE_AP_BNK">"c134"</definedName>
    <definedName name="IQ_CHANGE_AP_BR">"c135"</definedName>
    <definedName name="IQ_CHANGE_AP_FIN">"c136"</definedName>
    <definedName name="IQ_CHANGE_AP_INS">"c137"</definedName>
    <definedName name="IQ_CHANGE_AP_REIT">"c138"</definedName>
    <definedName name="IQ_CHANGE_AP_UTI">"c139"</definedName>
    <definedName name="IQ_CHANGE_AR">"c140"</definedName>
    <definedName name="IQ_CHANGE_AR_BNK">"c141"</definedName>
    <definedName name="IQ_CHANGE_AR_BR">"c142"</definedName>
    <definedName name="IQ_CHANGE_AR_FIN">"c143"</definedName>
    <definedName name="IQ_CHANGE_AR_INS">"c144"</definedName>
    <definedName name="IQ_CHANGE_AR_REIT">"c145"</definedName>
    <definedName name="IQ_CHANGE_AR_UTI">"c146"</definedName>
    <definedName name="IQ_CHANGE_DEF_TAX">"c147"</definedName>
    <definedName name="IQ_CHANGE_DEPOSIT_ACCT">"c148"</definedName>
    <definedName name="IQ_CHANGE_INC_TAX">"c149"</definedName>
    <definedName name="IQ_CHANGE_INS_RES_LIAB">"c150"</definedName>
    <definedName name="IQ_CHANGE_INVENTORY">"c151"</definedName>
    <definedName name="IQ_CHANGE_NET_OPER_ASSETS">"c3592"</definedName>
    <definedName name="IQ_CHANGE_NET_WORKING_CAPITAL">"c1909"</definedName>
    <definedName name="IQ_CHANGE_OTHER_NET_OPER_ASSETS">"c3593"</definedName>
    <definedName name="IQ_CHANGE_OTHER_NET_OPER_ASSETS_BNK">"c3594"</definedName>
    <definedName name="IQ_CHANGE_OTHER_NET_OPER_ASSETS_BR">"c3595"</definedName>
    <definedName name="IQ_CHANGE_OTHER_NET_OPER_ASSETS_FIN">"c3596"</definedName>
    <definedName name="IQ_CHANGE_OTHER_NET_OPER_ASSETS_INS">"c3597"</definedName>
    <definedName name="IQ_CHANGE_OTHER_NET_OPER_ASSETS_REIT">"c3598"</definedName>
    <definedName name="IQ_CHANGE_OTHER_NET_OPER_ASSETS_UTI">"c3599"</definedName>
    <definedName name="IQ_CHANGE_OTHER_WORK_CAP">"c152"</definedName>
    <definedName name="IQ_CHANGE_OTHER_WORK_CAP_BNK">"c153"</definedName>
    <definedName name="IQ_CHANGE_OTHER_WORK_CAP_BR">"c154"</definedName>
    <definedName name="IQ_CHANGE_OTHER_WORK_CAP_FIN">"c155"</definedName>
    <definedName name="IQ_CHANGE_OTHER_WORK_CAP_INS">"c156"</definedName>
    <definedName name="IQ_CHANGE_OTHER_WORK_CAP_REIT">"c157"</definedName>
    <definedName name="IQ_CHANGE_OTHER_WORK_CAP_UTI">"c158"</definedName>
    <definedName name="IQ_CHANGE_TRADING_ASSETS">"c159"</definedName>
    <definedName name="IQ_CHANGE_UNEARN_REV">"c160"</definedName>
    <definedName name="IQ_CHANGE_WORK_CAP">"c161"</definedName>
    <definedName name="IQ_CHANGES_WORK_CAP">"c1357"</definedName>
    <definedName name="IQ_CHARGE_OFFS_GROSS">"c162"</definedName>
    <definedName name="IQ_CHARGE_OFFS_NET">"c163"</definedName>
    <definedName name="IQ_CHARGE_OFFS_RECOVERED">"c164"</definedName>
    <definedName name="IQ_CHARGE_OFFS_TOTAL_AVG_LOANS">"c165"</definedName>
    <definedName name="IQ_CITY">"c166"</definedName>
    <definedName name="IQ_CL_DUE_AFTER_FIVE">"c167"</definedName>
    <definedName name="IQ_CL_DUE_CY">"c168"</definedName>
    <definedName name="IQ_CL_DUE_CY1">"c169"</definedName>
    <definedName name="IQ_CL_DUE_CY2">"c170"</definedName>
    <definedName name="IQ_CL_DUE_CY3">"c171"</definedName>
    <definedName name="IQ_CL_DUE_CY4">"c172"</definedName>
    <definedName name="IQ_CL_DUE_NEXT_FIVE">"c173"</definedName>
    <definedName name="IQ_CL_OBLIGATION_IMMEDIATE">"c2253"</definedName>
    <definedName name="IQ_CLASSA_OPTIONS_BEG_OS">"c2679"</definedName>
    <definedName name="IQ_CLASSA_OPTIONS_CANCELLED">"c2682"</definedName>
    <definedName name="IQ_CLASSA_OPTIONS_END_OS">"c2683"</definedName>
    <definedName name="IQ_CLASSA_OPTIONS_EXERCISED">"c2681"</definedName>
    <definedName name="IQ_CLASSA_OPTIONS_GRANTED">"c2680"</definedName>
    <definedName name="IQ_CLASSA_OPTIONS_STRIKE_PRICE_OS">"c2684"</definedName>
    <definedName name="IQ_CLASSA_OUTSTANDING_BS_DATE">"c1971"</definedName>
    <definedName name="IQ_CLASSA_OUTSTANDING_FILING_DATE">"c1973"</definedName>
    <definedName name="IQ_CLASSA_STRIKE_PRICE_GRANTED">"c2685"</definedName>
    <definedName name="IQ_CLASSA_WARRANTS_BEG_OS">"c2705"</definedName>
    <definedName name="IQ_CLASSA_WARRANTS_CANCELLED">"c2708"</definedName>
    <definedName name="IQ_CLASSA_WARRANTS_END_OS">"c2709"</definedName>
    <definedName name="IQ_CLASSA_WARRANTS_EXERCISED">"c2707"</definedName>
    <definedName name="IQ_CLASSA_WARRANTS_ISSUED">"c2706"</definedName>
    <definedName name="IQ_CLASSA_WARRANTS_STRIKE_PRICE_ISSUED">"c2711"</definedName>
    <definedName name="IQ_CLASSA_WARRANTS_STRIKE_PRICE_OS">"c2710"</definedName>
    <definedName name="IQ_CLOSEPRICE">"c174"</definedName>
    <definedName name="IQ_CLOSEPRICE_ADJ">"c2115"</definedName>
    <definedName name="IQ_COGS">"c175"</definedName>
    <definedName name="IQ_COMBINED_RATIO">"c176"</definedName>
    <definedName name="IQ_COMMERCIAL_DOM">"c177"</definedName>
    <definedName name="IQ_COMMERCIAL_FIRE_WRITTEN">"c178"</definedName>
    <definedName name="IQ_COMMERCIAL_MORT">"c179"</definedName>
    <definedName name="IQ_COMMISS_FEES">"c180"</definedName>
    <definedName name="IQ_COMMISSION_DEF">"c181"</definedName>
    <definedName name="IQ_COMMON">"c182"</definedName>
    <definedName name="IQ_COMMON_APIC">"c183"</definedName>
    <definedName name="IQ_COMMON_APIC_BNK">"c184"</definedName>
    <definedName name="IQ_COMMON_APIC_BR">"c185"</definedName>
    <definedName name="IQ_COMMON_APIC_FIN">"c186"</definedName>
    <definedName name="IQ_COMMON_APIC_INS">"c187"</definedName>
    <definedName name="IQ_COMMON_APIC_REIT">"c188"</definedName>
    <definedName name="IQ_COMMON_APIC_UTI">"c189"</definedName>
    <definedName name="IQ_COMMON_DIV">"c3006"</definedName>
    <definedName name="IQ_COMMON_DIV_CF">"c190"</definedName>
    <definedName name="IQ_COMMON_EQUITY_10YR_ANN_GROWTH">"c191"</definedName>
    <definedName name="IQ_COMMON_EQUITY_1YR_ANN_GROWTH">"c192"</definedName>
    <definedName name="IQ_COMMON_EQUITY_2YR_ANN_GROWTH">"c193"</definedName>
    <definedName name="IQ_COMMON_EQUITY_3YR_ANN_GROWTH">"c194"</definedName>
    <definedName name="IQ_COMMON_EQUITY_5YR_ANN_GROWTH">"c195"</definedName>
    <definedName name="IQ_COMMON_EQUITY_7YR_ANN_GROWTH">"c196"</definedName>
    <definedName name="IQ_COMMON_ISSUED">"c197"</definedName>
    <definedName name="IQ_COMMON_ISSUED_BNK">"c198"</definedName>
    <definedName name="IQ_COMMON_ISSUED_BR">"c199"</definedName>
    <definedName name="IQ_COMMON_ISSUED_FIN">"c200"</definedName>
    <definedName name="IQ_COMMON_ISSUED_INS">"c201"</definedName>
    <definedName name="IQ_COMMON_ISSUED_REIT">"c202"</definedName>
    <definedName name="IQ_COMMON_ISSUED_UTI">"c203"</definedName>
    <definedName name="IQ_COMMON_PER_ADR">"c204"</definedName>
    <definedName name="IQ_COMMON_PREF_DIV_CF">"c205"</definedName>
    <definedName name="IQ_COMMON_REP">"c206"</definedName>
    <definedName name="IQ_COMMON_REP_BNK">"c207"</definedName>
    <definedName name="IQ_COMMON_REP_BR">"c208"</definedName>
    <definedName name="IQ_COMMON_REP_FIN">"c209"</definedName>
    <definedName name="IQ_COMMON_REP_INS">"c210"</definedName>
    <definedName name="IQ_COMMON_REP_REIT">"c211"</definedName>
    <definedName name="IQ_COMMON_REP_UTI">"c212"</definedName>
    <definedName name="IQ_COMMON_STOCK">"c1358"</definedName>
    <definedName name="IQ_COMP_BENEFITS">"c213"</definedName>
    <definedName name="IQ_COMPANY_ADDRESS">"c214"</definedName>
    <definedName name="IQ_COMPANY_ID">"c3513"</definedName>
    <definedName name="IQ_COMPANY_NAME">"c215"</definedName>
    <definedName name="IQ_COMPANY_NAME_LONG">"c1585"</definedName>
    <definedName name="IQ_COMPANY_PHONE">"c216"</definedName>
    <definedName name="IQ_COMPANY_STATUS">"c2097"</definedName>
    <definedName name="IQ_COMPANY_STREET1">"c217"</definedName>
    <definedName name="IQ_COMPANY_STREET2">"c218"</definedName>
    <definedName name="IQ_COMPANY_TICKER">"c219"</definedName>
    <definedName name="IQ_COMPANY_TYPE">"c2096"</definedName>
    <definedName name="IQ_COMPANY_WEBSITE">"c220"</definedName>
    <definedName name="IQ_COMPANY_ZIP">"c221"</definedName>
    <definedName name="IQ_CONSTRUCTION_LOANS">"c222"</definedName>
    <definedName name="IQ_CONSUMER_LOANS">"c223"</definedName>
    <definedName name="IQ_CONV_DATE">"c2191"</definedName>
    <definedName name="IQ_CONV_EXP_DATE">"c3043"</definedName>
    <definedName name="IQ_CONV_PREMIUM">"c2195"</definedName>
    <definedName name="IQ_CONV_PRICE">"c2193"</definedName>
    <definedName name="IQ_CONV_RATE">"c2192"</definedName>
    <definedName name="IQ_CONV_RATIO">"c2192"</definedName>
    <definedName name="IQ_CONV_SECURITY">"c2189"</definedName>
    <definedName name="IQ_CONV_SECURITY_ISSUER">"c2190"</definedName>
    <definedName name="IQ_CONV_SECURITY_PRICE">"c2194"</definedName>
    <definedName name="IQ_CONVERT">"c2536"</definedName>
    <definedName name="IQ_CONVERT_PCT">"c2537"</definedName>
    <definedName name="IQ_CONVEXITY">"c2182"</definedName>
    <definedName name="IQ_COST_BORROWING">"c2936"</definedName>
    <definedName name="IQ_COST_BORROWINGS">"c225"</definedName>
    <definedName name="IQ_COST_REV">"c226"</definedName>
    <definedName name="IQ_COST_REVENUE">"c1359"</definedName>
    <definedName name="IQ_COST_SAVINGS">"c227"</definedName>
    <definedName name="IQ_COST_SERVICE">"c228"</definedName>
    <definedName name="IQ_COST_TOTAL_BORROWINGS">"c229"</definedName>
    <definedName name="IQ_COUNTRY_NAME">"c230"</definedName>
    <definedName name="IQ_COVERED_POPS">"c2124"</definedName>
    <definedName name="IQ_CP">"c2495"</definedName>
    <definedName name="IQ_CP_PCT">"c2496"</definedName>
    <definedName name="IQ_CQ">5000</definedName>
    <definedName name="IQ_CREDIT_CARD_FEE_BNK">"c231"</definedName>
    <definedName name="IQ_CREDIT_CARD_FEE_FIN">"c1583"</definedName>
    <definedName name="IQ_CREDIT_LOSS_CF">"c232"</definedName>
    <definedName name="IQ_CUMULATIVE_SPLIT_FACTOR">"c2094"</definedName>
    <definedName name="IQ_CURR_DOMESTIC_TAXES">"c2074"</definedName>
    <definedName name="IQ_CURR_FOREIGN_TAXES">"c2075"</definedName>
    <definedName name="IQ_CURRENCY_FACTOR_BS">"c233"</definedName>
    <definedName name="IQ_CURRENCY_FACTOR_IS">"c234"</definedName>
    <definedName name="IQ_CURRENCY_GAIN">"c235"</definedName>
    <definedName name="IQ_CURRENCY_GAIN_BR">"c236"</definedName>
    <definedName name="IQ_CURRENCY_GAIN_FIN">"c237"</definedName>
    <definedName name="IQ_CURRENCY_GAIN_INS">"c238"</definedName>
    <definedName name="IQ_CURRENCY_GAIN_REIT">"c239"</definedName>
    <definedName name="IQ_CURRENCY_GAIN_UTI">"c240"</definedName>
    <definedName name="IQ_CURRENT_PORT">"c241"</definedName>
    <definedName name="IQ_CURRENT_PORT_BNK">"c242"</definedName>
    <definedName name="IQ_CURRENT_PORT_DEBT">"c243"</definedName>
    <definedName name="IQ_CURRENT_PORT_DEBT_BNK">"c244"</definedName>
    <definedName name="IQ_CURRENT_PORT_DEBT_BR">"c1567"</definedName>
    <definedName name="IQ_CURRENT_PORT_DEBT_FIN">"c1568"</definedName>
    <definedName name="IQ_CURRENT_PORT_DEBT_INS">"c1569"</definedName>
    <definedName name="IQ_CURRENT_PORT_DEBT_REIT">"c1570"</definedName>
    <definedName name="IQ_CURRENT_PORT_DEBT_UTI">"c1571"</definedName>
    <definedName name="IQ_CURRENT_PORT_LEASES">"c245"</definedName>
    <definedName name="IQ_CURRENT_PORT_PCT">"c2541"</definedName>
    <definedName name="IQ_CURRENT_RATIO">"c246"</definedName>
    <definedName name="IQ_CY">10000</definedName>
    <definedName name="IQ_DA">"c247"</definedName>
    <definedName name="IQ_DA_BR">"c248"</definedName>
    <definedName name="IQ_DA_CF">"c249"</definedName>
    <definedName name="IQ_DA_CF_BNK">"c250"</definedName>
    <definedName name="IQ_DA_CF_BR">"c251"</definedName>
    <definedName name="IQ_DA_CF_FIN">"c252"</definedName>
    <definedName name="IQ_DA_CF_INS">"c253"</definedName>
    <definedName name="IQ_DA_CF_REIT">"c254"</definedName>
    <definedName name="IQ_DA_CF_UTI">"c255"</definedName>
    <definedName name="IQ_DA_EBITDA">"c5528"</definedName>
    <definedName name="IQ_DA_FIN">"c256"</definedName>
    <definedName name="IQ_DA_INS">"c257"</definedName>
    <definedName name="IQ_DA_REIT">"c258"</definedName>
    <definedName name="IQ_DA_SUPPL">"c259"</definedName>
    <definedName name="IQ_DA_SUPPL_BR">"c260"</definedName>
    <definedName name="IQ_DA_SUPPL_CF">"c261"</definedName>
    <definedName name="IQ_DA_SUPPL_CF_BNK">"c262"</definedName>
    <definedName name="IQ_DA_SUPPL_CF_BR">"c263"</definedName>
    <definedName name="IQ_DA_SUPPL_CF_FIN">"c264"</definedName>
    <definedName name="IQ_DA_SUPPL_CF_INS">"c265"</definedName>
    <definedName name="IQ_DA_SUPPL_CF_REIT">"c266"</definedName>
    <definedName name="IQ_DA_SUPPL_CF_UTI">"c267"</definedName>
    <definedName name="IQ_DA_SUPPL_FIN">"c268"</definedName>
    <definedName name="IQ_DA_SUPPL_INS">"c269"</definedName>
    <definedName name="IQ_DA_SUPPL_REIT">"c270"</definedName>
    <definedName name="IQ_DA_SUPPL_UTI">"c271"</definedName>
    <definedName name="IQ_DA_UTI">"c272"</definedName>
    <definedName name="IQ_DAILY">500000</definedName>
    <definedName name="IQ_DATED_DATE">"c2185"</definedName>
    <definedName name="IQ_DAY_COUNT">"c2161"</definedName>
    <definedName name="IQ_DAYS_COVER_SHORT">"c1578"</definedName>
    <definedName name="IQ_DAYS_INVENTORY_OUT">"c273"</definedName>
    <definedName name="IQ_DAYS_PAY_OUTST">"c1362"</definedName>
    <definedName name="IQ_DAYS_PAYABLE_OUT">"c274"</definedName>
    <definedName name="IQ_DAYS_SALES_OUT">"c275"</definedName>
    <definedName name="IQ_DAYS_SALES_OUTST">"c1363"</definedName>
    <definedName name="IQ_DEBT_ADJ">"c2515"</definedName>
    <definedName name="IQ_DEBT_ADJ_PCT">"c2516"</definedName>
    <definedName name="IQ_DEBT_EQUIV_NET_PBO">"c2938"</definedName>
    <definedName name="IQ_DEBT_EQUIV_OPER_LEASE">"c2935"</definedName>
    <definedName name="IQ_DEF_ACQ_CST">"c1364"</definedName>
    <definedName name="IQ_DEF_AMORT">"c276"</definedName>
    <definedName name="IQ_DEF_AMORT_BNK">"c277"</definedName>
    <definedName name="IQ_DEF_AMORT_BR">"c278"</definedName>
    <definedName name="IQ_DEF_AMORT_FIN">"c279"</definedName>
    <definedName name="IQ_DEF_AMORT_INS">"c280"</definedName>
    <definedName name="IQ_DEF_AMORT_REIT">"c281"</definedName>
    <definedName name="IQ_DEF_AMORT_UTI">"c282"</definedName>
    <definedName name="IQ_DEF_BENEFIT_INTEREST_COST">"c283"</definedName>
    <definedName name="IQ_DEF_BENEFIT_INTEREST_COST_DOMESTIC">"c2652"</definedName>
    <definedName name="IQ_DEF_BENEFIT_INTEREST_COST_FOREIGN">"c2660"</definedName>
    <definedName name="IQ_DEF_BENEFIT_OTHER_COST">"c284"</definedName>
    <definedName name="IQ_DEF_BENEFIT_OTHER_COST_DOMESTIC">"c2654"</definedName>
    <definedName name="IQ_DEF_BENEFIT_OTHER_COST_FOREIGN">"c2662"</definedName>
    <definedName name="IQ_DEF_BENEFIT_ROA">"c285"</definedName>
    <definedName name="IQ_DEF_BENEFIT_ROA_DOMESTIC">"c2653"</definedName>
    <definedName name="IQ_DEF_BENEFIT_ROA_FOREIGN">"c2661"</definedName>
    <definedName name="IQ_DEF_BENEFIT_SERVICE_COST">"c286"</definedName>
    <definedName name="IQ_DEF_BENEFIT_SERVICE_COST_DOMESTIC">"c2651"</definedName>
    <definedName name="IQ_DEF_BENEFIT_SERVICE_COST_FOREIGN">"c2659"</definedName>
    <definedName name="IQ_DEF_BENEFIT_TOTAL_COST">"c287"</definedName>
    <definedName name="IQ_DEF_BENEFIT_TOTAL_COST_DOMESTIC">"c2655"</definedName>
    <definedName name="IQ_DEF_BENEFIT_TOTAL_COST_FOREIGN">"c2663"</definedName>
    <definedName name="IQ_DEF_CHARGES_BR">"c288"</definedName>
    <definedName name="IQ_DEF_CHARGES_CF">"c289"</definedName>
    <definedName name="IQ_DEF_CHARGES_FIN">"c290"</definedName>
    <definedName name="IQ_DEF_CHARGES_INS">"c291"</definedName>
    <definedName name="IQ_DEF_CHARGES_LT">"c292"</definedName>
    <definedName name="IQ_DEF_CHARGES_LT_BNK">"c293"</definedName>
    <definedName name="IQ_DEF_CHARGES_LT_BR">"c294"</definedName>
    <definedName name="IQ_DEF_CHARGES_LT_FIN">"c295"</definedName>
    <definedName name="IQ_DEF_CHARGES_LT_INS">"c296"</definedName>
    <definedName name="IQ_DEF_CHARGES_LT_REIT">"c297"</definedName>
    <definedName name="IQ_DEF_CHARGES_LT_UTI">"c298"</definedName>
    <definedName name="IQ_DEF_CHARGES_REIT">"c299"</definedName>
    <definedName name="IQ_DEF_CONTRIBUTION_TOTAL_COST">"c300"</definedName>
    <definedName name="IQ_DEF_INC_TAX">"c1365"</definedName>
    <definedName name="IQ_DEF_POLICY_ACQ_COSTS">"c301"</definedName>
    <definedName name="IQ_DEF_POLICY_ACQ_COSTS_CF">"c302"</definedName>
    <definedName name="IQ_DEF_POLICY_AMORT">"c303"</definedName>
    <definedName name="IQ_DEF_TAX_ASSET_LT_BR">"c304"</definedName>
    <definedName name="IQ_DEF_TAX_ASSET_LT_FIN">"c305"</definedName>
    <definedName name="IQ_DEF_TAX_ASSET_LT_INS">"c306"</definedName>
    <definedName name="IQ_DEF_TAX_ASSET_LT_REIT">"c307"</definedName>
    <definedName name="IQ_DEF_TAX_ASSET_LT_UTI">"c308"</definedName>
    <definedName name="IQ_DEF_TAX_ASSETS_CURRENT">"c309"</definedName>
    <definedName name="IQ_DEF_TAX_ASSETS_LT">"c310"</definedName>
    <definedName name="IQ_DEF_TAX_ASSETS_LT_BNK">"c311"</definedName>
    <definedName name="IQ_DEF_TAX_LIAB_CURRENT">"c312"</definedName>
    <definedName name="IQ_DEF_TAX_LIAB_LT">"c313"</definedName>
    <definedName name="IQ_DEF_TAX_LIAB_LT_BNK">"c314"</definedName>
    <definedName name="IQ_DEF_TAX_LIAB_LT_BR">"c315"</definedName>
    <definedName name="IQ_DEF_TAX_LIAB_LT_FIN">"c316"</definedName>
    <definedName name="IQ_DEF_TAX_LIAB_LT_INS">"c317"</definedName>
    <definedName name="IQ_DEF_TAX_LIAB_LT_REIT">"c318"</definedName>
    <definedName name="IQ_DEF_TAX_LIAB_LT_UTI">"c319"</definedName>
    <definedName name="IQ_DEFERRED_DOMESTIC_TAXES">"c2077"</definedName>
    <definedName name="IQ_DEFERRED_FOREIGN_TAXES">"c2078"</definedName>
    <definedName name="IQ_DEFERRED_INC_TAX">"c1447"</definedName>
    <definedName name="IQ_DEFERRED_TAXES">"c1356"</definedName>
    <definedName name="IQ_DEMAND_DEP">"c320"</definedName>
    <definedName name="IQ_DEPOSITS_FIN">"c321"</definedName>
    <definedName name="IQ_DEPOSITS_INTEREST_SECURITIES">"c5509"</definedName>
    <definedName name="IQ_DEPRE_AMORT">"c1360"</definedName>
    <definedName name="IQ_DEPRE_AMORT_SUPPL">"c1593"</definedName>
    <definedName name="IQ_DEPRE_DEPLE">"c1361"</definedName>
    <definedName name="IQ_DEPRE_SUPP">"c1443"</definedName>
    <definedName name="IQ_DESCRIPTION_LONG">"c1520"</definedName>
    <definedName name="IQ_DEVELOP_LAND">"c323"</definedName>
    <definedName name="IQ_DIFF_LASTCLOSE_TARGET_PRICE">"c1854"</definedName>
    <definedName name="IQ_DILUT_ADJUST">"c1621"</definedName>
    <definedName name="IQ_DILUT_EPS_EXCL">"c324"</definedName>
    <definedName name="IQ_DILUT_EPS_INCL">"c325"</definedName>
    <definedName name="IQ_DILUT_EPS_NORM">"c1903"</definedName>
    <definedName name="IQ_DILUT_NI">"c2079"</definedName>
    <definedName name="IQ_DILUT_NORMAL_EPS">"c1594"</definedName>
    <definedName name="IQ_DILUT_WEIGHT">"c326"</definedName>
    <definedName name="IQ_DIRECT_AH_EARNED">"c2740"</definedName>
    <definedName name="IQ_DIRECT_EARNED">"c2730"</definedName>
    <definedName name="IQ_DIRECT_LIFE_EARNED">"c2735"</definedName>
    <definedName name="IQ_DIRECT_LIFE_IN_FORCE">"c2765"</definedName>
    <definedName name="IQ_DIRECT_PC_EARNED">"c2745"</definedName>
    <definedName name="IQ_DIRECT_WRITTEN">"c2724"</definedName>
    <definedName name="IQ_DISCONT_OPER">"c1367"</definedName>
    <definedName name="IQ_DISCOUNT_RATE_PENSION_DOMESTIC">"c327"</definedName>
    <definedName name="IQ_DISCOUNT_RATE_PENSION_FOREIGN">"c328"</definedName>
    <definedName name="IQ_DISTR_EXCESS_EARN">"c329"</definedName>
    <definedName name="IQ_DISTRIBUTABLE_CASH">"c3002"</definedName>
    <definedName name="IQ_DISTRIBUTABLE_CASH_ACT_OR_EST">"c4278"</definedName>
    <definedName name="IQ_DISTRIBUTABLE_CASH_PAYOUT">"c3005"</definedName>
    <definedName name="IQ_DISTRIBUTABLE_CASH_SHARE">"c3003"</definedName>
    <definedName name="IQ_DISTRIBUTABLE_CASH_SHARE_ACT_OR_EST">"c4286"</definedName>
    <definedName name="IQ_DIV_AMOUNT">"c3041"</definedName>
    <definedName name="IQ_DIV_PAYMENT_DATE">"c2205"</definedName>
    <definedName name="IQ_DIV_RECORD_DATE">"c2204"</definedName>
    <definedName name="IQ_DIV_SHARE">"c330"</definedName>
    <definedName name="IQ_DIVEST_CF">"c331"</definedName>
    <definedName name="IQ_DIVID_SHARE">"c1366"</definedName>
    <definedName name="IQ_DIVIDEND_YIELD">"c332"</definedName>
    <definedName name="IQ_DNTM">700000</definedName>
    <definedName name="IQ_DO">"c333"</definedName>
    <definedName name="IQ_DO_ASSETS_CURRENT">"c334"</definedName>
    <definedName name="IQ_DO_ASSETS_LT">"c335"</definedName>
    <definedName name="IQ_DO_CF">"c336"</definedName>
    <definedName name="IQ_DPAC_ACC">"c2799"</definedName>
    <definedName name="IQ_DPAC_AMORT">"c2795"</definedName>
    <definedName name="IQ_DPAC_BEG">"c2791"</definedName>
    <definedName name="IQ_DPAC_COMMISSIONS">"c2792"</definedName>
    <definedName name="IQ_DPAC_END">"c2801"</definedName>
    <definedName name="IQ_DPAC_FX">"c2798"</definedName>
    <definedName name="IQ_DPAC_OTHER_ADJ">"c2800"</definedName>
    <definedName name="IQ_DPAC_OTHERS">"c2793"</definedName>
    <definedName name="IQ_DPAC_PERIOD">"c2794"</definedName>
    <definedName name="IQ_DPAC_REAL_GAIN">"c2797"</definedName>
    <definedName name="IQ_DPAC_UNREAL_GAIN">"c2796"</definedName>
    <definedName name="IQ_DPS_10YR_ANN_GROWTH">"c337"</definedName>
    <definedName name="IQ_DPS_1YR_ANN_GROWTH">"c338"</definedName>
    <definedName name="IQ_DPS_2YR_ANN_GROWTH">"c339"</definedName>
    <definedName name="IQ_DPS_3YR_ANN_GROWTH">"c340"</definedName>
    <definedName name="IQ_DPS_5YR_ANN_GROWTH">"c341"</definedName>
    <definedName name="IQ_DPS_7YR_ANN_GROWTH">"c342"</definedName>
    <definedName name="IQ_DPS_ACT_OR_EST">"c2218"</definedName>
    <definedName name="IQ_DPS_EST">"c1674"</definedName>
    <definedName name="IQ_DPS_HIGH_EST">"c1676"</definedName>
    <definedName name="IQ_DPS_LOW_EST">"c1677"</definedName>
    <definedName name="IQ_DPS_MEDIAN_EST">"c1675"</definedName>
    <definedName name="IQ_DPS_NUM_EST">"c1678"</definedName>
    <definedName name="IQ_DPS_STDDEV_EST">"c1679"</definedName>
    <definedName name="IQ_DURATION">"c2181"</definedName>
    <definedName name="IQ_EARNING_ASSET_YIELD">"c343"</definedName>
    <definedName name="IQ_EARNING_CO">"c344"</definedName>
    <definedName name="IQ_EARNING_CO_10YR_ANN_GROWTH">"c345"</definedName>
    <definedName name="IQ_EARNING_CO_1YR_ANN_GROWTH">"c346"</definedName>
    <definedName name="IQ_EARNING_CO_2YR_ANN_GROWTH">"c347"</definedName>
    <definedName name="IQ_EARNING_CO_3YR_ANN_GROWTH">"c348"</definedName>
    <definedName name="IQ_EARNING_CO_5YR_ANN_GROWTH">"c349"</definedName>
    <definedName name="IQ_EARNING_CO_7YR_ANN_GROWTH">"c350"</definedName>
    <definedName name="IQ_EARNING_CO_MARGIN">"c351"</definedName>
    <definedName name="IQ_EARNINGS_ANNOUNCE_DATE">"c1649"</definedName>
    <definedName name="IQ_EARNINGS_ANNOUNCE_DATE_REUT">"c5314"</definedName>
    <definedName name="IQ_EBIT">"c352"</definedName>
    <definedName name="IQ_EBIT_10YR_ANN_GROWTH">"c353"</definedName>
    <definedName name="IQ_EBIT_1YR_ANN_GROWTH">"c354"</definedName>
    <definedName name="IQ_EBIT_2YR_ANN_GROWTH">"c355"</definedName>
    <definedName name="IQ_EBIT_3YR_ANN_GROWTH">"c356"</definedName>
    <definedName name="IQ_EBIT_5YR_ANN_GROWTH">"c357"</definedName>
    <definedName name="IQ_EBIT_7YR_ANN_GROWTH">"c358"</definedName>
    <definedName name="IQ_EBIT_ACT_OR_EST">"c2219"</definedName>
    <definedName name="IQ_EBIT_EQ_INC">"c3498"</definedName>
    <definedName name="IQ_EBIT_EQ_INC_EXCL_SBC">"c3502"</definedName>
    <definedName name="IQ_EBIT_EST">"c1681"</definedName>
    <definedName name="IQ_EBIT_EXCL_SBC">"c3082"</definedName>
    <definedName name="IQ_EBIT_GW_ACT_OR_EST">"c4306"</definedName>
    <definedName name="IQ_EBIT_HIGH_EST">"c1683"</definedName>
    <definedName name="IQ_EBIT_INT">"c360"</definedName>
    <definedName name="IQ_EBIT_LOW_EST">"c1684"</definedName>
    <definedName name="IQ_EBIT_MARGIN">"c359"</definedName>
    <definedName name="IQ_EBIT_MEDIAN_EST">"c1682"</definedName>
    <definedName name="IQ_EBIT_NUM_EST">"c1685"</definedName>
    <definedName name="IQ_EBIT_OVER_IE">"c1369"</definedName>
    <definedName name="IQ_EBIT_SBC_ACT_OR_EST">"c4316"</definedName>
    <definedName name="IQ_EBIT_SBC_GW_ACT_OR_EST">"c4320"</definedName>
    <definedName name="IQ_EBIT_STDDEV_EST">"c1686"</definedName>
    <definedName name="IQ_EBITA">"c1910"</definedName>
    <definedName name="IQ_EBITA_10YR_ANN_GROWTH">"c1954"</definedName>
    <definedName name="IQ_EBITA_1YR_ANN_GROWTH">"c1949"</definedName>
    <definedName name="IQ_EBITA_2YR_ANN_GROWTH">"c1950"</definedName>
    <definedName name="IQ_EBITA_3YR_ANN_GROWTH">"c1951"</definedName>
    <definedName name="IQ_EBITA_5YR_ANN_GROWTH">"c1952"</definedName>
    <definedName name="IQ_EBITA_7YR_ANN_GROWTH">"c1953"</definedName>
    <definedName name="IQ_EBITA_EQ_INC">"c3497"</definedName>
    <definedName name="IQ_EBITA_EQ_INC_EXCL_SBC">"c3501"</definedName>
    <definedName name="IQ_EBITA_EXCL_SBC">"c3080"</definedName>
    <definedName name="IQ_EBITA_MARGIN">"c1963"</definedName>
    <definedName name="IQ_EBITDA">"c361"</definedName>
    <definedName name="IQ_EBITDA_10YR_ANN_GROWTH">"c362"</definedName>
    <definedName name="IQ_EBITDA_1YR_ANN_GROWTH">"c363"</definedName>
    <definedName name="IQ_EBITDA_2YR_ANN_GROWTH">"c364"</definedName>
    <definedName name="IQ_EBITDA_3YR_ANN_GROWTH">"c365"</definedName>
    <definedName name="IQ_EBITDA_5YR_ANN_GROWTH">"c366"</definedName>
    <definedName name="IQ_EBITDA_7YR_ANN_GROWTH">"c367"</definedName>
    <definedName name="IQ_EBITDA_ACT_OR_EST">"c2215"</definedName>
    <definedName name="IQ_EBITDA_CAPEX_INT">"c368"</definedName>
    <definedName name="IQ_EBITDA_CAPEX_OVER_TOTAL_IE">"c1370"</definedName>
    <definedName name="IQ_EBITDA_EQ_INC">"c3496"</definedName>
    <definedName name="IQ_EBITDA_EQ_INC_EXCL_SBC">"c3500"</definedName>
    <definedName name="IQ_EBITDA_EST">"c369"</definedName>
    <definedName name="IQ_EBITDA_EST_REUT">"c3640"</definedName>
    <definedName name="IQ_EBITDA_EXCL_SBC">"c3081"</definedName>
    <definedName name="IQ_EBITDA_HIGH_EST">"c370"</definedName>
    <definedName name="IQ_EBITDA_HIGH_EST_REUT">"c3642"</definedName>
    <definedName name="IQ_EBITDA_INT">"c373"</definedName>
    <definedName name="IQ_EBITDA_LOW_EST">"c371"</definedName>
    <definedName name="IQ_EBITDA_LOW_EST_REUT">"c3643"</definedName>
    <definedName name="IQ_EBITDA_MARGIN">"c372"</definedName>
    <definedName name="IQ_EBITDA_MEDIAN_EST">"c1663"</definedName>
    <definedName name="IQ_EBITDA_MEDIAN_EST_REUT">"c3641"</definedName>
    <definedName name="IQ_EBITDA_NUM_EST">"c374"</definedName>
    <definedName name="IQ_EBITDA_NUM_EST_REUT">"c3644"</definedName>
    <definedName name="IQ_EBITDA_OVER_TOTAL_IE">"c1371"</definedName>
    <definedName name="IQ_EBITDA_SBC_ACT_OR_EST">"c4337"</definedName>
    <definedName name="IQ_EBITDA_STDDEV_EST">"c375"</definedName>
    <definedName name="IQ_EBITDA_STDDEV_EST_REUT">"c3645"</definedName>
    <definedName name="IQ_EBITDAR">"c2989"</definedName>
    <definedName name="IQ_EBITDAR_EQ_INC">"c3499"</definedName>
    <definedName name="IQ_EBITDAR_EQ_INC_EXCL_SBC">"c3503"</definedName>
    <definedName name="IQ_EBITDAR_EXCL_SBC">"c3083"</definedName>
    <definedName name="IQ_EBT">"c376"</definedName>
    <definedName name="IQ_EBT_BNK">"c377"</definedName>
    <definedName name="IQ_EBT_BR">"c378"</definedName>
    <definedName name="IQ_EBT_EXCL">"c379"</definedName>
    <definedName name="IQ_EBT_EXCL_BNK">"c380"</definedName>
    <definedName name="IQ_EBT_EXCL_BR">"c381"</definedName>
    <definedName name="IQ_EBT_EXCL_FIN">"c382"</definedName>
    <definedName name="IQ_EBT_EXCL_INS">"c383"</definedName>
    <definedName name="IQ_EBT_EXCL_MARGIN">"c1462"</definedName>
    <definedName name="IQ_EBT_EXCL_REIT">"c384"</definedName>
    <definedName name="IQ_EBT_EXCL_UTI">"c385"</definedName>
    <definedName name="IQ_EBT_FIN">"c386"</definedName>
    <definedName name="IQ_EBT_INCL_MARGIN">"c387"</definedName>
    <definedName name="IQ_EBT_INS">"c388"</definedName>
    <definedName name="IQ_EBT_REIT">"c389"</definedName>
    <definedName name="IQ_EBT_SBC_ACT_OR_EST">"c4350"</definedName>
    <definedName name="IQ_EBT_SBC_GW_ACT_OR_EST">"c4354"</definedName>
    <definedName name="IQ_EBT_UTI">"c390"</definedName>
    <definedName name="IQ_EFFECT_SPECIAL_CHARGE">"c1595"</definedName>
    <definedName name="IQ_EFFECT_TAX_RATE">"c1899"</definedName>
    <definedName name="IQ_EFFICIENCY_RATIO">"c391"</definedName>
    <definedName name="IQ_EMPLOYEES">"c392"</definedName>
    <definedName name="IQ_ENTERPRISE_VALUE">"c1348"</definedName>
    <definedName name="IQ_EPS_10YR_ANN_GROWTH">"c393"</definedName>
    <definedName name="IQ_EPS_1YR_ANN_GROWTH">"c394"</definedName>
    <definedName name="IQ_EPS_2YR_ANN_GROWTH">"c395"</definedName>
    <definedName name="IQ_EPS_3YR_ANN_GROWTH">"c396"</definedName>
    <definedName name="IQ_EPS_5YR_ANN_GROWTH">"c397"</definedName>
    <definedName name="IQ_EPS_7YR_ANN_GROWTH">"c398"</definedName>
    <definedName name="IQ_EPS_ACT_OR_EST">"c2213"</definedName>
    <definedName name="IQ_EPS_EST">"c399"</definedName>
    <definedName name="IQ_EPS_EST_REUT">"c5453"</definedName>
    <definedName name="IQ_EPS_GW_ACT_OR_EST">"c2223"</definedName>
    <definedName name="IQ_EPS_GW_EST">"c1737"</definedName>
    <definedName name="IQ_EPS_GW_HIGH_EST">"c1739"</definedName>
    <definedName name="IQ_EPS_GW_LOW_EST">"c1740"</definedName>
    <definedName name="IQ_EPS_GW_MEDIAN_EST">"c1738"</definedName>
    <definedName name="IQ_EPS_GW_NUM_EST">"c1741"</definedName>
    <definedName name="IQ_EPS_GW_STDDEV_EST">"c1742"</definedName>
    <definedName name="IQ_EPS_HIGH_EST">"c400"</definedName>
    <definedName name="IQ_EPS_HIGH_EST_REUT">"c5454"</definedName>
    <definedName name="IQ_EPS_LOW_EST">"c401"</definedName>
    <definedName name="IQ_EPS_LOW_EST_REUT">"c5455"</definedName>
    <definedName name="IQ_EPS_MEDIAN_EST">"c1661"</definedName>
    <definedName name="IQ_EPS_MEDIAN_EST_REUT">"c5456"</definedName>
    <definedName name="IQ_EPS_NORM">"c1902"</definedName>
    <definedName name="IQ_EPS_NORM_EST">"c2226"</definedName>
    <definedName name="IQ_EPS_NORM_HIGH_EST">"c2228"</definedName>
    <definedName name="IQ_EPS_NORM_LOW_EST">"c2229"</definedName>
    <definedName name="IQ_EPS_NORM_MEDIAN_EST">"c2227"</definedName>
    <definedName name="IQ_EPS_NORM_NUM_EST">"c2230"</definedName>
    <definedName name="IQ_EPS_NORM_STDDEV_EST">"c2231"</definedName>
    <definedName name="IQ_EPS_NUM_EST">"c402"</definedName>
    <definedName name="IQ_EPS_NUM_EST_REUT">"c5451"</definedName>
    <definedName name="IQ_EPS_REPORT_ACT_OR_EST">"c2224"</definedName>
    <definedName name="IQ_EPS_REPORTED_EST">"c1744"</definedName>
    <definedName name="IQ_EPS_REPORTED_HIGH_EST">"c1746"</definedName>
    <definedName name="IQ_EPS_REPORTED_LOW_EST">"c1747"</definedName>
    <definedName name="IQ_EPS_REPORTED_MEDIAN_EST">"c1745"</definedName>
    <definedName name="IQ_EPS_REPORTED_NUM_EST">"c1748"</definedName>
    <definedName name="IQ_EPS_REPORTED_STDDEV_EST">"c1749"</definedName>
    <definedName name="IQ_EPS_SBC_ACT_OR_EST">"c4376"</definedName>
    <definedName name="IQ_EPS_SBC_GW_ACT_OR_EST">"c4380"</definedName>
    <definedName name="IQ_EPS_STDDEV_EST">"c403"</definedName>
    <definedName name="IQ_EPS_STDDEV_EST_REUT">"c5452"</definedName>
    <definedName name="IQ_EQUITY_AFFIL">"c1451"</definedName>
    <definedName name="IQ_EQUITY_METHOD">"c404"</definedName>
    <definedName name="IQ_EQV_OVER_BV">"c1596"</definedName>
    <definedName name="IQ_EQV_OVER_LTM_PRETAX_INC">"c1390"</definedName>
    <definedName name="IQ_ESOP_DEBT">"c1597"</definedName>
    <definedName name="IQ_EST_ACT_CFPS">"c1673"</definedName>
    <definedName name="IQ_EST_ACT_DPS">"c1680"</definedName>
    <definedName name="IQ_EST_ACT_EBIT">"c1687"</definedName>
    <definedName name="IQ_EST_ACT_EBITDA">"c1664"</definedName>
    <definedName name="IQ_EST_ACT_EPS">"c1648"</definedName>
    <definedName name="IQ_EST_ACT_EPS_GW">"c1743"</definedName>
    <definedName name="IQ_EST_ACT_EPS_NORM">"c2232"</definedName>
    <definedName name="IQ_EST_ACT_EPS_REPORTED">"c1750"</definedName>
    <definedName name="IQ_EST_ACT_FFO">"c1666"</definedName>
    <definedName name="IQ_EST_ACT_NAV">"c1757"</definedName>
    <definedName name="IQ_EST_ACT_NI">"c1722"</definedName>
    <definedName name="IQ_EST_ACT_NI_GW">"c1729"</definedName>
    <definedName name="IQ_EST_ACT_NI_REPORTED">"c1736"</definedName>
    <definedName name="IQ_EST_ACT_OPER_INC">"c1694"</definedName>
    <definedName name="IQ_EST_ACT_PRETAX_GW_INC">"c1708"</definedName>
    <definedName name="IQ_EST_ACT_PRETAX_INC">"c1701"</definedName>
    <definedName name="IQ_EST_ACT_PRETAX_REPORT_INC">"c1715"</definedName>
    <definedName name="IQ_EST_ACT_REV">"c2113"</definedName>
    <definedName name="IQ_EST_CFPS_DIFF">"c1871"</definedName>
    <definedName name="IQ_EST_CFPS_GROWTH_1YR">"c1774"</definedName>
    <definedName name="IQ_EST_CFPS_GROWTH_2YR">"c1775"</definedName>
    <definedName name="IQ_EST_CFPS_GROWTH_Q_1YR">"c1776"</definedName>
    <definedName name="IQ_EST_CFPS_SEQ_GROWTH_Q">"c1777"</definedName>
    <definedName name="IQ_EST_CFPS_SURPRISE_PERCENT">"c1872"</definedName>
    <definedName name="IQ_EST_CURRENCY">"c2140"</definedName>
    <definedName name="IQ_EST_CURRENCY_REUT">"c5437"</definedName>
    <definedName name="IQ_EST_DATE">"c1634"</definedName>
    <definedName name="IQ_EST_DATE_REUT">"c5438"</definedName>
    <definedName name="IQ_EST_DPS_DIFF">"c1873"</definedName>
    <definedName name="IQ_EST_DPS_GROWTH_1YR">"c1778"</definedName>
    <definedName name="IQ_EST_DPS_GROWTH_2YR">"c1779"</definedName>
    <definedName name="IQ_EST_DPS_GROWTH_Q_1YR">"c1780"</definedName>
    <definedName name="IQ_EST_DPS_SEQ_GROWTH_Q">"c1781"</definedName>
    <definedName name="IQ_EST_DPS_SURPRISE_PERCENT">"c1874"</definedName>
    <definedName name="IQ_EST_EBIT_DIFF">"c1875"</definedName>
    <definedName name="IQ_EST_EBIT_SURPRISE_PERCENT">"c1876"</definedName>
    <definedName name="IQ_EST_EBITDA_DIFF">"c1867"</definedName>
    <definedName name="IQ_EST_EBITDA_GROWTH_1YR">"c1766"</definedName>
    <definedName name="IQ_EST_EBITDA_GROWTH_2YR">"c1767"</definedName>
    <definedName name="IQ_EST_EBITDA_GROWTH_Q_1YR">"c1768"</definedName>
    <definedName name="IQ_EST_EBITDA_SEQ_GROWTH_Q">"c1769"</definedName>
    <definedName name="IQ_EST_EBITDA_SURPRISE_PERCENT">"c1868"</definedName>
    <definedName name="IQ_EST_EPS_DIFF">"c1864"</definedName>
    <definedName name="IQ_EST_EPS_GROWTH_1YR">"c1636"</definedName>
    <definedName name="IQ_EST_EPS_GROWTH_1YR_REUT">"c3646"</definedName>
    <definedName name="IQ_EST_EPS_GROWTH_2YR">"c1637"</definedName>
    <definedName name="IQ_EST_EPS_GROWTH_5YR">"c1655"</definedName>
    <definedName name="IQ_EST_EPS_GROWTH_5YR_HIGH">"c1657"</definedName>
    <definedName name="IQ_EST_EPS_GROWTH_5YR_LOW">"c1658"</definedName>
    <definedName name="IQ_EST_EPS_GROWTH_5YR_MEDIAN">"c1656"</definedName>
    <definedName name="IQ_EST_EPS_GROWTH_5YR_NUM">"c1659"</definedName>
    <definedName name="IQ_EST_EPS_GROWTH_5YR_REUT">"c3633"</definedName>
    <definedName name="IQ_EST_EPS_GROWTH_5YR_STDDEV">"c1660"</definedName>
    <definedName name="IQ_EST_EPS_GROWTH_Q_1YR">"c1641"</definedName>
    <definedName name="IQ_EST_EPS_GROWTH_Q_1YR_REUT">"c5410"</definedName>
    <definedName name="IQ_EST_EPS_GW_DIFF">"c1891"</definedName>
    <definedName name="IQ_EST_EPS_GW_SURPRISE_PERCENT">"c1892"</definedName>
    <definedName name="IQ_EST_EPS_NORM_DIFF">"c2247"</definedName>
    <definedName name="IQ_EST_EPS_NORM_SURPRISE_PERCENT">"c2248"</definedName>
    <definedName name="IQ_EST_EPS_REPORT_DIFF">"c1893"</definedName>
    <definedName name="IQ_EST_EPS_REPORT_SURPRISE_PERCENT">"c1894"</definedName>
    <definedName name="IQ_EST_EPS_SEQ_GROWTH_Q">"c1764"</definedName>
    <definedName name="IQ_EST_EPS_SURPRISE_PERCENT">"c1635"</definedName>
    <definedName name="IQ_EST_FFO_DIFF">"c1869"</definedName>
    <definedName name="IQ_EST_FFO_GROWTH_1YR">"c1770"</definedName>
    <definedName name="IQ_EST_FFO_GROWTH_2YR">"c1771"</definedName>
    <definedName name="IQ_EST_FFO_GROWTH_Q_1YR">"c1772"</definedName>
    <definedName name="IQ_EST_FFO_SEQ_GROWTH_Q">"c1773"</definedName>
    <definedName name="IQ_EST_FFO_SURPRISE_PERCENT">"c1870"</definedName>
    <definedName name="IQ_EST_NAV_DIFF">"c1895"</definedName>
    <definedName name="IQ_EST_NAV_SURPRISE_PERCENT">"c1896"</definedName>
    <definedName name="IQ_EST_NI_DIFF">"c1885"</definedName>
    <definedName name="IQ_EST_NI_GW_DIFF">"c1887"</definedName>
    <definedName name="IQ_EST_NI_GW_SURPRISE_PERCENT">"c1888"</definedName>
    <definedName name="IQ_EST_NI_REPORT_DIFF">"c1889"</definedName>
    <definedName name="IQ_EST_NI_REPORT_SURPRISE_PERCENT">"c1890"</definedName>
    <definedName name="IQ_EST_NI_SURPRISE_PERCENT">"c1886"</definedName>
    <definedName name="IQ_EST_NUM_BUY">"c1759"</definedName>
    <definedName name="IQ_EST_NUM_HOLD">"c1761"</definedName>
    <definedName name="IQ_EST_NUM_NO_OPINION">"c1758"</definedName>
    <definedName name="IQ_EST_NUM_OUTPERFORM">"c1760"</definedName>
    <definedName name="IQ_EST_NUM_SELL">"c1763"</definedName>
    <definedName name="IQ_EST_NUM_UNDERPERFORM">"c1762"</definedName>
    <definedName name="IQ_EST_OPER_INC_DIFF">"c1877"</definedName>
    <definedName name="IQ_EST_OPER_INC_SURPRISE_PERCENT">"c1878"</definedName>
    <definedName name="IQ_EST_PRE_TAX_DIFF">"c1879"</definedName>
    <definedName name="IQ_EST_PRE_TAX_GW_DIFF">"c1881"</definedName>
    <definedName name="IQ_EST_PRE_TAX_GW_SURPRISE_PERCENT">"c1882"</definedName>
    <definedName name="IQ_EST_PRE_TAX_REPORT_DIFF">"c1883"</definedName>
    <definedName name="IQ_EST_PRE_TAX_REPORT_SURPRISE_PERCENT">"c1884"</definedName>
    <definedName name="IQ_EST_PRE_TAX_SURPRISE_PERCENT">"c1880"</definedName>
    <definedName name="IQ_EST_REV_DIFF">"c1865"</definedName>
    <definedName name="IQ_EST_REV_GROWTH_1YR">"c1638"</definedName>
    <definedName name="IQ_EST_REV_GROWTH_2YR">"c1639"</definedName>
    <definedName name="IQ_EST_REV_GROWTH_Q_1YR">"c1640"</definedName>
    <definedName name="IQ_EST_REV_SEQ_GROWTH_Q">"c1765"</definedName>
    <definedName name="IQ_EST_REV_SURPRISE_PERCENT">"c1866"</definedName>
    <definedName name="IQ_EST_VENDOR">"c5564"</definedName>
    <definedName name="IQ_EV_OVER_EMPLOYEE">"c1428"</definedName>
    <definedName name="IQ_EV_OVER_LTM_EBIT">"c1426"</definedName>
    <definedName name="IQ_EV_OVER_LTM_EBITDA">"c1427"</definedName>
    <definedName name="IQ_EV_OVER_LTM_REVENUE">"c1429"</definedName>
    <definedName name="IQ_EVAL_DATE">"c2180"</definedName>
    <definedName name="IQ_EXCHANGE">"c405"</definedName>
    <definedName name="IQ_EXCISE_TAXES_EXCL_SALES">"c5515"</definedName>
    <definedName name="IQ_EXCISE_TAXES_INCL_SALES">"c5514"</definedName>
    <definedName name="IQ_EXERCISE_PRICE">"c1897"</definedName>
    <definedName name="IQ_EXERCISED">"c406"</definedName>
    <definedName name="IQ_EXP_RETURN_PENSION_DOMESTIC">"c407"</definedName>
    <definedName name="IQ_EXP_RETURN_PENSION_FOREIGN">"c408"</definedName>
    <definedName name="IQ_EXPLORE_DRILL">"c409"</definedName>
    <definedName name="IQ_EXTRA_ACC_ITEMS">"c410"</definedName>
    <definedName name="IQ_EXTRA_ACC_ITEMS_BNK">"c411"</definedName>
    <definedName name="IQ_EXTRA_ACC_ITEMS_BR">"c412"</definedName>
    <definedName name="IQ_EXTRA_ACC_ITEMS_FIN">"c413"</definedName>
    <definedName name="IQ_EXTRA_ACC_ITEMS_INS">"c414"</definedName>
    <definedName name="IQ_EXTRA_ACC_ITEMS_REIT">"c415"</definedName>
    <definedName name="IQ_EXTRA_ACC_ITEMS_UTI">"c416"</definedName>
    <definedName name="IQ_EXTRA_ITEMS">"c1459"</definedName>
    <definedName name="IQ_FDIC">"c417"</definedName>
    <definedName name="IQ_FEDFUNDS_SOLD">"c2256"</definedName>
    <definedName name="IQ_FFO">"c1574"</definedName>
    <definedName name="IQ_FFO_ACT_OR_EST">"c2216"</definedName>
    <definedName name="IQ_FFO_ADJ_ACT_OR_EST">"c4435"</definedName>
    <definedName name="IQ_FFO_EST">"c418"</definedName>
    <definedName name="IQ_FFO_HIGH_EST">"c419"</definedName>
    <definedName name="IQ_FFO_LOW_EST">"c420"</definedName>
    <definedName name="IQ_FFO_MEDIAN_EST">"c1665"</definedName>
    <definedName name="IQ_FFO_NUM_EST">"c421"</definedName>
    <definedName name="IQ_FFO_PAYOUT_RATIO">"c3492"</definedName>
    <definedName name="IQ_FFO_SHARE_ACT_OR_EST">"c4446"</definedName>
    <definedName name="IQ_FFO_STDDEV_EST">"c422"</definedName>
    <definedName name="IQ_FH">100000</definedName>
    <definedName name="IQ_FHLB_DEBT">"c423"</definedName>
    <definedName name="IQ_FHLB_DUE_CY">"c2080"</definedName>
    <definedName name="IQ_FHLB_DUE_CY1">"c2081"</definedName>
    <definedName name="IQ_FHLB_DUE_CY2">"c2082"</definedName>
    <definedName name="IQ_FHLB_DUE_CY3">"c2083"</definedName>
    <definedName name="IQ_FHLB_DUE_CY4">"c2084"</definedName>
    <definedName name="IQ_FHLB_DUE_NEXT_FIVE">"c2085"</definedName>
    <definedName name="IQ_FILING_CURRENCY">"c2129"</definedName>
    <definedName name="IQ_FILINGDATE_BS">"c424"</definedName>
    <definedName name="IQ_FILINGDATE_CF">"c425"</definedName>
    <definedName name="IQ_FILINGDATE_IS">"c426"</definedName>
    <definedName name="IQ_FILM_RIGHTS">"c2254"</definedName>
    <definedName name="IQ_FIN_DIV_ASSETS_CURRENT">"c427"</definedName>
    <definedName name="IQ_FIN_DIV_ASSETS_LT">"c428"</definedName>
    <definedName name="IQ_FIN_DIV_CURRENT_PORT_DEBT_TOTAL">"c5524"</definedName>
    <definedName name="IQ_FIN_DIV_CURRENT_PORT_LEASES_TOTAL">"c5523"</definedName>
    <definedName name="IQ_FIN_DIV_DEBT_CURRENT">"c429"</definedName>
    <definedName name="IQ_FIN_DIV_DEBT_LT">"c430"</definedName>
    <definedName name="IQ_FIN_DIV_DEBT_LT_TOTAL">"c5526"</definedName>
    <definedName name="IQ_FIN_DIV_EXP">"c431"</definedName>
    <definedName name="IQ_FIN_DIV_INT_EXP">"c432"</definedName>
    <definedName name="IQ_FIN_DIV_LEASES_LT_TOTAL">"c5525"</definedName>
    <definedName name="IQ_FIN_DIV_LIAB_CURRENT">"c433"</definedName>
    <definedName name="IQ_FIN_DIV_LIAB_LT">"c434"</definedName>
    <definedName name="IQ_FIN_DIV_LOANS_CURRENT">"c435"</definedName>
    <definedName name="IQ_FIN_DIV_LOANS_LT">"c436"</definedName>
    <definedName name="IQ_FIN_DIV_NOTES_PAY_TOTAL">"c5522"</definedName>
    <definedName name="IQ_FIN_DIV_REV">"c437"</definedName>
    <definedName name="IQ_FIN_DIV_ST_DEBT_TOTAL">"c5527"</definedName>
    <definedName name="IQ_FINANCING_CASH">"c1405"</definedName>
    <definedName name="IQ_FINANCING_CASH_SUPPL">"c1406"</definedName>
    <definedName name="IQ_FINISHED_INV">"c438"</definedName>
    <definedName name="IQ_FIRST_INT_DATE">"c2186"</definedName>
    <definedName name="IQ_FIRST_YEAR_LIFE">"c439"</definedName>
    <definedName name="IQ_FIRST_YEAR_LIFE_PREM">"c2787"</definedName>
    <definedName name="IQ_FIRST_YEAR_PREM">"c2786"</definedName>
    <definedName name="IQ_FIRSTPRICINGDATE">"c3050"</definedName>
    <definedName name="IQ_FISCAL_Q">"c440"</definedName>
    <definedName name="IQ_FISCAL_Y">"c441"</definedName>
    <definedName name="IQ_FIVE_PERCENT_OWNER">"c442"</definedName>
    <definedName name="IQ_FIVEPERCENT_PERCENT">"c443"</definedName>
    <definedName name="IQ_FIVEPERCENT_SHARES">"c444"</definedName>
    <definedName name="IQ_FIXED_ASSET_TURNS">"c445"</definedName>
    <definedName name="IQ_FLOAT_PERCENT">"c1575"</definedName>
    <definedName name="IQ_FOREIGN_DEP_IB">"c446"</definedName>
    <definedName name="IQ_FOREIGN_DEP_NON_IB">"c447"</definedName>
    <definedName name="IQ_FOREIGN_EXCHANGE">"c1376"</definedName>
    <definedName name="IQ_FOREIGN_LOANS">"c448"</definedName>
    <definedName name="IQ_FQ">500</definedName>
    <definedName name="IQ_FUEL">"c449"</definedName>
    <definedName name="IQ_FULL_TIME">"c450"</definedName>
    <definedName name="IQ_FWD_CY">10001</definedName>
    <definedName name="IQ_FWD_CY1">10002</definedName>
    <definedName name="IQ_FWD_CY2">10003</definedName>
    <definedName name="IQ_FWD_FY">1001</definedName>
    <definedName name="IQ_FWD_FY1">1002</definedName>
    <definedName name="IQ_FWD_FY2">1003</definedName>
    <definedName name="IQ_FWD_Q">501</definedName>
    <definedName name="IQ_FWD_Q1">502</definedName>
    <definedName name="IQ_FWD_Q2">503</definedName>
    <definedName name="IQ_FX">"c451"</definedName>
    <definedName name="IQ_FY">1000</definedName>
    <definedName name="IQ_GA_EXP">"c2241"</definedName>
    <definedName name="IQ_GAIN_ASSETS">"c452"</definedName>
    <definedName name="IQ_GAIN_ASSETS_BNK">"c453"</definedName>
    <definedName name="IQ_GAIN_ASSETS_BR">"c454"</definedName>
    <definedName name="IQ_GAIN_ASSETS_CF">"c455"</definedName>
    <definedName name="IQ_GAIN_ASSETS_CF_BNK">"c456"</definedName>
    <definedName name="IQ_GAIN_ASSETS_CF_BR">"c457"</definedName>
    <definedName name="IQ_GAIN_ASSETS_CF_FIN">"c458"</definedName>
    <definedName name="IQ_GAIN_ASSETS_CF_INS">"c459"</definedName>
    <definedName name="IQ_GAIN_ASSETS_CF_REIT">"c460"</definedName>
    <definedName name="IQ_GAIN_ASSETS_CF_UTI">"c461"</definedName>
    <definedName name="IQ_GAIN_ASSETS_FIN">"c462"</definedName>
    <definedName name="IQ_GAIN_ASSETS_INS">"c463"</definedName>
    <definedName name="IQ_GAIN_ASSETS_REIT">"c471"</definedName>
    <definedName name="IQ_GAIN_ASSETS_REV">"c472"</definedName>
    <definedName name="IQ_GAIN_ASSETS_REV_BNK">"c473"</definedName>
    <definedName name="IQ_GAIN_ASSETS_REV_BR">"c474"</definedName>
    <definedName name="IQ_GAIN_ASSETS_REV_FIN">"c475"</definedName>
    <definedName name="IQ_GAIN_ASSETS_REV_INS">"c476"</definedName>
    <definedName name="IQ_GAIN_ASSETS_REV_REIT">"c477"</definedName>
    <definedName name="IQ_GAIN_ASSETS_REV_UTI">"c478"</definedName>
    <definedName name="IQ_GAIN_ASSETS_UTI">"c479"</definedName>
    <definedName name="IQ_GAIN_INVEST">"c1463"</definedName>
    <definedName name="IQ_GAIN_INVEST_BNK">"c1582"</definedName>
    <definedName name="IQ_GAIN_INVEST_BR">"c1464"</definedName>
    <definedName name="IQ_GAIN_INVEST_CF">"c480"</definedName>
    <definedName name="IQ_GAIN_INVEST_CF_BNK">"c481"</definedName>
    <definedName name="IQ_GAIN_INVEST_CF_BR">"c482"</definedName>
    <definedName name="IQ_GAIN_INVEST_CF_FIN">"c483"</definedName>
    <definedName name="IQ_GAIN_INVEST_CF_INS">"c484"</definedName>
    <definedName name="IQ_GAIN_INVEST_CF_REIT">"c485"</definedName>
    <definedName name="IQ_GAIN_INVEST_CF_UTI">"c486"</definedName>
    <definedName name="IQ_GAIN_INVEST_FIN">"c1465"</definedName>
    <definedName name="IQ_GAIN_INVEST_INS">"c1466"</definedName>
    <definedName name="IQ_GAIN_INVEST_REIT">"c1467"</definedName>
    <definedName name="IQ_GAIN_INVEST_REV">"c494"</definedName>
    <definedName name="IQ_GAIN_INVEST_REV_BNK">"c495"</definedName>
    <definedName name="IQ_GAIN_INVEST_REV_BR">"c496"</definedName>
    <definedName name="IQ_GAIN_INVEST_REV_FIN">"c497"</definedName>
    <definedName name="IQ_GAIN_INVEST_REV_INS">"c498"</definedName>
    <definedName name="IQ_GAIN_INVEST_REV_REIT">"c499"</definedName>
    <definedName name="IQ_GAIN_INVEST_REV_UTI">"c500"</definedName>
    <definedName name="IQ_GAIN_INVEST_UTI">"c1468"</definedName>
    <definedName name="IQ_GAIN_LOANS_REC">"c501"</definedName>
    <definedName name="IQ_GAIN_LOANS_RECEIV">"c502"</definedName>
    <definedName name="IQ_GAIN_LOANS_RECEIV_REV_FIN">"c503"</definedName>
    <definedName name="IQ_GAIN_LOANS_REV">"c504"</definedName>
    <definedName name="IQ_GAIN_SALE_ASSETS">"c1377"</definedName>
    <definedName name="IQ_GEO_SEG_ASSETS">"c4069"</definedName>
    <definedName name="IQ_GEO_SEG_ASSETS_ABS">"c4091"</definedName>
    <definedName name="IQ_GEO_SEG_ASSETS_TOTAL">"c4123"</definedName>
    <definedName name="IQ_GEO_SEG_CAPEX">"c4083"</definedName>
    <definedName name="IQ_GEO_SEG_CAPEX_ABS">"c4105"</definedName>
    <definedName name="IQ_GEO_SEG_CAPEX_TOTAL">"c4127"</definedName>
    <definedName name="IQ_GEO_SEG_DA">"c4082"</definedName>
    <definedName name="IQ_GEO_SEG_DA_ABS">"c4104"</definedName>
    <definedName name="IQ_GEO_SEG_DA_TOTAL">"c4126"</definedName>
    <definedName name="IQ_GEO_SEG_EARNINGS_OP">"c4073"</definedName>
    <definedName name="IQ_GEO_SEG_EARNINGS_OP_ABS">"c4095"</definedName>
    <definedName name="IQ_GEO_SEG_EARNINGS_OP_TOTAL">"c4119"</definedName>
    <definedName name="IQ_GEO_SEG_EBT">"c4072"</definedName>
    <definedName name="IQ_GEO_SEG_EBT_ABS">"c4094"</definedName>
    <definedName name="IQ_GEO_SEG_EBT_TOTAL">"c4121"</definedName>
    <definedName name="IQ_GEO_SEG_GP">"c4070"</definedName>
    <definedName name="IQ_GEO_SEG_GP_ABS">"c4092"</definedName>
    <definedName name="IQ_GEO_SEG_GP_TOTAL">"c4120"</definedName>
    <definedName name="IQ_GEO_SEG_INC_TAX">"c4081"</definedName>
    <definedName name="IQ_GEO_SEG_INC_TAX_ABS">"c4103"</definedName>
    <definedName name="IQ_GEO_SEG_INC_TAX_TOTAL">"c4125"</definedName>
    <definedName name="IQ_GEO_SEG_INTEREST_EXP">"c4080"</definedName>
    <definedName name="IQ_GEO_SEG_INTEREST_EXP_ABS">"c4102"</definedName>
    <definedName name="IQ_GEO_SEG_INTEREST_EXP_TOTAL">"c4124"</definedName>
    <definedName name="IQ_GEO_SEG_NAME">"c5484"</definedName>
    <definedName name="IQ_GEO_SEG_NAME_ABS">"c5485"</definedName>
    <definedName name="IQ_GEO_SEG_NI">"c4071"</definedName>
    <definedName name="IQ_GEO_SEG_NI_ABS">"c4093"</definedName>
    <definedName name="IQ_GEO_SEG_NI_TOTAL">"c4122"</definedName>
    <definedName name="IQ_GEO_SEG_OPER_INC">"c4075"</definedName>
    <definedName name="IQ_GEO_SEG_OPER_INC_ABS">"c4097"</definedName>
    <definedName name="IQ_GEO_SEG_OPER_INC_TOTAL">"c4118"</definedName>
    <definedName name="IQ_GEO_SEG_REV">"c4074"</definedName>
    <definedName name="IQ_GEO_SEG_REV_ABS">"c4096"</definedName>
    <definedName name="IQ_GEO_SEG_REV_TOTAL">"c4117"</definedName>
    <definedName name="IQ_GOODWILL_NET">"c1380"</definedName>
    <definedName name="IQ_GP">"c511"</definedName>
    <definedName name="IQ_GP_10YR_ANN_GROWTH">"c512"</definedName>
    <definedName name="IQ_GP_1YR_ANN_GROWTH">"c513"</definedName>
    <definedName name="IQ_GP_2YR_ANN_GROWTH">"c514"</definedName>
    <definedName name="IQ_GP_3YR_ANN_GROWTH">"c515"</definedName>
    <definedName name="IQ_GP_5YR_ANN_GROWTH">"c516"</definedName>
    <definedName name="IQ_GP_7YR_ANN_GROWTH">"c517"</definedName>
    <definedName name="IQ_GPPE">"c518"</definedName>
    <definedName name="IQ_GROSS_AH_EARNED">"c2742"</definedName>
    <definedName name="IQ_GROSS_CLAIM_EXP_INCUR">"c2755"</definedName>
    <definedName name="IQ_GROSS_CLAIM_EXP_PAID">"c2758"</definedName>
    <definedName name="IQ_GROSS_CLAIM_EXP_RES">"c2752"</definedName>
    <definedName name="IQ_GROSS_DIVID">"c1446"</definedName>
    <definedName name="IQ_GROSS_EARNED">"c2732"</definedName>
    <definedName name="IQ_GROSS_LIFE_EARNED">"c2737"</definedName>
    <definedName name="IQ_GROSS_LIFE_IN_FORCE">"c2767"</definedName>
    <definedName name="IQ_GROSS_LOANS">"c521"</definedName>
    <definedName name="IQ_GROSS_LOANS_10YR_ANN_GROWTH">"c522"</definedName>
    <definedName name="IQ_GROSS_LOANS_1YR_ANN_GROWTH">"c523"</definedName>
    <definedName name="IQ_GROSS_LOANS_2YR_ANN_GROWTH">"c524"</definedName>
    <definedName name="IQ_GROSS_LOANS_3YR_ANN_GROWTH">"c525"</definedName>
    <definedName name="IQ_GROSS_LOANS_5YR_ANN_GROWTH">"c526"</definedName>
    <definedName name="IQ_GROSS_LOANS_7YR_ANN_GROWTH">"c527"</definedName>
    <definedName name="IQ_GROSS_LOANS_TOTAL_DEPOSITS">"c528"</definedName>
    <definedName name="IQ_GROSS_MARGIN">"c529"</definedName>
    <definedName name="IQ_GROSS_PC_EARNED">"c2747"</definedName>
    <definedName name="IQ_GROSS_PROFIT">"c1378"</definedName>
    <definedName name="IQ_GROSS_SPRD">"c2155"</definedName>
    <definedName name="IQ_GROSS_WRITTEN">"c2726"</definedName>
    <definedName name="IQ_GW">"c530"</definedName>
    <definedName name="IQ_GW_AMORT_BR">"c532"</definedName>
    <definedName name="IQ_GW_AMORT_FIN">"c540"</definedName>
    <definedName name="IQ_GW_AMORT_INS">"c541"</definedName>
    <definedName name="IQ_GW_AMORT_REIT">"c542"</definedName>
    <definedName name="IQ_GW_AMORT_UTI">"c543"</definedName>
    <definedName name="IQ_GW_INTAN_AMORT">"c1469"</definedName>
    <definedName name="IQ_GW_INTAN_AMORT_BNK">"c544"</definedName>
    <definedName name="IQ_GW_INTAN_AMORT_BR">"c1470"</definedName>
    <definedName name="IQ_GW_INTAN_AMORT_CF">"c1471"</definedName>
    <definedName name="IQ_GW_INTAN_AMORT_CF_BNK">"c1472"</definedName>
    <definedName name="IQ_GW_INTAN_AMORT_CF_BR">"c1473"</definedName>
    <definedName name="IQ_GW_INTAN_AMORT_CF_FIN">"c1474"</definedName>
    <definedName name="IQ_GW_INTAN_AMORT_CF_INS">"c1475"</definedName>
    <definedName name="IQ_GW_INTAN_AMORT_CF_REIT">"c1476"</definedName>
    <definedName name="IQ_GW_INTAN_AMORT_CF_UTI">"c1477"</definedName>
    <definedName name="IQ_GW_INTAN_AMORT_FIN">"c1478"</definedName>
    <definedName name="IQ_GW_INTAN_AMORT_INS">"c1479"</definedName>
    <definedName name="IQ_GW_INTAN_AMORT_REIT">"c1480"</definedName>
    <definedName name="IQ_GW_INTAN_AMORT_UTI">"c1481"</definedName>
    <definedName name="IQ_HIGH_TARGET_PRICE">"c1651"</definedName>
    <definedName name="IQ_HIGH_TARGET_PRICE_REUT">"c5317"</definedName>
    <definedName name="IQ_HIGHPRICE">"c545"</definedName>
    <definedName name="IQ_HOMEOWNERS_WRITTEN">"c546"</definedName>
    <definedName name="IQ_IMPAIR_OIL">"c547"</definedName>
    <definedName name="IQ_IMPAIRMENT_GW">"c548"</definedName>
    <definedName name="IQ_IMPUT_OPER_LEASE_DEPR">"c2987"</definedName>
    <definedName name="IQ_IMPUT_OPER_LEASE_INT_EXP">"c2986"</definedName>
    <definedName name="IQ_INC_AFTER_TAX">"c1598"</definedName>
    <definedName name="IQ_INC_AVAIL_EXCL">"c1395"</definedName>
    <definedName name="IQ_INC_AVAIL_INCL">"c1396"</definedName>
    <definedName name="IQ_INC_BEFORE_TAX">"c1375"</definedName>
    <definedName name="IQ_INC_EQUITY">"c549"</definedName>
    <definedName name="IQ_INC_EQUITY_BR">"c550"</definedName>
    <definedName name="IQ_INC_EQUITY_CF">"c551"</definedName>
    <definedName name="IQ_INC_EQUITY_FIN">"c552"</definedName>
    <definedName name="IQ_INC_EQUITY_INS">"c553"</definedName>
    <definedName name="IQ_INC_EQUITY_REC_BNK">"c554"</definedName>
    <definedName name="IQ_INC_EQUITY_REIT">"c555"</definedName>
    <definedName name="IQ_INC_EQUITY_REV_BNK">"c556"</definedName>
    <definedName name="IQ_INC_EQUITY_UTI">"c557"</definedName>
    <definedName name="IQ_INC_REAL_ESTATE_REC">"c558"</definedName>
    <definedName name="IQ_INC_REAL_ESTATE_REV">"c559"</definedName>
    <definedName name="IQ_INC_TAX">"c560"</definedName>
    <definedName name="IQ_INC_TAX_EXCL">"c1599"</definedName>
    <definedName name="IQ_INC_TAX_PAY_CURRENT">"c561"</definedName>
    <definedName name="IQ_INC_TRADE_ACT">"c562"</definedName>
    <definedName name="IQ_INDUSTRY">"c3601"</definedName>
    <definedName name="IQ_INDUSTRY_GROUP">"c3602"</definedName>
    <definedName name="IQ_INDUSTRY_SECTOR">"c3603"</definedName>
    <definedName name="IQ_INS_ANNUITY_LIAB">"c563"</definedName>
    <definedName name="IQ_INS_ANNUITY_REV">"c2788"</definedName>
    <definedName name="IQ_INS_DIV_EXP">"c564"</definedName>
    <definedName name="IQ_INS_DIV_REV">"c565"</definedName>
    <definedName name="IQ_INS_IN_FORCE">"c566"</definedName>
    <definedName name="IQ_INS_LIAB">"c567"</definedName>
    <definedName name="IQ_INS_POLICY_EXP">"c568"</definedName>
    <definedName name="IQ_INS_REV">"c569"</definedName>
    <definedName name="IQ_INS_SETTLE">"c570"</definedName>
    <definedName name="IQ_INS_SETTLE_BNK">"c571"</definedName>
    <definedName name="IQ_INS_SETTLE_BR">"c572"</definedName>
    <definedName name="IQ_INS_SETTLE_FIN">"c573"</definedName>
    <definedName name="IQ_INS_SETTLE_INS">"c574"</definedName>
    <definedName name="IQ_INS_SETTLE_REIT">"c575"</definedName>
    <definedName name="IQ_INS_SETTLE_UTI">"c576"</definedName>
    <definedName name="IQ_INSIDER_3MTH_BOUGHT_PCT">"c1534"</definedName>
    <definedName name="IQ_INSIDER_3MTH_NET_PCT">"c1535"</definedName>
    <definedName name="IQ_INSIDER_3MTH_SOLD_PCT">"c1533"</definedName>
    <definedName name="IQ_INSIDER_6MTH_BOUGHT_PCT">"c1537"</definedName>
    <definedName name="IQ_INSIDER_6MTH_NET_PCT">"c1538"</definedName>
    <definedName name="IQ_INSIDER_6MTH_SOLD_PCT">"c1536"</definedName>
    <definedName name="IQ_INSIDER_OVER_TOTAL">"c1581"</definedName>
    <definedName name="IQ_INSIDER_OWNER">"c577"</definedName>
    <definedName name="IQ_INSIDER_PERCENT">"c578"</definedName>
    <definedName name="IQ_INSIDER_SHARES">"c579"</definedName>
    <definedName name="IQ_INSTITUTIONAL_OVER_TOTAL">"c1580"</definedName>
    <definedName name="IQ_INSTITUTIONAL_OWNER">"c580"</definedName>
    <definedName name="IQ_INSTITUTIONAL_PERCENT">"c581"</definedName>
    <definedName name="IQ_INSTITUTIONAL_SHARES">"c582"</definedName>
    <definedName name="IQ_INSUR_RECEIV">"c1600"</definedName>
    <definedName name="IQ_INT_BORROW">"c583"</definedName>
    <definedName name="IQ_INT_DEPOSITS">"c584"</definedName>
    <definedName name="IQ_INT_DIV_INC">"c585"</definedName>
    <definedName name="IQ_INT_EXP_BR">"c586"</definedName>
    <definedName name="IQ_INT_EXP_COVERAGE">"c587"</definedName>
    <definedName name="IQ_INT_EXP_FIN">"c588"</definedName>
    <definedName name="IQ_INT_EXP_INCL_CAP">"c2988"</definedName>
    <definedName name="IQ_INT_EXP_INS">"c589"</definedName>
    <definedName name="IQ_INT_EXP_LTD">"c2086"</definedName>
    <definedName name="IQ_INT_EXP_REIT">"c590"</definedName>
    <definedName name="IQ_INT_EXP_TOTAL">"c591"</definedName>
    <definedName name="IQ_INT_EXP_UTI">"c592"</definedName>
    <definedName name="IQ_INT_INC_BR">"c593"</definedName>
    <definedName name="IQ_INT_INC_FIN">"c594"</definedName>
    <definedName name="IQ_INT_INC_INVEST">"c595"</definedName>
    <definedName name="IQ_INT_INC_LOANS">"c596"</definedName>
    <definedName name="IQ_INT_INC_REIT">"c597"</definedName>
    <definedName name="IQ_INT_INC_TOTAL">"c598"</definedName>
    <definedName name="IQ_INT_INC_UTI">"c599"</definedName>
    <definedName name="IQ_INT_INV_INC">"c600"</definedName>
    <definedName name="IQ_INT_INV_INC_REIT">"c601"</definedName>
    <definedName name="IQ_INT_INV_INC_UTI">"c602"</definedName>
    <definedName name="IQ_INT_ON_BORROWING_COVERAGE">"c603"</definedName>
    <definedName name="IQ_INT_RATE_SPREAD">"c604"</definedName>
    <definedName name="IQ_INTANGIBLES_NET">"c1407"</definedName>
    <definedName name="IQ_INTEREST_CASH_DEPOSITS">"c2255"</definedName>
    <definedName name="IQ_INTEREST_EXP">"c618"</definedName>
    <definedName name="IQ_INTEREST_EXP_NET">"c1450"</definedName>
    <definedName name="IQ_INTEREST_EXP_NON">"c1383"</definedName>
    <definedName name="IQ_INTEREST_EXP_SUPPL">"c1460"</definedName>
    <definedName name="IQ_INTEREST_INC">"c1393"</definedName>
    <definedName name="IQ_INTEREST_INC_NON">"c1384"</definedName>
    <definedName name="IQ_INTEREST_INVEST_INC">"c619"</definedName>
    <definedName name="IQ_INV_10YR_ANN_GROWTH">"c1930"</definedName>
    <definedName name="IQ_INV_1YR_ANN_GROWTH">"c1925"</definedName>
    <definedName name="IQ_INV_2YR_ANN_GROWTH">"c1926"</definedName>
    <definedName name="IQ_INV_3YR_ANN_GROWTH">"c1927"</definedName>
    <definedName name="IQ_INV_5YR_ANN_GROWTH">"c1928"</definedName>
    <definedName name="IQ_INV_7YR_ANN_GROWTH">"c1929"</definedName>
    <definedName name="IQ_INV_BANKING_FEE">"c620"</definedName>
    <definedName name="IQ_INV_METHOD">"c621"</definedName>
    <definedName name="IQ_INVENTORY">"c622"</definedName>
    <definedName name="IQ_INVENTORY_TURNS">"c623"</definedName>
    <definedName name="IQ_INVENTORY_UTI">"c624"</definedName>
    <definedName name="IQ_INVEST_DEBT">"c625"</definedName>
    <definedName name="IQ_INVEST_EQUITY_PREF">"c626"</definedName>
    <definedName name="IQ_INVEST_FHLB">"c627"</definedName>
    <definedName name="IQ_INVEST_GOV_SECURITY">"c5510"</definedName>
    <definedName name="IQ_INVEST_LOANS_CF">"c628"</definedName>
    <definedName name="IQ_INVEST_LOANS_CF_BNK">"c629"</definedName>
    <definedName name="IQ_INVEST_LOANS_CF_BR">"c630"</definedName>
    <definedName name="IQ_INVEST_LOANS_CF_FIN">"c631"</definedName>
    <definedName name="IQ_INVEST_LOANS_CF_INS">"c632"</definedName>
    <definedName name="IQ_INVEST_LOANS_CF_REIT">"c633"</definedName>
    <definedName name="IQ_INVEST_LOANS_CF_UTI">"c634"</definedName>
    <definedName name="IQ_INVEST_MUNI_SECURITY">"c5512"</definedName>
    <definedName name="IQ_INVEST_REAL_ESTATE">"c635"</definedName>
    <definedName name="IQ_INVEST_SECURITY">"c636"</definedName>
    <definedName name="IQ_INVEST_SECURITY_CF">"c637"</definedName>
    <definedName name="IQ_INVEST_SECURITY_CF_BNK">"c638"</definedName>
    <definedName name="IQ_INVEST_SECURITY_CF_BR">"c639"</definedName>
    <definedName name="IQ_INVEST_SECURITY_CF_FIN">"c640"</definedName>
    <definedName name="IQ_INVEST_SECURITY_CF_INS">"c641"</definedName>
    <definedName name="IQ_INVEST_SECURITY_CF_REIT">"c642"</definedName>
    <definedName name="IQ_INVEST_SECURITY_CF_UTI">"c643"</definedName>
    <definedName name="IQ_INVEST_SECURITY_SUPPL">"c5511"</definedName>
    <definedName name="IQ_IPRD">"c644"</definedName>
    <definedName name="IQ_ISS_DEBT_NET">"c1391"</definedName>
    <definedName name="IQ_ISS_STOCK_NET">"c1601"</definedName>
    <definedName name="IQ_ISSUE_CURRENCY">"c2156"</definedName>
    <definedName name="IQ_ISSUE_NAME">"c2142"</definedName>
    <definedName name="IQ_ISSUER">"c2143"</definedName>
    <definedName name="IQ_ISSUER_CIQID">"c2258"</definedName>
    <definedName name="IQ_ISSUER_PARENT">"c2144"</definedName>
    <definedName name="IQ_ISSUER_PARENT_CIQID">"c2260"</definedName>
    <definedName name="IQ_ISSUER_PARENT_TICKER">"c2259"</definedName>
    <definedName name="IQ_ISSUER_TICKER">"c2252"</definedName>
    <definedName name="IQ_JR_SUB_DEBT">"c2534"</definedName>
    <definedName name="IQ_JR_SUB_DEBT_EBITDA">"c2560"</definedName>
    <definedName name="IQ_JR_SUB_DEBT_EBITDA_CAPEX">"c2561"</definedName>
    <definedName name="IQ_JR_SUB_DEBT_PCT">"c2535"</definedName>
    <definedName name="IQ_LAND">"c645"</definedName>
    <definedName name="IQ_LAST_PMT_DATE">"c2188"</definedName>
    <definedName name="IQ_LAST_SPLIT_DATE">"c2095"</definedName>
    <definedName name="IQ_LAST_SPLIT_FACTOR">"c2093"</definedName>
    <definedName name="IQ_LASTPRICINGDATE">"c3051"</definedName>
    <definedName name="IQ_LASTSALEPRICE">"c646"</definedName>
    <definedName name="IQ_LASTSALEPRICE_DATE">"c2109"</definedName>
    <definedName name="IQ_LATESTK">1000</definedName>
    <definedName name="IQ_LATESTQ">500</definedName>
    <definedName name="IQ_LEGAL_SETTLE">"c647"</definedName>
    <definedName name="IQ_LEGAL_SETTLE_BNK">"c648"</definedName>
    <definedName name="IQ_LEGAL_SETTLE_BR">"c649"</definedName>
    <definedName name="IQ_LEGAL_SETTLE_FIN">"c650"</definedName>
    <definedName name="IQ_LEGAL_SETTLE_INS">"c651"</definedName>
    <definedName name="IQ_LEGAL_SETTLE_REIT">"c652"</definedName>
    <definedName name="IQ_LEGAL_SETTLE_UTI">"c653"</definedName>
    <definedName name="IQ_LEVERAGE_RATIO">"c654"</definedName>
    <definedName name="IQ_LEVERED_FCF">"c1907"</definedName>
    <definedName name="IQ_LFCF_10YR_ANN_GROWTH">"c1942"</definedName>
    <definedName name="IQ_LFCF_1YR_ANN_GROWTH">"c1937"</definedName>
    <definedName name="IQ_LFCF_2YR_ANN_GROWTH">"c1938"</definedName>
    <definedName name="IQ_LFCF_3YR_ANN_GROWTH">"c1939"</definedName>
    <definedName name="IQ_LFCF_5YR_ANN_GROWTH">"c1940"</definedName>
    <definedName name="IQ_LFCF_7YR_ANN_GROWTH">"c1941"</definedName>
    <definedName name="IQ_LFCF_MARGIN">"c1961"</definedName>
    <definedName name="IQ_LH_STATUTORY_SURPLUS">"c2771"</definedName>
    <definedName name="IQ_LICENSED_POPS">"c2123"</definedName>
    <definedName name="IQ_LIFE_EARNED">"c2739"</definedName>
    <definedName name="IQ_LIFOR">"c655"</definedName>
    <definedName name="IQ_LL">"c656"</definedName>
    <definedName name="IQ_LOAN_LEASE_RECEIV">"c657"</definedName>
    <definedName name="IQ_LOAN_LOSS">"c1386"</definedName>
    <definedName name="IQ_LOAN_SERVICE_REV">"c658"</definedName>
    <definedName name="IQ_LOANS_CF">"c659"</definedName>
    <definedName name="IQ_LOANS_CF_BNK">"c660"</definedName>
    <definedName name="IQ_LOANS_CF_BR">"c661"</definedName>
    <definedName name="IQ_LOANS_CF_FIN">"c662"</definedName>
    <definedName name="IQ_LOANS_CF_INS">"c663"</definedName>
    <definedName name="IQ_LOANS_CF_REIT">"c664"</definedName>
    <definedName name="IQ_LOANS_CF_UTI">"c665"</definedName>
    <definedName name="IQ_LOANS_FOR_SALE">"c666"</definedName>
    <definedName name="IQ_LOANS_PAST_DUE">"c667"</definedName>
    <definedName name="IQ_LOANS_RECEIV_CURRENT">"c668"</definedName>
    <definedName name="IQ_LOANS_RECEIV_LT">"c669"</definedName>
    <definedName name="IQ_LOANS_RECEIV_LT_UTI">"c670"</definedName>
    <definedName name="IQ_LONG_TERM_DEBT">"c1387"</definedName>
    <definedName name="IQ_LONG_TERM_DEBT_OVER_TOTAL_CAP">"c1388"</definedName>
    <definedName name="IQ_LONG_TERM_GROWTH">"c671"</definedName>
    <definedName name="IQ_LONG_TERM_INV">"c1389"</definedName>
    <definedName name="IQ_LOSS_LOSS_EXP">"c672"</definedName>
    <definedName name="IQ_LOSS_TO_NET_EARNED">"c2751"</definedName>
    <definedName name="IQ_LOW_TARGET_PRICE">"c1652"</definedName>
    <definedName name="IQ_LOW_TARGET_PRICE_REUT">"c5318"</definedName>
    <definedName name="IQ_LOWPRICE">"c673"</definedName>
    <definedName name="IQ_LT_DEBT">"c674"</definedName>
    <definedName name="IQ_LT_DEBT_BNK">"c675"</definedName>
    <definedName name="IQ_LT_DEBT_BR">"c676"</definedName>
    <definedName name="IQ_LT_DEBT_CAPITAL">"c677"</definedName>
    <definedName name="IQ_LT_DEBT_CAPITAL_LEASES">"c2542"</definedName>
    <definedName name="IQ_LT_DEBT_CAPITAL_LEASES_PCT">"c2543"</definedName>
    <definedName name="IQ_LT_DEBT_EQUITY">"c678"</definedName>
    <definedName name="IQ_LT_DEBT_FIN">"c679"</definedName>
    <definedName name="IQ_LT_DEBT_INS">"c680"</definedName>
    <definedName name="IQ_LT_DEBT_ISSUED">"c681"</definedName>
    <definedName name="IQ_LT_DEBT_ISSUED_BNK">"c682"</definedName>
    <definedName name="IQ_LT_DEBT_ISSUED_BR">"c683"</definedName>
    <definedName name="IQ_LT_DEBT_ISSUED_FIN">"c684"</definedName>
    <definedName name="IQ_LT_DEBT_ISSUED_INS">"c685"</definedName>
    <definedName name="IQ_LT_DEBT_ISSUED_REIT">"c686"</definedName>
    <definedName name="IQ_LT_DEBT_ISSUED_UTI">"c687"</definedName>
    <definedName name="IQ_LT_DEBT_REIT">"c688"</definedName>
    <definedName name="IQ_LT_DEBT_REPAID">"c689"</definedName>
    <definedName name="IQ_LT_DEBT_REPAID_BNK">"c690"</definedName>
    <definedName name="IQ_LT_DEBT_REPAID_BR">"c691"</definedName>
    <definedName name="IQ_LT_DEBT_REPAID_FIN">"c692"</definedName>
    <definedName name="IQ_LT_DEBT_REPAID_INS">"c693"</definedName>
    <definedName name="IQ_LT_DEBT_REPAID_REIT">"c694"</definedName>
    <definedName name="IQ_LT_DEBT_REPAID_UTI">"c695"</definedName>
    <definedName name="IQ_LT_DEBT_UTI">"c696"</definedName>
    <definedName name="IQ_LT_INVEST">"c697"</definedName>
    <definedName name="IQ_LT_INVEST_BR">"c698"</definedName>
    <definedName name="IQ_LT_INVEST_FIN">"c699"</definedName>
    <definedName name="IQ_LT_INVEST_REIT">"c700"</definedName>
    <definedName name="IQ_LT_INVEST_UTI">"c701"</definedName>
    <definedName name="IQ_LT_NOTE_RECEIV">"c1602"</definedName>
    <definedName name="IQ_LTD_DUE_AFTER_FIVE">"c704"</definedName>
    <definedName name="IQ_LTD_DUE_CY">"c705"</definedName>
    <definedName name="IQ_LTD_DUE_CY1">"c706"</definedName>
    <definedName name="IQ_LTD_DUE_CY2">"c707"</definedName>
    <definedName name="IQ_LTD_DUE_CY3">"c708"</definedName>
    <definedName name="IQ_LTD_DUE_CY4">"c709"</definedName>
    <definedName name="IQ_LTD_DUE_NEXT_FIVE">"c710"</definedName>
    <definedName name="IQ_LTM">2000</definedName>
    <definedName name="IQ_LTM_REVENUE_OVER_EMPLOYEES">"c1437"</definedName>
    <definedName name="IQ_LTMMONTH">120000</definedName>
    <definedName name="IQ_MACHINERY">"c711"</definedName>
    <definedName name="IQ_MAINT_CAPEX">"c2947"</definedName>
    <definedName name="IQ_MAINT_CAPEX_ACT_OR_EST">"c4458"</definedName>
    <definedName name="IQ_MAINT_REPAIR">"c2087"</definedName>
    <definedName name="IQ_MAKE_WHOLE_END_DATE">"c2493"</definedName>
    <definedName name="IQ_MAKE_WHOLE_SPREAD">"c2494"</definedName>
    <definedName name="IQ_MAKE_WHOLE_START_DATE">"c2492"</definedName>
    <definedName name="IQ_MARKET_CAP_LFCF">"c2209"</definedName>
    <definedName name="IQ_MARKETCAP">"c712"</definedName>
    <definedName name="IQ_MARKETING">"c2239"</definedName>
    <definedName name="IQ_MATURITY_DATE">"c2146"</definedName>
    <definedName name="IQ_MC_RATIO">"c2783"</definedName>
    <definedName name="IQ_MC_STATUTORY_SURPLUS">"c2772"</definedName>
    <definedName name="IQ_MEDIAN_TARGET_PRICE">"c1650"</definedName>
    <definedName name="IQ_MEDIAN_TARGET_PRICE_REUT">"c5316"</definedName>
    <definedName name="IQ_MERGER">"c713"</definedName>
    <definedName name="IQ_MERGER_BNK">"c714"</definedName>
    <definedName name="IQ_MERGER_BR">"c715"</definedName>
    <definedName name="IQ_MERGER_FIN">"c716"</definedName>
    <definedName name="IQ_MERGER_INS">"c717"</definedName>
    <definedName name="IQ_MERGER_REIT">"c718"</definedName>
    <definedName name="IQ_MERGER_RESTRUCTURE">"c719"</definedName>
    <definedName name="IQ_MERGER_RESTRUCTURE_BNK">"c720"</definedName>
    <definedName name="IQ_MERGER_RESTRUCTURE_BR">"c721"</definedName>
    <definedName name="IQ_MERGER_RESTRUCTURE_FIN">"c722"</definedName>
    <definedName name="IQ_MERGER_RESTRUCTURE_INS">"c723"</definedName>
    <definedName name="IQ_MERGER_RESTRUCTURE_REIT">"c724"</definedName>
    <definedName name="IQ_MERGER_RESTRUCTURE_UTI">"c725"</definedName>
    <definedName name="IQ_MERGER_UTI">"c726"</definedName>
    <definedName name="IQ_MINORITY_INTEREST">"c727"</definedName>
    <definedName name="IQ_MINORITY_INTEREST_BNK">"c728"</definedName>
    <definedName name="IQ_MINORITY_INTEREST_BR">"c729"</definedName>
    <definedName name="IQ_MINORITY_INTEREST_CF">"c730"</definedName>
    <definedName name="IQ_MINORITY_INTEREST_FIN">"c731"</definedName>
    <definedName name="IQ_MINORITY_INTEREST_INS">"c732"</definedName>
    <definedName name="IQ_MINORITY_INTEREST_IS">"c733"</definedName>
    <definedName name="IQ_MINORITY_INTEREST_REIT">"c734"</definedName>
    <definedName name="IQ_MINORITY_INTEREST_TOTAL">"c1905"</definedName>
    <definedName name="IQ_MINORITY_INTEREST_UTI">"c735"</definedName>
    <definedName name="IQ_MISC_ADJUST_CF">"c736"</definedName>
    <definedName name="IQ_MISC_EARN_ADJ">"c1603"</definedName>
    <definedName name="IQ_MKTCAP_EBT_EXCL">"c737"</definedName>
    <definedName name="IQ_MKTCAP_EBT_EXCL_AVG">"c738"</definedName>
    <definedName name="IQ_MKTCAP_EBT_INCL_AVG">"c739"</definedName>
    <definedName name="IQ_MKTCAP_TOTAL_REV">"c740"</definedName>
    <definedName name="IQ_MKTCAP_TOTAL_REV_AVG">"c741"</definedName>
    <definedName name="IQ_MKTCAP_TOTAL_REV_FWD">"c742"</definedName>
    <definedName name="IQ_MKTCAP_TOTAL_REV_FWD_REUT">"c4048"</definedName>
    <definedName name="IQ_MM_ACCOUNT">"c743"</definedName>
    <definedName name="IQ_MONTH">15000</definedName>
    <definedName name="IQ_MORT_BANK_ACT">"c744"</definedName>
    <definedName name="IQ_MORT_BANKING_FEE">"c745"</definedName>
    <definedName name="IQ_MORT_INT_INC">"c746"</definedName>
    <definedName name="IQ_MORT_LOANS">"c747"</definedName>
    <definedName name="IQ_MORT_SECURITY">"c748"</definedName>
    <definedName name="IQ_MORTGAGE_SERV_RIGHTS">"c2242"</definedName>
    <definedName name="IQ_MTD">800000</definedName>
    <definedName name="IQ_NAMES_REVISION_DATE_">42690.913912037</definedName>
    <definedName name="IQ_NAV_ACT_OR_EST">"c2225"</definedName>
    <definedName name="IQ_NAV_EST">"c1751"</definedName>
    <definedName name="IQ_NAV_HIGH_EST">"c1753"</definedName>
    <definedName name="IQ_NAV_LOW_EST">"c1754"</definedName>
    <definedName name="IQ_NAV_MEDIAN_EST">"c1752"</definedName>
    <definedName name="IQ_NAV_NUM_EST">"c1755"</definedName>
    <definedName name="IQ_NAV_STDDEV_EST">"c1756"</definedName>
    <definedName name="IQ_NET_CHANGE">"c749"</definedName>
    <definedName name="IQ_NET_CLAIM_EXP_INCUR">"c2757"</definedName>
    <definedName name="IQ_NET_CLAIM_EXP_INCUR_CY">"c2761"</definedName>
    <definedName name="IQ_NET_CLAIM_EXP_INCUR_PY">"c2762"</definedName>
    <definedName name="IQ_NET_CLAIM_EXP_PAID">"c2760"</definedName>
    <definedName name="IQ_NET_CLAIM_EXP_PAID_CY">"c2763"</definedName>
    <definedName name="IQ_NET_CLAIM_EXP_PAID_PY">"c2764"</definedName>
    <definedName name="IQ_NET_CLAIM_EXP_RES">"c2754"</definedName>
    <definedName name="IQ_NET_DEBT">"c1584"</definedName>
    <definedName name="IQ_NET_DEBT_EBITDA">"c750"</definedName>
    <definedName name="IQ_NET_DEBT_EBITDA_CAPEX">"c2949"</definedName>
    <definedName name="IQ_NET_DEBT_ISSUED">"c751"</definedName>
    <definedName name="IQ_NET_DEBT_ISSUED_BNK">"c752"</definedName>
    <definedName name="IQ_NET_DEBT_ISSUED_BR">"c753"</definedName>
    <definedName name="IQ_NET_DEBT_ISSUED_FIN">"c754"</definedName>
    <definedName name="IQ_NET_DEBT_ISSUED_INS">"c755"</definedName>
    <definedName name="IQ_NET_DEBT_ISSUED_REIT">"c756"</definedName>
    <definedName name="IQ_NET_DEBT_ISSUED_UTI">"c757"</definedName>
    <definedName name="IQ_NET_EARNED">"c2734"</definedName>
    <definedName name="IQ_NET_INC">"c1394"</definedName>
    <definedName name="IQ_NET_INC_BEFORE">"c1368"</definedName>
    <definedName name="IQ_NET_INC_CF">"c1397"</definedName>
    <definedName name="IQ_NET_INC_MARGIN">"c1398"</definedName>
    <definedName name="IQ_NET_INT_INC_10YR_ANN_GROWTH">"c758"</definedName>
    <definedName name="IQ_NET_INT_INC_1YR_ANN_GROWTH">"c759"</definedName>
    <definedName name="IQ_NET_INT_INC_2YR_ANN_GROWTH">"c760"</definedName>
    <definedName name="IQ_NET_INT_INC_3YR_ANN_GROWTH">"c761"</definedName>
    <definedName name="IQ_NET_INT_INC_5YR_ANN_GROWTH">"c762"</definedName>
    <definedName name="IQ_NET_INT_INC_7YR_ANN_GROWTH">"c763"</definedName>
    <definedName name="IQ_NET_INT_INC_BNK">"c764"</definedName>
    <definedName name="IQ_NET_INT_INC_BR">"c765"</definedName>
    <definedName name="IQ_NET_INT_INC_FIN">"c766"</definedName>
    <definedName name="IQ_NET_INT_INC_TOTAL_REV">"c767"</definedName>
    <definedName name="IQ_NET_INT_MARGIN">"c768"</definedName>
    <definedName name="IQ_NET_INTEREST_EXP">"c769"</definedName>
    <definedName name="IQ_NET_INTEREST_EXP_REIT">"c770"</definedName>
    <definedName name="IQ_NET_INTEREST_EXP_UTI">"c771"</definedName>
    <definedName name="IQ_NET_INTEREST_INC">"c1392"</definedName>
    <definedName name="IQ_NET_INTEREST_INC_AFTER_LL">"c1604"</definedName>
    <definedName name="IQ_NET_LIFE_INS_IN_FORCE">"c2769"</definedName>
    <definedName name="IQ_NET_LOANS">"c772"</definedName>
    <definedName name="IQ_NET_LOANS_10YR_ANN_GROWTH">"c773"</definedName>
    <definedName name="IQ_NET_LOANS_1YR_ANN_GROWTH">"c774"</definedName>
    <definedName name="IQ_NET_LOANS_2YR_ANN_GROWTH">"c775"</definedName>
    <definedName name="IQ_NET_LOANS_3YR_ANN_GROWTH">"c776"</definedName>
    <definedName name="IQ_NET_LOANS_5YR_ANN_GROWTH">"c777"</definedName>
    <definedName name="IQ_NET_LOANS_7YR_ANN_GROWTH">"c778"</definedName>
    <definedName name="IQ_NET_LOANS_TOTAL_DEPOSITS">"c779"</definedName>
    <definedName name="IQ_NET_RENTAL_EXP_FN">"c780"</definedName>
    <definedName name="IQ_NET_TO_GROSS_EARNED">"c2750"</definedName>
    <definedName name="IQ_NET_TO_GROSS_WRITTEN">"c2729"</definedName>
    <definedName name="IQ_NET_WORKING_CAP">"c3493"</definedName>
    <definedName name="IQ_NET_WRITTEN">"c2728"</definedName>
    <definedName name="IQ_NEW_PREM">"c2785"</definedName>
    <definedName name="IQ_NEXT_CALL_DATE">"c2198"</definedName>
    <definedName name="IQ_NEXT_CALL_PRICE">"c2199"</definedName>
    <definedName name="IQ_NEXT_INT_DATE">"c2187"</definedName>
    <definedName name="IQ_NEXT_PUT_DATE">"c2200"</definedName>
    <definedName name="IQ_NEXT_PUT_PRICE">"c2201"</definedName>
    <definedName name="IQ_NEXT_SINK_FUND_AMOUNT">"c2490"</definedName>
    <definedName name="IQ_NEXT_SINK_FUND_DATE">"c2489"</definedName>
    <definedName name="IQ_NEXT_SINK_FUND_PRICE">"c2491"</definedName>
    <definedName name="IQ_NI">"c781"</definedName>
    <definedName name="IQ_NI_10YR_ANN_GROWTH">"c782"</definedName>
    <definedName name="IQ_NI_1YR_ANN_GROWTH">"c783"</definedName>
    <definedName name="IQ_NI_2YR_ANN_GROWTH">"c784"</definedName>
    <definedName name="IQ_NI_3YR_ANN_GROWTH">"c785"</definedName>
    <definedName name="IQ_NI_5YR_ANN_GROWTH">"c786"</definedName>
    <definedName name="IQ_NI_7YR_ANN_GROWTH">"c787"</definedName>
    <definedName name="IQ_NI_ACT_OR_EST">"c2222"</definedName>
    <definedName name="IQ_NI_AFTER_CAPITALIZED">"c788"</definedName>
    <definedName name="IQ_NI_AVAIL_EXCL">"c789"</definedName>
    <definedName name="IQ_NI_AVAIL_EXCL_MARGIN">"c790"</definedName>
    <definedName name="IQ_NI_AVAIL_INCL">"c791"</definedName>
    <definedName name="IQ_NI_BEFORE_CAPITALIZED">"c792"</definedName>
    <definedName name="IQ_NI_CF">"c793"</definedName>
    <definedName name="IQ_NI_EST">"c1716"</definedName>
    <definedName name="IQ_NI_GW_EST">"c1723"</definedName>
    <definedName name="IQ_NI_GW_HIGH_EST">"c1725"</definedName>
    <definedName name="IQ_NI_GW_LOW_EST">"c1726"</definedName>
    <definedName name="IQ_NI_GW_MEDIAN_EST">"c1724"</definedName>
    <definedName name="IQ_NI_GW_NUM_EST">"c1727"</definedName>
    <definedName name="IQ_NI_GW_STDDEV_EST">"c1728"</definedName>
    <definedName name="IQ_NI_HIGH_EST">"c1718"</definedName>
    <definedName name="IQ_NI_LOW_EST">"c1719"</definedName>
    <definedName name="IQ_NI_MARGIN">"c794"</definedName>
    <definedName name="IQ_NI_MEDIAN_EST">"c1717"</definedName>
    <definedName name="IQ_NI_NORM">"c1901"</definedName>
    <definedName name="IQ_NI_NORM_10YR_ANN_GROWTH">"c1960"</definedName>
    <definedName name="IQ_NI_NORM_1YR_ANN_GROWTH">"c1955"</definedName>
    <definedName name="IQ_NI_NORM_2YR_ANN_GROWTH">"c1956"</definedName>
    <definedName name="IQ_NI_NORM_3YR_ANN_GROWTH">"c1957"</definedName>
    <definedName name="IQ_NI_NORM_5YR_ANN_GROWTH">"c1958"</definedName>
    <definedName name="IQ_NI_NORM_7YR_ANN_GROWTH">"c1959"</definedName>
    <definedName name="IQ_NI_NORM_MARGIN">"c1964"</definedName>
    <definedName name="IQ_NI_NUM_EST">"c1720"</definedName>
    <definedName name="IQ_NI_REPORTED_EST">"c1730"</definedName>
    <definedName name="IQ_NI_REPORTED_HIGH_EST">"c1732"</definedName>
    <definedName name="IQ_NI_REPORTED_LOW_EST">"c1733"</definedName>
    <definedName name="IQ_NI_REPORTED_MEDIAN_EST">"c1731"</definedName>
    <definedName name="IQ_NI_REPORTED_NUM_EST">"c1734"</definedName>
    <definedName name="IQ_NI_REPORTED_STDDEV_EST">"c1735"</definedName>
    <definedName name="IQ_NI_SBC_ACT_OR_EST">"c4474"</definedName>
    <definedName name="IQ_NI_SBC_GW_ACT_OR_EST">"c4478"</definedName>
    <definedName name="IQ_NI_SFAS">"c795"</definedName>
    <definedName name="IQ_NI_STDDEV_EST">"c1721"</definedName>
    <definedName name="IQ_NOL_CF_1YR">"c3465"</definedName>
    <definedName name="IQ_NOL_CF_2YR">"c3466"</definedName>
    <definedName name="IQ_NOL_CF_3YR">"c3467"</definedName>
    <definedName name="IQ_NOL_CF_4YR">"c3468"</definedName>
    <definedName name="IQ_NOL_CF_5YR">"c3469"</definedName>
    <definedName name="IQ_NOL_CF_AFTER_FIVE">"c3470"</definedName>
    <definedName name="IQ_NOL_CF_MAX_YEAR">"c3473"</definedName>
    <definedName name="IQ_NOL_CF_NO_EXP">"c3471"</definedName>
    <definedName name="IQ_NOL_CF_TOTAL">"c3472"</definedName>
    <definedName name="IQ_NON_ACCRUAL_LOANS">"c796"</definedName>
    <definedName name="IQ_NON_CASH">"c1399"</definedName>
    <definedName name="IQ_NON_CASH_ITEMS">"c797"</definedName>
    <definedName name="IQ_NON_INS_EXP">"c798"</definedName>
    <definedName name="IQ_NON_INS_REV">"c799"</definedName>
    <definedName name="IQ_NON_INT_BEAR_CD">"c800"</definedName>
    <definedName name="IQ_NON_INT_EXP">"c801"</definedName>
    <definedName name="IQ_NON_INT_INC">"c802"</definedName>
    <definedName name="IQ_NON_INT_INC_10YR_ANN_GROWTH">"c803"</definedName>
    <definedName name="IQ_NON_INT_INC_1YR_ANN_GROWTH">"c804"</definedName>
    <definedName name="IQ_NON_INT_INC_2YR_ANN_GROWTH">"c805"</definedName>
    <definedName name="IQ_NON_INT_INC_3YR_ANN_GROWTH">"c806"</definedName>
    <definedName name="IQ_NON_INT_INC_5YR_ANN_GROWTH">"c807"</definedName>
    <definedName name="IQ_NON_INT_INC_7YR_ANN_GROWTH">"c808"</definedName>
    <definedName name="IQ_NON_INTEREST_EXP">"c1400"</definedName>
    <definedName name="IQ_NON_INTEREST_INC">"c1401"</definedName>
    <definedName name="IQ_NON_OPER_EXP">"c809"</definedName>
    <definedName name="IQ_NON_OPER_INC">"c810"</definedName>
    <definedName name="IQ_NON_PERF_ASSETS_10YR_ANN_GROWTH">"c811"</definedName>
    <definedName name="IQ_NON_PERF_ASSETS_1YR_ANN_GROWTH">"c812"</definedName>
    <definedName name="IQ_NON_PERF_ASSETS_2YR_ANN_GROWTH">"c813"</definedName>
    <definedName name="IQ_NON_PERF_ASSETS_3YR_ANN_GROWTH">"c814"</definedName>
    <definedName name="IQ_NON_PERF_ASSETS_5YR_ANN_GROWTH">"c815"</definedName>
    <definedName name="IQ_NON_PERF_ASSETS_7YR_ANN_GROWTH">"c816"</definedName>
    <definedName name="IQ_NON_PERF_ASSETS_TOTAL_ASSETS">"c817"</definedName>
    <definedName name="IQ_NON_PERF_LOANS_10YR_ANN_GROWTH">"c818"</definedName>
    <definedName name="IQ_NON_PERF_LOANS_1YR_ANN_GROWTH">"c819"</definedName>
    <definedName name="IQ_NON_PERF_LOANS_2YR_ANN_GROWTH">"c820"</definedName>
    <definedName name="IQ_NON_PERF_LOANS_3YR_ANN_GROWTH">"c821"</definedName>
    <definedName name="IQ_NON_PERF_LOANS_5YR_ANN_GROWTH">"c822"</definedName>
    <definedName name="IQ_NON_PERF_LOANS_7YR_ANN_GROWTH">"c823"</definedName>
    <definedName name="IQ_NON_PERF_LOANS_TOTAL_ASSETS">"c824"</definedName>
    <definedName name="IQ_NON_PERF_LOANS_TOTAL_LOANS">"c825"</definedName>
    <definedName name="IQ_NON_PERFORMING_ASSETS">"c826"</definedName>
    <definedName name="IQ_NON_PERFORMING_LOANS">"c827"</definedName>
    <definedName name="IQ_NONCASH_PENSION_EXP">"c3000"</definedName>
    <definedName name="IQ_NONRECOURSE_DEBT">"c2550"</definedName>
    <definedName name="IQ_NONRECOURSE_DEBT_PCT">"c2551"</definedName>
    <definedName name="IQ_NONUTIL_REV">"c2089"</definedName>
    <definedName name="IQ_NORM_EPS_ACT_OR_EST">"c2249"</definedName>
    <definedName name="IQ_NORMAL_INC_AFTER">"c1605"</definedName>
    <definedName name="IQ_NORMAL_INC_AVAIL">"c1606"</definedName>
    <definedName name="IQ_NORMAL_INC_BEFORE">"c1607"</definedName>
    <definedName name="IQ_NOTES_PAY">"c1423"</definedName>
    <definedName name="IQ_NOW_ACCOUNT">"c828"</definedName>
    <definedName name="IQ_NPPE">"c829"</definedName>
    <definedName name="IQ_NPPE_10YR_ANN_GROWTH">"c830"</definedName>
    <definedName name="IQ_NPPE_1YR_ANN_GROWTH">"c831"</definedName>
    <definedName name="IQ_NPPE_2YR_ANN_GROWTH">"c832"</definedName>
    <definedName name="IQ_NPPE_3YR_ANN_GROWTH">"c833"</definedName>
    <definedName name="IQ_NPPE_5YR_ANN_GROWTH">"c834"</definedName>
    <definedName name="IQ_NPPE_7YR_ANN_GROWTH">"c835"</definedName>
    <definedName name="IQ_NTM">6000</definedName>
    <definedName name="IQ_NUKE">"c836"</definedName>
    <definedName name="IQ_NUKE_CF">"c837"</definedName>
    <definedName name="IQ_NUKE_CONTR">"c838"</definedName>
    <definedName name="IQ_NUM_BRANCHES">"c2088"</definedName>
    <definedName name="IQ_NUMBER_ADRHOLDERS">"c1970"</definedName>
    <definedName name="IQ_NUMBER_DAYS">"c1904"</definedName>
    <definedName name="IQ_NUMBER_SHAREHOLDERS">"c1967"</definedName>
    <definedName name="IQ_NUMBER_SHAREHOLDERS_CLASSA">"c1968"</definedName>
    <definedName name="IQ_NUMBER_SHAREHOLDERS_OTHER">"c1969"</definedName>
    <definedName name="IQ_OCCUPY_EXP">"c839"</definedName>
    <definedName name="IQ_OFFER_AMOUNT">"c2152"</definedName>
    <definedName name="IQ_OFFER_COUPON">"c2147"</definedName>
    <definedName name="IQ_OFFER_COUPON_TYPE">"c2148"</definedName>
    <definedName name="IQ_OFFER_DATE">"c2149"</definedName>
    <definedName name="IQ_OFFER_PRICE">"c2150"</definedName>
    <definedName name="IQ_OFFER_YIELD">"c2151"</definedName>
    <definedName name="IQ_OG_10DISC">"c1998"</definedName>
    <definedName name="IQ_OG_10DISC_GAS">"c2018"</definedName>
    <definedName name="IQ_OG_10DISC_OIL">"c2008"</definedName>
    <definedName name="IQ_OG_ACQ_COST_PROVED">"c1975"</definedName>
    <definedName name="IQ_OG_ACQ_COST_PROVED_GAS">"c1987"</definedName>
    <definedName name="IQ_OG_ACQ_COST_PROVED_OIL">"c1981"</definedName>
    <definedName name="IQ_OG_ACQ_COST_UNPROVED">"c1976"</definedName>
    <definedName name="IQ_OG_ACQ_COST_UNPROVED_GAS">"c1988"</definedName>
    <definedName name="IQ_OG_ACQ_COST_UNPROVED_OIL">"c1982"</definedName>
    <definedName name="IQ_OG_AVG_DAILY_PROD_GAS">"c2910"</definedName>
    <definedName name="IQ_OG_AVG_DAILY_PROD_NGL">"c2911"</definedName>
    <definedName name="IQ_OG_AVG_DAILY_PROD_OIL">"c2909"</definedName>
    <definedName name="IQ_OG_CLOSE_BALANCE_GAS">"c2049"</definedName>
    <definedName name="IQ_OG_CLOSE_BALANCE_NGL">"c2920"</definedName>
    <definedName name="IQ_OG_CLOSE_BALANCE_OIL">"c2037"</definedName>
    <definedName name="IQ_OG_DCF_BEFORE_TAXES">"c2023"</definedName>
    <definedName name="IQ_OG_DCF_BEFORE_TAXES_GAS">"c2025"</definedName>
    <definedName name="IQ_OG_DCF_BEFORE_TAXES_OIL">"c2024"</definedName>
    <definedName name="IQ_OG_DEVELOPED_RESERVES_GAS">"c2053"</definedName>
    <definedName name="IQ_OG_DEVELOPED_RESERVES_NGL">"c2922"</definedName>
    <definedName name="IQ_OG_DEVELOPED_RESERVES_OIL">"c2054"</definedName>
    <definedName name="IQ_OG_DEVELOPMENT_COSTS">"c1978"</definedName>
    <definedName name="IQ_OG_DEVELOPMENT_COSTS_GAS">"c1990"</definedName>
    <definedName name="IQ_OG_DEVELOPMENT_COSTS_OIL">"c1984"</definedName>
    <definedName name="IQ_OG_EQUITY_DCF">"c2002"</definedName>
    <definedName name="IQ_OG_EQUITY_DCF_GAS">"c2022"</definedName>
    <definedName name="IQ_OG_EQUITY_DCF_OIL">"c2012"</definedName>
    <definedName name="IQ_OG_EQUTY_RESERVES_GAS">"c2050"</definedName>
    <definedName name="IQ_OG_EQUTY_RESERVES_NGL">"c2921"</definedName>
    <definedName name="IQ_OG_EQUTY_RESERVES_OIL">"c2038"</definedName>
    <definedName name="IQ_OG_EXPLORATION_COSTS">"c1977"</definedName>
    <definedName name="IQ_OG_EXPLORATION_COSTS_GAS">"c1989"</definedName>
    <definedName name="IQ_OG_EXPLORATION_COSTS_OIL">"c1983"</definedName>
    <definedName name="IQ_OG_EXT_DISC_GAS">"c2043"</definedName>
    <definedName name="IQ_OG_EXT_DISC_NGL">"c2914"</definedName>
    <definedName name="IQ_OG_EXT_DISC_OIL">"c2031"</definedName>
    <definedName name="IQ_OG_FUTURE_CASH_INFLOWS">"c1993"</definedName>
    <definedName name="IQ_OG_FUTURE_CASH_INFLOWS_GAS">"c2013"</definedName>
    <definedName name="IQ_OG_FUTURE_CASH_INFLOWS_OIL">"c2003"</definedName>
    <definedName name="IQ_OG_FUTURE_DEVELOPMENT_COSTS">"c1995"</definedName>
    <definedName name="IQ_OG_FUTURE_DEVELOPMENT_COSTS_GAS">"c2015"</definedName>
    <definedName name="IQ_OG_FUTURE_DEVELOPMENT_COSTS_OIL">"c2005"</definedName>
    <definedName name="IQ_OG_FUTURE_INC_TAXES">"c1997"</definedName>
    <definedName name="IQ_OG_FUTURE_INC_TAXES_GAS">"c2017"</definedName>
    <definedName name="IQ_OG_FUTURE_INC_TAXES_OIL">"c2007"</definedName>
    <definedName name="IQ_OG_FUTURE_PRODUCTION_COSTS">"c1994"</definedName>
    <definedName name="IQ_OG_FUTURE_PRODUCTION_COSTS_GAS">"c2014"</definedName>
    <definedName name="IQ_OG_FUTURE_PRODUCTION_COSTS_OIL">"c2004"</definedName>
    <definedName name="IQ_OG_GAS_PRICE_HEDGED">"c2056"</definedName>
    <definedName name="IQ_OG_GAS_PRICE_UNHEDGED">"c2058"</definedName>
    <definedName name="IQ_OG_IMPROVED_RECOVERY_GAS">"c2044"</definedName>
    <definedName name="IQ_OG_IMPROVED_RECOVERY_NGL">"c2915"</definedName>
    <definedName name="IQ_OG_IMPROVED_RECOVERY_OIL">"c2032"</definedName>
    <definedName name="IQ_OG_LIQUID_GAS_PRICE_HEDGED">"c2233"</definedName>
    <definedName name="IQ_OG_LIQUID_GAS_PRICE_UNHEDGED">"c2234"</definedName>
    <definedName name="IQ_OG_NET_FUTURE_CASH_FLOWS">"c1996"</definedName>
    <definedName name="IQ_OG_NET_FUTURE_CASH_FLOWS_GAS">"c2016"</definedName>
    <definedName name="IQ_OG_NET_FUTURE_CASH_FLOWS_OIL">"c2006"</definedName>
    <definedName name="IQ_OG_OIL_PRICE_HEDGED">"c2055"</definedName>
    <definedName name="IQ_OG_OIL_PRICE_UNHEDGED">"c2057"</definedName>
    <definedName name="IQ_OG_OPEN_BALANCE_GAS">"c2041"</definedName>
    <definedName name="IQ_OG_OPEN_BALANCE_NGL">"c2912"</definedName>
    <definedName name="IQ_OG_OPEN_BALANCE_OIL">"c2029"</definedName>
    <definedName name="IQ_OG_OTHER_ADJ_FCF">"c1999"</definedName>
    <definedName name="IQ_OG_OTHER_ADJ_FCF_GAS">"c2019"</definedName>
    <definedName name="IQ_OG_OTHER_ADJ_FCF_OIL">"c2009"</definedName>
    <definedName name="IQ_OG_OTHER_ADJ_GAS">"c2048"</definedName>
    <definedName name="IQ_OG_OTHER_ADJ_NGL">"c2919"</definedName>
    <definedName name="IQ_OG_OTHER_ADJ_OIL">"c2036"</definedName>
    <definedName name="IQ_OG_OTHER_COSTS">"c1979"</definedName>
    <definedName name="IQ_OG_OTHER_COSTS_GAS">"c1991"</definedName>
    <definedName name="IQ_OG_OTHER_COSTS_OIL">"c1985"</definedName>
    <definedName name="IQ_OG_PRODUCTION_GAS">"c2047"</definedName>
    <definedName name="IQ_OG_PRODUCTION_NGL">"c2918"</definedName>
    <definedName name="IQ_OG_PRODUCTION_OIL">"c2035"</definedName>
    <definedName name="IQ_OG_PURCHASES_GAS">"c2045"</definedName>
    <definedName name="IQ_OG_PURCHASES_NGL">"c2916"</definedName>
    <definedName name="IQ_OG_PURCHASES_OIL">"c2033"</definedName>
    <definedName name="IQ_OG_REVISIONS_GAS">"c2042"</definedName>
    <definedName name="IQ_OG_REVISIONS_NGL">"c2913"</definedName>
    <definedName name="IQ_OG_REVISIONS_OIL">"c2030"</definedName>
    <definedName name="IQ_OG_SALES_IN_PLACE_GAS">"c2046"</definedName>
    <definedName name="IQ_OG_SALES_IN_PLACE_NGL">"c2917"</definedName>
    <definedName name="IQ_OG_SALES_IN_PLACE_OIL">"c2034"</definedName>
    <definedName name="IQ_OG_STANDARDIZED_DCF">"c2000"</definedName>
    <definedName name="IQ_OG_STANDARDIZED_DCF_GAS">"c2020"</definedName>
    <definedName name="IQ_OG_STANDARDIZED_DCF_HEDGED">"c2001"</definedName>
    <definedName name="IQ_OG_STANDARDIZED_DCF_HEDGED_GAS">"c2021"</definedName>
    <definedName name="IQ_OG_STANDARDIZED_DCF_HEDGED_OIL">"c2011"</definedName>
    <definedName name="IQ_OG_STANDARDIZED_DCF_OIL">"c2010"</definedName>
    <definedName name="IQ_OG_TAXES">"c2026"</definedName>
    <definedName name="IQ_OG_TAXES_GAS">"c2028"</definedName>
    <definedName name="IQ_OG_TAXES_OIL">"c2027"</definedName>
    <definedName name="IQ_OG_TOTAL_COSTS">"c1980"</definedName>
    <definedName name="IQ_OG_TOTAL_COSTS_GAS">"c1992"</definedName>
    <definedName name="IQ_OG_TOTAL_COSTS_OIL">"c1986"</definedName>
    <definedName name="IQ_OG_TOTAL_EST_PROVED_RESERVES_GAS">"c2052"</definedName>
    <definedName name="IQ_OG_TOTAL_GAS_PRODUCTION">"c2060"</definedName>
    <definedName name="IQ_OG_TOTAL_LIQUID_GAS_PRODUCTION">"c2235"</definedName>
    <definedName name="IQ_OG_TOTAL_OIL_PRODUCTION">"c2059"</definedName>
    <definedName name="IQ_OG_TOTAL_OIL_PRODUCTON">"c2059"</definedName>
    <definedName name="IQ_OG_UNDEVELOPED_RESERVES_GAS">"c2051"</definedName>
    <definedName name="IQ_OG_UNDEVELOPED_RESERVES_NGL">"c2923"</definedName>
    <definedName name="IQ_OG_UNDEVELOPED_RESERVES_OIL">"c2039"</definedName>
    <definedName name="IQ_OIL_IMPAIR">"c840"</definedName>
    <definedName name="IQ_OL_COMM_AFTER_FIVE">"c841"</definedName>
    <definedName name="IQ_OL_COMM_CY">"c842"</definedName>
    <definedName name="IQ_OL_COMM_CY1">"c843"</definedName>
    <definedName name="IQ_OL_COMM_CY2">"c844"</definedName>
    <definedName name="IQ_OL_COMM_CY3">"c845"</definedName>
    <definedName name="IQ_OL_COMM_CY4">"c846"</definedName>
    <definedName name="IQ_OL_COMM_NEXT_FIVE">"c847"</definedName>
    <definedName name="IQ_OPEB_ACCRUED_LIAB">"c3308"</definedName>
    <definedName name="IQ_OPEB_ACCRUED_LIAB_DOM">"c3306"</definedName>
    <definedName name="IQ_OPEB_ACCRUED_LIAB_FOREIGN">"c3307"</definedName>
    <definedName name="IQ_OPEB_ACCUM_OTHER_CI">"c3314"</definedName>
    <definedName name="IQ_OPEB_ACCUM_OTHER_CI_DOM">"c3312"</definedName>
    <definedName name="IQ_OPEB_ACCUM_OTHER_CI_FOREIGN">"c3313"</definedName>
    <definedName name="IQ_OPEB_ASSETS">"c3356"</definedName>
    <definedName name="IQ_OPEB_ASSETS_ACQ">"c3347"</definedName>
    <definedName name="IQ_OPEB_ASSETS_ACQ_DOM">"c3345"</definedName>
    <definedName name="IQ_OPEB_ASSETS_ACQ_FOREIGN">"c3346"</definedName>
    <definedName name="IQ_OPEB_ASSETS_ACTUAL_RETURN">"c3332"</definedName>
    <definedName name="IQ_OPEB_ASSETS_ACTUAL_RETURN_DOM">"c3330"</definedName>
    <definedName name="IQ_OPEB_ASSETS_ACTUAL_RETURN_FOREIGN">"c3331"</definedName>
    <definedName name="IQ_OPEB_ASSETS_BEG">"c3329"</definedName>
    <definedName name="IQ_OPEB_ASSETS_BEG_DOM">"c3327"</definedName>
    <definedName name="IQ_OPEB_ASSETS_BEG_FOREIGN">"c3328"</definedName>
    <definedName name="IQ_OPEB_ASSETS_BENEFITS_PAID">"c3341"</definedName>
    <definedName name="IQ_OPEB_ASSETS_BENEFITS_PAID_DOM">"c3339"</definedName>
    <definedName name="IQ_OPEB_ASSETS_BENEFITS_PAID_FOREIGN">"c3340"</definedName>
    <definedName name="IQ_OPEB_ASSETS_CURTAIL">"c3350"</definedName>
    <definedName name="IQ_OPEB_ASSETS_CURTAIL_DOM">"c3348"</definedName>
    <definedName name="IQ_OPEB_ASSETS_CURTAIL_FOREIGN">"c3349"</definedName>
    <definedName name="IQ_OPEB_ASSETS_DOM">"c3354"</definedName>
    <definedName name="IQ_OPEB_ASSETS_EMPLOYER_CONTRIBUTIONS">"c3335"</definedName>
    <definedName name="IQ_OPEB_ASSETS_EMPLOYER_CONTRIBUTIONS_DOM">"c3333"</definedName>
    <definedName name="IQ_OPEB_ASSETS_EMPLOYER_CONTRIBUTIONS_FOREIGN">"c3334"</definedName>
    <definedName name="IQ_OPEB_ASSETS_FOREIGN">"c3355"</definedName>
    <definedName name="IQ_OPEB_ASSETS_FX_ADJ">"c3344"</definedName>
    <definedName name="IQ_OPEB_ASSETS_FX_ADJ_DOM">"c3342"</definedName>
    <definedName name="IQ_OPEB_ASSETS_FX_ADJ_FOREIGN">"c3343"</definedName>
    <definedName name="IQ_OPEB_ASSETS_OTHER_PLAN_ADJ">"c3353"</definedName>
    <definedName name="IQ_OPEB_ASSETS_OTHER_PLAN_ADJ_DOM">"c3351"</definedName>
    <definedName name="IQ_OPEB_ASSETS_OTHER_PLAN_ADJ_FOREIGN">"c3352"</definedName>
    <definedName name="IQ_OPEB_ASSETS_PARTICIP_CONTRIBUTIONS">"c3338"</definedName>
    <definedName name="IQ_OPEB_ASSETS_PARTICIP_CONTRIBUTIONS_DOM">"c3336"</definedName>
    <definedName name="IQ_OPEB_ASSETS_PARTICIP_CONTRIBUTIONS_FOREIGN">"c3337"</definedName>
    <definedName name="IQ_OPEB_BENEFIT_INFO_DATE">"c3410"</definedName>
    <definedName name="IQ_OPEB_BENEFIT_INFO_DATE_DOM">"c3408"</definedName>
    <definedName name="IQ_OPEB_BENEFIT_INFO_DATE_FOREIGN">"c3409"</definedName>
    <definedName name="IQ_OPEB_BREAKDOWN_EQ">"c3275"</definedName>
    <definedName name="IQ_OPEB_BREAKDOWN_EQ_DOM">"c3273"</definedName>
    <definedName name="IQ_OPEB_BREAKDOWN_EQ_FOREIGN">"c3274"</definedName>
    <definedName name="IQ_OPEB_BREAKDOWN_FI">"c3278"</definedName>
    <definedName name="IQ_OPEB_BREAKDOWN_FI_DOM">"c3276"</definedName>
    <definedName name="IQ_OPEB_BREAKDOWN_FI_FOREIGN">"c3277"</definedName>
    <definedName name="IQ_OPEB_BREAKDOWN_OTHER">"c3284"</definedName>
    <definedName name="IQ_OPEB_BREAKDOWN_OTHER_DOM">"c3282"</definedName>
    <definedName name="IQ_OPEB_BREAKDOWN_OTHER_FOREIGN">"c3283"</definedName>
    <definedName name="IQ_OPEB_BREAKDOWN_PCT_EQ">"c3263"</definedName>
    <definedName name="IQ_OPEB_BREAKDOWN_PCT_EQ_DOM">"c3261"</definedName>
    <definedName name="IQ_OPEB_BREAKDOWN_PCT_EQ_FOREIGN">"c3262"</definedName>
    <definedName name="IQ_OPEB_BREAKDOWN_PCT_FI">"c3266"</definedName>
    <definedName name="IQ_OPEB_BREAKDOWN_PCT_FI_DOM">"c3264"</definedName>
    <definedName name="IQ_OPEB_BREAKDOWN_PCT_FI_FOREIGN">"c3265"</definedName>
    <definedName name="IQ_OPEB_BREAKDOWN_PCT_OTHER">"c3272"</definedName>
    <definedName name="IQ_OPEB_BREAKDOWN_PCT_OTHER_DOM">"c3270"</definedName>
    <definedName name="IQ_OPEB_BREAKDOWN_PCT_OTHER_FOREIGN">"c3271"</definedName>
    <definedName name="IQ_OPEB_BREAKDOWN_PCT_RE">"c3269"</definedName>
    <definedName name="IQ_OPEB_BREAKDOWN_PCT_RE_DOM">"c3267"</definedName>
    <definedName name="IQ_OPEB_BREAKDOWN_PCT_RE_FOREIGN">"c3268"</definedName>
    <definedName name="IQ_OPEB_BREAKDOWN_RE">"c3281"</definedName>
    <definedName name="IQ_OPEB_BREAKDOWN_RE_DOM">"c3279"</definedName>
    <definedName name="IQ_OPEB_BREAKDOWN_RE_FOREIGN">"c3280"</definedName>
    <definedName name="IQ_OPEB_DECREASE_EFFECT_PBO">"c3458"</definedName>
    <definedName name="IQ_OPEB_DECREASE_EFFECT_PBO_DOM">"c3456"</definedName>
    <definedName name="IQ_OPEB_DECREASE_EFFECT_PBO_FOREIGN">"c3457"</definedName>
    <definedName name="IQ_OPEB_DECREASE_EFFECT_SERVICE_INT_COST">"c3455"</definedName>
    <definedName name="IQ_OPEB_DECREASE_EFFECT_SERVICE_INT_COST_DOM">"c3453"</definedName>
    <definedName name="IQ_OPEB_DECREASE_EFFECT_SERVICE_INT_COST_FOREIGN">"c3454"</definedName>
    <definedName name="IQ_OPEB_DISC_RATE_MAX">"c3422"</definedName>
    <definedName name="IQ_OPEB_DISC_RATE_MAX_DOM">"c3420"</definedName>
    <definedName name="IQ_OPEB_DISC_RATE_MAX_FOREIGN">"c3421"</definedName>
    <definedName name="IQ_OPEB_DISC_RATE_MIN">"c3419"</definedName>
    <definedName name="IQ_OPEB_DISC_RATE_MIN_DOM">"c3417"</definedName>
    <definedName name="IQ_OPEB_DISC_RATE_MIN_FOREIGN">"c3418"</definedName>
    <definedName name="IQ_OPEB_EST_BENEFIT_1YR">"c3287"</definedName>
    <definedName name="IQ_OPEB_EST_BENEFIT_1YR_DOM">"c3285"</definedName>
    <definedName name="IQ_OPEB_EST_BENEFIT_1YR_FOREIGN">"c3286"</definedName>
    <definedName name="IQ_OPEB_EST_BENEFIT_2YR">"c3290"</definedName>
    <definedName name="IQ_OPEB_EST_BENEFIT_2YR_DOM">"c3288"</definedName>
    <definedName name="IQ_OPEB_EST_BENEFIT_2YR_FOREIGN">"c3289"</definedName>
    <definedName name="IQ_OPEB_EST_BENEFIT_3YR">"c3293"</definedName>
    <definedName name="IQ_OPEB_EST_BENEFIT_3YR_DOM">"c3291"</definedName>
    <definedName name="IQ_OPEB_EST_BENEFIT_3YR_FOREIGN">"c3292"</definedName>
    <definedName name="IQ_OPEB_EST_BENEFIT_4YR">"c3296"</definedName>
    <definedName name="IQ_OPEB_EST_BENEFIT_4YR_DOM">"c3294"</definedName>
    <definedName name="IQ_OPEB_EST_BENEFIT_4YR_FOREIGN">"c3295"</definedName>
    <definedName name="IQ_OPEB_EST_BENEFIT_5YR">"c3299"</definedName>
    <definedName name="IQ_OPEB_EST_BENEFIT_5YR_DOM">"c3297"</definedName>
    <definedName name="IQ_OPEB_EST_BENEFIT_5YR_FOREIGN">"c3298"</definedName>
    <definedName name="IQ_OPEB_EST_BENEFIT_AFTER5">"c3302"</definedName>
    <definedName name="IQ_OPEB_EST_BENEFIT_AFTER5_DOM">"c3300"</definedName>
    <definedName name="IQ_OPEB_EST_BENEFIT_AFTER5_FOREIGN">"c3301"</definedName>
    <definedName name="IQ_OPEB_EXP_RATE_RETURN_MAX">"c3434"</definedName>
    <definedName name="IQ_OPEB_EXP_RATE_RETURN_MAX_DOM">"c3432"</definedName>
    <definedName name="IQ_OPEB_EXP_RATE_RETURN_MAX_FOREIGN">"c3433"</definedName>
    <definedName name="IQ_OPEB_EXP_RATE_RETURN_MIN">"c3431"</definedName>
    <definedName name="IQ_OPEB_EXP_RATE_RETURN_MIN_DOM">"c3429"</definedName>
    <definedName name="IQ_OPEB_EXP_RATE_RETURN_MIN_FOREIGN">"c3430"</definedName>
    <definedName name="IQ_OPEB_EXP_RETURN">"c3398"</definedName>
    <definedName name="IQ_OPEB_EXP_RETURN_DOM">"c3396"</definedName>
    <definedName name="IQ_OPEB_EXP_RETURN_FOREIGN">"c3397"</definedName>
    <definedName name="IQ_OPEB_HEALTH_COST_TREND_INITIAL">"c3413"</definedName>
    <definedName name="IQ_OPEB_HEALTH_COST_TREND_INITIAL_DOM">"c3411"</definedName>
    <definedName name="IQ_OPEB_HEALTH_COST_TREND_INITIAL_FOREIGN">"c3412"</definedName>
    <definedName name="IQ_OPEB_HEALTH_COST_TREND_ULTIMATE">"c3416"</definedName>
    <definedName name="IQ_OPEB_HEALTH_COST_TREND_ULTIMATE_DOM">"c3414"</definedName>
    <definedName name="IQ_OPEB_HEALTH_COST_TREND_ULTIMATE_FOREIGN">"c3415"</definedName>
    <definedName name="IQ_OPEB_INCREASE_EFFECT_PBO">"c3452"</definedName>
    <definedName name="IQ_OPEB_INCREASE_EFFECT_PBO_DOM">"c3450"</definedName>
    <definedName name="IQ_OPEB_INCREASE_EFFECT_PBO_FOREIGN">"c3451"</definedName>
    <definedName name="IQ_OPEB_INCREASE_EFFECT_SERVICE_INT_COST">"c3449"</definedName>
    <definedName name="IQ_OPEB_INCREASE_EFFECT_SERVICE_INT_COST_DOM">"c3447"</definedName>
    <definedName name="IQ_OPEB_INCREASE_EFFECT_SERVICE_INT_COST_FOREIGN">"c3448"</definedName>
    <definedName name="IQ_OPEB_INTAN_ASSETS">"c3311"</definedName>
    <definedName name="IQ_OPEB_INTAN_ASSETS_DOM">"c3309"</definedName>
    <definedName name="IQ_OPEB_INTAN_ASSETS_FOREIGN">"c3310"</definedName>
    <definedName name="IQ_OPEB_INTEREST_COST">"c3395"</definedName>
    <definedName name="IQ_OPEB_INTEREST_COST_DOM">"c3393"</definedName>
    <definedName name="IQ_OPEB_INTEREST_COST_FOREIGN">"c3394"</definedName>
    <definedName name="IQ_OPEB_NET_ASSET_RECOG">"c3326"</definedName>
    <definedName name="IQ_OPEB_NET_ASSET_RECOG_DOM">"c3324"</definedName>
    <definedName name="IQ_OPEB_NET_ASSET_RECOG_FOREIGN">"c3325"</definedName>
    <definedName name="IQ_OPEB_OBLIGATION_ACCUMULATED">"c3407"</definedName>
    <definedName name="IQ_OPEB_OBLIGATION_ACCUMULATED_DOM">"c3405"</definedName>
    <definedName name="IQ_OPEB_OBLIGATION_ACCUMULATED_FOREIGN">"c3406"</definedName>
    <definedName name="IQ_OPEB_OBLIGATION_ACQ">"c3380"</definedName>
    <definedName name="IQ_OPEB_OBLIGATION_ACQ_DOM">"c3378"</definedName>
    <definedName name="IQ_OPEB_OBLIGATION_ACQ_FOREIGN">"c3379"</definedName>
    <definedName name="IQ_OPEB_OBLIGATION_ACTUARIAL_GAIN_LOSS">"c3371"</definedName>
    <definedName name="IQ_OPEB_OBLIGATION_ACTUARIAL_GAIN_LOSS_DOM">"c3369"</definedName>
    <definedName name="IQ_OPEB_OBLIGATION_ACTUARIAL_GAIN_LOSS_FOREIGN">"c3370"</definedName>
    <definedName name="IQ_OPEB_OBLIGATION_BEG">"c3359"</definedName>
    <definedName name="IQ_OPEB_OBLIGATION_BEG_DOM">"c3357"</definedName>
    <definedName name="IQ_OPEB_OBLIGATION_BEG_FOREIGN">"c3358"</definedName>
    <definedName name="IQ_OPEB_OBLIGATION_CURTAIL">"c3383"</definedName>
    <definedName name="IQ_OPEB_OBLIGATION_CURTAIL_DOM">"c3381"</definedName>
    <definedName name="IQ_OPEB_OBLIGATION_CURTAIL_FOREIGN">"c3382"</definedName>
    <definedName name="IQ_OPEB_OBLIGATION_EMPLOYEE_CONTRIBUTIONS">"c3368"</definedName>
    <definedName name="IQ_OPEB_OBLIGATION_EMPLOYEE_CONTRIBUTIONS_DOM">"c3366"</definedName>
    <definedName name="IQ_OPEB_OBLIGATION_EMPLOYEE_CONTRIBUTIONS_FOREIGN">"c3367"</definedName>
    <definedName name="IQ_OPEB_OBLIGATION_FX_ADJ">"c3377"</definedName>
    <definedName name="IQ_OPEB_OBLIGATION_FX_ADJ_DOM">"c3375"</definedName>
    <definedName name="IQ_OPEB_OBLIGATION_FX_ADJ_FOREIGN">"c3376"</definedName>
    <definedName name="IQ_OPEB_OBLIGATION_INTEREST_COST">"c3365"</definedName>
    <definedName name="IQ_OPEB_OBLIGATION_INTEREST_COST_DOM">"c3363"</definedName>
    <definedName name="IQ_OPEB_OBLIGATION_INTEREST_COST_FOREIGN">"c3364"</definedName>
    <definedName name="IQ_OPEB_OBLIGATION_OTHER_PLAN_ADJ">"c3386"</definedName>
    <definedName name="IQ_OPEB_OBLIGATION_OTHER_PLAN_ADJ_DOM">"c3384"</definedName>
    <definedName name="IQ_OPEB_OBLIGATION_OTHER_PLAN_ADJ_FOREIGN">"c3385"</definedName>
    <definedName name="IQ_OPEB_OBLIGATION_PAID">"c3374"</definedName>
    <definedName name="IQ_OPEB_OBLIGATION_PAID_DOM">"c3372"</definedName>
    <definedName name="IQ_OPEB_OBLIGATION_PAID_FOREIGN">"c3373"</definedName>
    <definedName name="IQ_OPEB_OBLIGATION_PROJECTED">"c3389"</definedName>
    <definedName name="IQ_OPEB_OBLIGATION_PROJECTED_DOM">"c3387"</definedName>
    <definedName name="IQ_OPEB_OBLIGATION_PROJECTED_FOREIGN">"c3388"</definedName>
    <definedName name="IQ_OPEB_OBLIGATION_SERVICE_COST">"c3362"</definedName>
    <definedName name="IQ_OPEB_OBLIGATION_SERVICE_COST_DOM">"c3360"</definedName>
    <definedName name="IQ_OPEB_OBLIGATION_SERVICE_COST_FOREIGN">"c3361"</definedName>
    <definedName name="IQ_OPEB_OTHER">"c3317"</definedName>
    <definedName name="IQ_OPEB_OTHER_ADJ">"c3323"</definedName>
    <definedName name="IQ_OPEB_OTHER_ADJ_DOM">"c3321"</definedName>
    <definedName name="IQ_OPEB_OTHER_ADJ_FOREIGN">"c3322"</definedName>
    <definedName name="IQ_OPEB_OTHER_COST">"c3401"</definedName>
    <definedName name="IQ_OPEB_OTHER_COST_DOM">"c3399"</definedName>
    <definedName name="IQ_OPEB_OTHER_COST_FOREIGN">"c3400"</definedName>
    <definedName name="IQ_OPEB_OTHER_DOM">"c3315"</definedName>
    <definedName name="IQ_OPEB_OTHER_FOREIGN">"c3316"</definedName>
    <definedName name="IQ_OPEB_PBO_ASSUMED_RATE_RET_MAX">"c3440"</definedName>
    <definedName name="IQ_OPEB_PBO_ASSUMED_RATE_RET_MAX_DOM">"c3438"</definedName>
    <definedName name="IQ_OPEB_PBO_ASSUMED_RATE_RET_MAX_FOREIGN">"c3439"</definedName>
    <definedName name="IQ_OPEB_PBO_ASSUMED_RATE_RET_MIN">"c3437"</definedName>
    <definedName name="IQ_OPEB_PBO_ASSUMED_RATE_RET_MIN_DOM">"c3435"</definedName>
    <definedName name="IQ_OPEB_PBO_ASSUMED_RATE_RET_MIN_FOREIGN">"c3436"</definedName>
    <definedName name="IQ_OPEB_PBO_RATE_COMP_INCREASE_MAX">"c3446"</definedName>
    <definedName name="IQ_OPEB_PBO_RATE_COMP_INCREASE_MAX_DOM">"c3444"</definedName>
    <definedName name="IQ_OPEB_PBO_RATE_COMP_INCREASE_MAX_FOREIGN">"c3445"</definedName>
    <definedName name="IQ_OPEB_PBO_RATE_COMP_INCREASE_MIN">"c3443"</definedName>
    <definedName name="IQ_OPEB_PBO_RATE_COMP_INCREASE_MIN_DOM">"c3441"</definedName>
    <definedName name="IQ_OPEB_PBO_RATE_COMP_INCREASE_MIN_FOREIGN">"c3442"</definedName>
    <definedName name="IQ_OPEB_PREPAID_COST">"c3305"</definedName>
    <definedName name="IQ_OPEB_PREPAID_COST_DOM">"c3303"</definedName>
    <definedName name="IQ_OPEB_PREPAID_COST_FOREIGN">"c3304"</definedName>
    <definedName name="IQ_OPEB_RATE_COMP_INCREASE_MAX">"c3428"</definedName>
    <definedName name="IQ_OPEB_RATE_COMP_INCREASE_MAX_DOM">"c3426"</definedName>
    <definedName name="IQ_OPEB_RATE_COMP_INCREASE_MAX_FOREIGN">"c3427"</definedName>
    <definedName name="IQ_OPEB_RATE_COMP_INCREASE_MIN">"c3425"</definedName>
    <definedName name="IQ_OPEB_RATE_COMP_INCREASE_MIN_DOM">"c3423"</definedName>
    <definedName name="IQ_OPEB_RATE_COMP_INCREASE_MIN_FOREIGN">"c3424"</definedName>
    <definedName name="IQ_OPEB_SERVICE_COST">"c3392"</definedName>
    <definedName name="IQ_OPEB_SERVICE_COST_DOM">"c3390"</definedName>
    <definedName name="IQ_OPEB_SERVICE_COST_FOREIGN">"c3391"</definedName>
    <definedName name="IQ_OPEB_TOTAL_COST">"c3404"</definedName>
    <definedName name="IQ_OPEB_TOTAL_COST_DOM">"c3402"</definedName>
    <definedName name="IQ_OPEB_TOTAL_COST_FOREIGN">"c3403"</definedName>
    <definedName name="IQ_OPEB_UNRECOG_PRIOR">"c3320"</definedName>
    <definedName name="IQ_OPEB_UNRECOG_PRIOR_DOM">"c3318"</definedName>
    <definedName name="IQ_OPEB_UNRECOG_PRIOR_FOREIGN">"c3319"</definedName>
    <definedName name="IQ_OPENPRICE">"c848"</definedName>
    <definedName name="IQ_OPER_INC">"c849"</definedName>
    <definedName name="IQ_OPER_INC_ACT_OR_EST">"c2220"</definedName>
    <definedName name="IQ_OPER_INC_BR">"c850"</definedName>
    <definedName name="IQ_OPER_INC_EST">"c1688"</definedName>
    <definedName name="IQ_OPER_INC_FIN">"c851"</definedName>
    <definedName name="IQ_OPER_INC_HIGH_EST">"c1690"</definedName>
    <definedName name="IQ_OPER_INC_INS">"c852"</definedName>
    <definedName name="IQ_OPER_INC_LOW_EST">"c1691"</definedName>
    <definedName name="IQ_OPER_INC_MARGIN">"c1448"</definedName>
    <definedName name="IQ_OPER_INC_MEDIAN_EST">"c1689"</definedName>
    <definedName name="IQ_OPER_INC_NUM_EST">"c1692"</definedName>
    <definedName name="IQ_OPER_INC_REIT">"c853"</definedName>
    <definedName name="IQ_OPER_INC_STDDEV_EST">"c1693"</definedName>
    <definedName name="IQ_OPER_INC_UTI">"c854"</definedName>
    <definedName name="IQ_OPERATIONS_EXP">"c855"</definedName>
    <definedName name="IQ_OPTIONS_BEG_OS">"c1572"</definedName>
    <definedName name="IQ_OPTIONS_CANCELLED">"c856"</definedName>
    <definedName name="IQ_OPTIONS_END_OS">"c1573"</definedName>
    <definedName name="IQ_OPTIONS_EXERCISED">"c2116"</definedName>
    <definedName name="IQ_OPTIONS_GRANTED">"c2673"</definedName>
    <definedName name="IQ_OPTIONS_ISSUED">"c857"</definedName>
    <definedName name="IQ_OPTIONS_STRIKE_PRICE_GRANTED">"c2678"</definedName>
    <definedName name="IQ_OPTIONS_STRIKE_PRICE_OS">"c2677"</definedName>
    <definedName name="IQ_ORDER_BACKLOG">"c2090"</definedName>
    <definedName name="IQ_OTHER_ADJUST_GROSS_LOANS">"c859"</definedName>
    <definedName name="IQ_OTHER_AMORT">"c5563"</definedName>
    <definedName name="IQ_OTHER_ASSETS">"c860"</definedName>
    <definedName name="IQ_OTHER_ASSETS_BNK">"c861"</definedName>
    <definedName name="IQ_OTHER_ASSETS_BR">"c862"</definedName>
    <definedName name="IQ_OTHER_ASSETS_FIN">"c863"</definedName>
    <definedName name="IQ_OTHER_ASSETS_INS">"c864"</definedName>
    <definedName name="IQ_OTHER_ASSETS_REIT">"c865"</definedName>
    <definedName name="IQ_OTHER_ASSETS_SERV_RIGHTS">"c2243"</definedName>
    <definedName name="IQ_OTHER_ASSETS_UTI">"c866"</definedName>
    <definedName name="IQ_OTHER_BEARING_LIAB">"c1608"</definedName>
    <definedName name="IQ_OTHER_BENEFITS_OBLIGATION">"c867"</definedName>
    <definedName name="IQ_OTHER_CA">"c868"</definedName>
    <definedName name="IQ_OTHER_CA_SUPPL">"c869"</definedName>
    <definedName name="IQ_OTHER_CA_SUPPL_BNK">"c870"</definedName>
    <definedName name="IQ_OTHER_CA_SUPPL_BR">"c871"</definedName>
    <definedName name="IQ_OTHER_CA_SUPPL_FIN">"c872"</definedName>
    <definedName name="IQ_OTHER_CA_SUPPL_INS">"c873"</definedName>
    <definedName name="IQ_OTHER_CA_SUPPL_REIT">"c874"</definedName>
    <definedName name="IQ_OTHER_CA_SUPPL_UTI">"c875"</definedName>
    <definedName name="IQ_OTHER_CA_UTI">"c876"</definedName>
    <definedName name="IQ_OTHER_CL">"c877"</definedName>
    <definedName name="IQ_OTHER_CL_SUPPL">"c878"</definedName>
    <definedName name="IQ_OTHER_CL_SUPPL_BNK">"c879"</definedName>
    <definedName name="IQ_OTHER_CL_SUPPL_BR">"c880"</definedName>
    <definedName name="IQ_OTHER_CL_SUPPL_FIN">"c881"</definedName>
    <definedName name="IQ_OTHER_CL_SUPPL_REIT">"c882"</definedName>
    <definedName name="IQ_OTHER_CL_SUPPL_UTI">"c883"</definedName>
    <definedName name="IQ_OTHER_CL_UTI">"c884"</definedName>
    <definedName name="IQ_OTHER_CURRENT_ASSETS">"c1403"</definedName>
    <definedName name="IQ_OTHER_CURRENT_LIAB">"c1404"</definedName>
    <definedName name="IQ_OTHER_DEBT">"c2507"</definedName>
    <definedName name="IQ_OTHER_DEBT_PCT">"c2508"</definedName>
    <definedName name="IQ_OTHER_DEP">"c885"</definedName>
    <definedName name="IQ_OTHER_EARNING">"c1609"</definedName>
    <definedName name="IQ_OTHER_EQUITY">"c886"</definedName>
    <definedName name="IQ_OTHER_EQUITY_BNK">"c887"</definedName>
    <definedName name="IQ_OTHER_EQUITY_BR">"c888"</definedName>
    <definedName name="IQ_OTHER_EQUITY_FIN">"c889"</definedName>
    <definedName name="IQ_OTHER_EQUITY_INS">"c890"</definedName>
    <definedName name="IQ_OTHER_EQUITY_REIT">"c891"</definedName>
    <definedName name="IQ_OTHER_EQUITY_UTI">"c892"</definedName>
    <definedName name="IQ_OTHER_FINANCE_ACT">"c893"</definedName>
    <definedName name="IQ_OTHER_FINANCE_ACT_BNK">"c894"</definedName>
    <definedName name="IQ_OTHER_FINANCE_ACT_BR">"c895"</definedName>
    <definedName name="IQ_OTHER_FINANCE_ACT_FIN">"c896"</definedName>
    <definedName name="IQ_OTHER_FINANCE_ACT_INS">"c897"</definedName>
    <definedName name="IQ_OTHER_FINANCE_ACT_REIT">"c898"</definedName>
    <definedName name="IQ_OTHER_FINANCE_ACT_SUPPL">"c899"</definedName>
    <definedName name="IQ_OTHER_FINANCE_ACT_SUPPL_BNK">"c900"</definedName>
    <definedName name="IQ_OTHER_FINANCE_ACT_SUPPL_BR">"c901"</definedName>
    <definedName name="IQ_OTHER_FINANCE_ACT_SUPPL_FIN">"c902"</definedName>
    <definedName name="IQ_OTHER_FINANCE_ACT_SUPPL_INS">"c903"</definedName>
    <definedName name="IQ_OTHER_FINANCE_ACT_SUPPL_REIT">"c904"</definedName>
    <definedName name="IQ_OTHER_FINANCE_ACT_SUPPL_UTI">"c905"</definedName>
    <definedName name="IQ_OTHER_FINANCE_ACT_UTI">"c906"</definedName>
    <definedName name="IQ_OTHER_INTAN">"c907"</definedName>
    <definedName name="IQ_OTHER_INTAN_BNK">"c908"</definedName>
    <definedName name="IQ_OTHER_INTAN_BR">"c909"</definedName>
    <definedName name="IQ_OTHER_INTAN_FIN">"c910"</definedName>
    <definedName name="IQ_OTHER_INTAN_INS">"c911"</definedName>
    <definedName name="IQ_OTHER_INTAN_REIT">"c912"</definedName>
    <definedName name="IQ_OTHER_INTAN_UTI">"c913"</definedName>
    <definedName name="IQ_OTHER_INV">"c914"</definedName>
    <definedName name="IQ_OTHER_INVEST">"c915"</definedName>
    <definedName name="IQ_OTHER_INVEST_ACT">"c916"</definedName>
    <definedName name="IQ_OTHER_INVEST_ACT_BNK">"c917"</definedName>
    <definedName name="IQ_OTHER_INVEST_ACT_BR">"c918"</definedName>
    <definedName name="IQ_OTHER_INVEST_ACT_FIN">"c919"</definedName>
    <definedName name="IQ_OTHER_INVEST_ACT_INS">"c920"</definedName>
    <definedName name="IQ_OTHER_INVEST_ACT_REIT">"c921"</definedName>
    <definedName name="IQ_OTHER_INVEST_ACT_SUPPL">"c922"</definedName>
    <definedName name="IQ_OTHER_INVEST_ACT_SUPPL_BNK">"c923"</definedName>
    <definedName name="IQ_OTHER_INVEST_ACT_SUPPL_BR">"c924"</definedName>
    <definedName name="IQ_OTHER_INVEST_ACT_SUPPL_FIN">"c925"</definedName>
    <definedName name="IQ_OTHER_INVEST_ACT_SUPPL_INS">"c926"</definedName>
    <definedName name="IQ_OTHER_INVEST_ACT_SUPPL_REIT">"c927"</definedName>
    <definedName name="IQ_OTHER_INVEST_ACT_SUPPL_UTI">"c928"</definedName>
    <definedName name="IQ_OTHER_INVEST_ACT_UTI">"c929"</definedName>
    <definedName name="IQ_OTHER_INVESTING">"c1408"</definedName>
    <definedName name="IQ_OTHER_LIAB">"c930"</definedName>
    <definedName name="IQ_OTHER_LIAB_BNK">"c931"</definedName>
    <definedName name="IQ_OTHER_LIAB_BR">"c932"</definedName>
    <definedName name="IQ_OTHER_LIAB_FIN">"c933"</definedName>
    <definedName name="IQ_OTHER_LIAB_INS">"c934"</definedName>
    <definedName name="IQ_OTHER_LIAB_LT">"c935"</definedName>
    <definedName name="IQ_OTHER_LIAB_LT_BNK">"c936"</definedName>
    <definedName name="IQ_OTHER_LIAB_LT_BR">"c937"</definedName>
    <definedName name="IQ_OTHER_LIAB_LT_FIN">"c938"</definedName>
    <definedName name="IQ_OTHER_LIAB_LT_INS">"c939"</definedName>
    <definedName name="IQ_OTHER_LIAB_LT_REIT">"c940"</definedName>
    <definedName name="IQ_OTHER_LIAB_LT_UTI">"c941"</definedName>
    <definedName name="IQ_OTHER_LIAB_REIT">"c942"</definedName>
    <definedName name="IQ_OTHER_LIAB_UTI">"c943"</definedName>
    <definedName name="IQ_OTHER_LIAB_WRITTEN">"c944"</definedName>
    <definedName name="IQ_OTHER_LOANS">"c945"</definedName>
    <definedName name="IQ_OTHER_LONG_TERM">"c1409"</definedName>
    <definedName name="IQ_OTHER_LT_ASSETS">"c946"</definedName>
    <definedName name="IQ_OTHER_LT_ASSETS_BNK">"c947"</definedName>
    <definedName name="IQ_OTHER_LT_ASSETS_BR">"c948"</definedName>
    <definedName name="IQ_OTHER_LT_ASSETS_FIN">"c949"</definedName>
    <definedName name="IQ_OTHER_LT_ASSETS_INS">"c950"</definedName>
    <definedName name="IQ_OTHER_LT_ASSETS_REIT">"c951"</definedName>
    <definedName name="IQ_OTHER_LT_ASSETS_UTI">"c952"</definedName>
    <definedName name="IQ_OTHER_NET">"c1453"</definedName>
    <definedName name="IQ_OTHER_NON_INT_EXP">"c953"</definedName>
    <definedName name="IQ_OTHER_NON_INT_EXP_TOTAL">"c954"</definedName>
    <definedName name="IQ_OTHER_NON_INT_INC">"c955"</definedName>
    <definedName name="IQ_OTHER_NON_OPER_EXP">"c956"</definedName>
    <definedName name="IQ_OTHER_NON_OPER_EXP_BR">"c957"</definedName>
    <definedName name="IQ_OTHER_NON_OPER_EXP_FIN">"c958"</definedName>
    <definedName name="IQ_OTHER_NON_OPER_EXP_INS">"c959"</definedName>
    <definedName name="IQ_OTHER_NON_OPER_EXP_REIT">"c960"</definedName>
    <definedName name="IQ_OTHER_NON_OPER_EXP_SUPPL">"c961"</definedName>
    <definedName name="IQ_OTHER_NON_OPER_EXP_SUPPL_BR">"c962"</definedName>
    <definedName name="IQ_OTHER_NON_OPER_EXP_SUPPL_FIN">"c963"</definedName>
    <definedName name="IQ_OTHER_NON_OPER_EXP_SUPPL_INS">"c964"</definedName>
    <definedName name="IQ_OTHER_NON_OPER_EXP_SUPPL_REIT">"c965"</definedName>
    <definedName name="IQ_OTHER_NON_OPER_EXP_SUPPL_UTI">"c966"</definedName>
    <definedName name="IQ_OTHER_NON_OPER_EXP_UTI">"c967"</definedName>
    <definedName name="IQ_OTHER_OPER">"c982"</definedName>
    <definedName name="IQ_OTHER_OPER_ACT">"c983"</definedName>
    <definedName name="IQ_OTHER_OPER_ACT_BNK">"c984"</definedName>
    <definedName name="IQ_OTHER_OPER_ACT_BR">"c985"</definedName>
    <definedName name="IQ_OTHER_OPER_ACT_FIN">"c986"</definedName>
    <definedName name="IQ_OTHER_OPER_ACT_INS">"c987"</definedName>
    <definedName name="IQ_OTHER_OPER_ACT_REIT">"c988"</definedName>
    <definedName name="IQ_OTHER_OPER_ACT_UTI">"c989"</definedName>
    <definedName name="IQ_OTHER_OPER_BR">"c990"</definedName>
    <definedName name="IQ_OTHER_OPER_FIN">"c991"</definedName>
    <definedName name="IQ_OTHER_OPER_INS">"c992"</definedName>
    <definedName name="IQ_OTHER_OPER_REIT">"c993"</definedName>
    <definedName name="IQ_OTHER_OPER_SUPPL_BR">"c994"</definedName>
    <definedName name="IQ_OTHER_OPER_SUPPL_FIN">"c995"</definedName>
    <definedName name="IQ_OTHER_OPER_SUPPL_INS">"c996"</definedName>
    <definedName name="IQ_OTHER_OPER_SUPPL_REIT">"c997"</definedName>
    <definedName name="IQ_OTHER_OPER_SUPPL_UTI">"c998"</definedName>
    <definedName name="IQ_OTHER_OPER_TOT_BNK">"c999"</definedName>
    <definedName name="IQ_OTHER_OPER_TOT_BR">"c1000"</definedName>
    <definedName name="IQ_OTHER_OPER_TOT_FIN">"c1001"</definedName>
    <definedName name="IQ_OTHER_OPER_TOT_INS">"c1002"</definedName>
    <definedName name="IQ_OTHER_OPER_TOT_REIT">"c1003"</definedName>
    <definedName name="IQ_OTHER_OPER_TOT_UTI">"c1004"</definedName>
    <definedName name="IQ_OTHER_OPER_UTI">"c1005"</definedName>
    <definedName name="IQ_OTHER_OPTIONS_BEG_OS">"c2686"</definedName>
    <definedName name="IQ_OTHER_OPTIONS_CANCELLED">"c2689"</definedName>
    <definedName name="IQ_OTHER_OPTIONS_END_OS">"c2690"</definedName>
    <definedName name="IQ_OTHER_OPTIONS_EXERCISED">"c2688"</definedName>
    <definedName name="IQ_OTHER_OPTIONS_GRANTED">"c2687"</definedName>
    <definedName name="IQ_OTHER_OPTIONS_STRIKE_PRICE_OS">"c2691"</definedName>
    <definedName name="IQ_OTHER_OUTSTANDING_BS_DATE">"c1972"</definedName>
    <definedName name="IQ_OTHER_OUTSTANDING_FILING_DATE">"c1974"</definedName>
    <definedName name="IQ_OTHER_PC_WRITTEN">"c1006"</definedName>
    <definedName name="IQ_OTHER_REAL_ESTATE">"c1007"</definedName>
    <definedName name="IQ_OTHER_RECEIV">"c1008"</definedName>
    <definedName name="IQ_OTHER_RECEIV_INS">"c1009"</definedName>
    <definedName name="IQ_OTHER_REV">"c1010"</definedName>
    <definedName name="IQ_OTHER_REV_BR">"c1011"</definedName>
    <definedName name="IQ_OTHER_REV_FIN">"c1012"</definedName>
    <definedName name="IQ_OTHER_REV_INS">"c1013"</definedName>
    <definedName name="IQ_OTHER_REV_REIT">"c1014"</definedName>
    <definedName name="IQ_OTHER_REV_SUPPL">"c1015"</definedName>
    <definedName name="IQ_OTHER_REV_SUPPL_BR">"c1016"</definedName>
    <definedName name="IQ_OTHER_REV_SUPPL_FIN">"c1017"</definedName>
    <definedName name="IQ_OTHER_REV_SUPPL_INS">"c1018"</definedName>
    <definedName name="IQ_OTHER_REV_SUPPL_REIT">"c1019"</definedName>
    <definedName name="IQ_OTHER_REV_SUPPL_UTI">"c1020"</definedName>
    <definedName name="IQ_OTHER_REV_UTI">"c1021"</definedName>
    <definedName name="IQ_OTHER_REVENUE">"c1410"</definedName>
    <definedName name="IQ_OTHER_STRIKE_PRICE_GRANTED">"c2692"</definedName>
    <definedName name="IQ_OTHER_UNDRAWN">"c2522"</definedName>
    <definedName name="IQ_OTHER_UNUSUAL">"c1488"</definedName>
    <definedName name="IQ_OTHER_UNUSUAL_BNK">"c1560"</definedName>
    <definedName name="IQ_OTHER_UNUSUAL_BR">"c1561"</definedName>
    <definedName name="IQ_OTHER_UNUSUAL_FIN">"c1562"</definedName>
    <definedName name="IQ_OTHER_UNUSUAL_INS">"c1563"</definedName>
    <definedName name="IQ_OTHER_UNUSUAL_REIT">"c1564"</definedName>
    <definedName name="IQ_OTHER_UNUSUAL_SUPPL">"c1494"</definedName>
    <definedName name="IQ_OTHER_UNUSUAL_SUPPL_BNK">"c1495"</definedName>
    <definedName name="IQ_OTHER_UNUSUAL_SUPPL_BR">"c1496"</definedName>
    <definedName name="IQ_OTHER_UNUSUAL_SUPPL_FIN">"c1497"</definedName>
    <definedName name="IQ_OTHER_UNUSUAL_SUPPL_INS">"c1498"</definedName>
    <definedName name="IQ_OTHER_UNUSUAL_SUPPL_REIT">"c1499"</definedName>
    <definedName name="IQ_OTHER_UNUSUAL_SUPPL_UTI">"c1500"</definedName>
    <definedName name="IQ_OTHER_UNUSUAL_UTI">"c1565"</definedName>
    <definedName name="IQ_OTHER_WARRANTS_BEG_OS">"c2712"</definedName>
    <definedName name="IQ_OTHER_WARRANTS_CANCELLED">"c2715"</definedName>
    <definedName name="IQ_OTHER_WARRANTS_END_OS">"c2716"</definedName>
    <definedName name="IQ_OTHER_WARRANTS_EXERCISED">"c2714"</definedName>
    <definedName name="IQ_OTHER_WARRANTS_ISSUED">"c2713"</definedName>
    <definedName name="IQ_OTHER_WARRANTS_STRIKE_PRICE_ISSUED">"c2718"</definedName>
    <definedName name="IQ_OTHER_WARRANTS_STRIKE_PRICE_OS">"c2717"</definedName>
    <definedName name="IQ_OUTSTANDING_BS_DATE">"c2128"</definedName>
    <definedName name="IQ_OUTSTANDING_FILING_DATE">"c2127"</definedName>
    <definedName name="IQ_OWNERSHIP">"c2160"</definedName>
    <definedName name="IQ_PART_TIME">"c1024"</definedName>
    <definedName name="IQ_PAY_ACCRUED">"c1457"</definedName>
    <definedName name="IQ_PAYOUT_RATIO">"c1900"</definedName>
    <definedName name="IQ_PBV">"c1025"</definedName>
    <definedName name="IQ_PBV_AVG">"c1026"</definedName>
    <definedName name="IQ_PC_EARNED">"c2749"</definedName>
    <definedName name="IQ_PC_GAAP_COMBINED_RATIO">"c2781"</definedName>
    <definedName name="IQ_PC_GAAP_COMBINED_RATIO_EXCL_CL">"c2782"</definedName>
    <definedName name="IQ_PC_GAAP_EXPENSE_RATIO">"c2780"</definedName>
    <definedName name="IQ_PC_GAAP_LOSS">"c2779"</definedName>
    <definedName name="IQ_PC_POLICY_BENEFITS_EXP">"c2790"</definedName>
    <definedName name="IQ_PC_STAT_COMBINED_RATIO">"c2778"</definedName>
    <definedName name="IQ_PC_STAT_COMBINED_RATIO_EXCL_DIV">"c2777"</definedName>
    <definedName name="IQ_PC_STAT_DIVIDEND_RATIO">"c2776"</definedName>
    <definedName name="IQ_PC_STAT_EXPENSE_RATIO">"c2775"</definedName>
    <definedName name="IQ_PC_STAT_LOSS_RATIO">"c2774"</definedName>
    <definedName name="IQ_PC_STATUTORY_SURPLUS">"c2770"</definedName>
    <definedName name="IQ_PC_WRITTEN">"c1027"</definedName>
    <definedName name="IQ_PE_EXCL">"c1028"</definedName>
    <definedName name="IQ_PE_EXCL_AVG">"c1029"</definedName>
    <definedName name="IQ_PE_EXCL_FWD">"c1030"</definedName>
    <definedName name="IQ_PE_EXCL_FWD_REUT">"c4049"</definedName>
    <definedName name="IQ_PE_NORMALIZED">"c2207"</definedName>
    <definedName name="IQ_PE_RATIO">"c1610"</definedName>
    <definedName name="IQ_PEG_FWD">"c1863"</definedName>
    <definedName name="IQ_PEG_FWD_REUT">"c4052"</definedName>
    <definedName name="IQ_PENSION">"c1031"</definedName>
    <definedName name="IQ_PENSION_ACCRUED_LIAB">"c3134"</definedName>
    <definedName name="IQ_PENSION_ACCRUED_LIAB_DOM">"c3132"</definedName>
    <definedName name="IQ_PENSION_ACCRUED_LIAB_FOREIGN">"c3133"</definedName>
    <definedName name="IQ_PENSION_ACCUM_OTHER_CI">"c3140"</definedName>
    <definedName name="IQ_PENSION_ACCUM_OTHER_CI_DOM">"c3138"</definedName>
    <definedName name="IQ_PENSION_ACCUM_OTHER_CI_FOREIGN">"c3139"</definedName>
    <definedName name="IQ_PENSION_ACCUMULATED_OBLIGATION">"c3570"</definedName>
    <definedName name="IQ_PENSION_ACCUMULATED_OBLIGATION_DOMESTIC">"c3568"</definedName>
    <definedName name="IQ_PENSION_ACCUMULATED_OBLIGATION_FOREIGN">"c3569"</definedName>
    <definedName name="IQ_PENSION_ASSETS">"c3182"</definedName>
    <definedName name="IQ_PENSION_ASSETS_ACQ">"c3173"</definedName>
    <definedName name="IQ_PENSION_ASSETS_ACQ_DOM">"c3171"</definedName>
    <definedName name="IQ_PENSION_ASSETS_ACQ_FOREIGN">"c3172"</definedName>
    <definedName name="IQ_PENSION_ASSETS_ACTUAL_RETURN">"c3158"</definedName>
    <definedName name="IQ_PENSION_ASSETS_ACTUAL_RETURN_DOM">"c3156"</definedName>
    <definedName name="IQ_PENSION_ASSETS_ACTUAL_RETURN_FOREIGN">"c3157"</definedName>
    <definedName name="IQ_PENSION_ASSETS_BEG">"c3155"</definedName>
    <definedName name="IQ_PENSION_ASSETS_BEG_DOM">"c3153"</definedName>
    <definedName name="IQ_PENSION_ASSETS_BEG_FOREIGN">"c3154"</definedName>
    <definedName name="IQ_PENSION_ASSETS_BENEFITS_PAID">"c3167"</definedName>
    <definedName name="IQ_PENSION_ASSETS_BENEFITS_PAID_DOM">"c3165"</definedName>
    <definedName name="IQ_PENSION_ASSETS_BENEFITS_PAID_FOREIGN">"c3166"</definedName>
    <definedName name="IQ_PENSION_ASSETS_CURTAIL">"c3176"</definedName>
    <definedName name="IQ_PENSION_ASSETS_CURTAIL_DOM">"c3174"</definedName>
    <definedName name="IQ_PENSION_ASSETS_CURTAIL_FOREIGN">"c3175"</definedName>
    <definedName name="IQ_PENSION_ASSETS_DOM">"c3180"</definedName>
    <definedName name="IQ_PENSION_ASSETS_EMPLOYER_CONTRIBUTIONS">"c3161"</definedName>
    <definedName name="IQ_PENSION_ASSETS_EMPLOYER_CONTRIBUTIONS_DOM">"c3159"</definedName>
    <definedName name="IQ_PENSION_ASSETS_EMPLOYER_CONTRIBUTIONS_FOREIGN">"c3160"</definedName>
    <definedName name="IQ_PENSION_ASSETS_FOREIGN">"c3181"</definedName>
    <definedName name="IQ_PENSION_ASSETS_FX_ADJ">"c3170"</definedName>
    <definedName name="IQ_PENSION_ASSETS_FX_ADJ_DOM">"c3168"</definedName>
    <definedName name="IQ_PENSION_ASSETS_FX_ADJ_FOREIGN">"c3169"</definedName>
    <definedName name="IQ_PENSION_ASSETS_OTHER_PLAN_ADJ">"c3179"</definedName>
    <definedName name="IQ_PENSION_ASSETS_OTHER_PLAN_ADJ_DOM">"c3177"</definedName>
    <definedName name="IQ_PENSION_ASSETS_OTHER_PLAN_ADJ_FOREIGN">"c3178"</definedName>
    <definedName name="IQ_PENSION_ASSETS_PARTICIP_CONTRIBUTIONS">"c3164"</definedName>
    <definedName name="IQ_PENSION_ASSETS_PARTICIP_CONTRIBUTIONS_DOM">"c3162"</definedName>
    <definedName name="IQ_PENSION_ASSETS_PARTICIP_CONTRIBUTIONS_FOREIGN">"c3163"</definedName>
    <definedName name="IQ_PENSION_BENEFIT_INFO_DATE">"c3230"</definedName>
    <definedName name="IQ_PENSION_BENEFIT_INFO_DATE_DOM">"c3228"</definedName>
    <definedName name="IQ_PENSION_BENEFIT_INFO_DATE_FOREIGN">"c3229"</definedName>
    <definedName name="IQ_PENSION_BREAKDOWN_EQ">"c3101"</definedName>
    <definedName name="IQ_PENSION_BREAKDOWN_EQ_DOM">"c3099"</definedName>
    <definedName name="IQ_PENSION_BREAKDOWN_EQ_FOREIGN">"c3100"</definedName>
    <definedName name="IQ_PENSION_BREAKDOWN_FI">"c3104"</definedName>
    <definedName name="IQ_PENSION_BREAKDOWN_FI_DOM">"c3102"</definedName>
    <definedName name="IQ_PENSION_BREAKDOWN_FI_FOREIGN">"c3103"</definedName>
    <definedName name="IQ_PENSION_BREAKDOWN_OTHER">"c3110"</definedName>
    <definedName name="IQ_PENSION_BREAKDOWN_OTHER_DOM">"c3108"</definedName>
    <definedName name="IQ_PENSION_BREAKDOWN_OTHER_FOREIGN">"c3109"</definedName>
    <definedName name="IQ_PENSION_BREAKDOWN_PCT_EQ">"c3089"</definedName>
    <definedName name="IQ_PENSION_BREAKDOWN_PCT_EQ_DOM">"c3087"</definedName>
    <definedName name="IQ_PENSION_BREAKDOWN_PCT_EQ_FOREIGN">"c3088"</definedName>
    <definedName name="IQ_PENSION_BREAKDOWN_PCT_FI">"c3092"</definedName>
    <definedName name="IQ_PENSION_BREAKDOWN_PCT_FI_DOM">"c3090"</definedName>
    <definedName name="IQ_PENSION_BREAKDOWN_PCT_FI_FOREIGN">"c3091"</definedName>
    <definedName name="IQ_PENSION_BREAKDOWN_PCT_OTHER">"c3098"</definedName>
    <definedName name="IQ_PENSION_BREAKDOWN_PCT_OTHER_DOM">"c3096"</definedName>
    <definedName name="IQ_PENSION_BREAKDOWN_PCT_OTHER_FOREIGN">"c3097"</definedName>
    <definedName name="IQ_PENSION_BREAKDOWN_PCT_RE">"c3095"</definedName>
    <definedName name="IQ_PENSION_BREAKDOWN_PCT_RE_DOM">"c3093"</definedName>
    <definedName name="IQ_PENSION_BREAKDOWN_PCT_RE_FOREIGN">"c3094"</definedName>
    <definedName name="IQ_PENSION_BREAKDOWN_RE">"c3107"</definedName>
    <definedName name="IQ_PENSION_BREAKDOWN_RE_DOM">"c3105"</definedName>
    <definedName name="IQ_PENSION_BREAKDOWN_RE_FOREIGN">"c3106"</definedName>
    <definedName name="IQ_PENSION_CONTRIBUTION_TOTAL_COST">"c3559"</definedName>
    <definedName name="IQ_PENSION_DISC_RATE_MAX">"c3236"</definedName>
    <definedName name="IQ_PENSION_DISC_RATE_MAX_DOM">"c3234"</definedName>
    <definedName name="IQ_PENSION_DISC_RATE_MAX_FOREIGN">"c3235"</definedName>
    <definedName name="IQ_PENSION_DISC_RATE_MIN">"c3233"</definedName>
    <definedName name="IQ_PENSION_DISC_RATE_MIN_DOM">"c3231"</definedName>
    <definedName name="IQ_PENSION_DISC_RATE_MIN_FOREIGN">"c3232"</definedName>
    <definedName name="IQ_PENSION_DISCOUNT_RATE_DOMESTIC">"c3573"</definedName>
    <definedName name="IQ_PENSION_DISCOUNT_RATE_FOREIGN">"c3574"</definedName>
    <definedName name="IQ_PENSION_EST_BENEFIT_1YR">"c3113"</definedName>
    <definedName name="IQ_PENSION_EST_BENEFIT_1YR_DOM">"c3111"</definedName>
    <definedName name="IQ_PENSION_EST_BENEFIT_1YR_FOREIGN">"c3112"</definedName>
    <definedName name="IQ_PENSION_EST_BENEFIT_2YR">"c3116"</definedName>
    <definedName name="IQ_PENSION_EST_BENEFIT_2YR_DOM">"c3114"</definedName>
    <definedName name="IQ_PENSION_EST_BENEFIT_2YR_FOREIGN">"c3115"</definedName>
    <definedName name="IQ_PENSION_EST_BENEFIT_3YR">"c3119"</definedName>
    <definedName name="IQ_PENSION_EST_BENEFIT_3YR_DOM">"c3117"</definedName>
    <definedName name="IQ_PENSION_EST_BENEFIT_3YR_FOREIGN">"c3118"</definedName>
    <definedName name="IQ_PENSION_EST_BENEFIT_4YR">"c3122"</definedName>
    <definedName name="IQ_PENSION_EST_BENEFIT_4YR_DOM">"c3120"</definedName>
    <definedName name="IQ_PENSION_EST_BENEFIT_4YR_FOREIGN">"c3121"</definedName>
    <definedName name="IQ_PENSION_EST_BENEFIT_5YR">"c3125"</definedName>
    <definedName name="IQ_PENSION_EST_BENEFIT_5YR_DOM">"c3123"</definedName>
    <definedName name="IQ_PENSION_EST_BENEFIT_5YR_FOREIGN">"c3124"</definedName>
    <definedName name="IQ_PENSION_EST_BENEFIT_AFTER5">"c3128"</definedName>
    <definedName name="IQ_PENSION_EST_BENEFIT_AFTER5_DOM">"c3126"</definedName>
    <definedName name="IQ_PENSION_EST_BENEFIT_AFTER5_FOREIGN">"c3127"</definedName>
    <definedName name="IQ_PENSION_EST_CONTRIBUTIONS_NEXTYR">"c3218"</definedName>
    <definedName name="IQ_PENSION_EST_CONTRIBUTIONS_NEXTYR_DOM">"c3216"</definedName>
    <definedName name="IQ_PENSION_EST_CONTRIBUTIONS_NEXTYR_FOREIGN">"c3217"</definedName>
    <definedName name="IQ_PENSION_EXP_RATE_RETURN_MAX">"c3248"</definedName>
    <definedName name="IQ_PENSION_EXP_RATE_RETURN_MAX_DOM">"c3246"</definedName>
    <definedName name="IQ_PENSION_EXP_RATE_RETURN_MAX_FOREIGN">"c3247"</definedName>
    <definedName name="IQ_PENSION_EXP_RATE_RETURN_MIN">"c3245"</definedName>
    <definedName name="IQ_PENSION_EXP_RATE_RETURN_MIN_DOM">"c3243"</definedName>
    <definedName name="IQ_PENSION_EXP_RATE_RETURN_MIN_FOREIGN">"c3244"</definedName>
    <definedName name="IQ_PENSION_EXP_RETURN_DOMESTIC">"c3571"</definedName>
    <definedName name="IQ_PENSION_EXP_RETURN_FOREIGN">"c3572"</definedName>
    <definedName name="IQ_PENSION_INTAN_ASSETS">"c3137"</definedName>
    <definedName name="IQ_PENSION_INTAN_ASSETS_DOM">"c3135"</definedName>
    <definedName name="IQ_PENSION_INTAN_ASSETS_FOREIGN">"c3136"</definedName>
    <definedName name="IQ_PENSION_INTEREST_COST">"c3582"</definedName>
    <definedName name="IQ_PENSION_INTEREST_COST_DOM">"c3580"</definedName>
    <definedName name="IQ_PENSION_INTEREST_COST_FOREIGN">"c3581"</definedName>
    <definedName name="IQ_PENSION_NET_ASSET_RECOG">"c3152"</definedName>
    <definedName name="IQ_PENSION_NET_ASSET_RECOG_DOM">"c3150"</definedName>
    <definedName name="IQ_PENSION_NET_ASSET_RECOG_FOREIGN">"c3151"</definedName>
    <definedName name="IQ_PENSION_OBLIGATION_ACQ">"c3206"</definedName>
    <definedName name="IQ_PENSION_OBLIGATION_ACQ_DOM">"c3204"</definedName>
    <definedName name="IQ_PENSION_OBLIGATION_ACQ_FOREIGN">"c3205"</definedName>
    <definedName name="IQ_PENSION_OBLIGATION_ACTUARIAL_GAIN_LOSS">"c3197"</definedName>
    <definedName name="IQ_PENSION_OBLIGATION_ACTUARIAL_GAIN_LOSS_DOM">"c3195"</definedName>
    <definedName name="IQ_PENSION_OBLIGATION_ACTUARIAL_GAIN_LOSS_FOREIGN">"c3196"</definedName>
    <definedName name="IQ_PENSION_OBLIGATION_BEG">"c3185"</definedName>
    <definedName name="IQ_PENSION_OBLIGATION_BEG_DOM">"c3183"</definedName>
    <definedName name="IQ_PENSION_OBLIGATION_BEG_FOREIGN">"c3184"</definedName>
    <definedName name="IQ_PENSION_OBLIGATION_CURTAIL">"c3209"</definedName>
    <definedName name="IQ_PENSION_OBLIGATION_CURTAIL_DOM">"c3207"</definedName>
    <definedName name="IQ_PENSION_OBLIGATION_CURTAIL_FOREIGN">"c3208"</definedName>
    <definedName name="IQ_PENSION_OBLIGATION_EMPLOYEE_CONTRIBUTIONS">"c3194"</definedName>
    <definedName name="IQ_PENSION_OBLIGATION_EMPLOYEE_CONTRIBUTIONS_DOM">"c3192"</definedName>
    <definedName name="IQ_PENSION_OBLIGATION_EMPLOYEE_CONTRIBUTIONS_FOREIGN">"c3193"</definedName>
    <definedName name="IQ_PENSION_OBLIGATION_FX_ADJ">"c3203"</definedName>
    <definedName name="IQ_PENSION_OBLIGATION_FX_ADJ_DOM">"c3201"</definedName>
    <definedName name="IQ_PENSION_OBLIGATION_FX_ADJ_FOREIGN">"c3202"</definedName>
    <definedName name="IQ_PENSION_OBLIGATION_INTEREST_COST">"c3191"</definedName>
    <definedName name="IQ_PENSION_OBLIGATION_INTEREST_COST_DOM">"c3189"</definedName>
    <definedName name="IQ_PENSION_OBLIGATION_INTEREST_COST_FOREIGN">"c3190"</definedName>
    <definedName name="IQ_PENSION_OBLIGATION_OTHER_COST">"c3555"</definedName>
    <definedName name="IQ_PENSION_OBLIGATION_OTHER_COST_DOM">"c3553"</definedName>
    <definedName name="IQ_PENSION_OBLIGATION_OTHER_COST_FOREIGN">"c3554"</definedName>
    <definedName name="IQ_PENSION_OBLIGATION_OTHER_PLAN_ADJ">"c3212"</definedName>
    <definedName name="IQ_PENSION_OBLIGATION_OTHER_PLAN_ADJ_DOM">"c3210"</definedName>
    <definedName name="IQ_PENSION_OBLIGATION_OTHER_PLAN_ADJ_FOREIGN">"c3211"</definedName>
    <definedName name="IQ_PENSION_OBLIGATION_PAID">"c3200"</definedName>
    <definedName name="IQ_PENSION_OBLIGATION_PAID_DOM">"c3198"</definedName>
    <definedName name="IQ_PENSION_OBLIGATION_PAID_FOREIGN">"c3199"</definedName>
    <definedName name="IQ_PENSION_OBLIGATION_PROJECTED">"c3215"</definedName>
    <definedName name="IQ_PENSION_OBLIGATION_PROJECTED_DOM">"c3213"</definedName>
    <definedName name="IQ_PENSION_OBLIGATION_PROJECTED_FOREIGN">"c3214"</definedName>
    <definedName name="IQ_PENSION_OBLIGATION_ROA">"c3552"</definedName>
    <definedName name="IQ_PENSION_OBLIGATION_ROA_DOM">"c3550"</definedName>
    <definedName name="IQ_PENSION_OBLIGATION_ROA_FOREIGN">"c3551"</definedName>
    <definedName name="IQ_PENSION_OBLIGATION_SERVICE_COST">"c3188"</definedName>
    <definedName name="IQ_PENSION_OBLIGATION_SERVICE_COST_DOM">"c3186"</definedName>
    <definedName name="IQ_PENSION_OBLIGATION_SERVICE_COST_FOREIGN">"c3187"</definedName>
    <definedName name="IQ_PENSION_OBLIGATION_TOTAL_COST">"c3558"</definedName>
    <definedName name="IQ_PENSION_OBLIGATION_TOTAL_COST_DOM">"c3556"</definedName>
    <definedName name="IQ_PENSION_OBLIGATION_TOTAL_COST_FOREIGN">"c3557"</definedName>
    <definedName name="IQ_PENSION_OTHER">"c3143"</definedName>
    <definedName name="IQ_PENSION_OTHER_ADJ">"c3149"</definedName>
    <definedName name="IQ_PENSION_OTHER_ADJ_DOM">"c3147"</definedName>
    <definedName name="IQ_PENSION_OTHER_ADJ_FOREIGN">"c3148"</definedName>
    <definedName name="IQ_PENSION_OTHER_DOM">"c3141"</definedName>
    <definedName name="IQ_PENSION_OTHER_FOREIGN">"c3142"</definedName>
    <definedName name="IQ_PENSION_PBO_ASSUMED_RATE_RET_MAX">"c3254"</definedName>
    <definedName name="IQ_PENSION_PBO_ASSUMED_RATE_RET_MAX_DOM">"c3252"</definedName>
    <definedName name="IQ_PENSION_PBO_ASSUMED_RATE_RET_MAX_FOREIGN">"c3253"</definedName>
    <definedName name="IQ_PENSION_PBO_ASSUMED_RATE_RET_MIN">"c3251"</definedName>
    <definedName name="IQ_PENSION_PBO_ASSUMED_RATE_RET_MIN_DOM">"c3249"</definedName>
    <definedName name="IQ_PENSION_PBO_ASSUMED_RATE_RET_MIN_FOREIGN">"c3250"</definedName>
    <definedName name="IQ_PENSION_PBO_RATE_COMP_INCREASE_MAX">"c3260"</definedName>
    <definedName name="IQ_PENSION_PBO_RATE_COMP_INCREASE_MAX_DOM">"c3258"</definedName>
    <definedName name="IQ_PENSION_PBO_RATE_COMP_INCREASE_MAX_FOREIGN">"c3259"</definedName>
    <definedName name="IQ_PENSION_PBO_RATE_COMP_INCREASE_MIN">"c3257"</definedName>
    <definedName name="IQ_PENSION_PBO_RATE_COMP_INCREASE_MIN_DOM">"c3255"</definedName>
    <definedName name="IQ_PENSION_PBO_RATE_COMP_INCREASE_MIN_FOREIGN">"c3256"</definedName>
    <definedName name="IQ_PENSION_PREPAID_COST">"c3131"</definedName>
    <definedName name="IQ_PENSION_PREPAID_COST_DOM">"c3129"</definedName>
    <definedName name="IQ_PENSION_PREPAID_COST_FOREIGN">"c3130"</definedName>
    <definedName name="IQ_PENSION_PROJECTED_OBLIGATION">"c3566"</definedName>
    <definedName name="IQ_PENSION_PROJECTED_OBLIGATION_DOMESTIC">"c3564"</definedName>
    <definedName name="IQ_PENSION_PROJECTED_OBLIGATION_FOREIGN">"c3565"</definedName>
    <definedName name="IQ_PENSION_QUART_ADDL_CONTRIBUTIONS_EXP">"c3224"</definedName>
    <definedName name="IQ_PENSION_QUART_ADDL_CONTRIBUTIONS_EXP_DOM">"c3222"</definedName>
    <definedName name="IQ_PENSION_QUART_ADDL_CONTRIBUTIONS_EXP_FOREIGN">"c3223"</definedName>
    <definedName name="IQ_PENSION_QUART_EMPLOYER_CONTRIBUTIONS">"c3221"</definedName>
    <definedName name="IQ_PENSION_QUART_EMPLOYER_CONTRIBUTIONS_DOM">"c3219"</definedName>
    <definedName name="IQ_PENSION_QUART_EMPLOYER_CONTRIBUTIONS_FOREIGN">"c3220"</definedName>
    <definedName name="IQ_PENSION_RATE_COMP_GROWTH_DOMESTIC">"c3575"</definedName>
    <definedName name="IQ_PENSION_RATE_COMP_GROWTH_FOREIGN">"c3576"</definedName>
    <definedName name="IQ_PENSION_RATE_COMP_INCREASE_MAX">"c3242"</definedName>
    <definedName name="IQ_PENSION_RATE_COMP_INCREASE_MAX_DOM">"c3240"</definedName>
    <definedName name="IQ_PENSION_RATE_COMP_INCREASE_MAX_FOREIGN">"c3241"</definedName>
    <definedName name="IQ_PENSION_RATE_COMP_INCREASE_MIN">"c3239"</definedName>
    <definedName name="IQ_PENSION_RATE_COMP_INCREASE_MIN_DOM">"c3237"</definedName>
    <definedName name="IQ_PENSION_RATE_COMP_INCREASE_MIN_FOREIGN">"c3238"</definedName>
    <definedName name="IQ_PENSION_SERVICE_COST">"c3579"</definedName>
    <definedName name="IQ_PENSION_SERVICE_COST_DOM">"c3577"</definedName>
    <definedName name="IQ_PENSION_SERVICE_COST_FOREIGN">"c3578"</definedName>
    <definedName name="IQ_PENSION_TOTAL_ASSETS">"c3563"</definedName>
    <definedName name="IQ_PENSION_TOTAL_ASSETS_DOMESTIC">"c3561"</definedName>
    <definedName name="IQ_PENSION_TOTAL_ASSETS_FOREIGN">"c3562"</definedName>
    <definedName name="IQ_PENSION_TOTAL_EXP">"c3560"</definedName>
    <definedName name="IQ_PENSION_UNFUNDED_ADDL_MIN_LIAB">"c3227"</definedName>
    <definedName name="IQ_PENSION_UNFUNDED_ADDL_MIN_LIAB_DOM">"c3225"</definedName>
    <definedName name="IQ_PENSION_UNFUNDED_ADDL_MIN_LIAB_FOREIGN">"c3226"</definedName>
    <definedName name="IQ_PENSION_UNRECOG_PRIOR">"c3146"</definedName>
    <definedName name="IQ_PENSION_UNRECOG_PRIOR_DOM">"c3144"</definedName>
    <definedName name="IQ_PENSION_UNRECOG_PRIOR_FOREIGN">"c3145"</definedName>
    <definedName name="IQ_PENSION_UV_LIAB">"c3567"</definedName>
    <definedName name="IQ_PERCENT_CHANGE_EST_5YR_GROWTH_RATE_12MONTHS">"c1852"</definedName>
    <definedName name="IQ_PERCENT_CHANGE_EST_5YR_GROWTH_RATE_18MONTHS">"c1853"</definedName>
    <definedName name="IQ_PERCENT_CHANGE_EST_5YR_GROWTH_RATE_3MONTHS">"c1849"</definedName>
    <definedName name="IQ_PERCENT_CHANGE_EST_5YR_GROWTH_RATE_6MONTHS">"c1850"</definedName>
    <definedName name="IQ_PERCENT_CHANGE_EST_5YR_GROWTH_RATE_9MONTHS">"c1851"</definedName>
    <definedName name="IQ_PERCENT_CHANGE_EST_5YR_GROWTH_RATE_DAY">"c1846"</definedName>
    <definedName name="IQ_PERCENT_CHANGE_EST_5YR_GROWTH_RATE_MONTH">"c1848"</definedName>
    <definedName name="IQ_PERCENT_CHANGE_EST_5YR_GROWTH_RATE_WEEK">"c1847"</definedName>
    <definedName name="IQ_PERCENT_CHANGE_EST_CFPS_12MONTHS">"c1812"</definedName>
    <definedName name="IQ_PERCENT_CHANGE_EST_CFPS_18MONTHS">"c1813"</definedName>
    <definedName name="IQ_PERCENT_CHANGE_EST_CFPS_3MONTHS">"c1809"</definedName>
    <definedName name="IQ_PERCENT_CHANGE_EST_CFPS_6MONTHS">"c1810"</definedName>
    <definedName name="IQ_PERCENT_CHANGE_EST_CFPS_9MONTHS">"c1811"</definedName>
    <definedName name="IQ_PERCENT_CHANGE_EST_CFPS_DAY">"c1806"</definedName>
    <definedName name="IQ_PERCENT_CHANGE_EST_CFPS_MONTH">"c1808"</definedName>
    <definedName name="IQ_PERCENT_CHANGE_EST_CFPS_WEEK">"c1807"</definedName>
    <definedName name="IQ_PERCENT_CHANGE_EST_DPS_12MONTHS">"c1820"</definedName>
    <definedName name="IQ_PERCENT_CHANGE_EST_DPS_18MONTHS">"c1821"</definedName>
    <definedName name="IQ_PERCENT_CHANGE_EST_DPS_3MONTHS">"c1817"</definedName>
    <definedName name="IQ_PERCENT_CHANGE_EST_DPS_6MONTHS">"c1818"</definedName>
    <definedName name="IQ_PERCENT_CHANGE_EST_DPS_9MONTHS">"c1819"</definedName>
    <definedName name="IQ_PERCENT_CHANGE_EST_DPS_DAY">"c1814"</definedName>
    <definedName name="IQ_PERCENT_CHANGE_EST_DPS_MONTH">"c1816"</definedName>
    <definedName name="IQ_PERCENT_CHANGE_EST_DPS_WEEK">"c1815"</definedName>
    <definedName name="IQ_PERCENT_CHANGE_EST_EBITDA_12MONTHS">"c1804"</definedName>
    <definedName name="IQ_PERCENT_CHANGE_EST_EBITDA_18MONTHS">"c1805"</definedName>
    <definedName name="IQ_PERCENT_CHANGE_EST_EBITDA_3MONTHS">"c1801"</definedName>
    <definedName name="IQ_PERCENT_CHANGE_EST_EBITDA_6MONTHS">"c1802"</definedName>
    <definedName name="IQ_PERCENT_CHANGE_EST_EBITDA_9MONTHS">"c1803"</definedName>
    <definedName name="IQ_PERCENT_CHANGE_EST_EBITDA_DAY">"c1798"</definedName>
    <definedName name="IQ_PERCENT_CHANGE_EST_EBITDA_MONTH">"c1800"</definedName>
    <definedName name="IQ_PERCENT_CHANGE_EST_EBITDA_WEEK">"c1799"</definedName>
    <definedName name="IQ_PERCENT_CHANGE_EST_EPS_12MONTHS">"c1788"</definedName>
    <definedName name="IQ_PERCENT_CHANGE_EST_EPS_18MONTHS">"c1789"</definedName>
    <definedName name="IQ_PERCENT_CHANGE_EST_EPS_3MONTHS">"c1785"</definedName>
    <definedName name="IQ_PERCENT_CHANGE_EST_EPS_6MONTHS">"c1786"</definedName>
    <definedName name="IQ_PERCENT_CHANGE_EST_EPS_9MONTHS">"c1787"</definedName>
    <definedName name="IQ_PERCENT_CHANGE_EST_EPS_DAY">"c1782"</definedName>
    <definedName name="IQ_PERCENT_CHANGE_EST_EPS_MONTH">"c1784"</definedName>
    <definedName name="IQ_PERCENT_CHANGE_EST_EPS_WEEK">"c1783"</definedName>
    <definedName name="IQ_PERCENT_CHANGE_EST_FFO_12MONTHS">"c1828"</definedName>
    <definedName name="IQ_PERCENT_CHANGE_EST_FFO_18MONTHS">"c1829"</definedName>
    <definedName name="IQ_PERCENT_CHANGE_EST_FFO_3MONTHS">"c1825"</definedName>
    <definedName name="IQ_PERCENT_CHANGE_EST_FFO_6MONTHS">"c1826"</definedName>
    <definedName name="IQ_PERCENT_CHANGE_EST_FFO_9MONTHS">"c1827"</definedName>
    <definedName name="IQ_PERCENT_CHANGE_EST_FFO_DAY">"c1822"</definedName>
    <definedName name="IQ_PERCENT_CHANGE_EST_FFO_MONTH">"c1824"</definedName>
    <definedName name="IQ_PERCENT_CHANGE_EST_FFO_WEEK">"c1823"</definedName>
    <definedName name="IQ_PERCENT_CHANGE_EST_PRICE_TARGET_12MONTHS">"c1844"</definedName>
    <definedName name="IQ_PERCENT_CHANGE_EST_PRICE_TARGET_18MONTHS">"c1845"</definedName>
    <definedName name="IQ_PERCENT_CHANGE_EST_PRICE_TARGET_3MONTHS">"c1841"</definedName>
    <definedName name="IQ_PERCENT_CHANGE_EST_PRICE_TARGET_6MONTHS">"c1842"</definedName>
    <definedName name="IQ_PERCENT_CHANGE_EST_PRICE_TARGET_9MONTHS">"c1843"</definedName>
    <definedName name="IQ_PERCENT_CHANGE_EST_PRICE_TARGET_DAY">"c1838"</definedName>
    <definedName name="IQ_PERCENT_CHANGE_EST_PRICE_TARGET_MONTH">"c1840"</definedName>
    <definedName name="IQ_PERCENT_CHANGE_EST_PRICE_TARGET_WEEK">"c1839"</definedName>
    <definedName name="IQ_PERCENT_CHANGE_EST_RECO_12MONTHS">"c1836"</definedName>
    <definedName name="IQ_PERCENT_CHANGE_EST_RECO_18MONTHS">"c1837"</definedName>
    <definedName name="IQ_PERCENT_CHANGE_EST_RECO_3MONTHS">"c1833"</definedName>
    <definedName name="IQ_PERCENT_CHANGE_EST_RECO_6MONTHS">"c1834"</definedName>
    <definedName name="IQ_PERCENT_CHANGE_EST_RECO_9MONTHS">"c1835"</definedName>
    <definedName name="IQ_PERCENT_CHANGE_EST_RECO_DAY">"c1830"</definedName>
    <definedName name="IQ_PERCENT_CHANGE_EST_RECO_MONTH">"c1832"</definedName>
    <definedName name="IQ_PERCENT_CHANGE_EST_RECO_WEEK">"c1831"</definedName>
    <definedName name="IQ_PERCENT_CHANGE_EST_REV_12MONTHS">"c1796"</definedName>
    <definedName name="IQ_PERCENT_CHANGE_EST_REV_18MONTHS">"c1797"</definedName>
    <definedName name="IQ_PERCENT_CHANGE_EST_REV_3MONTHS">"c1793"</definedName>
    <definedName name="IQ_PERCENT_CHANGE_EST_REV_6MONTHS">"c1794"</definedName>
    <definedName name="IQ_PERCENT_CHANGE_EST_REV_9MONTHS">"c1795"</definedName>
    <definedName name="IQ_PERCENT_CHANGE_EST_REV_DAY">"c1790"</definedName>
    <definedName name="IQ_PERCENT_CHANGE_EST_REV_MONTH">"c1792"</definedName>
    <definedName name="IQ_PERCENT_CHANGE_EST_REV_WEEK">"c1791"</definedName>
    <definedName name="IQ_PERIODDATE">"c1414"</definedName>
    <definedName name="IQ_PERIODDATE_BS">"c1032"</definedName>
    <definedName name="IQ_PERIODDATE_CF">"c1033"</definedName>
    <definedName name="IQ_PERIODDATE_IS">"c1034"</definedName>
    <definedName name="IQ_PERIODLENGTH_CF">"c1502"</definedName>
    <definedName name="IQ_PERIODLENGTH_IS">"c1503"</definedName>
    <definedName name="IQ_PERTYPE">"c1611"</definedName>
    <definedName name="IQ_PLL">"c2114"</definedName>
    <definedName name="IQ_PMT_FREQ">"c2236"</definedName>
    <definedName name="IQ_POISON_PUT_EFFECT_DATE">"c2486"</definedName>
    <definedName name="IQ_POISON_PUT_EXPIRATION_DATE">"c2487"</definedName>
    <definedName name="IQ_POISON_PUT_PRICE">"c2488"</definedName>
    <definedName name="IQ_POLICY_BENEFITS">"c1036"</definedName>
    <definedName name="IQ_POLICY_COST">"c1037"</definedName>
    <definedName name="IQ_POLICY_LIAB">"c1612"</definedName>
    <definedName name="IQ_POLICY_LOANS">"c1038"</definedName>
    <definedName name="IQ_POST_RETIRE_EXP">"c1039"</definedName>
    <definedName name="IQ_POSTPAID_CHURN">"c2121"</definedName>
    <definedName name="IQ_POSTPAID_SUBS">"c2118"</definedName>
    <definedName name="IQ_POTENTIAL_UPSIDE">"c1855"</definedName>
    <definedName name="IQ_PRE_OPEN_COST">"c1040"</definedName>
    <definedName name="IQ_PRE_TAX_ACT_OR_EST">"c2221"</definedName>
    <definedName name="IQ_PREF_CONVERT">"c1041"</definedName>
    <definedName name="IQ_PREF_DIV_CF">"c1042"</definedName>
    <definedName name="IQ_PREF_DIV_OTHER">"c1043"</definedName>
    <definedName name="IQ_PREF_DIVID">"c1461"</definedName>
    <definedName name="IQ_PREF_EQUITY">"c1044"</definedName>
    <definedName name="IQ_PREF_ISSUED">"c1045"</definedName>
    <definedName name="IQ_PREF_ISSUED_BNK">"c1046"</definedName>
    <definedName name="IQ_PREF_ISSUED_BR">"c1047"</definedName>
    <definedName name="IQ_PREF_ISSUED_FIN">"c1048"</definedName>
    <definedName name="IQ_PREF_ISSUED_INS">"c1049"</definedName>
    <definedName name="IQ_PREF_ISSUED_REIT">"c1050"</definedName>
    <definedName name="IQ_PREF_ISSUED_UTI">"c1051"</definedName>
    <definedName name="IQ_PREF_NON_REDEEM">"c1052"</definedName>
    <definedName name="IQ_PREF_OTHER">"c1053"</definedName>
    <definedName name="IQ_PREF_OTHER_BNK">"c1054"</definedName>
    <definedName name="IQ_PREF_OTHER_BR">"c1055"</definedName>
    <definedName name="IQ_PREF_OTHER_FIN">"c1056"</definedName>
    <definedName name="IQ_PREF_OTHER_INS">"c1057"</definedName>
    <definedName name="IQ_PREF_OTHER_REIT">"c1058"</definedName>
    <definedName name="IQ_PREF_REDEEM">"c1059"</definedName>
    <definedName name="IQ_PREF_REP">"c1060"</definedName>
    <definedName name="IQ_PREF_REP_BNK">"c1061"</definedName>
    <definedName name="IQ_PREF_REP_BR">"c1062"</definedName>
    <definedName name="IQ_PREF_REP_FIN">"c1063"</definedName>
    <definedName name="IQ_PREF_REP_INS">"c1064"</definedName>
    <definedName name="IQ_PREF_REP_REIT">"c1065"</definedName>
    <definedName name="IQ_PREF_REP_UTI">"c1066"</definedName>
    <definedName name="IQ_PREF_STOCK">"c1416"</definedName>
    <definedName name="IQ_PREF_TOT">"c1415"</definedName>
    <definedName name="IQ_PREMIUMS_ANNUITY_REV">"c1067"</definedName>
    <definedName name="IQ_PREPAID_CHURN">"c2120"</definedName>
    <definedName name="IQ_PREPAID_EXP">"c1068"</definedName>
    <definedName name="IQ_PREPAID_EXPEN">"c1418"</definedName>
    <definedName name="IQ_PREPAID_SUBS">"c2117"</definedName>
    <definedName name="IQ_PRETAX_GW_INC_EST">"c1702"</definedName>
    <definedName name="IQ_PRETAX_GW_INC_HIGH_EST">"c1704"</definedName>
    <definedName name="IQ_PRETAX_GW_INC_LOW_EST">"c1705"</definedName>
    <definedName name="IQ_PRETAX_GW_INC_MEDIAN_EST">"c1703"</definedName>
    <definedName name="IQ_PRETAX_GW_INC_NUM_EST">"c1706"</definedName>
    <definedName name="IQ_PRETAX_GW_INC_STDDEV_EST">"c1707"</definedName>
    <definedName name="IQ_PRETAX_INC_EST">"c1695"</definedName>
    <definedName name="IQ_PRETAX_INC_HIGH_EST">"c1697"</definedName>
    <definedName name="IQ_PRETAX_INC_LOW_EST">"c1698"</definedName>
    <definedName name="IQ_PRETAX_INC_MEDIAN_EST">"c1696"</definedName>
    <definedName name="IQ_PRETAX_INC_NUM_EST">"c1699"</definedName>
    <definedName name="IQ_PRETAX_INC_STDDEV_EST">"c1700"</definedName>
    <definedName name="IQ_PRETAX_REPORT_INC_EST">"c1709"</definedName>
    <definedName name="IQ_PRETAX_REPORT_INC_HIGH_EST">"c1711"</definedName>
    <definedName name="IQ_PRETAX_REPORT_INC_LOW_EST">"c1712"</definedName>
    <definedName name="IQ_PRETAX_REPORT_INC_MEDIAN_EST">"c1710"</definedName>
    <definedName name="IQ_PRETAX_REPORT_INC_NUM_EST">"c1713"</definedName>
    <definedName name="IQ_PRETAX_REPORT_INC_STDDEV_EST">"c1714"</definedName>
    <definedName name="IQ_PRICE_CFPS_FWD">"c2237"</definedName>
    <definedName name="IQ_PRICE_OVER_BVPS">"c1412"</definedName>
    <definedName name="IQ_PRICE_OVER_LTM_EPS">"c1413"</definedName>
    <definedName name="IQ_PRICE_TARGET">"c82"</definedName>
    <definedName name="IQ_PRICE_TARGET_REUT">"c3631"</definedName>
    <definedName name="IQ_PRICEDATE">"c1069"</definedName>
    <definedName name="IQ_PRICING_DATE">"c1613"</definedName>
    <definedName name="IQ_PRIMARY_INDUSTRY">"c1070"</definedName>
    <definedName name="IQ_PRINCIPAL_AMT">"c2157"</definedName>
    <definedName name="IQ_PRO_FORMA_BASIC_EPS">"c1614"</definedName>
    <definedName name="IQ_PRO_FORMA_DILUT_EPS">"c1615"</definedName>
    <definedName name="IQ_PRO_FORMA_NET_INC">"c1452"</definedName>
    <definedName name="IQ_PROFESSIONAL">"c1071"</definedName>
    <definedName name="IQ_PROFESSIONAL_TITLE">"c1072"</definedName>
    <definedName name="IQ_PROJECTED_PENSION_OBLIGATION">"c1292"</definedName>
    <definedName name="IQ_PROJECTED_PENSION_OBLIGATION_DOMESTIC">"c2656"</definedName>
    <definedName name="IQ_PROJECTED_PENSION_OBLIGATION_FOREIGN">"c2664"</definedName>
    <definedName name="IQ_PROPERTY_EXP">"c1073"</definedName>
    <definedName name="IQ_PROPERTY_GROSS">"c1379"</definedName>
    <definedName name="IQ_PROPERTY_MGMT_FEE">"c1074"</definedName>
    <definedName name="IQ_PROPERTY_NET">"c1402"</definedName>
    <definedName name="IQ_PROV_BAD_DEBTS">"c1075"</definedName>
    <definedName name="IQ_PROV_BAD_DEBTS_CF">"c1076"</definedName>
    <definedName name="IQ_PROVISION_10YR_ANN_GROWTH">"c1077"</definedName>
    <definedName name="IQ_PROVISION_1YR_ANN_GROWTH">"c1078"</definedName>
    <definedName name="IQ_PROVISION_2YR_ANN_GROWTH">"c1079"</definedName>
    <definedName name="IQ_PROVISION_3YR_ANN_GROWTH">"c1080"</definedName>
    <definedName name="IQ_PROVISION_5YR_ANN_GROWTH">"c1081"</definedName>
    <definedName name="IQ_PROVISION_7YR_ANN_GROWTH">"c1082"</definedName>
    <definedName name="IQ_PROVISION_CHARGE_OFFS">"c1083"</definedName>
    <definedName name="IQ_PTBV">"c1084"</definedName>
    <definedName name="IQ_PTBV_AVG">"c1085"</definedName>
    <definedName name="IQ_PUT_DATE_SCHEDULE">"c2483"</definedName>
    <definedName name="IQ_PUT_NOTIFICATION">"c2485"</definedName>
    <definedName name="IQ_PUT_PRICE_SCHEDULE">"c2484"</definedName>
    <definedName name="IQ_QTD">750000</definedName>
    <definedName name="IQ_QUICK_RATIO">"c1086"</definedName>
    <definedName name="IQ_RATE_COMP_GROWTH_DOMESTIC">"c1087"</definedName>
    <definedName name="IQ_RATE_COMP_GROWTH_FOREIGN">"c1088"</definedName>
    <definedName name="IQ_RAW_INV">"c1089"</definedName>
    <definedName name="IQ_RC">"c2497"</definedName>
    <definedName name="IQ_RC_PCT">"c2498"</definedName>
    <definedName name="IQ_RD_EXP">"c1090"</definedName>
    <definedName name="IQ_RD_EXP_FN">"c1091"</definedName>
    <definedName name="IQ_RE">"c1092"</definedName>
    <definedName name="IQ_REAL_ESTATE">"c1093"</definedName>
    <definedName name="IQ_REAL_ESTATE_ASSETS">"c1094"</definedName>
    <definedName name="IQ_RECURRING_PROFIT_ACT_OR_EST">"c4507"</definedName>
    <definedName name="IQ_RECURRING_PROFIT_SHARE_ACT_OR_EST">"c4508"</definedName>
    <definedName name="IQ_REDEEM_PREF_STOCK">"c1417"</definedName>
    <definedName name="IQ_REG_ASSETS">"c1095"</definedName>
    <definedName name="IQ_REINSUR_PAY">"c1096"</definedName>
    <definedName name="IQ_REINSUR_PAY_CF">"c1097"</definedName>
    <definedName name="IQ_REINSUR_RECOVER">"c1098"</definedName>
    <definedName name="IQ_REINSUR_RECOVER_CF">"c1099"</definedName>
    <definedName name="IQ_REINSURANCE">"c1100"</definedName>
    <definedName name="IQ_RENTAL_REV">"c1101"</definedName>
    <definedName name="IQ_RESEARCH_DEV">"c1419"</definedName>
    <definedName name="IQ_RESIDENTIAL_LOANS">"c1102"</definedName>
    <definedName name="IQ_RESTATEMENT_BS">"c1643"</definedName>
    <definedName name="IQ_RESTATEMENT_CF">"c1644"</definedName>
    <definedName name="IQ_RESTATEMENT_IS">"c1642"</definedName>
    <definedName name="IQ_RESTR_STOCK_COMP">"c3506"</definedName>
    <definedName name="IQ_RESTR_STOCK_COMP_PRETAX">"c3504"</definedName>
    <definedName name="IQ_RESTR_STOCK_COMP_TAX">"c3505"</definedName>
    <definedName name="IQ_RESTRICTED_CASH">"c1103"</definedName>
    <definedName name="IQ_RESTRUCTURE">"c1104"</definedName>
    <definedName name="IQ_RESTRUCTURE_BNK">"c1105"</definedName>
    <definedName name="IQ_RESTRUCTURE_BR">"c1106"</definedName>
    <definedName name="IQ_RESTRUCTURE_CF">"c1107"</definedName>
    <definedName name="IQ_RESTRUCTURE_FIN">"c1108"</definedName>
    <definedName name="IQ_RESTRUCTURE_INS">"c1109"</definedName>
    <definedName name="IQ_RESTRUCTURE_REIT">"c1110"</definedName>
    <definedName name="IQ_RESTRUCTURE_UTI">"c1111"</definedName>
    <definedName name="IQ_RESTRUCTURED_LOANS">"c1112"</definedName>
    <definedName name="IQ_RETAIL_ACQUIRED_FRANCHISE_STORES">"c2895"</definedName>
    <definedName name="IQ_RETAIL_ACQUIRED_OWNED_STORES">"c2903"</definedName>
    <definedName name="IQ_RETAIL_ACQUIRED_STORES">"c2887"</definedName>
    <definedName name="IQ_RETAIL_AVG_STORE_SIZE_GROSS">"c2066"</definedName>
    <definedName name="IQ_RETAIL_AVG_STORE_SIZE_NET">"c2067"</definedName>
    <definedName name="IQ_RETAIL_AVG_WK_SALES">"c2891"</definedName>
    <definedName name="IQ_RETAIL_AVG_WK_SALES_FRANCHISE">"c2899"</definedName>
    <definedName name="IQ_RETAIL_AVG_WK_SALES_OWNED">"c2907"</definedName>
    <definedName name="IQ_RETAIL_CLOSED_FRANCHISE_STORES">"c2896"</definedName>
    <definedName name="IQ_RETAIL_CLOSED_OWNED_STORES">"c2904"</definedName>
    <definedName name="IQ_RETAIL_CLOSED_STORES">"c2063"</definedName>
    <definedName name="IQ_RETAIL_FRANCHISE_STORES_BEG">"c2893"</definedName>
    <definedName name="IQ_RETAIL_OPENED_FRANCHISE_STORES">"c2894"</definedName>
    <definedName name="IQ_RETAIL_OPENED_OWNED_STORES">"c2902"</definedName>
    <definedName name="IQ_RETAIL_OPENED_STORES">"c2062"</definedName>
    <definedName name="IQ_RETAIL_OWNED_STORES_BEG">"c2901"</definedName>
    <definedName name="IQ_RETAIL_SALES_SQFT_ALL_GROSS">"c2138"</definedName>
    <definedName name="IQ_RETAIL_SALES_SQFT_ALL_NET">"c2139"</definedName>
    <definedName name="IQ_RETAIL_SALES_SQFT_COMPARABLE_GROSS">"c2136"</definedName>
    <definedName name="IQ_RETAIL_SALES_SQFT_COMPARABLE_NET">"c2137"</definedName>
    <definedName name="IQ_RETAIL_SALES_SQFT_OWNED_GROSS">"c2134"</definedName>
    <definedName name="IQ_RETAIL_SALES_SQFT_OWNED_NET">"c2135"</definedName>
    <definedName name="IQ_RETAIL_SOLD_FRANCHISE_STORES">"c2897"</definedName>
    <definedName name="IQ_RETAIL_SOLD_OWNED_STORES">"c2905"</definedName>
    <definedName name="IQ_RETAIL_SOLD_STORES">"c2889"</definedName>
    <definedName name="IQ_RETAIL_SQ_FOOTAGE">"c2064"</definedName>
    <definedName name="IQ_RETAIL_STORE_SELLING_AREA">"c2065"</definedName>
    <definedName name="IQ_RETAIL_STORES_BEG">"c2885"</definedName>
    <definedName name="IQ_RETAIL_TOTAL_FRANCHISE_STORES">"c2898"</definedName>
    <definedName name="IQ_RETAIL_TOTAL_OWNED_STORES">"c2906"</definedName>
    <definedName name="IQ_RETAIL_TOTAL_STORES">"c2061"</definedName>
    <definedName name="IQ_RETAINED_EARN">"c1420"</definedName>
    <definedName name="IQ_RETURN_ASSETS">"c1113"</definedName>
    <definedName name="IQ_RETURN_ASSETS_BANK">"c1114"</definedName>
    <definedName name="IQ_RETURN_ASSETS_BROK">"c1115"</definedName>
    <definedName name="IQ_RETURN_ASSETS_FS">"c1116"</definedName>
    <definedName name="IQ_RETURN_CAPITAL">"c1117"</definedName>
    <definedName name="IQ_RETURN_EQUITY">"c1118"</definedName>
    <definedName name="IQ_RETURN_EQUITY_BANK">"c1119"</definedName>
    <definedName name="IQ_RETURN_EQUITY_BROK">"c1120"</definedName>
    <definedName name="IQ_RETURN_EQUITY_FS">"c1121"</definedName>
    <definedName name="IQ_RETURN_INVESTMENT">"c1421"</definedName>
    <definedName name="IQ_REV">"c1122"</definedName>
    <definedName name="IQ_REV_BEFORE_LL">"c1123"</definedName>
    <definedName name="IQ_REV_STDDEV_EST">"c1124"</definedName>
    <definedName name="IQ_REV_STDDEV_EST_REUT">"c3639"</definedName>
    <definedName name="IQ_REV_UTI">"c1125"</definedName>
    <definedName name="IQ_REVENUE">"c1422"</definedName>
    <definedName name="IQ_REVENUE_ACT_OR_EST">"c2214"</definedName>
    <definedName name="IQ_REVENUE_EST">"c1126"</definedName>
    <definedName name="IQ_REVENUE_EST_REUT">"c3634"</definedName>
    <definedName name="IQ_REVENUE_HIGH_EST">"c1127"</definedName>
    <definedName name="IQ_REVENUE_HIGH_EST_REUT">"c3636"</definedName>
    <definedName name="IQ_REVENUE_LOW_EST">"c1128"</definedName>
    <definedName name="IQ_REVENUE_LOW_EST_REUT">"c3637"</definedName>
    <definedName name="IQ_REVENUE_MEDIAN_EST">"c1662"</definedName>
    <definedName name="IQ_REVENUE_MEDIAN_EST_REUT">"c3635"</definedName>
    <definedName name="IQ_REVENUE_NUM_EST">"c1129"</definedName>
    <definedName name="IQ_REVENUE_NUM_EST_REUT">"c3638"</definedName>
    <definedName name="IQ_REVISION_DATE_">39420.5644328704</definedName>
    <definedName name="IQ_RISK_ADJ_BANK_ASSETS">"c2670"</definedName>
    <definedName name="IQ_SALARY">"c1130"</definedName>
    <definedName name="IQ_SALE_INTAN_CF">"c1131"</definedName>
    <definedName name="IQ_SALE_INTAN_CF_BNK">"c1132"</definedName>
    <definedName name="IQ_SALE_INTAN_CF_BR">"c1133"</definedName>
    <definedName name="IQ_SALE_INTAN_CF_FIN">"c1134"</definedName>
    <definedName name="IQ_SALE_INTAN_CF_INS">"c1135"</definedName>
    <definedName name="IQ_SALE_INTAN_CF_REIT">"c1627"</definedName>
    <definedName name="IQ_SALE_INTAN_CF_UTI">"c1136"</definedName>
    <definedName name="IQ_SALE_PPE_CF">"c1137"</definedName>
    <definedName name="IQ_SALE_PPE_CF_BNK">"c1138"</definedName>
    <definedName name="IQ_SALE_PPE_CF_BR">"c1139"</definedName>
    <definedName name="IQ_SALE_PPE_CF_FIN">"c1140"</definedName>
    <definedName name="IQ_SALE_PPE_CF_INS">"c1141"</definedName>
    <definedName name="IQ_SALE_PPE_CF_UTI">"c1142"</definedName>
    <definedName name="IQ_SALE_RE_ASSETS">"c1629"</definedName>
    <definedName name="IQ_SALE_REAL_ESTATE_CF">"c1143"</definedName>
    <definedName name="IQ_SALE_REAL_ESTATE_CF_BNK">"c1144"</definedName>
    <definedName name="IQ_SALE_REAL_ESTATE_CF_BR">"c1145"</definedName>
    <definedName name="IQ_SALE_REAL_ESTATE_CF_FIN">"c1146"</definedName>
    <definedName name="IQ_SALE_REAL_ESTATE_CF_INS">"c1147"</definedName>
    <definedName name="IQ_SALE_REAL_ESTATE_CF_UTI">"c1148"</definedName>
    <definedName name="IQ_SALES_MARKETING">"c2240"</definedName>
    <definedName name="IQ_SAME_STORE">"c1149"</definedName>
    <definedName name="IQ_SAME_STORE_FRANCHISE">"c2900"</definedName>
    <definedName name="IQ_SAME_STORE_OWNED">"c2908"</definedName>
    <definedName name="IQ_SAME_STORE_TOTAL">"c2892"</definedName>
    <definedName name="IQ_SAVING_DEP">"c1150"</definedName>
    <definedName name="IQ_SEC_PURCHASED_RESELL">"c5513"</definedName>
    <definedName name="IQ_SECUR_RECEIV">"c1151"</definedName>
    <definedName name="IQ_SECURED_DEBT">"c2546"</definedName>
    <definedName name="IQ_SECURED_DEBT_PCT">"c2547"</definedName>
    <definedName name="IQ_SECURITY_BORROW">"c1152"</definedName>
    <definedName name="IQ_SECURITY_LEVEL">"c2159"</definedName>
    <definedName name="IQ_SECURITY_NOTES">"c2202"</definedName>
    <definedName name="IQ_SECURITY_OWN">"c1153"</definedName>
    <definedName name="IQ_SECURITY_RESELL">"c1154"</definedName>
    <definedName name="IQ_SECURITY_TYPE">"c2158"</definedName>
    <definedName name="IQ_SEPARATE_ACCT_ASSETS">"c1155"</definedName>
    <definedName name="IQ_SEPARATE_ACCT_LIAB">"c1156"</definedName>
    <definedName name="IQ_SERV_CHARGE_DEPOSITS">"c1157"</definedName>
    <definedName name="IQ_SGA">"c1158"</definedName>
    <definedName name="IQ_SGA_BNK">"c1159"</definedName>
    <definedName name="IQ_SGA_INS">"c1160"</definedName>
    <definedName name="IQ_SGA_MARGIN">"c1898"</definedName>
    <definedName name="IQ_SGA_REIT">"c1161"</definedName>
    <definedName name="IQ_SGA_SUPPL">"c1162"</definedName>
    <definedName name="IQ_SGA_UTI">"c1163"</definedName>
    <definedName name="IQ_SHAREOUTSTANDING">"c1347"</definedName>
    <definedName name="IQ_SHARESOUTSTANDING">"c1164"</definedName>
    <definedName name="IQ_SHORT_INTEREST">"c1165"</definedName>
    <definedName name="IQ_SHORT_INTEREST_OVER_FLOAT">"c1577"</definedName>
    <definedName name="IQ_SHORT_INTEREST_PERCENT">"c1576"</definedName>
    <definedName name="IQ_SHORT_TERM_INVEST">"c1425"</definedName>
    <definedName name="IQ_SMALL_INT_BEAR_CD">"c1166"</definedName>
    <definedName name="IQ_SOFTWARE">"c1167"</definedName>
    <definedName name="IQ_SOURCE">"c1168"</definedName>
    <definedName name="IQ_SP">"c2171"</definedName>
    <definedName name="IQ_SP_BANK">"c2637"</definedName>
    <definedName name="IQ_SP_BANK_ACTION">"c2636"</definedName>
    <definedName name="IQ_SP_BANK_DATE">"c2635"</definedName>
    <definedName name="IQ_SP_DATE">"c2172"</definedName>
    <definedName name="IQ_SP_FIN_ENHANCE_FX">"c2631"</definedName>
    <definedName name="IQ_SP_FIN_ENHANCE_FX_ACTION">"c2630"</definedName>
    <definedName name="IQ_SP_FIN_ENHANCE_FX_DATE">"c2629"</definedName>
    <definedName name="IQ_SP_FIN_ENHANCE_LC">"c2634"</definedName>
    <definedName name="IQ_SP_FIN_ENHANCE_LC_ACTION">"c2633"</definedName>
    <definedName name="IQ_SP_FIN_ENHANCE_LC_DATE">"c2632"</definedName>
    <definedName name="IQ_SP_FIN_STRENGTH_LC_ACTION_LT">"c2625"</definedName>
    <definedName name="IQ_SP_FIN_STRENGTH_LC_ACTION_ST">"c2626"</definedName>
    <definedName name="IQ_SP_FIN_STRENGTH_LC_DATE_LT">"c2623"</definedName>
    <definedName name="IQ_SP_FIN_STRENGTH_LC_DATE_ST">"c2624"</definedName>
    <definedName name="IQ_SP_FIN_STRENGTH_LC_LT">"c2627"</definedName>
    <definedName name="IQ_SP_FIN_STRENGTH_LC_ST">"c2628"</definedName>
    <definedName name="IQ_SP_FX_ACTION_LT">"c2613"</definedName>
    <definedName name="IQ_SP_FX_ACTION_ST">"c2614"</definedName>
    <definedName name="IQ_SP_FX_DATE_LT">"c2611"</definedName>
    <definedName name="IQ_SP_FX_DATE_ST">"c2612"</definedName>
    <definedName name="IQ_SP_FX_LT">"c2615"</definedName>
    <definedName name="IQ_SP_FX_ST">"c2616"</definedName>
    <definedName name="IQ_SP_ISSUE_ACTION">"c2644"</definedName>
    <definedName name="IQ_SP_ISSUE_DATE">"c2643"</definedName>
    <definedName name="IQ_SP_ISSUE_LT">"c2645"</definedName>
    <definedName name="IQ_SP_ISSUE_OUTLOOK_WATCH">"c2650"</definedName>
    <definedName name="IQ_SP_ISSUE_OUTLOOK_WATCH_DATE">"c2649"</definedName>
    <definedName name="IQ_SP_ISSUE_RECOVER">"c2648"</definedName>
    <definedName name="IQ_SP_ISSUE_RECOVER_ACTION">"c2647"</definedName>
    <definedName name="IQ_SP_ISSUE_RECOVER_DATE">"c2646"</definedName>
    <definedName name="IQ_SP_LC_ACTION_LT">"c2619"</definedName>
    <definedName name="IQ_SP_LC_ACTION_ST">"c2620"</definedName>
    <definedName name="IQ_SP_LC_DATE_LT">"c2617"</definedName>
    <definedName name="IQ_SP_LC_DATE_ST">"c2618"</definedName>
    <definedName name="IQ_SP_LC_LT">"c2621"</definedName>
    <definedName name="IQ_SP_LC_ST">"c2622"</definedName>
    <definedName name="IQ_SP_OUTLOOK_WATCH">"c2639"</definedName>
    <definedName name="IQ_SP_OUTLOOK_WATCH_DATE">"c2638"</definedName>
    <definedName name="IQ_SP_REASON">"c2174"</definedName>
    <definedName name="IQ_SP_STATUS">"c2173"</definedName>
    <definedName name="IQ_SPECIAL_DIV_CF">"c1169"</definedName>
    <definedName name="IQ_SPECIAL_DIV_CF_BNK">"c1170"</definedName>
    <definedName name="IQ_SPECIAL_DIV_CF_BR">"c1171"</definedName>
    <definedName name="IQ_SPECIAL_DIV_CF_FIN">"c1172"</definedName>
    <definedName name="IQ_SPECIAL_DIV_CF_INS">"c1173"</definedName>
    <definedName name="IQ_SPECIAL_DIV_CF_REIT">"c1174"</definedName>
    <definedName name="IQ_SPECIAL_DIV_CF_UTI">"c1175"</definedName>
    <definedName name="IQ_SPECIAL_DIV_SHARE">"c3007"</definedName>
    <definedName name="IQ_SR_BONDS_NOTES">"c2501"</definedName>
    <definedName name="IQ_SR_BONDS_NOTES_PCT">"c2502"</definedName>
    <definedName name="IQ_SR_DEBT">"c2526"</definedName>
    <definedName name="IQ_SR_DEBT_EBITDA">"c2552"</definedName>
    <definedName name="IQ_SR_DEBT_EBITDA_CAPEX">"c2553"</definedName>
    <definedName name="IQ_SR_DEBT_PCT">"c2527"</definedName>
    <definedName name="IQ_SR_SUB_DEBT">"c2530"</definedName>
    <definedName name="IQ_SR_SUB_DEBT_EBITDA">"c2556"</definedName>
    <definedName name="IQ_SR_SUB_DEBT_EBITDA_CAPEX">"c2557"</definedName>
    <definedName name="IQ_SR_SUB_DEBT_PCT">"c2531"</definedName>
    <definedName name="IQ_ST_DEBT">"c1176"</definedName>
    <definedName name="IQ_ST_DEBT_BNK">"c1177"</definedName>
    <definedName name="IQ_ST_DEBT_BR">"c1178"</definedName>
    <definedName name="IQ_ST_DEBT_FIN">"c1179"</definedName>
    <definedName name="IQ_ST_DEBT_INS">"c1180"</definedName>
    <definedName name="IQ_ST_DEBT_ISSUED">"c1181"</definedName>
    <definedName name="IQ_ST_DEBT_ISSUED_BNK">"c1182"</definedName>
    <definedName name="IQ_ST_DEBT_ISSUED_BR">"c1183"</definedName>
    <definedName name="IQ_ST_DEBT_ISSUED_FIN">"c1184"</definedName>
    <definedName name="IQ_ST_DEBT_ISSUED_INS">"c1185"</definedName>
    <definedName name="IQ_ST_DEBT_ISSUED_REIT">"c1186"</definedName>
    <definedName name="IQ_ST_DEBT_ISSUED_UTI">"c1187"</definedName>
    <definedName name="IQ_ST_DEBT_PCT">"c2539"</definedName>
    <definedName name="IQ_ST_DEBT_REIT">"c1188"</definedName>
    <definedName name="IQ_ST_DEBT_REPAID">"c1189"</definedName>
    <definedName name="IQ_ST_DEBT_REPAID_BNK">"c1190"</definedName>
    <definedName name="IQ_ST_DEBT_REPAID_BR">"c1191"</definedName>
    <definedName name="IQ_ST_DEBT_REPAID_FIN">"c1192"</definedName>
    <definedName name="IQ_ST_DEBT_REPAID_INS">"c1193"</definedName>
    <definedName name="IQ_ST_DEBT_REPAID_REIT">"c1194"</definedName>
    <definedName name="IQ_ST_DEBT_REPAID_UTI">"c1195"</definedName>
    <definedName name="IQ_ST_DEBT_UTI">"c1196"</definedName>
    <definedName name="IQ_ST_INVEST">"c1197"</definedName>
    <definedName name="IQ_ST_INVEST_UTI">"c1198"</definedName>
    <definedName name="IQ_ST_NOTE_RECEIV">"c1199"</definedName>
    <definedName name="IQ_STATE">"c1200"</definedName>
    <definedName name="IQ_STATUTORY_SURPLUS">"c1201"</definedName>
    <definedName name="IQ_STOCK_BASED">"c1202"</definedName>
    <definedName name="IQ_STOCK_BASED_AT">"c2999"</definedName>
    <definedName name="IQ_STOCK_BASED_CF">"c1203"</definedName>
    <definedName name="IQ_STOCK_BASED_COGS">"c2990"</definedName>
    <definedName name="IQ_STOCK_BASED_COMP">"c3512"</definedName>
    <definedName name="IQ_STOCK_BASED_COMP_PRETAX">"c3510"</definedName>
    <definedName name="IQ_STOCK_BASED_COMP_TAX">"c3511"</definedName>
    <definedName name="IQ_STOCK_BASED_GA">"c2993"</definedName>
    <definedName name="IQ_STOCK_BASED_OTHER">"c2995"</definedName>
    <definedName name="IQ_STOCK_BASED_RD">"c2991"</definedName>
    <definedName name="IQ_STOCK_BASED_SGA">"c2994"</definedName>
    <definedName name="IQ_STOCK_BASED_SM">"c2992"</definedName>
    <definedName name="IQ_STOCK_BASED_TOTAL">"c3040"</definedName>
    <definedName name="IQ_STOCK_OPTIONS_COMP">"c3509"</definedName>
    <definedName name="IQ_STOCK_OPTIONS_COMP_PRETAX">"c3507"</definedName>
    <definedName name="IQ_STOCK_OPTIONS_COMP_TAX">"c3508"</definedName>
    <definedName name="IQ_STRIKE_PRICE_ISSUED">"c1645"</definedName>
    <definedName name="IQ_STRIKE_PRICE_OS">"c1646"</definedName>
    <definedName name="IQ_STW">"c2166"</definedName>
    <definedName name="IQ_SUB_BONDS_NOTES">"c2503"</definedName>
    <definedName name="IQ_SUB_BONDS_NOTES_PCT">"c2504"</definedName>
    <definedName name="IQ_SUB_DEBT">"c2532"</definedName>
    <definedName name="IQ_SUB_DEBT_EBITDA">"c2558"</definedName>
    <definedName name="IQ_SUB_DEBT_EBITDA_CAPEX">"c2559"</definedName>
    <definedName name="IQ_SUB_DEBT_PCT">"c2533"</definedName>
    <definedName name="IQ_SUB_LEASE_AFTER_FIVE">"c1207"</definedName>
    <definedName name="IQ_SUB_LEASE_INC_CY">"c1208"</definedName>
    <definedName name="IQ_SUB_LEASE_INC_CY1">"c1209"</definedName>
    <definedName name="IQ_SUB_LEASE_INC_CY2">"c1210"</definedName>
    <definedName name="IQ_SUB_LEASE_INC_CY3">"c1211"</definedName>
    <definedName name="IQ_SUB_LEASE_INC_CY4">"c1212"</definedName>
    <definedName name="IQ_SUB_LEASE_NEXT_FIVE">"c1213"</definedName>
    <definedName name="IQ_SVA">"c1214"</definedName>
    <definedName name="IQ_TARGET_PRICE_NUM">"c1653"</definedName>
    <definedName name="IQ_TARGET_PRICE_NUM_REUT">"c5319"</definedName>
    <definedName name="IQ_TARGET_PRICE_STDDEV">"c1654"</definedName>
    <definedName name="IQ_TARGET_PRICE_STDDEV_REUT">"c5320"</definedName>
    <definedName name="IQ_TAX_BENEFIT_CF_1YR">"c3483"</definedName>
    <definedName name="IQ_TAX_BENEFIT_CF_2YR">"c3484"</definedName>
    <definedName name="IQ_TAX_BENEFIT_CF_3YR">"c3485"</definedName>
    <definedName name="IQ_TAX_BENEFIT_CF_4YR">"c3486"</definedName>
    <definedName name="IQ_TAX_BENEFIT_CF_5YR">"c3487"</definedName>
    <definedName name="IQ_TAX_BENEFIT_CF_AFTER_FIVE">"c3488"</definedName>
    <definedName name="IQ_TAX_BENEFIT_CF_MAX_YEAR">"c3491"</definedName>
    <definedName name="IQ_TAX_BENEFIT_CF_NO_EXP">"c3489"</definedName>
    <definedName name="IQ_TAX_BENEFIT_CF_TOTAL">"c3490"</definedName>
    <definedName name="IQ_TAX_BENEFIT_OPTIONS">"c1215"</definedName>
    <definedName name="IQ_TAX_EQUIV_NET_INT_INC">"c1216"</definedName>
    <definedName name="IQ_TBV">"c1906"</definedName>
    <definedName name="IQ_TBV_10YR_ANN_GROWTH">"c1936"</definedName>
    <definedName name="IQ_TBV_1YR_ANN_GROWTH">"c1931"</definedName>
    <definedName name="IQ_TBV_2YR_ANN_GROWTH">"c1932"</definedName>
    <definedName name="IQ_TBV_3YR_ANN_GROWTH">"c1933"</definedName>
    <definedName name="IQ_TBV_5YR_ANN_GROWTH">"c1934"</definedName>
    <definedName name="IQ_TBV_7YR_ANN_GROWTH">"c1935"</definedName>
    <definedName name="IQ_TBV_SHARE">"c1217"</definedName>
    <definedName name="IQ_TEMPLATE">"c1521"</definedName>
    <definedName name="IQ_TENANT">"c1218"</definedName>
    <definedName name="IQ_TERM_LOANS">"c2499"</definedName>
    <definedName name="IQ_TERM_LOANS_PCT">"c2500"</definedName>
    <definedName name="IQ_TEV">"c1219"</definedName>
    <definedName name="IQ_TEV_EBIT">"c1220"</definedName>
    <definedName name="IQ_TEV_EBIT_AVG">"c1221"</definedName>
    <definedName name="IQ_TEV_EBIT_FWD">"c2238"</definedName>
    <definedName name="IQ_TEV_EBITDA">"c1222"</definedName>
    <definedName name="IQ_TEV_EBITDA_AVG">"c1223"</definedName>
    <definedName name="IQ_TEV_EBITDA_FWD">"c1224"</definedName>
    <definedName name="IQ_TEV_EBITDA_FWD_REUT">"c4050"</definedName>
    <definedName name="IQ_TEV_EMPLOYEE_AVG">"c1225"</definedName>
    <definedName name="IQ_TEV_TOTAL_REV">"c1226"</definedName>
    <definedName name="IQ_TEV_TOTAL_REV_AVG">"c1227"</definedName>
    <definedName name="IQ_TEV_TOTAL_REV_FWD">"c1228"</definedName>
    <definedName name="IQ_TEV_TOTAL_REV_FWD_REUT">"c4051"</definedName>
    <definedName name="IQ_TEV_UFCF">"c2208"</definedName>
    <definedName name="IQ_TIER_ONE_CAPITAL">"c2667"</definedName>
    <definedName name="IQ_TIER_ONE_RATIO">"c1229"</definedName>
    <definedName name="IQ_TIER_TWO_CAPITAL">"c2669"</definedName>
    <definedName name="IQ_TIME_DEP">"c1230"</definedName>
    <definedName name="IQ_TODAY">0</definedName>
    <definedName name="IQ_TOT_ADJ_INC">"c1616"</definedName>
    <definedName name="IQ_TOTAL_AR_BR">"c1231"</definedName>
    <definedName name="IQ_TOTAL_AR_REIT">"c1232"</definedName>
    <definedName name="IQ_TOTAL_AR_UTI">"c1233"</definedName>
    <definedName name="IQ_TOTAL_ASSETS">"c1234"</definedName>
    <definedName name="IQ_TOTAL_ASSETS_10YR_ANN_GROWTH">"c1235"</definedName>
    <definedName name="IQ_TOTAL_ASSETS_1YR_ANN_GROWTH">"c1236"</definedName>
    <definedName name="IQ_TOTAL_ASSETS_2YR_ANN_GROWTH">"c1237"</definedName>
    <definedName name="IQ_TOTAL_ASSETS_3YR_ANN_GROWTH">"c1238"</definedName>
    <definedName name="IQ_TOTAL_ASSETS_5YR_ANN_GROWTH">"c1239"</definedName>
    <definedName name="IQ_TOTAL_ASSETS_7YR_ANN_GROWTH">"c1240"</definedName>
    <definedName name="IQ_TOTAL_AVG_CE_TOTAL_AVG_ASSETS">"c1241"</definedName>
    <definedName name="IQ_TOTAL_AVG_EQUITY_TOTAL_AVG_ASSETS">"c1242"</definedName>
    <definedName name="IQ_TOTAL_BANK_CAPITAL">"c2668"</definedName>
    <definedName name="IQ_TOTAL_CA">"c1243"</definedName>
    <definedName name="IQ_TOTAL_CAP">"c1507"</definedName>
    <definedName name="IQ_TOTAL_CAPITAL_RATIO">"c1244"</definedName>
    <definedName name="IQ_TOTAL_CASH_DIVID">"c1455"</definedName>
    <definedName name="IQ_TOTAL_CASH_FINAN">"c1352"</definedName>
    <definedName name="IQ_TOTAL_CASH_INVEST">"c1353"</definedName>
    <definedName name="IQ_TOTAL_CASH_OPER">"c1354"</definedName>
    <definedName name="IQ_TOTAL_CHURN">"c2122"</definedName>
    <definedName name="IQ_TOTAL_CL">"c1245"</definedName>
    <definedName name="IQ_TOTAL_COMMON">"c1411"</definedName>
    <definedName name="IQ_TOTAL_COMMON_EQUITY">"c1246"</definedName>
    <definedName name="IQ_TOTAL_CURRENT_ASSETS">"c1430"</definedName>
    <definedName name="IQ_TOTAL_CURRENT_LIAB">"c1431"</definedName>
    <definedName name="IQ_TOTAL_DEBT">"c1247"</definedName>
    <definedName name="IQ_TOTAL_DEBT_CAPITAL">"c1248"</definedName>
    <definedName name="IQ_TOTAL_DEBT_EBITDA">"c1249"</definedName>
    <definedName name="IQ_TOTAL_DEBT_EBITDA_CAPEX">"c2948"</definedName>
    <definedName name="IQ_TOTAL_DEBT_EQUITY">"c1250"</definedName>
    <definedName name="IQ_TOTAL_DEBT_EXCL_FIN">"c2937"</definedName>
    <definedName name="IQ_TOTAL_DEBT_ISSUED">"c1251"</definedName>
    <definedName name="IQ_TOTAL_DEBT_ISSUED_BNK">"c1252"</definedName>
    <definedName name="IQ_TOTAL_DEBT_ISSUED_BR">"c1253"</definedName>
    <definedName name="IQ_TOTAL_DEBT_ISSUED_FIN">"c1254"</definedName>
    <definedName name="IQ_TOTAL_DEBT_ISSUED_REIT">"c1255"</definedName>
    <definedName name="IQ_TOTAL_DEBT_ISSUED_UTI">"c1256"</definedName>
    <definedName name="IQ_TOTAL_DEBT_ISSUES_INS">"c1257"</definedName>
    <definedName name="IQ_TOTAL_DEBT_OVER_EBITDA">"c1433"</definedName>
    <definedName name="IQ_TOTAL_DEBT_OVER_TOTAL_BV">"c1434"</definedName>
    <definedName name="IQ_TOTAL_DEBT_OVER_TOTAL_CAP">"c1432"</definedName>
    <definedName name="IQ_TOTAL_DEBT_REPAID">"c1258"</definedName>
    <definedName name="IQ_TOTAL_DEBT_REPAID_BNK">"c1259"</definedName>
    <definedName name="IQ_TOTAL_DEBT_REPAID_BR">"c1260"</definedName>
    <definedName name="IQ_TOTAL_DEBT_REPAID_FIN">"c1261"</definedName>
    <definedName name="IQ_TOTAL_DEBT_REPAID_INS">"c1262"</definedName>
    <definedName name="IQ_TOTAL_DEBT_REPAID_REIT">"c1263"</definedName>
    <definedName name="IQ_TOTAL_DEBT_REPAID_UTI">"c1264"</definedName>
    <definedName name="IQ_TOTAL_DEPOSITS">"c1265"</definedName>
    <definedName name="IQ_TOTAL_DIV_PAID_CF">"c1266"</definedName>
    <definedName name="IQ_TOTAL_EMPLOYEE">"c2141"</definedName>
    <definedName name="IQ_TOTAL_EMPLOYEES">"c1522"</definedName>
    <definedName name="IQ_TOTAL_EQUITY">"c1267"</definedName>
    <definedName name="IQ_TOTAL_EQUITY_10YR_ANN_GROWTH">"c1268"</definedName>
    <definedName name="IQ_TOTAL_EQUITY_1YR_ANN_GROWTH">"c1269"</definedName>
    <definedName name="IQ_TOTAL_EQUITY_2YR_ANN_GROWTH">"c1270"</definedName>
    <definedName name="IQ_TOTAL_EQUITY_3YR_ANN_GROWTH">"c1271"</definedName>
    <definedName name="IQ_TOTAL_EQUITY_5YR_ANN_GROWTH">"c1272"</definedName>
    <definedName name="IQ_TOTAL_EQUITY_7YR_ANN_GROWTH">"c1273"</definedName>
    <definedName name="IQ_TOTAL_EQUITY_ALLOWANCE_TOTAL_LOANS">"c1274"</definedName>
    <definedName name="IQ_TOTAL_INTEREST_EXP">"c1382"</definedName>
    <definedName name="IQ_TOTAL_INVENTORY">"c1385"</definedName>
    <definedName name="IQ_TOTAL_INVEST">"c1275"</definedName>
    <definedName name="IQ_TOTAL_LIAB">"c1276"</definedName>
    <definedName name="IQ_TOTAL_LIAB_BNK">"c1277"</definedName>
    <definedName name="IQ_TOTAL_LIAB_BR">"c1278"</definedName>
    <definedName name="IQ_TOTAL_LIAB_EQUITY">"c1279"</definedName>
    <definedName name="IQ_TOTAL_LIAB_FIN">"c1280"</definedName>
    <definedName name="IQ_TOTAL_LIAB_INS">"c1281"</definedName>
    <definedName name="IQ_TOTAL_LIAB_REIT">"c1282"</definedName>
    <definedName name="IQ_TOTAL_LIAB_SHAREHOLD">"c1435"</definedName>
    <definedName name="IQ_TOTAL_LIAB_TOTAL_ASSETS">"c1283"</definedName>
    <definedName name="IQ_TOTAL_LONG_DEBT">"c1617"</definedName>
    <definedName name="IQ_TOTAL_NON_REC">"c1444"</definedName>
    <definedName name="IQ_TOTAL_OPER_EXP_BR">"c1284"</definedName>
    <definedName name="IQ_TOTAL_OPER_EXP_FIN">"c1285"</definedName>
    <definedName name="IQ_TOTAL_OPER_EXP_INS">"c1286"</definedName>
    <definedName name="IQ_TOTAL_OPER_EXP_REIT">"c1287"</definedName>
    <definedName name="IQ_TOTAL_OPER_EXP_UTI">"c1288"</definedName>
    <definedName name="IQ_TOTAL_OPER_EXPEN">"c1445"</definedName>
    <definedName name="IQ_TOTAL_OPTIONS_BEG_OS">"c2693"</definedName>
    <definedName name="IQ_TOTAL_OPTIONS_CANCELLED">"c2696"</definedName>
    <definedName name="IQ_TOTAL_OPTIONS_END_OS">"c2697"</definedName>
    <definedName name="IQ_TOTAL_OPTIONS_EXERCISED">"c2695"</definedName>
    <definedName name="IQ_TOTAL_OPTIONS_GRANTED">"c2694"</definedName>
    <definedName name="IQ_TOTAL_OTHER_OPER">"c1289"</definedName>
    <definedName name="IQ_TOTAL_OUTSTANDING_BS_DATE">"c1022"</definedName>
    <definedName name="IQ_TOTAL_OUTSTANDING_FILING_DATE">"c2107"</definedName>
    <definedName name="IQ_TOTAL_PENSION_ASSETS">"c1290"</definedName>
    <definedName name="IQ_TOTAL_PENSION_ASSETS_DOMESTIC">"c2658"</definedName>
    <definedName name="IQ_TOTAL_PENSION_ASSETS_FOREIGN">"c2666"</definedName>
    <definedName name="IQ_TOTAL_PENSION_EXP">"c1291"</definedName>
    <definedName name="IQ_TOTAL_PENSION_OBLIGATION">"c1292"</definedName>
    <definedName name="IQ_TOTAL_PRINCIPAL">"c2509"</definedName>
    <definedName name="IQ_TOTAL_PRINCIPAL_PCT">"c2510"</definedName>
    <definedName name="IQ_TOTAL_PROVED_RESERVES_NGL">"c2924"</definedName>
    <definedName name="IQ_TOTAL_PROVED_RESERVES_OIL">"c2040"</definedName>
    <definedName name="IQ_TOTAL_RECEIV">"c1293"</definedName>
    <definedName name="IQ_TOTAL_REV">"c1294"</definedName>
    <definedName name="IQ_TOTAL_REV_10YR_ANN_GROWTH">"c1295"</definedName>
    <definedName name="IQ_TOTAL_REV_1YR_ANN_GROWTH">"c1296"</definedName>
    <definedName name="IQ_TOTAL_REV_2YR_ANN_GROWTH">"c1297"</definedName>
    <definedName name="IQ_TOTAL_REV_3YR_ANN_GROWTH">"c1298"</definedName>
    <definedName name="IQ_TOTAL_REV_5YR_ANN_GROWTH">"c1299"</definedName>
    <definedName name="IQ_TOTAL_REV_7YR_ANN_GROWTH">"c1300"</definedName>
    <definedName name="IQ_TOTAL_REV_AS_REPORTED">"c1301"</definedName>
    <definedName name="IQ_TOTAL_REV_BNK">"c1302"</definedName>
    <definedName name="IQ_TOTAL_REV_BR">"c1303"</definedName>
    <definedName name="IQ_TOTAL_REV_EMPLOYEE">"c1304"</definedName>
    <definedName name="IQ_TOTAL_REV_FIN">"c1305"</definedName>
    <definedName name="IQ_TOTAL_REV_INS">"c1306"</definedName>
    <definedName name="IQ_TOTAL_REV_REIT">"c1307"</definedName>
    <definedName name="IQ_TOTAL_REV_SHARE">"c1912"</definedName>
    <definedName name="IQ_TOTAL_REV_UTI">"c1308"</definedName>
    <definedName name="IQ_TOTAL_REVENUE">"c1436"</definedName>
    <definedName name="IQ_TOTAL_SPECIAL">"c1618"</definedName>
    <definedName name="IQ_TOTAL_ST_BORROW">"c1424"</definedName>
    <definedName name="IQ_TOTAL_SUB_DEBT">"c2528"</definedName>
    <definedName name="IQ_TOTAL_SUB_DEBT_EBITDA">"c2554"</definedName>
    <definedName name="IQ_TOTAL_SUB_DEBT_EBITDA_CAPEX">"c2555"</definedName>
    <definedName name="IQ_TOTAL_SUB_DEBT_PCT">"c2529"</definedName>
    <definedName name="IQ_TOTAL_SUBS">"c2119"</definedName>
    <definedName name="IQ_TOTAL_UNUSUAL">"c1508"</definedName>
    <definedName name="IQ_TOTAL_UNUSUAL_BNK">"c5516"</definedName>
    <definedName name="IQ_TOTAL_UNUSUAL_BR">"c5517"</definedName>
    <definedName name="IQ_TOTAL_UNUSUAL_FIN">"c5518"</definedName>
    <definedName name="IQ_TOTAL_UNUSUAL_INS">"c5519"</definedName>
    <definedName name="IQ_TOTAL_UNUSUAL_REIT">"c5520"</definedName>
    <definedName name="IQ_TOTAL_UNUSUAL_UTI">"c5521"</definedName>
    <definedName name="IQ_TOTAL_WARRANTS_BEG_OS">"c2719"</definedName>
    <definedName name="IQ_TOTAL_WARRANTS_CANCELLED">"c2722"</definedName>
    <definedName name="IQ_TOTAL_WARRANTS_END_OS">"c2723"</definedName>
    <definedName name="IQ_TOTAL_WARRANTS_EXERCISED">"c2721"</definedName>
    <definedName name="IQ_TOTAL_WARRANTS_ISSUED">"c2720"</definedName>
    <definedName name="IQ_TR_ACCT_METHOD">"c2363"</definedName>
    <definedName name="IQ_TR_ACQ_52_WK_HI_PCT">"c2348"</definedName>
    <definedName name="IQ_TR_ACQ_52_WK_LOW_PCT">"c2347"</definedName>
    <definedName name="IQ_TR_ACQ_CASH_ST_INVEST">"c2372"</definedName>
    <definedName name="IQ_TR_ACQ_CLOSEPRICE_1D">"c3027"</definedName>
    <definedName name="IQ_TR_ACQ_DILUT_EPS_EXCL">"c3028"</definedName>
    <definedName name="IQ_TR_ACQ_EARNING_CO">"c2379"</definedName>
    <definedName name="IQ_TR_ACQ_EBIT">"c2380"</definedName>
    <definedName name="IQ_TR_ACQ_EBIT_EQ_INC">"c3611"</definedName>
    <definedName name="IQ_TR_ACQ_EBITDA">"c2381"</definedName>
    <definedName name="IQ_TR_ACQ_EBITDA_EQ_INC">"c3610"</definedName>
    <definedName name="IQ_TR_ACQ_FILING_CURRENCY">"c3033"</definedName>
    <definedName name="IQ_TR_ACQ_FILINGDATE">"c3607"</definedName>
    <definedName name="IQ_TR_ACQ_MCAP_1DAY">"c2345"</definedName>
    <definedName name="IQ_TR_ACQ_MIN_INT">"c2374"</definedName>
    <definedName name="IQ_TR_ACQ_NET_DEBT">"c2373"</definedName>
    <definedName name="IQ_TR_ACQ_NI">"c2378"</definedName>
    <definedName name="IQ_TR_ACQ_PERIODDATE">"c3606"</definedName>
    <definedName name="IQ_TR_ACQ_PRICEDATE_1D">"c2346"</definedName>
    <definedName name="IQ_TR_ACQ_RETURN">"c2349"</definedName>
    <definedName name="IQ_TR_ACQ_STOCKYEARHIGH_1D">"c2343"</definedName>
    <definedName name="IQ_TR_ACQ_STOCKYEARLOW_1D">"c2344"</definedName>
    <definedName name="IQ_TR_ACQ_TOTAL_ASSETS">"c2371"</definedName>
    <definedName name="IQ_TR_ACQ_TOTAL_COMMON_EQ">"c2377"</definedName>
    <definedName name="IQ_TR_ACQ_TOTAL_DEBT">"c2376"</definedName>
    <definedName name="IQ_TR_ACQ_TOTAL_PREF">"c2375"</definedName>
    <definedName name="IQ_TR_ACQ_TOTAL_REV">"c2382"</definedName>
    <definedName name="IQ_TR_ADJ_SIZE">"c3024"</definedName>
    <definedName name="IQ_TR_ANN_DATE">"c2395"</definedName>
    <definedName name="IQ_TR_ANN_DATE_BL">"c2394"</definedName>
    <definedName name="IQ_TR_BID_DATE">"c2357"</definedName>
    <definedName name="IQ_TR_BLUESKY_FEES">"c2277"</definedName>
    <definedName name="IQ_TR_BUY_ACC_ADVISORS">"c3048"</definedName>
    <definedName name="IQ_TR_BUY_FIN_ADVISORS">"c3045"</definedName>
    <definedName name="IQ_TR_BUY_LEG_ADVISORS">"c2387"</definedName>
    <definedName name="IQ_TR_BUYER_ID">"c2404"</definedName>
    <definedName name="IQ_TR_BUYERNAME">"c2401"</definedName>
    <definedName name="IQ_TR_CANCELLED_DATE">"c2284"</definedName>
    <definedName name="IQ_TR_CASH_CONSID_PCT">"c2296"</definedName>
    <definedName name="IQ_TR_CASH_ST_INVEST">"c3025"</definedName>
    <definedName name="IQ_TR_CHANGE_CONTROL">"c2365"</definedName>
    <definedName name="IQ_TR_CLOSED_DATE">"c2283"</definedName>
    <definedName name="IQ_TR_CO_NET_PROCEEDS">"c2268"</definedName>
    <definedName name="IQ_TR_CO_NET_PROCEEDS_PCT">"c2270"</definedName>
    <definedName name="IQ_TR_COMMENTS">"c2383"</definedName>
    <definedName name="IQ_TR_CURRENCY">"c3016"</definedName>
    <definedName name="IQ_TR_DEAL_ATTITUDE">"c2364"</definedName>
    <definedName name="IQ_TR_DEAL_CONDITIONS">"c2367"</definedName>
    <definedName name="IQ_TR_DEAL_RESOLUTION">"c2391"</definedName>
    <definedName name="IQ_TR_DEAL_RESPONSES">"c2366"</definedName>
    <definedName name="IQ_TR_DEBT_CONSID_PCT">"c2299"</definedName>
    <definedName name="IQ_TR_DEF_AGRMT_DATE">"c2285"</definedName>
    <definedName name="IQ_TR_DISCLOSED_FEES_EXP">"c2288"</definedName>
    <definedName name="IQ_TR_EARNOUTS">"c3023"</definedName>
    <definedName name="IQ_TR_EXPIRED_DATE">"c2412"</definedName>
    <definedName name="IQ_TR_GROSS_OFFERING_AMT">"c2262"</definedName>
    <definedName name="IQ_TR_HYBRID_CONSID_PCT">"c2300"</definedName>
    <definedName name="IQ_TR_IMPLIED_EQ">"c3018"</definedName>
    <definedName name="IQ_TR_IMPLIED_EQ_BV">"c3019"</definedName>
    <definedName name="IQ_TR_IMPLIED_EQ_NI_LTM">"c3020"</definedName>
    <definedName name="IQ_TR_IMPLIED_EV">"c2301"</definedName>
    <definedName name="IQ_TR_IMPLIED_EV_BV">"c2306"</definedName>
    <definedName name="IQ_TR_IMPLIED_EV_EBIT">"c2302"</definedName>
    <definedName name="IQ_TR_IMPLIED_EV_EBITDA">"c2303"</definedName>
    <definedName name="IQ_TR_IMPLIED_EV_NI_LTM">"c2307"</definedName>
    <definedName name="IQ_TR_IMPLIED_EV_REV">"c2304"</definedName>
    <definedName name="IQ_TR_INIT_FILED_DATE">"c3495"</definedName>
    <definedName name="IQ_TR_LOI_DATE">"c2282"</definedName>
    <definedName name="IQ_TR_MAJ_MIN_STAKE">"c2389"</definedName>
    <definedName name="IQ_TR_NEGOTIATED_BUYBACK_PRICE">"c2414"</definedName>
    <definedName name="IQ_TR_NET_ASSUM_LIABILITIES">"c2308"</definedName>
    <definedName name="IQ_TR_NET_PROCEEDS">"c2267"</definedName>
    <definedName name="IQ_TR_OFFER_DATE">"c2265"</definedName>
    <definedName name="IQ_TR_OFFER_DATE_MA">"c3035"</definedName>
    <definedName name="IQ_TR_OFFER_PER_SHARE">"c3017"</definedName>
    <definedName name="IQ_TR_OPTIONS_CONSID_PCT">"c2311"</definedName>
    <definedName name="IQ_TR_OTHER_CONSID">"c3022"</definedName>
    <definedName name="IQ_TR_PCT_SOUGHT">"c2309"</definedName>
    <definedName name="IQ_TR_PFEATURES">"c2384"</definedName>
    <definedName name="IQ_TR_PIPE_CONV_PRICE_SHARE">"c2292"</definedName>
    <definedName name="IQ_TR_PIPE_CPN_PCT">"c2291"</definedName>
    <definedName name="IQ_TR_PIPE_NUMBER_SHARES">"c2293"</definedName>
    <definedName name="IQ_TR_PIPE_PPS">"c2290"</definedName>
    <definedName name="IQ_TR_POSTMONEY_VAL">"c2286"</definedName>
    <definedName name="IQ_TR_PREDEAL_SITUATION">"c2390"</definedName>
    <definedName name="IQ_TR_PREF_CONSID_PCT">"c2310"</definedName>
    <definedName name="IQ_TR_PREMONEY_VAL">"c2287"</definedName>
    <definedName name="IQ_TR_PRINTING_FEES">"c2276"</definedName>
    <definedName name="IQ_TR_PT_MONETARY_VALUES">"c2415"</definedName>
    <definedName name="IQ_TR_PT_NUMBER_SHARES">"c2417"</definedName>
    <definedName name="IQ_TR_PT_PCT_SHARES">"c2416"</definedName>
    <definedName name="IQ_TR_RATING_FEES">"c2275"</definedName>
    <definedName name="IQ_TR_REG_EFFECT_DATE">"c2264"</definedName>
    <definedName name="IQ_TR_REG_FILED_DATE">"c2263"</definedName>
    <definedName name="IQ_TR_RENEWAL_BUYBACK">"c2413"</definedName>
    <definedName name="IQ_TR_ROUND_NUMBER">"c2295"</definedName>
    <definedName name="IQ_TR_SEC_FEES">"c2274"</definedName>
    <definedName name="IQ_TR_SECURITY_TYPE_REG">"c2279"</definedName>
    <definedName name="IQ_TR_SELL_ACC_ADVISORS">"c3049"</definedName>
    <definedName name="IQ_TR_SELL_FIN_ADVISORS">"c3046"</definedName>
    <definedName name="IQ_TR_SELL_LEG_ADVISORS">"c2388"</definedName>
    <definedName name="IQ_TR_SELLER_ID">"c2406"</definedName>
    <definedName name="IQ_TR_SELLERNAME">"c2402"</definedName>
    <definedName name="IQ_TR_SFEATURES">"c2385"</definedName>
    <definedName name="IQ_TR_SH_NET_PROCEEDS">"c2269"</definedName>
    <definedName name="IQ_TR_SH_NET_PROCEEDS_PCT">"c2271"</definedName>
    <definedName name="IQ_TR_SPECIAL_COMMITTEE">"c2362"</definedName>
    <definedName name="IQ_TR_STATUS">"c2399"</definedName>
    <definedName name="IQ_TR_STOCK_CONSID_PCT">"c2312"</definedName>
    <definedName name="IQ_TR_SUSPENDED_DATE">"c2407"</definedName>
    <definedName name="IQ_TR_TARGET_52WKHI_PCT">"c2351"</definedName>
    <definedName name="IQ_TR_TARGET_52WKLOW_PCT">"c2350"</definedName>
    <definedName name="IQ_TR_TARGET_ACC_ADVISORS">"c3047"</definedName>
    <definedName name="IQ_TR_TARGET_CASH_ST_INVEST">"c2327"</definedName>
    <definedName name="IQ_TR_TARGET_CLOSEPRICE_1D">"c2352"</definedName>
    <definedName name="IQ_TR_TARGET_CLOSEPRICE_1M">"c2354"</definedName>
    <definedName name="IQ_TR_TARGET_CLOSEPRICE_1W">"c2353"</definedName>
    <definedName name="IQ_TR_TARGET_DILUT_EPS_EXCL">"c2324"</definedName>
    <definedName name="IQ_TR_TARGET_EARNING_CO">"c2332"</definedName>
    <definedName name="IQ_TR_TARGET_EBIT">"c2333"</definedName>
    <definedName name="IQ_TR_TARGET_EBIT_EQ_INC">"c3609"</definedName>
    <definedName name="IQ_TR_TARGET_EBITDA">"c2334"</definedName>
    <definedName name="IQ_TR_TARGET_EBITDA_EQ_INC">"c3608"</definedName>
    <definedName name="IQ_TR_TARGET_FILING_CURRENCY">"c3034"</definedName>
    <definedName name="IQ_TR_TARGET_FILINGDATE">"c3605"</definedName>
    <definedName name="IQ_TR_TARGET_FIN_ADVISORS">"c3044"</definedName>
    <definedName name="IQ_TR_TARGET_ID">"c2405"</definedName>
    <definedName name="IQ_TR_TARGET_LEG_ADVISORS">"c2386"</definedName>
    <definedName name="IQ_TR_TARGET_MARKETCAP">"c2342"</definedName>
    <definedName name="IQ_TR_TARGET_MIN_INT">"c2328"</definedName>
    <definedName name="IQ_TR_TARGET_NET_DEBT">"c2326"</definedName>
    <definedName name="IQ_TR_TARGET_NI">"c2331"</definedName>
    <definedName name="IQ_TR_TARGET_PERIODDATE">"c3604"</definedName>
    <definedName name="IQ_TR_TARGET_PRICEDATE_1D">"c2341"</definedName>
    <definedName name="IQ_TR_TARGET_RETURN">"c2355"</definedName>
    <definedName name="IQ_TR_TARGET_SEC_DETAIL">"c3021"</definedName>
    <definedName name="IQ_TR_TARGET_SEC_TI_ID">"c2368"</definedName>
    <definedName name="IQ_TR_TARGET_SEC_TYPE">"c2369"</definedName>
    <definedName name="IQ_TR_TARGET_SPD">"c2313"</definedName>
    <definedName name="IQ_TR_TARGET_SPD_PCT">"c2314"</definedName>
    <definedName name="IQ_TR_TARGET_STOCKPREMIUM_1D">"c2336"</definedName>
    <definedName name="IQ_TR_TARGET_STOCKPREMIUM_1M">"c2337"</definedName>
    <definedName name="IQ_TR_TARGET_STOCKPREMIUM_1W">"c2338"</definedName>
    <definedName name="IQ_TR_TARGET_STOCKYEARHIGH_1D">"c2339"</definedName>
    <definedName name="IQ_TR_TARGET_STOCKYEARLOW_1D">"c2340"</definedName>
    <definedName name="IQ_TR_TARGET_TOTAL_ASSETS">"c2325"</definedName>
    <definedName name="IQ_TR_TARGET_TOTAL_COMMON_EQ">"c2421"</definedName>
    <definedName name="IQ_TR_TARGET_TOTAL_DEBT">"c2330"</definedName>
    <definedName name="IQ_TR_TARGET_TOTAL_PREF">"c2329"</definedName>
    <definedName name="IQ_TR_TARGET_TOTAL_REV">"c2335"</definedName>
    <definedName name="IQ_TR_TARGETNAME">"c2403"</definedName>
    <definedName name="IQ_TR_TERM_FEE">"c2298"</definedName>
    <definedName name="IQ_TR_TERM_FEE_PCT">"c2297"</definedName>
    <definedName name="IQ_TR_TODATE">"c3036"</definedName>
    <definedName name="IQ_TR_TODATE_MONETARY_VALUE">"c2418"</definedName>
    <definedName name="IQ_TR_TODATE_NUMBER_SHARES">"c2420"</definedName>
    <definedName name="IQ_TR_TODATE_PCT_SHARES">"c2419"</definedName>
    <definedName name="IQ_TR_TOTAL_ACCT_FEES">"c2273"</definedName>
    <definedName name="IQ_TR_TOTAL_CASH">"c2315"</definedName>
    <definedName name="IQ_TR_TOTAL_CONSID_SH">"c2316"</definedName>
    <definedName name="IQ_TR_TOTAL_DEBT">"c2317"</definedName>
    <definedName name="IQ_TR_TOTAL_GROSS_TV">"c2318"</definedName>
    <definedName name="IQ_TR_TOTAL_HYBRID">"c2319"</definedName>
    <definedName name="IQ_TR_TOTAL_LEGAL_FEES">"c2272"</definedName>
    <definedName name="IQ_TR_TOTAL_NET_TV">"c2320"</definedName>
    <definedName name="IQ_TR_TOTAL_NEWMONEY">"c2289"</definedName>
    <definedName name="IQ_TR_TOTAL_OPTIONS">"c2322"</definedName>
    <definedName name="IQ_TR_TOTAL_OPTIONS_BUYER">"c3026"</definedName>
    <definedName name="IQ_TR_TOTAL_PREFERRED">"c2321"</definedName>
    <definedName name="IQ_TR_TOTAL_REG_AMT">"c2261"</definedName>
    <definedName name="IQ_TR_TOTAL_STOCK">"c2323"</definedName>
    <definedName name="IQ_TR_TOTAL_TAKEDOWNS">"c2278"</definedName>
    <definedName name="IQ_TR_TOTAL_UW_COMP">"c2280"</definedName>
    <definedName name="IQ_TR_TOTALVALUE">"c2400"</definedName>
    <definedName name="IQ_TR_TRANSACTION_TYPE">"c2398"</definedName>
    <definedName name="IQ_TR_WITHDRAWN_DTE">"c2266"</definedName>
    <definedName name="IQ_TRADE_AR">"c1345"</definedName>
    <definedName name="IQ_TRADE_PRINCIPAL">"c1309"</definedName>
    <definedName name="IQ_TRADING_ASSETS">"c1310"</definedName>
    <definedName name="IQ_TRADING_CURRENCY">"c2212"</definedName>
    <definedName name="IQ_TREASURY">"c1311"</definedName>
    <definedName name="IQ_TREASURY_OTHER_EQUITY">"c1312"</definedName>
    <definedName name="IQ_TREASURY_OTHER_EQUITY_BNK">"c1313"</definedName>
    <definedName name="IQ_TREASURY_OTHER_EQUITY_BR">"c1314"</definedName>
    <definedName name="IQ_TREASURY_OTHER_EQUITY_FIN">"c1315"</definedName>
    <definedName name="IQ_TREASURY_OTHER_EQUITY_INS">"c1316"</definedName>
    <definedName name="IQ_TREASURY_OTHER_EQUITY_REIT">"c1317"</definedName>
    <definedName name="IQ_TREASURY_OTHER_EQUITY_UTI">"c1318"</definedName>
    <definedName name="IQ_TREASURY_STOCK">"c1438"</definedName>
    <definedName name="IQ_TRUST_INC">"c1319"</definedName>
    <definedName name="IQ_TRUST_PREF">"c1320"</definedName>
    <definedName name="IQ_TRUST_PREFERRED">"c3029"</definedName>
    <definedName name="IQ_TRUST_PREFERRED_PCT">"c3030"</definedName>
    <definedName name="IQ_UFCF_10YR_ANN_GROWTH">"c1948"</definedName>
    <definedName name="IQ_UFCF_1YR_ANN_GROWTH">"c1943"</definedName>
    <definedName name="IQ_UFCF_2YR_ANN_GROWTH">"c1944"</definedName>
    <definedName name="IQ_UFCF_3YR_ANN_GROWTH">"c1945"</definedName>
    <definedName name="IQ_UFCF_5YR_ANN_GROWTH">"c1946"</definedName>
    <definedName name="IQ_UFCF_7YR_ANN_GROWTH">"c1947"</definedName>
    <definedName name="IQ_UFCF_MARGIN">"c1962"</definedName>
    <definedName name="IQ_ULT_PARENT">"c3037"</definedName>
    <definedName name="IQ_ULT_PARENT_CIQID">"c3039"</definedName>
    <definedName name="IQ_ULT_PARENT_TICKER">"c3038"</definedName>
    <definedName name="IQ_UNAMORT_DISC">"c2513"</definedName>
    <definedName name="IQ_UNAMORT_DISC_PCT">"c2514"</definedName>
    <definedName name="IQ_UNAMORT_PREMIUM">"c2511"</definedName>
    <definedName name="IQ_UNAMORT_PREMIUM_PCT">"c2512"</definedName>
    <definedName name="IQ_UNDRAWN_CP">"c2518"</definedName>
    <definedName name="IQ_UNDRAWN_CREDIT">"c3032"</definedName>
    <definedName name="IQ_UNDRAWN_RC">"c2517"</definedName>
    <definedName name="IQ_UNDRAWN_TL">"c2519"</definedName>
    <definedName name="IQ_UNEARN_PREMIUM">"c1321"</definedName>
    <definedName name="IQ_UNEARN_REV_CURRENT">"c1322"</definedName>
    <definedName name="IQ_UNEARN_REV_CURRENT_BNK">"c1323"</definedName>
    <definedName name="IQ_UNEARN_REV_CURRENT_BR">"c1324"</definedName>
    <definedName name="IQ_UNEARN_REV_CURRENT_FIN">"c1325"</definedName>
    <definedName name="IQ_UNEARN_REV_CURRENT_INS">"c1326"</definedName>
    <definedName name="IQ_UNEARN_REV_CURRENT_REIT">"c1327"</definedName>
    <definedName name="IQ_UNEARN_REV_CURRENT_UTI">"c1328"</definedName>
    <definedName name="IQ_UNEARN_REV_LT">"c1329"</definedName>
    <definedName name="IQ_UNLEVERED_FCF">"c1908"</definedName>
    <definedName name="IQ_UNPAID_CLAIMS">"c1330"</definedName>
    <definedName name="IQ_UNREALIZED_GAIN">"c1619"</definedName>
    <definedName name="IQ_UNSECURED_DEBT">"c2548"</definedName>
    <definedName name="IQ_UNSECURED_DEBT_PCT">"c2549"</definedName>
    <definedName name="IQ_UNUSUAL_EXP">"c1456"</definedName>
    <definedName name="IQ_US_GAAP">"c1331"</definedName>
    <definedName name="IQ_US_GAAP_BASIC_EPS_EXCL">"c2984"</definedName>
    <definedName name="IQ_US_GAAP_BASIC_EPS_INCL">"c2982"</definedName>
    <definedName name="IQ_US_GAAP_BASIC_WEIGHT">"c2980"</definedName>
    <definedName name="IQ_US_GAAP_CA_ADJ">"c2925"</definedName>
    <definedName name="IQ_US_GAAP_CASH_FINAN">"c2945"</definedName>
    <definedName name="IQ_US_GAAP_CASH_FINAN_ADJ">"c2941"</definedName>
    <definedName name="IQ_US_GAAP_CASH_INVEST">"c2944"</definedName>
    <definedName name="IQ_US_GAAP_CASH_INVEST_ADJ">"c2940"</definedName>
    <definedName name="IQ_US_GAAP_CASH_OPER">"c2943"</definedName>
    <definedName name="IQ_US_GAAP_CASH_OPER_ADJ">"c2939"</definedName>
    <definedName name="IQ_US_GAAP_CL_ADJ">"c2927"</definedName>
    <definedName name="IQ_US_GAAP_COST_REV_ADJ">"c2951"</definedName>
    <definedName name="IQ_US_GAAP_DILUT_EPS_EXCL">"c2985"</definedName>
    <definedName name="IQ_US_GAAP_DILUT_EPS_INCL">"c2983"</definedName>
    <definedName name="IQ_US_GAAP_DILUT_NI">"c2979"</definedName>
    <definedName name="IQ_US_GAAP_DILUT_WEIGHT">"c2981"</definedName>
    <definedName name="IQ_US_GAAP_DO_ADJ">"c2959"</definedName>
    <definedName name="IQ_US_GAAP_EXTRA_ACC_ITEMS_ADJ">"c2958"</definedName>
    <definedName name="IQ_US_GAAP_INC_TAX_ADJ">"c2961"</definedName>
    <definedName name="IQ_US_GAAP_INTEREST_EXP_ADJ">"c2957"</definedName>
    <definedName name="IQ_US_GAAP_LIAB_LT_ADJ">"c2928"</definedName>
    <definedName name="IQ_US_GAAP_LIAB_TOTAL_LIAB">"c2933"</definedName>
    <definedName name="IQ_US_GAAP_MINORITY_INTEREST_IS_ADJ">"c2960"</definedName>
    <definedName name="IQ_US_GAAP_NCA_ADJ">"c2926"</definedName>
    <definedName name="IQ_US_GAAP_NET_CHANGE">"c2946"</definedName>
    <definedName name="IQ_US_GAAP_NET_CHANGE_ADJ">"c2942"</definedName>
    <definedName name="IQ_US_GAAP_NI">"c2976"</definedName>
    <definedName name="IQ_US_GAAP_NI_ADJ">"c2963"</definedName>
    <definedName name="IQ_US_GAAP_NI_AVAIL_INCL">"c2978"</definedName>
    <definedName name="IQ_US_GAAP_OTHER_ADJ_ADJ">"c2962"</definedName>
    <definedName name="IQ_US_GAAP_OTHER_NON_OPER_ADJ">"c2955"</definedName>
    <definedName name="IQ_US_GAAP_OTHER_OPER_ADJ">"c2954"</definedName>
    <definedName name="IQ_US_GAAP_RD_ADJ">"c2953"</definedName>
    <definedName name="IQ_US_GAAP_SGA_ADJ">"c2952"</definedName>
    <definedName name="IQ_US_GAAP_TOTAL_ASSETS">"c2931"</definedName>
    <definedName name="IQ_US_GAAP_TOTAL_EQUITY">"c2934"</definedName>
    <definedName name="IQ_US_GAAP_TOTAL_EQUITY_ADJ">"c2929"</definedName>
    <definedName name="IQ_US_GAAP_TOTAL_REV_ADJ">"c2950"</definedName>
    <definedName name="IQ_US_GAAP_TOTAL_UNUSUAL_ADJ">"c2956"</definedName>
    <definedName name="IQ_UTIL_PPE_NET">"c1620"</definedName>
    <definedName name="IQ_UTIL_REV">"c2091"</definedName>
    <definedName name="IQ_UV_PENSION_LIAB">"c1332"</definedName>
    <definedName name="IQ_VALUE_TRADED_LAST_3MTH">"c1530"</definedName>
    <definedName name="IQ_VALUE_TRADED_LAST_6MTH">"c1531"</definedName>
    <definedName name="IQ_VALUE_TRADED_LAST_MTH">"c1529"</definedName>
    <definedName name="IQ_VALUE_TRADED_LAST_WK">"c1528"</definedName>
    <definedName name="IQ_VALUE_TRADED_LAST_YR">"c1532"</definedName>
    <definedName name="IQ_VOL_LAST_3MTH">"c1525"</definedName>
    <definedName name="IQ_VOL_LAST_6MTH">"c1526"</definedName>
    <definedName name="IQ_VOL_LAST_MTH">"c1524"</definedName>
    <definedName name="IQ_VOL_LAST_WK">"c1523"</definedName>
    <definedName name="IQ_VOL_LAST_YR">"c1527"</definedName>
    <definedName name="IQ_VOLUME">"c1333"</definedName>
    <definedName name="IQ_WARRANTS_BEG_OS">"c2698"</definedName>
    <definedName name="IQ_WARRANTS_CANCELLED">"c2701"</definedName>
    <definedName name="IQ_WARRANTS_END_OS">"c2702"</definedName>
    <definedName name="IQ_WARRANTS_EXERCISED">"c2700"</definedName>
    <definedName name="IQ_WARRANTS_ISSUED">"c2699"</definedName>
    <definedName name="IQ_WARRANTS_STRIKE_PRICE_ISSUED">"c2704"</definedName>
    <definedName name="IQ_WARRANTS_STRIKE_PRICE_OS">"c2703"</definedName>
    <definedName name="IQ_WEEK">50000</definedName>
    <definedName name="IQ_WEIGHTED_AVG_PRICE">"c1334"</definedName>
    <definedName name="IQ_WIP_INV">"c1335"</definedName>
    <definedName name="IQ_WORKING_CAP">"c3494"</definedName>
    <definedName name="IQ_WORKMEN_WRITTEN">"c1336"</definedName>
    <definedName name="IQ_XDIV_DATE">"c2203"</definedName>
    <definedName name="IQ_YEARHIGH">"c1337"</definedName>
    <definedName name="IQ_YEARHIGH_DATE">"c2250"</definedName>
    <definedName name="IQ_YEARLOW">"c1338"</definedName>
    <definedName name="IQ_YEARLOW_DATE">"c2251"</definedName>
    <definedName name="IQ_YTD">3000</definedName>
    <definedName name="IQ_YTDMONTH">130000</definedName>
    <definedName name="IQ_YTW">"c2163"</definedName>
    <definedName name="IQ_YTW_DATE">"c2164"</definedName>
    <definedName name="IQ_YTW_DATE_TYPE">"c2165"</definedName>
    <definedName name="IQ_Z_SCORE">"c1339"</definedName>
    <definedName name="iroquois">#REF!</definedName>
    <definedName name="IS_Group">#REF!</definedName>
    <definedName name="ISA">#REF!</definedName>
    <definedName name="IssueDescription">#REF!</definedName>
    <definedName name="IssueNum">#REF!</definedName>
    <definedName name="issueowner">#REF!</definedName>
    <definedName name="Item">OFFSET(#REF!,0,0,COUNTA(#REF!)-1)</definedName>
    <definedName name="IXFRM">#REF!</definedName>
    <definedName name="iyjg" localSheetId="14">{#VALUE!,#N/A,FALSE,0}</definedName>
    <definedName name="iyjg">{#VALUE!,#N/A,FALSE,0}</definedName>
    <definedName name="j">#REF!</definedName>
    <definedName name="J_cutoff">#REF!</definedName>
    <definedName name="JAMCREDITOR">#REF!</definedName>
    <definedName name="JAMPREPAYMENT">#REF!</definedName>
    <definedName name="jan">#REF!</definedName>
    <definedName name="Jan_10">#REF!</definedName>
    <definedName name="Jan3Vol">#REF!</definedName>
    <definedName name="Jane" localSheetId="14">{#N/A,#N/A,FALSE,"Expenditures";#N/A,#N/A,FALSE,"Property Placed In-Service";#N/A,#N/A,FALSE,"Removals";#N/A,#N/A,FALSE,"Retirements";#N/A,#N/A,FALSE,"CWIP Balances";#N/A,#N/A,FALSE,"CWIP_Expend_Ratios";#N/A,#N/A,FALSE,"CWIP_Yr_End"}</definedName>
    <definedName name="Jane">{#N/A,#N/A,FALSE,"Expenditures";#N/A,#N/A,FALSE,"Property Placed In-Service";#N/A,#N/A,FALSE,"Removals";#N/A,#N/A,FALSE,"Retirements";#N/A,#N/A,FALSE,"CWIP Balances";#N/A,#N/A,FALSE,"CWIP_Expend_Ratios";#N/A,#N/A,FALSE,"CWIP_Yr_End"}</definedName>
    <definedName name="Jane_1" localSheetId="14">{#N/A,#N/A,FALSE,"Expenditures";#N/A,#N/A,FALSE,"Property Placed In-Service";#N/A,#N/A,FALSE,"Removals";#N/A,#N/A,FALSE,"Retirements";#N/A,#N/A,FALSE,"CWIP Balances";#N/A,#N/A,FALSE,"CWIP_Expend_Ratios";#N/A,#N/A,FALSE,"CWIP_Yr_End"}</definedName>
    <definedName name="Jane_1">{#N/A,#N/A,FALSE,"Expenditures";#N/A,#N/A,FALSE,"Property Placed In-Service";#N/A,#N/A,FALSE,"Removals";#N/A,#N/A,FALSE,"Retirements";#N/A,#N/A,FALSE,"CWIP Balances";#N/A,#N/A,FALSE,"CWIP_Expend_Ratios";#N/A,#N/A,FALSE,"CWIP_Yr_End"}</definedName>
    <definedName name="Jane_1_1" localSheetId="14">{#N/A,#N/A,FALSE,"Expenditures";#N/A,#N/A,FALSE,"Property Placed In-Service";#N/A,#N/A,FALSE,"Removals";#N/A,#N/A,FALSE,"Retirements";#N/A,#N/A,FALSE,"CWIP Balances";#N/A,#N/A,FALSE,"CWIP_Expend_Ratios";#N/A,#N/A,FALSE,"CWIP_Yr_End"}</definedName>
    <definedName name="Jane_1_1">{#N/A,#N/A,FALSE,"Expenditures";#N/A,#N/A,FALSE,"Property Placed In-Service";#N/A,#N/A,FALSE,"Removals";#N/A,#N/A,FALSE,"Retirements";#N/A,#N/A,FALSE,"CWIP Balances";#N/A,#N/A,FALSE,"CWIP_Expend_Ratios";#N/A,#N/A,FALSE,"CWIP_Yr_End"}</definedName>
    <definedName name="Jane_2" localSheetId="14">{#N/A,#N/A,FALSE,"Expenditures";#N/A,#N/A,FALSE,"Property Placed In-Service";#N/A,#N/A,FALSE,"Removals";#N/A,#N/A,FALSE,"Retirements";#N/A,#N/A,FALSE,"CWIP Balances";#N/A,#N/A,FALSE,"CWIP_Expend_Ratios";#N/A,#N/A,FALSE,"CWIP_Yr_End"}</definedName>
    <definedName name="Jane_2">{#N/A,#N/A,FALSE,"Expenditures";#N/A,#N/A,FALSE,"Property Placed In-Service";#N/A,#N/A,FALSE,"Removals";#N/A,#N/A,FALSE,"Retirements";#N/A,#N/A,FALSE,"CWIP Balances";#N/A,#N/A,FALSE,"CWIP_Expend_Ratios";#N/A,#N/A,FALSE,"CWIP_Yr_End"}</definedName>
    <definedName name="Jane1" localSheetId="14">{#N/A,#N/A,FALSE,"Expenditures";#N/A,#N/A,FALSE,"Property Placed In-Service";#N/A,#N/A,FALSE,"Removals";#N/A,#N/A,FALSE,"Retirements";#N/A,#N/A,FALSE,"CWIP Balances";#N/A,#N/A,FALSE,"CWIP_Expend_Ratios";#N/A,#N/A,FALSE,"CWIP_Yr_End"}</definedName>
    <definedName name="Jane1">{#N/A,#N/A,FALSE,"Expenditures";#N/A,#N/A,FALSE,"Property Placed In-Service";#N/A,#N/A,FALSE,"Removals";#N/A,#N/A,FALSE,"Retirements";#N/A,#N/A,FALSE,"CWIP Balances";#N/A,#N/A,FALSE,"CWIP_Expend_Ratios";#N/A,#N/A,FALSE,"CWIP_Yr_End"}</definedName>
    <definedName name="jane3" localSheetId="14">{#N/A,#N/A,FALSE,"schA"}</definedName>
    <definedName name="jane3">{#N/A,#N/A,FALSE,"schA"}</definedName>
    <definedName name="JanVol">#REF!</definedName>
    <definedName name="JapanAirlines_WACC">#REF!</definedName>
    <definedName name="jb">#REF!</definedName>
    <definedName name="JE_Approved">#REF!</definedName>
    <definedName name="JE_Res_Type">#REF!</definedName>
    <definedName name="JE_Type">#REF!</definedName>
    <definedName name="jeff" localSheetId="14">{#N/A,#N/A,FALSE,"Monthly SAIFI";#N/A,#N/A,FALSE,"Yearly SAIFI";#N/A,#N/A,FALSE,"Monthly CAIDI";#N/A,#N/A,FALSE,"Yearly CAIDI";#N/A,#N/A,FALSE,"Monthly SAIDI";#N/A,#N/A,FALSE,"Yearly SAIDI";#N/A,#N/A,FALSE,"Monthly MAIFI";#N/A,#N/A,FALSE,"Yearly MAIFI";#N/A,#N/A,FALSE,"Monthly Cust &gt;=4 Int"}</definedName>
    <definedName name="jeff">{#N/A,#N/A,FALSE,"Monthly SAIFI";#N/A,#N/A,FALSE,"Yearly SAIFI";#N/A,#N/A,FALSE,"Monthly CAIDI";#N/A,#N/A,FALSE,"Yearly CAIDI";#N/A,#N/A,FALSE,"Monthly SAIDI";#N/A,#N/A,FALSE,"Yearly SAIDI";#N/A,#N/A,FALSE,"Monthly MAIFI";#N/A,#N/A,FALSE,"Yearly MAIFI";#N/A,#N/A,FALSE,"Monthly Cust &gt;=4 Int"}</definedName>
    <definedName name="jetru6">#REF!</definedName>
    <definedName name="jghjgjgfjgj" localSheetId="14">{#N/A,#N/A,FALSE,"Monthly SAIFI";#N/A,#N/A,FALSE,"Yearly SAIFI";#N/A,#N/A,FALSE,"Monthly CAIDI";#N/A,#N/A,FALSE,"Yearly CAIDI";#N/A,#N/A,FALSE,"Monthly SAIDI";#N/A,#N/A,FALSE,"Yearly SAIDI";#N/A,#N/A,FALSE,"Monthly MAIFI";#N/A,#N/A,FALSE,"Yearly MAIFI";#N/A,#N/A,FALSE,"Monthly Cust &gt;=4 Int"}</definedName>
    <definedName name="jghjgjgfjgj">{#N/A,#N/A,FALSE,"Monthly SAIFI";#N/A,#N/A,FALSE,"Yearly SAIFI";#N/A,#N/A,FALSE,"Monthly CAIDI";#N/A,#N/A,FALSE,"Yearly CAIDI";#N/A,#N/A,FALSE,"Monthly SAIDI";#N/A,#N/A,FALSE,"Yearly SAIDI";#N/A,#N/A,FALSE,"Monthly MAIFI";#N/A,#N/A,FALSE,"Yearly MAIFI";#N/A,#N/A,FALSE,"Monthly Cust &gt;=4 Int"}</definedName>
    <definedName name="jh" localSheetId="14">{#N/A,#N/A,FALSE,"schA"}</definedName>
    <definedName name="jh">{#N/A,#N/A,FALSE,"schA"}</definedName>
    <definedName name="jhhh" localSheetId="14">{#N/A,#N/A,FALSE,"schA"}</definedName>
    <definedName name="jhhh">{#N/A,#N/A,FALSE,"schA"}</definedName>
    <definedName name="jj">#REF!</definedName>
    <definedName name="jjj" localSheetId="14">{#N/A,#N/A,FALSE,"schA"}</definedName>
    <definedName name="jjj">{#N/A,#N/A,FALSE,"schA"}</definedName>
    <definedName name="jjjj" localSheetId="14">{#N/A,#N/A,FALSE,"schA"}</definedName>
    <definedName name="jjjj">{#N/A,#N/A,FALSE,"schA"}</definedName>
    <definedName name="jjjjmm" localSheetId="14">{#N/A,#N/A,FALSE,"schA"}</definedName>
    <definedName name="jjjjmm">{#N/A,#N/A,FALSE,"schA"}</definedName>
    <definedName name="jjnn" localSheetId="14">{#N/A,#N/A,FALSE,"Expenditures";#N/A,#N/A,FALSE,"Property Placed In-Service";#N/A,#N/A,FALSE,"CWIP Balances"}</definedName>
    <definedName name="jjnn">{#N/A,#N/A,FALSE,"Expenditures";#N/A,#N/A,FALSE,"Property Placed In-Service";#N/A,#N/A,FALSE,"CWIP Balances"}</definedName>
    <definedName name="jkkk" localSheetId="14">{#N/A,#N/A,FALSE,"schA"}</definedName>
    <definedName name="jkkk">{#N/A,#N/A,FALSE,"schA"}</definedName>
    <definedName name="jlkjlkj">#REF!</definedName>
    <definedName name="John" localSheetId="14">{#N/A,#N/A,FALSE,"Monthly SAIFI";#N/A,#N/A,FALSE,"Yearly SAIFI";#N/A,#N/A,FALSE,"Monthly CAIDI";#N/A,#N/A,FALSE,"Yearly CAIDI";#N/A,#N/A,FALSE,"Monthly SAIDI";#N/A,#N/A,FALSE,"Yearly SAIDI";#N/A,#N/A,FALSE,"Monthly MAIFI";#N/A,#N/A,FALSE,"Yearly MAIFI";#N/A,#N/A,FALSE,"Monthly Cust &gt;=4 Int"}</definedName>
    <definedName name="John">{#N/A,#N/A,FALSE,"Monthly SAIFI";#N/A,#N/A,FALSE,"Yearly SAIFI";#N/A,#N/A,FALSE,"Monthly CAIDI";#N/A,#N/A,FALSE,"Yearly CAIDI";#N/A,#N/A,FALSE,"Monthly SAIDI";#N/A,#N/A,FALSE,"Yearly SAIDI";#N/A,#N/A,FALSE,"Monthly MAIFI";#N/A,#N/A,FALSE,"Yearly MAIFI";#N/A,#N/A,FALSE,"Monthly Cust &gt;=4 Int"}</definedName>
    <definedName name="JR" localSheetId="14">{"Cash - Products",#N/A,FALSE,"SUB BS Flux"}</definedName>
    <definedName name="JR">{"Cash - Products",#N/A,FALSE,"SUB BS Flux"}</definedName>
    <definedName name="jul">#REF!</definedName>
    <definedName name="Jul3Vol">#REF!</definedName>
    <definedName name="JulVol">#REF!</definedName>
    <definedName name="jun">#REF!</definedName>
    <definedName name="Jun3Vol">#REF!</definedName>
    <definedName name="JunVol">#REF!</definedName>
    <definedName name="Jurisdiction">#REF!</definedName>
    <definedName name="k" localSheetId="14">{#N/A,#N/A,FALSE,"Assessment";#N/A,#N/A,FALSE,"Staffing";#N/A,#N/A,FALSE,"Hires";#N/A,#N/A,FALSE,"Assumptions"}</definedName>
    <definedName name="k">{#N/A,#N/A,FALSE,"Assessment";#N/A,#N/A,FALSE,"Staffing";#N/A,#N/A,FALSE,"Hires";#N/A,#N/A,FALSE,"Assumptions"}</definedName>
    <definedName name="k05150total">#REF!</definedName>
    <definedName name="k05151total">#REF!</definedName>
    <definedName name="k05152total">#REF!</definedName>
    <definedName name="k05153total">#REF!</definedName>
    <definedName name="k05154total">#REF!</definedName>
    <definedName name="k05155total">#REF!</definedName>
    <definedName name="k05156total">#REF!</definedName>
    <definedName name="k05157total">#REF!</definedName>
    <definedName name="k05159total">#REF!</definedName>
    <definedName name="k05160total">#REF!</definedName>
    <definedName name="k05161total">#REF!</definedName>
    <definedName name="k05162total">#REF!</definedName>
    <definedName name="K2_WBEVMODE">-1</definedName>
    <definedName name="karen" localSheetId="14">{#N/A,#N/A,FALSE,"schA"}</definedName>
    <definedName name="karen">{#N/A,#N/A,FALSE,"schA"}</definedName>
    <definedName name="KCC" localSheetId="14">MarI18</definedName>
    <definedName name="KCC" localSheetId="25">MarI18</definedName>
    <definedName name="KCC" localSheetId="4">MarI18</definedName>
    <definedName name="KCC" localSheetId="33">MarI18</definedName>
    <definedName name="KCC">MarI18</definedName>
    <definedName name="KCC_E" localSheetId="14">MarI18</definedName>
    <definedName name="KCC_E" localSheetId="25">MarI18</definedName>
    <definedName name="KCC_E" localSheetId="4">MarI18</definedName>
    <definedName name="KCC_E" localSheetId="33">MarI18</definedName>
    <definedName name="KCC_E">MarI18</definedName>
    <definedName name="KEDLI">#REF!</definedName>
    <definedName name="Keyspan_integration_investment">#REF!</definedName>
    <definedName name="kj" localSheetId="14">{#N/A,#N/A,FALSE,"Sheet1"}</definedName>
    <definedName name="kj">{#N/A,#N/A,FALSE,"Sheet1"}</definedName>
    <definedName name="kk" localSheetId="14">{#N/A,#N/A,FALSE,"Assessment";#N/A,#N/A,FALSE,"Staffing";#N/A,#N/A,FALSE,"Hires";#N/A,#N/A,FALSE,"Assumptions"}</definedName>
    <definedName name="kk">{#N/A,#N/A,FALSE,"Assessment";#N/A,#N/A,FALSE,"Staffing";#N/A,#N/A,FALSE,"Hires";#N/A,#N/A,FALSE,"Assumptions"}</definedName>
    <definedName name="KKK" localSheetId="14">{#N/A,#N/A,FALSE,"Assessment";#N/A,#N/A,FALSE,"Staffing";#N/A,#N/A,FALSE,"Hires";#N/A,#N/A,FALSE,"Assumptions"}</definedName>
    <definedName name="KKK">{#N/A,#N/A,FALSE,"Assessment";#N/A,#N/A,FALSE,"Staffing";#N/A,#N/A,FALSE,"Hires";#N/A,#N/A,FALSE,"Assumptions"}</definedName>
    <definedName name="KKK_new" localSheetId="14">{#N/A,#N/A,FALSE,"Assessment";#N/A,#N/A,FALSE,"Staffing";#N/A,#N/A,FALSE,"Hires";#N/A,#N/A,FALSE,"Assumptions"}</definedName>
    <definedName name="KKK_new">{#N/A,#N/A,FALSE,"Assessment";#N/A,#N/A,FALSE,"Staffing";#N/A,#N/A,FALSE,"Hires";#N/A,#N/A,FALSE,"Assumptions"}</definedName>
    <definedName name="KKK_new1" localSheetId="14">{#N/A,#N/A,FALSE,"Assessment";#N/A,#N/A,FALSE,"Staffing";#N/A,#N/A,FALSE,"Hires";#N/A,#N/A,FALSE,"Assumptions"}</definedName>
    <definedName name="KKK_new1">{#N/A,#N/A,FALSE,"Assessment";#N/A,#N/A,FALSE,"Staffing";#N/A,#N/A,FALSE,"Hires";#N/A,#N/A,FALSE,"Assumptions"}</definedName>
    <definedName name="kkkk" localSheetId="14">{#N/A,#N/A,FALSE,"Assessment";#N/A,#N/A,FALSE,"Staffing";#N/A,#N/A,FALSE,"Hires";#N/A,#N/A,FALSE,"Assumptions"}</definedName>
    <definedName name="kkkk">{#N/A,#N/A,FALSE,"Assessment";#N/A,#N/A,FALSE,"Staffing";#N/A,#N/A,FALSE,"Hires";#N/A,#N/A,FALSE,"Assumptions"}</definedName>
    <definedName name="kkkk1" localSheetId="14">{#N/A,#N/A,FALSE,"Assessment";#N/A,#N/A,FALSE,"Staffing";#N/A,#N/A,FALSE,"Hires";#N/A,#N/A,FALSE,"Assumptions"}</definedName>
    <definedName name="kkkk1">{#N/A,#N/A,FALSE,"Assessment";#N/A,#N/A,FALSE,"Staffing";#N/A,#N/A,FALSE,"Hires";#N/A,#N/A,FALSE,"Assumptions"}</definedName>
    <definedName name="kkkkk" localSheetId="14">{#N/A,#N/A,FALSE,"Assessment";#N/A,#N/A,FALSE,"Staffing";#N/A,#N/A,FALSE,"Hires";#N/A,#N/A,FALSE,"Assumptions"}</definedName>
    <definedName name="kkkkk">{#N/A,#N/A,FALSE,"Assessment";#N/A,#N/A,FALSE,"Staffing";#N/A,#N/A,FALSE,"Hires";#N/A,#N/A,FALSE,"Assumptions"}</definedName>
    <definedName name="kkkkk1" localSheetId="14">{#N/A,#N/A,FALSE,"Assessment";#N/A,#N/A,FALSE,"Staffing";#N/A,#N/A,FALSE,"Hires";#N/A,#N/A,FALSE,"Assumptions"}</definedName>
    <definedName name="kkkkk1">{#N/A,#N/A,FALSE,"Assessment";#N/A,#N/A,FALSE,"Staffing";#N/A,#N/A,FALSE,"Hires";#N/A,#N/A,FALSE,"Assumptions"}</definedName>
    <definedName name="kkkkkk" localSheetId="14">{#N/A,#N/A,FALSE,"Assessment";#N/A,#N/A,FALSE,"Staffing";#N/A,#N/A,FALSE,"Hires";#N/A,#N/A,FALSE,"Assumptions"}</definedName>
    <definedName name="kkkkkk">{#N/A,#N/A,FALSE,"Assessment";#N/A,#N/A,FALSE,"Staffing";#N/A,#N/A,FALSE,"Hires";#N/A,#N/A,FALSE,"Assumptions"}</definedName>
    <definedName name="kkkkkk1" localSheetId="14">{#N/A,#N/A,FALSE,"Assessment";#N/A,#N/A,FALSE,"Staffing";#N/A,#N/A,FALSE,"Hires";#N/A,#N/A,FALSE,"Assumptions"}</definedName>
    <definedName name="kkkkkk1">{#N/A,#N/A,FALSE,"Assessment";#N/A,#N/A,FALSE,"Staffing";#N/A,#N/A,FALSE,"Hires";#N/A,#N/A,FALSE,"Assumptions"}</definedName>
    <definedName name="kkkkkkk" localSheetId="14">{#N/A,#N/A,FALSE,"Assessment";#N/A,#N/A,FALSE,"Staffing";#N/A,#N/A,FALSE,"Hires";#N/A,#N/A,FALSE,"Assumptions"}</definedName>
    <definedName name="kkkkkkk">{#N/A,#N/A,FALSE,"Assessment";#N/A,#N/A,FALSE,"Staffing";#N/A,#N/A,FALSE,"Hires";#N/A,#N/A,FALSE,"Assumptions"}</definedName>
    <definedName name="kkmn" localSheetId="14">{#N/A,#N/A,FALSE,"schA"}</definedName>
    <definedName name="kkmn">{#N/A,#N/A,FALSE,"schA"}</definedName>
    <definedName name="klio" localSheetId="14">{"'Metretek HTML'!$A$7:$W$42"}</definedName>
    <definedName name="klio">{"'Metretek HTML'!$A$7:$W$42"}</definedName>
    <definedName name="KLM_WACC">#REF!</definedName>
    <definedName name="km_roic">#REF!</definedName>
    <definedName name="km_rtree">#REF!</definedName>
    <definedName name="km_rtree3">#REF!</definedName>
    <definedName name="km_sales">#REF!</definedName>
    <definedName name="km_wacc">#REF!</definedName>
    <definedName name="km2_roic">#REF!</definedName>
    <definedName name="kmjn" localSheetId="14">{#N/A,#N/A,FALSE,"Expenditures";#N/A,#N/A,FALSE,"Property Placed In-Service";#N/A,#N/A,FALSE,"Removals";#N/A,#N/A,FALSE,"Retirements";#N/A,#N/A,FALSE,"CWIP Balances";#N/A,#N/A,FALSE,"CWIP_Expend_Ratios";#N/A,#N/A,FALSE,"CWIP_Yr_End"}</definedName>
    <definedName name="kmjn">{#N/A,#N/A,FALSE,"Expenditures";#N/A,#N/A,FALSE,"Property Placed In-Service";#N/A,#N/A,FALSE,"Removals";#N/A,#N/A,FALSE,"Retirements";#N/A,#N/A,FALSE,"CWIP Balances";#N/A,#N/A,FALSE,"CWIP_Expend_Ratios";#N/A,#N/A,FALSE,"CWIP_Yr_End"}</definedName>
    <definedName name="KoreanAir_WACC">#REF!</definedName>
    <definedName name="kr_fut_pg">#REF!</definedName>
    <definedName name="kr_roic">#REF!</definedName>
    <definedName name="kr_rtree">#REF!</definedName>
    <definedName name="kr_sales">#REF!</definedName>
    <definedName name="kr_tree3">#REF!</definedName>
    <definedName name="kr_wacc">#REF!</definedName>
    <definedName name="kr2_roic">#REF!</definedName>
    <definedName name="KS_PAYER">#REF!</definedName>
    <definedName name="kslabor">#REF!</definedName>
    <definedName name="L2_ACT_Det">#REF!</definedName>
    <definedName name="L2_ACT_Sum">#REF!</definedName>
    <definedName name="L2_FTE_Det">#REF!</definedName>
    <definedName name="L2_FTE_Sum">#REF!</definedName>
    <definedName name="Labels">OFFSET(#REF!,0,0,COUNTA(#REF!)-1)</definedName>
    <definedName name="LABELTEXTCOLUMN1">#REF!</definedName>
    <definedName name="LABELTEXTROW1">#REF!</definedName>
    <definedName name="LANChile_WACC">#REF!</definedName>
    <definedName name="LargeGold">#REF!</definedName>
    <definedName name="LargeSilver">#REF!</definedName>
    <definedName name="Last_Row">#N/A</definedName>
    <definedName name="LastRowNumber">#N/A</definedName>
    <definedName name="LASTYEAR">#REF!</definedName>
    <definedName name="LDZSOMSA1">#REF!</definedName>
    <definedName name="LDZSOMSA2">#REF!</definedName>
    <definedName name="LDZSOMSA3">#REF!</definedName>
    <definedName name="LDZSOMSA4">#REF!</definedName>
    <definedName name="LE_Name_Lookup">#REF!</definedName>
    <definedName name="LeasePayments">#REF!</definedName>
    <definedName name="LeaseRate">#REF!</definedName>
    <definedName name="LeaseRateAmt">#REF!</definedName>
    <definedName name="legal">#REF!</definedName>
    <definedName name="LI_Percent">#REF!</definedName>
    <definedName name="lic">#REF!</definedName>
    <definedName name="Likelihood___0">#REF!</definedName>
    <definedName name="Line_of_business">#REF!</definedName>
    <definedName name="lipa">#REF!</definedName>
    <definedName name="liquifaction">#REF!</definedName>
    <definedName name="List">#REF!</definedName>
    <definedName name="List_of_Adj">#REF!</definedName>
    <definedName name="LISTAPPLY">#REF!</definedName>
    <definedName name="LISTFINANCIAL">#REF!</definedName>
    <definedName name="LISTNAME_CM">#REF!</definedName>
    <definedName name="ListOffset">1</definedName>
    <definedName name="LISTPROGRAM">#REF!</definedName>
    <definedName name="LISTRESP">#REF!</definedName>
    <definedName name="LK" localSheetId="14">{"'Metretek HTML'!$A$7:$W$42"}</definedName>
    <definedName name="LK">{"'Metretek HTML'!$A$7:$W$42"}</definedName>
    <definedName name="LKECF">#REF!</definedName>
    <definedName name="LKEDefTax">#REF!</definedName>
    <definedName name="LKEDefTaxPA">#REF!</definedName>
    <definedName name="LKEDepreciation">#REF!</definedName>
    <definedName name="LKEEAConsumption">#REF!</definedName>
    <definedName name="LKEEAPurchase">#REF!</definedName>
    <definedName name="LKEEASales">#REF!</definedName>
    <definedName name="LKEGainLossPPE">#REF!</definedName>
    <definedName name="LKEOPEBBurd">#REF!</definedName>
    <definedName name="LKEOPEBExp">#REF!</definedName>
    <definedName name="LKEOPEBFund">#REF!</definedName>
    <definedName name="LKEPensionBurd">#REF!</definedName>
    <definedName name="LKEPensionExp">#REF!</definedName>
    <definedName name="LKEPensionFundSERP">#REF!</definedName>
    <definedName name="LKEPensionProv">#REF!</definedName>
    <definedName name="LKEPensionProvPA">#REF!</definedName>
    <definedName name="LKEPPESales">#REF!</definedName>
    <definedName name="lkj" localSheetId="14">{#N/A,#N/A,FALSE,"schA"}</definedName>
    <definedName name="lkj">{#N/A,#N/A,FALSE,"schA"}</definedName>
    <definedName name="lkl" localSheetId="14">{#N/A,#N/A,FALSE,"DI 2 YEAR MASTER SCHEDULE"}</definedName>
    <definedName name="lkl">{#N/A,#N/A,FALSE,"DI 2 YEAR MASTER SCHEDULE"}</definedName>
    <definedName name="llc.Info" localSheetId="14">{#N/A,#N/A,FALSE,"Income";#N/A,#N/A,FALSE,"Cost of Goods Sold";#N/A,#N/A,FALSE,"Other Costs";#N/A,#N/A,FALSE,"Other Income";#N/A,#N/A,FALSE,"Taxes";#N/A,#N/A,FALSE,"Other Deductions";#N/A,#N/A,FALSE,"Compensation of Officers"}</definedName>
    <definedName name="llc.Info">{#N/A,#N/A,FALSE,"Income";#N/A,#N/A,FALSE,"Cost of Goods Sold";#N/A,#N/A,FALSE,"Other Costs";#N/A,#N/A,FALSE,"Other Income";#N/A,#N/A,FALSE,"Taxes";#N/A,#N/A,FALSE,"Other Deductions";#N/A,#N/A,FALSE,"Compensation of Officers"}</definedName>
    <definedName name="Load">#REF!</definedName>
    <definedName name="LoadDate">#REF!</definedName>
    <definedName name="LoadShape">#REF!</definedName>
    <definedName name="Loan_Amount">#REF!</definedName>
    <definedName name="Loan_Start">#REF!</definedName>
    <definedName name="Loan_Years">#REF!</definedName>
    <definedName name="LOCAL_MYSQL_DATE_FORMAT" localSheetId="14">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25">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4">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33">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REPT(LOCAL_YEAR_FORMAT,4)&amp;LOCAL_DATE_SEPARATOR&amp;REPT(LOCAL_MONTH_FORMAT,2)&amp;LOCAL_DATE_SEPARATOR&amp;REPT(LOCAL_DAY_FORMAT,2)&amp;" "&amp;REPT(LOCAL_HOUR_FORMAT,2)&amp;LOCAL_TIME_SEPARATOR&amp;REPT(LOCAL_MINUTE_FORMAT,2)&amp;LOCAL_TIME_SEPARATOR&amp;REPT(LOCAL_SECOND_FORMAT,2)</definedName>
    <definedName name="Location">#REF!</definedName>
    <definedName name="Locationact">#REF!</definedName>
    <definedName name="logincheck">#REF!</definedName>
    <definedName name="loilpuioopy" localSheetId="14">{#N/A,#N/A,FALSE,"Monthly SAIFI";#N/A,#N/A,FALSE,"Yearly SAIFI";#N/A,#N/A,FALSE,"Monthly CAIDI";#N/A,#N/A,FALSE,"Yearly CAIDI";#N/A,#N/A,FALSE,"Monthly SAIDI";#N/A,#N/A,FALSE,"Yearly SAIDI";#N/A,#N/A,FALSE,"Monthly MAIFI";#N/A,#N/A,FALSE,"Yearly MAIFI";#N/A,#N/A,FALSE,"Monthly Cust &gt;=4 Int"}</definedName>
    <definedName name="loilpuioopy">{#N/A,#N/A,FALSE,"Monthly SAIFI";#N/A,#N/A,FALSE,"Yearly SAIFI";#N/A,#N/A,FALSE,"Monthly CAIDI";#N/A,#N/A,FALSE,"Yearly CAIDI";#N/A,#N/A,FALSE,"Monthly SAIDI";#N/A,#N/A,FALSE,"Yearly SAIDI";#N/A,#N/A,FALSE,"Monthly MAIFI";#N/A,#N/A,FALSE,"Yearly MAIFI";#N/A,#N/A,FALSE,"Monthly Cust &gt;=4 Int"}</definedName>
    <definedName name="loknmn" localSheetId="14">{"summary",#N/A,TRUE,"Coal Inventory Summary";"view 1",#N/A,TRUE,"Coal Inv. By Station";"view 2",#N/A,TRUE,"Coal inv by sta 2";"view 3",#N/A,TRUE,"Coal inv by sta 3";"oil",#N/A,TRUE,"Oil Purchases"}</definedName>
    <definedName name="loknmn">{"summary",#N/A,TRUE,"Coal Inventory Summary";"view 1",#N/A,TRUE,"Coal Inv. By Station";"view 2",#N/A,TRUE,"Coal inv by sta 2";"view 3",#N/A,TRUE,"Coal inv by sta 3";"oil",#N/A,TRUE,"Oil Purchases"}</definedName>
    <definedName name="lowinc">#REF!</definedName>
    <definedName name="LP4BETA0">#REF!</definedName>
    <definedName name="LP4BETA1">#REF!</definedName>
    <definedName name="LP4BETA1TEST">#REF!</definedName>
    <definedName name="LP4BETA2">#REF!</definedName>
    <definedName name="LP4BETA2TEST">#REF!</definedName>
    <definedName name="LP4BETA3">#REF!</definedName>
    <definedName name="LP4BETA4">#REF!</definedName>
    <definedName name="LP4BETA5">#REF!</definedName>
    <definedName name="LP4BETA6">#REF!</definedName>
    <definedName name="LP4BETA7">#REF!</definedName>
    <definedName name="LR_COMPANY">#REF!</definedName>
    <definedName name="LR_CONTRACT_MONTH">#REF!</definedName>
    <definedName name="LR_DEALKEY">#REF!</definedName>
    <definedName name="LR_DEALTYPE">#REF!</definedName>
    <definedName name="LR_DEALVOL">#REF!</definedName>
    <definedName name="LR_DESCRIPTION">#REF!</definedName>
    <definedName name="LR_DOLLARS">#REF!</definedName>
    <definedName name="lsdfj" localSheetId="14">{#N/A,#N/A,FALSE,"Monthly SAIFI";#N/A,#N/A,FALSE,"Yearly SAIFI";#N/A,#N/A,FALSE,"Monthly CAIDI";#N/A,#N/A,FALSE,"Yearly CAIDI";#N/A,#N/A,FALSE,"Monthly SAIDI";#N/A,#N/A,FALSE,"Yearly SAIDI";#N/A,#N/A,FALSE,"Monthly MAIFI";#N/A,#N/A,FALSE,"Yearly MAIFI";#N/A,#N/A,FALSE,"Monthly Cust &gt;=4 Int"}</definedName>
    <definedName name="lsdfj">{#N/A,#N/A,FALSE,"Monthly SAIFI";#N/A,#N/A,FALSE,"Yearly SAIFI";#N/A,#N/A,FALSE,"Monthly CAIDI";#N/A,#N/A,FALSE,"Yearly CAIDI";#N/A,#N/A,FALSE,"Monthly SAIDI";#N/A,#N/A,FALSE,"Yearly SAIDI";#N/A,#N/A,FALSE,"Monthly MAIFI";#N/A,#N/A,FALSE,"Yearly MAIFI";#N/A,#N/A,FALSE,"Monthly Cust &gt;=4 Int"}</definedName>
    <definedName name="lsdjf" localSheetId="14">{#N/A,#N/A,FALSE,"Monthly SAIFI";#N/A,#N/A,FALSE,"Yearly SAIFI";#N/A,#N/A,FALSE,"Monthly CAIDI";#N/A,#N/A,FALSE,"Yearly CAIDI";#N/A,#N/A,FALSE,"Monthly SAIDI";#N/A,#N/A,FALSE,"Yearly SAIDI";#N/A,#N/A,FALSE,"Monthly MAIFI";#N/A,#N/A,FALSE,"Yearly MAIFI";#N/A,#N/A,FALSE,"Monthly Cust &gt;=4 Int"}</definedName>
    <definedName name="lsdjf">{#N/A,#N/A,FALSE,"Monthly SAIFI";#N/A,#N/A,FALSE,"Yearly SAIFI";#N/A,#N/A,FALSE,"Monthly CAIDI";#N/A,#N/A,FALSE,"Yearly CAIDI";#N/A,#N/A,FALSE,"Monthly SAIDI";#N/A,#N/A,FALSE,"Yearly SAIDI";#N/A,#N/A,FALSE,"Monthly MAIFI";#N/A,#N/A,FALSE,"Yearly MAIFI";#N/A,#N/A,FALSE,"Monthly Cust &gt;=4 Int"}</definedName>
    <definedName name="lsdjfl" localSheetId="14">{#N/A,#N/A,FALSE,"Monthly SAIFI";#N/A,#N/A,FALSE,"Yearly SAIFI";#N/A,#N/A,FALSE,"Monthly CAIDI";#N/A,#N/A,FALSE,"Yearly CAIDI";#N/A,#N/A,FALSE,"Monthly SAIDI";#N/A,#N/A,FALSE,"Yearly SAIDI";#N/A,#N/A,FALSE,"Monthly MAIFI";#N/A,#N/A,FALSE,"Yearly MAIFI";#N/A,#N/A,FALSE,"Monthly Cust &gt;=4 Int"}</definedName>
    <definedName name="lsdjfl">{#N/A,#N/A,FALSE,"Monthly SAIFI";#N/A,#N/A,FALSE,"Yearly SAIFI";#N/A,#N/A,FALSE,"Monthly CAIDI";#N/A,#N/A,FALSE,"Yearly CAIDI";#N/A,#N/A,FALSE,"Monthly SAIDI";#N/A,#N/A,FALSE,"Yearly SAIDI";#N/A,#N/A,FALSE,"Monthly MAIFI";#N/A,#N/A,FALSE,"Yearly MAIFI";#N/A,#N/A,FALSE,"Monthly Cust &gt;=4 Int"}</definedName>
    <definedName name="lsdjfls" localSheetId="14">{#N/A,#N/A,FALSE,"Monthly SAIFI";#N/A,#N/A,FALSE,"Yearly SAIFI";#N/A,#N/A,FALSE,"Monthly CAIDI";#N/A,#N/A,FALSE,"Yearly CAIDI";#N/A,#N/A,FALSE,"Monthly SAIDI";#N/A,#N/A,FALSE,"Yearly SAIDI";#N/A,#N/A,FALSE,"Monthly MAIFI";#N/A,#N/A,FALSE,"Yearly MAIFI";#N/A,#N/A,FALSE,"Monthly Cust &gt;=4 Int"}</definedName>
    <definedName name="lsdjfls">{#N/A,#N/A,FALSE,"Monthly SAIFI";#N/A,#N/A,FALSE,"Yearly SAIFI";#N/A,#N/A,FALSE,"Monthly CAIDI";#N/A,#N/A,FALSE,"Yearly CAIDI";#N/A,#N/A,FALSE,"Monthly SAIDI";#N/A,#N/A,FALSE,"Yearly SAIDI";#N/A,#N/A,FALSE,"Monthly MAIFI";#N/A,#N/A,FALSE,"Yearly MAIFI";#N/A,#N/A,FALSE,"Monthly Cust &gt;=4 Int"}</definedName>
    <definedName name="lsdjfsdl" localSheetId="14">{#N/A,#N/A,FALSE,"Monthly SAIFI";#N/A,#N/A,FALSE,"Yearly SAIFI";#N/A,#N/A,FALSE,"Monthly CAIDI";#N/A,#N/A,FALSE,"Yearly CAIDI";#N/A,#N/A,FALSE,"Monthly SAIDI";#N/A,#N/A,FALSE,"Yearly SAIDI";#N/A,#N/A,FALSE,"Monthly MAIFI";#N/A,#N/A,FALSE,"Yearly MAIFI";#N/A,#N/A,FALSE,"Monthly Cust &gt;=4 Int"}</definedName>
    <definedName name="lsdjfsdl">{#N/A,#N/A,FALSE,"Monthly SAIFI";#N/A,#N/A,FALSE,"Yearly SAIFI";#N/A,#N/A,FALSE,"Monthly CAIDI";#N/A,#N/A,FALSE,"Yearly CAIDI";#N/A,#N/A,FALSE,"Monthly SAIDI";#N/A,#N/A,FALSE,"Yearly SAIDI";#N/A,#N/A,FALSE,"Monthly MAIFI";#N/A,#N/A,FALSE,"Yearly MAIFI";#N/A,#N/A,FALSE,"Monthly Cust &gt;=4 Int"}</definedName>
    <definedName name="lsdjfsl" localSheetId="14">{#N/A,#N/A,FALSE,"Monthly SAIFI";#N/A,#N/A,FALSE,"Yearly SAIFI";#N/A,#N/A,FALSE,"Monthly CAIDI";#N/A,#N/A,FALSE,"Yearly CAIDI";#N/A,#N/A,FALSE,"Monthly SAIDI";#N/A,#N/A,FALSE,"Yearly SAIDI";#N/A,#N/A,FALSE,"Monthly MAIFI";#N/A,#N/A,FALSE,"Yearly MAIFI";#N/A,#N/A,FALSE,"Monthly Cust &gt;=4 Int"}</definedName>
    <definedName name="lsdjfsl">{#N/A,#N/A,FALSE,"Monthly SAIFI";#N/A,#N/A,FALSE,"Yearly SAIFI";#N/A,#N/A,FALSE,"Monthly CAIDI";#N/A,#N/A,FALSE,"Yearly CAIDI";#N/A,#N/A,FALSE,"Monthly SAIDI";#N/A,#N/A,FALSE,"Yearly SAIDI";#N/A,#N/A,FALSE,"Monthly MAIFI";#N/A,#N/A,FALSE,"Yearly MAIFI";#N/A,#N/A,FALSE,"Monthly Cust &gt;=4 Int"}</definedName>
    <definedName name="lsjfls" localSheetId="14">{#N/A,#N/A,FALSE,"Monthly SAIFI";#N/A,#N/A,FALSE,"Yearly SAIFI";#N/A,#N/A,FALSE,"Monthly CAIDI";#N/A,#N/A,FALSE,"Yearly CAIDI";#N/A,#N/A,FALSE,"Monthly SAIDI";#N/A,#N/A,FALSE,"Yearly SAIDI";#N/A,#N/A,FALSE,"Monthly MAIFI";#N/A,#N/A,FALSE,"Yearly MAIFI";#N/A,#N/A,FALSE,"Monthly Cust &gt;=4 Int"}</definedName>
    <definedName name="lsjfls">{#N/A,#N/A,FALSE,"Monthly SAIFI";#N/A,#N/A,FALSE,"Yearly SAIFI";#N/A,#N/A,FALSE,"Monthly CAIDI";#N/A,#N/A,FALSE,"Yearly CAIDI";#N/A,#N/A,FALSE,"Monthly SAIDI";#N/A,#N/A,FALSE,"Yearly SAIDI";#N/A,#N/A,FALSE,"Monthly MAIFI";#N/A,#N/A,FALSE,"Yearly MAIFI";#N/A,#N/A,FALSE,"Monthly Cust &gt;=4 Int"}</definedName>
    <definedName name="ltd">#REF!</definedName>
    <definedName name="LU_Dashboard_Selected_Period">#REF!</definedName>
    <definedName name="LU_Data_Term_Basis">#REF!</definedName>
    <definedName name="LU_Denom">#REF!</definedName>
    <definedName name="LU_Eq_Ord_Div_Meth">#REF!</definedName>
    <definedName name="LU_Mth_Days">#REF!</definedName>
    <definedName name="LU_Mth_Names">#REF!</definedName>
    <definedName name="LU_Period_Type_Names">#REF!</definedName>
    <definedName name="LU_Periodicity">#REF!</definedName>
    <definedName name="LU_Pers_In_Yr">#REF!</definedName>
    <definedName name="Lufthansa_WACC">#REF!</definedName>
    <definedName name="LVCATEGORY">#REF!</definedName>
    <definedName name="M">#REF!</definedName>
    <definedName name="m2M3Fuel">#REF!</definedName>
    <definedName name="m3M3Fuel">#REF!</definedName>
    <definedName name="MaCap">#REF!</definedName>
    <definedName name="MaCapAmort">#REF!</definedName>
    <definedName name="Macro_pivot_table">#N/A</definedName>
    <definedName name="Macro1">#N/A</definedName>
    <definedName name="Macro2">#N/A</definedName>
    <definedName name="MainDataRange">#REF!,#REF!,#REF!,#REF!,#REF!,#REF!,#REF!,#REF!,#REF!,#REF!,#REF!</definedName>
    <definedName name="MainTaxWkshtClear">#REF!,#REF!,#REF!,#REF!,#REF!,#REF!,#REF!</definedName>
    <definedName name="majcap">#REF!</definedName>
    <definedName name="MajorPlanningRisk2003">#REF!</definedName>
    <definedName name="MajorPlanningRisk2004">#REF!</definedName>
    <definedName name="MajorRiskTable">#REF!</definedName>
    <definedName name="Malaysia_WACC">#REF!</definedName>
    <definedName name="manarall" localSheetId="25">#REF!,#REF!,#REF!,#REF!,#REF!,#REF!,#REF!,#REF!,#REF!</definedName>
    <definedName name="manarall" localSheetId="4">#REF!,#REF!,#REF!,#REF!,#REF!,#REF!,#REF!,#REF!,#REF!</definedName>
    <definedName name="manarall" localSheetId="33">#REF!,#REF!,#REF!,#REF!,#REF!,#REF!,#REF!,#REF!,#REF!</definedName>
    <definedName name="manarall">#REF!,#REF!,#REF!,#REF!,#REF!,#REF!,#REF!,#REF!,#REF!</definedName>
    <definedName name="Manpower">#REF!</definedName>
    <definedName name="Manpower_Summary">#REF!</definedName>
    <definedName name="mar">#REF!</definedName>
    <definedName name="Mar_10">#REF!</definedName>
    <definedName name="Mar09Table">#REF!</definedName>
    <definedName name="Mar3Vol">#REF!</definedName>
    <definedName name="marginal_tax_rate">#REF!</definedName>
    <definedName name="MarVol">#REF!</definedName>
    <definedName name="MassCLF">#REF!</definedName>
    <definedName name="Masterdata2">#REF!</definedName>
    <definedName name="matsupp_esc">#REF!</definedName>
    <definedName name="may">#REF!</definedName>
    <definedName name="May3Vol">#REF!</definedName>
    <definedName name="MayVol">#REF!</definedName>
    <definedName name="MCC_3var_bar">OFFSET(#REF!,0,0,1,#REF!)</definedName>
    <definedName name="MCC_4var_bar">OFFSET(#REF!,0,0,5,#REF!+1)</definedName>
    <definedName name="MCC_linechart">OFFSET(#REF!,0,0,#REF!+1,6)</definedName>
    <definedName name="MCC_stack_company">OFFSET(#REF!,0,0,,#REF!)</definedName>
    <definedName name="MCC_stack_var1">OFFSET(#REF!,0,0,,#REF!)</definedName>
    <definedName name="MCC_stack_var2">OFFSET(#REF!,0,0,,#REF!)</definedName>
    <definedName name="MDESA">#REF!</definedName>
    <definedName name="Metal">#REF!</definedName>
    <definedName name="Meter_Name">#REF!</definedName>
    <definedName name="metol_roic">#REF!</definedName>
    <definedName name="metol_rtree">#REF!</definedName>
    <definedName name="metol_rtree3">#REF!</definedName>
    <definedName name="metol_sales">#REF!</definedName>
    <definedName name="metol_wacc">#REF!</definedName>
    <definedName name="metol2_roic">#REF!</definedName>
    <definedName name="MF">#REF!</definedName>
    <definedName name="MgnSummary_5Yrs">#REF!</definedName>
    <definedName name="MidMonth2">#REF!</definedName>
    <definedName name="Miller" localSheetId="14">{#N/A,#N/A,FALSE,"Expenditures";#N/A,#N/A,FALSE,"Property Placed In-Service";#N/A,#N/A,FALSE,"CWIP Balances"}</definedName>
    <definedName name="Miller">{#N/A,#N/A,FALSE,"Expenditures";#N/A,#N/A,FALSE,"Property Placed In-Service";#N/A,#N/A,FALSE,"CWIP Balances"}</definedName>
    <definedName name="Miller_1" localSheetId="14">{#N/A,#N/A,FALSE,"Expenditures";#N/A,#N/A,FALSE,"Property Placed In-Service";#N/A,#N/A,FALSE,"CWIP Balances"}</definedName>
    <definedName name="Miller_1">{#N/A,#N/A,FALSE,"Expenditures";#N/A,#N/A,FALSE,"Property Placed In-Service";#N/A,#N/A,FALSE,"CWIP Balances"}</definedName>
    <definedName name="Miller_1_1" localSheetId="14">{#N/A,#N/A,FALSE,"Expenditures";#N/A,#N/A,FALSE,"Property Placed In-Service";#N/A,#N/A,FALSE,"CWIP Balances"}</definedName>
    <definedName name="Miller_1_1">{#N/A,#N/A,FALSE,"Expenditures";#N/A,#N/A,FALSE,"Property Placed In-Service";#N/A,#N/A,FALSE,"CWIP Balances"}</definedName>
    <definedName name="Miller_2" localSheetId="14">{#N/A,#N/A,FALSE,"Expenditures";#N/A,#N/A,FALSE,"Property Placed In-Service";#N/A,#N/A,FALSE,"CWIP Balances"}</definedName>
    <definedName name="Miller_2">{#N/A,#N/A,FALSE,"Expenditures";#N/A,#N/A,FALSE,"Property Placed In-Service";#N/A,#N/A,FALSE,"CWIP Balances"}</definedName>
    <definedName name="MktCase">#REF!</definedName>
    <definedName name="mm" localSheetId="14">{#N/A,#N/A,FALSE,"Year";#N/A,#N/A,FALSE,"Client Savings";#N/A,#N/A,FALSE,"Staged Delivery by Hour";#N/A,#N/A,FALSE,"Hourly Rate By Activity";#N/A,#N/A,FALSE,"Hourly Rate By Custom Resource";#N/A,#N/A,FALSE,"Line of Business Review";#N/A,#N/A,FALSE,"Financials By Custom Resource";#N/A,#N/A,FALSE,"Assumptions";#N/A,#N/A,FALSE,"Sensitivity Analysis";#N/A,#N/A,FALSE,"Financing By Year";#N/A,#N/A,FALSE,"Billings";#N/A,#N/A,FALSE,"Overall Staffing Review"}</definedName>
    <definedName name="mm">{#N/A,#N/A,FALSE,"Year";#N/A,#N/A,FALSE,"Client Savings";#N/A,#N/A,FALSE,"Staged Delivery by Hour";#N/A,#N/A,FALSE,"Hourly Rate By Activity";#N/A,#N/A,FALSE,"Hourly Rate By Custom Resource";#N/A,#N/A,FALSE,"Line of Business Review";#N/A,#N/A,FALSE,"Financials By Custom Resource";#N/A,#N/A,FALSE,"Assumptions";#N/A,#N/A,FALSE,"Sensitivity Analysis";#N/A,#N/A,FALSE,"Financing By Year";#N/A,#N/A,FALSE,"Billings";#N/A,#N/A,FALSE,"Overall Staffing Review"}</definedName>
    <definedName name="mm_1" localSheetId="14">{#N/A,#N/A,FALSE,"Expenditures";#N/A,#N/A,FALSE,"Property Placed In-Service";#N/A,#N/A,FALSE,"Removals";#N/A,#N/A,FALSE,"Retirements";#N/A,#N/A,FALSE,"CWIP Balances";#N/A,#N/A,FALSE,"CWIP_Expend_Ratios";#N/A,#N/A,FALSE,"CWIP_Yr_End"}</definedName>
    <definedName name="mm_1">{#N/A,#N/A,FALSE,"Expenditures";#N/A,#N/A,FALSE,"Property Placed In-Service";#N/A,#N/A,FALSE,"Removals";#N/A,#N/A,FALSE,"Retirements";#N/A,#N/A,FALSE,"CWIP Balances";#N/A,#N/A,FALSE,"CWIP_Expend_Ratios";#N/A,#N/A,FALSE,"CWIP_Yr_End"}</definedName>
    <definedName name="mm_1_1" localSheetId="14">{#N/A,#N/A,FALSE,"Expenditures";#N/A,#N/A,FALSE,"Property Placed In-Service";#N/A,#N/A,FALSE,"Removals";#N/A,#N/A,FALSE,"Retirements";#N/A,#N/A,FALSE,"CWIP Balances";#N/A,#N/A,FALSE,"CWIP_Expend_Ratios";#N/A,#N/A,FALSE,"CWIP_Yr_End"}</definedName>
    <definedName name="mm_1_1">{#N/A,#N/A,FALSE,"Expenditures";#N/A,#N/A,FALSE,"Property Placed In-Service";#N/A,#N/A,FALSE,"Removals";#N/A,#N/A,FALSE,"Retirements";#N/A,#N/A,FALSE,"CWIP Balances";#N/A,#N/A,FALSE,"CWIP_Expend_Ratios";#N/A,#N/A,FALSE,"CWIP_Yr_End"}</definedName>
    <definedName name="mm_2" localSheetId="14">{#N/A,#N/A,FALSE,"Expenditures";#N/A,#N/A,FALSE,"Property Placed In-Service";#N/A,#N/A,FALSE,"Removals";#N/A,#N/A,FALSE,"Retirements";#N/A,#N/A,FALSE,"CWIP Balances";#N/A,#N/A,FALSE,"CWIP_Expend_Ratios";#N/A,#N/A,FALSE,"CWIP_Yr_End"}</definedName>
    <definedName name="mm_2">{#N/A,#N/A,FALSE,"Expenditures";#N/A,#N/A,FALSE,"Property Placed In-Service";#N/A,#N/A,FALSE,"Removals";#N/A,#N/A,FALSE,"Retirements";#N/A,#N/A,FALSE,"CWIP Balances";#N/A,#N/A,FALSE,"CWIP_Expend_Ratios";#N/A,#N/A,FALSE,"CWIP_Yr_End"}</definedName>
    <definedName name="mmkkjk" localSheetId="14">{#N/A,#N/A,FALSE,"Expenditures";#N/A,#N/A,FALSE,"Property Placed In-Service";#N/A,#N/A,FALSE,"CWIP Balances"}</definedName>
    <definedName name="mmkkjk">{#N/A,#N/A,FALSE,"Expenditures";#N/A,#N/A,FALSE,"Property Placed In-Service";#N/A,#N/A,FALSE,"CWIP Balances"}</definedName>
    <definedName name="mmm" localSheetId="14">{#N/A,#N/A,FALSE,"Assessment";#N/A,#N/A,FALSE,"Staffing";#N/A,#N/A,FALSE,"Hires";#N/A,#N/A,FALSE,"Assumptions"}</definedName>
    <definedName name="mmm">{#N/A,#N/A,FALSE,"Assessment";#N/A,#N/A,FALSE,"Staffing";#N/A,#N/A,FALSE,"Hires";#N/A,#N/A,FALSE,"Assumptions"}</definedName>
    <definedName name="mmmm" localSheetId="14">{TRUE,TRUE,-2.75,-17,772.5,449.25,FALSE,TRUE,TRUE,TRUE,0,18,#N/A,1,#N/A,80.75,104.2,1,FALSE,FALSE,3,FALSE,1,FALSE,10,"Swvu.Japan_Capers_Ed_Pub.","ACwvu.Japan_Capers_Ed_Pub.",#N/A,FALSE,FALSE,0,0,0,0,2,"","&amp;R&amp;""Arial,Bold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mmmm">{TRUE,TRUE,-2.75,-17,772.5,449.25,FALSE,TRUE,TRUE,TRUE,0,18,#N/A,1,#N/A,80.75,104.2,1,FALSE,FALSE,3,FALSE,1,FALSE,10,"Swvu.Japan_Capers_Ed_Pub.","ACwvu.Japan_Capers_Ed_Pub.",#N/A,FALSE,FALSE,0,0,0,0,2,"","&amp;R&amp;""Arial,Bold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mnt_proj_dlrs">#REF!</definedName>
    <definedName name="mnt_proj_hrs">#REF!</definedName>
    <definedName name="mnth">#REF!</definedName>
    <definedName name="MNTHCNT1">#REF!</definedName>
    <definedName name="MNTHCNT2">#REF!</definedName>
    <definedName name="MNTHCNT3">#REF!</definedName>
    <definedName name="MNTHCNT4">#REF!</definedName>
    <definedName name="MNTHCNT5">#REF!</definedName>
    <definedName name="MNTHCNT6">#REF!</definedName>
    <definedName name="Model_Name">#REF!</definedName>
    <definedName name="models">#REF!</definedName>
    <definedName name="Module">#REF!</definedName>
    <definedName name="Modules">#REF!</definedName>
    <definedName name="Monetary_Precision">#REF!</definedName>
    <definedName name="Month">#REF!</definedName>
    <definedName name="MonthA">#REF!</definedName>
    <definedName name="monthInYear">#REF!</definedName>
    <definedName name="Monthly">#REF!</definedName>
    <definedName name="MonthNo">#REF!</definedName>
    <definedName name="MONTHREMAIN">#REF!</definedName>
    <definedName name="Months">#REF!</definedName>
    <definedName name="Monthx">#REF!</definedName>
    <definedName name="msa">#REF!</definedName>
    <definedName name="MsNonop">#REF!</definedName>
    <definedName name="Mth_Name">#REF!</definedName>
    <definedName name="MTHjul">#REF!</definedName>
    <definedName name="Mths_In_Yr">#REF!</definedName>
    <definedName name="MTM">#REF!</definedName>
    <definedName name="MTML">#REF!</definedName>
    <definedName name="MvEq">#REF!</definedName>
    <definedName name="MvSO">#REF!</definedName>
    <definedName name="MyNextYear" localSheetId="14">IF(TaxYearEnd="","",TaxYearEnd+365)</definedName>
    <definedName name="MyNextYear" localSheetId="25">IF(TaxYearEnd="","",TaxYearEnd+365)</definedName>
    <definedName name="MyNextYear" localSheetId="4">IF(TaxYearEnd="","",TaxYearEnd+365)</definedName>
    <definedName name="MyNextYear" localSheetId="33">IF(TaxYearEnd="","",TaxYearEnd+365)</definedName>
    <definedName name="MyNextYear">IF(TaxYearEnd="","",TaxYearEnd+365)</definedName>
    <definedName name="n" localSheetId="14">{"Index",#N/A,FALSE,"Index"}</definedName>
    <definedName name="n">{"Index",#N/A,FALSE,"Index"}</definedName>
    <definedName name="N.Unbilled_NonFuel_Rev">#REF!</definedName>
    <definedName name="NA">"N/A"</definedName>
    <definedName name="NAME1">#REF!</definedName>
    <definedName name="names">#REF!</definedName>
    <definedName name="Nametran">#REF!</definedName>
    <definedName name="namik" localSheetId="14">{"'Worksheet'!$A$3:$R$184"}</definedName>
    <definedName name="namik">{"'Worksheet'!$A$3:$R$184"}</definedName>
    <definedName name="nant2016bond">#REF!</definedName>
    <definedName name="NatlFuel_EN">#REF!</definedName>
    <definedName name="NCO_OR">OFFSET(#REF!,0,5,,#REF!)</definedName>
    <definedName name="NE_BDDA">#REF!</definedName>
    <definedName name="NE_BDDN">#REF!</definedName>
    <definedName name="NECO">#REF!</definedName>
    <definedName name="Net_CO_AA">OFFSET(#REF!,0,5,,#REF!)</definedName>
    <definedName name="Net_II_AA">OFFSET(#REF!,0,5,,#REF!)</definedName>
    <definedName name="Net_II_AE">OFFSET(#REF!,0,5,,#REF!)</definedName>
    <definedName name="Net_II_OR">OFFSET(#REF!,0,5,,#REF!)</definedName>
    <definedName name="Net_worth">#REF!</definedName>
    <definedName name="NetLockCust">#REF!</definedName>
    <definedName name="Network">#REF!</definedName>
    <definedName name="new" localSheetId="14">{#N/A,#N/A,FALSE,"Aging Summary";#N/A,#N/A,FALSE,"Ratio Analysis";#N/A,#N/A,FALSE,"Test 120 Day Accts";#N/A,#N/A,FALSE,"Tickmarks"}</definedName>
    <definedName name="new">{#N/A,#N/A,FALSE,"Aging Summary";#N/A,#N/A,FALSE,"Ratio Analysis";#N/A,#N/A,FALSE,"Test 120 Day Accts";#N/A,#N/A,FALSE,"Tickmarks"}</definedName>
    <definedName name="NEW_GL">#REF!</definedName>
    <definedName name="new_name" localSheetId="14">{"Collection report",#N/A,FALSE,"March"}</definedName>
    <definedName name="new_name">{"Collection report",#N/A,FALSE,"March"}</definedName>
    <definedName name="new_name_1" localSheetId="14">{"Collection report",#N/A,FALSE,"March"}</definedName>
    <definedName name="new_name_1">{"Collection report",#N/A,FALSE,"March"}</definedName>
    <definedName name="new_name_1_1" localSheetId="14">{"Collection report",#N/A,FALSE,"March"}</definedName>
    <definedName name="new_name_1_1">{"Collection report",#N/A,FALSE,"March"}</definedName>
    <definedName name="new_name_1_1_1" localSheetId="14">{"Collection report",#N/A,FALSE,"March"}</definedName>
    <definedName name="new_name_1_1_1">{"Collection report",#N/A,FALSE,"March"}</definedName>
    <definedName name="new_name_1_1_1_1" localSheetId="14">{"Collection report",#N/A,FALSE,"March"}</definedName>
    <definedName name="new_name_1_1_1_1">{"Collection report",#N/A,FALSE,"March"}</definedName>
    <definedName name="new_name_1_1_2" localSheetId="14">{"Collection report",#N/A,FALSE,"March"}</definedName>
    <definedName name="new_name_1_1_2">{"Collection report",#N/A,FALSE,"March"}</definedName>
    <definedName name="new_name_1_2" localSheetId="14">{"Collection report",#N/A,FALSE,"March"}</definedName>
    <definedName name="new_name_1_2">{"Collection report",#N/A,FALSE,"March"}</definedName>
    <definedName name="new_name_1_2_1" localSheetId="14">{"Collection report",#N/A,FALSE,"March"}</definedName>
    <definedName name="new_name_1_2_1">{"Collection report",#N/A,FALSE,"March"}</definedName>
    <definedName name="new_name_1_3" localSheetId="14">{"Collection report",#N/A,FALSE,"March"}</definedName>
    <definedName name="new_name_1_3">{"Collection report",#N/A,FALSE,"March"}</definedName>
    <definedName name="new_name_1_3_1" localSheetId="14">{"Collection report",#N/A,FALSE,"March"}</definedName>
    <definedName name="new_name_1_3_1">{"Collection report",#N/A,FALSE,"March"}</definedName>
    <definedName name="new_name_1_4" localSheetId="14">{"Collection report",#N/A,FALSE,"March"}</definedName>
    <definedName name="new_name_1_4">{"Collection report",#N/A,FALSE,"March"}</definedName>
    <definedName name="new_name_1_4_1" localSheetId="14">{"Collection report",#N/A,FALSE,"March"}</definedName>
    <definedName name="new_name_1_4_1">{"Collection report",#N/A,FALSE,"March"}</definedName>
    <definedName name="new_name_1_5" localSheetId="14">{"Collection report",#N/A,FALSE,"March"}</definedName>
    <definedName name="new_name_1_5">{"Collection report",#N/A,FALSE,"March"}</definedName>
    <definedName name="new_name_2" localSheetId="14">{"Collection report",#N/A,FALSE,"March"}</definedName>
    <definedName name="new_name_2">{"Collection report",#N/A,FALSE,"March"}</definedName>
    <definedName name="new_name_2_1" localSheetId="14">{"Collection report",#N/A,FALSE,"March"}</definedName>
    <definedName name="new_name_2_1">{"Collection report",#N/A,FALSE,"March"}</definedName>
    <definedName name="new_name_2_1_1" localSheetId="14">{"Collection report",#N/A,FALSE,"March"}</definedName>
    <definedName name="new_name_2_1_1">{"Collection report",#N/A,FALSE,"March"}</definedName>
    <definedName name="new_name_2_1_1_1" localSheetId="14">{"Collection report",#N/A,FALSE,"March"}</definedName>
    <definedName name="new_name_2_1_1_1">{"Collection report",#N/A,FALSE,"March"}</definedName>
    <definedName name="new_name_2_1_2" localSheetId="14">{"Collection report",#N/A,FALSE,"March"}</definedName>
    <definedName name="new_name_2_1_2">{"Collection report",#N/A,FALSE,"March"}</definedName>
    <definedName name="new_name_2_2" localSheetId="14">{"Collection report",#N/A,FALSE,"March"}</definedName>
    <definedName name="new_name_2_2">{"Collection report",#N/A,FALSE,"March"}</definedName>
    <definedName name="new_name_2_2_1" localSheetId="14">{"Collection report",#N/A,FALSE,"March"}</definedName>
    <definedName name="new_name_2_2_1">{"Collection report",#N/A,FALSE,"March"}</definedName>
    <definedName name="new_name_2_3" localSheetId="14">{"Collection report",#N/A,FALSE,"March"}</definedName>
    <definedName name="new_name_2_3">{"Collection report",#N/A,FALSE,"March"}</definedName>
    <definedName name="new_name_2_3_1" localSheetId="14">{"Collection report",#N/A,FALSE,"March"}</definedName>
    <definedName name="new_name_2_3_1">{"Collection report",#N/A,FALSE,"March"}</definedName>
    <definedName name="new_name_2_4" localSheetId="14">{"Collection report",#N/A,FALSE,"March"}</definedName>
    <definedName name="new_name_2_4">{"Collection report",#N/A,FALSE,"March"}</definedName>
    <definedName name="new_name_2_4_1" localSheetId="14">{"Collection report",#N/A,FALSE,"March"}</definedName>
    <definedName name="new_name_2_4_1">{"Collection report",#N/A,FALSE,"March"}</definedName>
    <definedName name="new_name_2_5" localSheetId="14">{"Collection report",#N/A,FALSE,"March"}</definedName>
    <definedName name="new_name_2_5">{"Collection report",#N/A,FALSE,"March"}</definedName>
    <definedName name="new_name_3" localSheetId="14">{"Collection report",#N/A,FALSE,"March"}</definedName>
    <definedName name="new_name_3">{"Collection report",#N/A,FALSE,"March"}</definedName>
    <definedName name="new_name_3_1" localSheetId="14">{"Collection report",#N/A,FALSE,"March"}</definedName>
    <definedName name="new_name_3_1">{"Collection report",#N/A,FALSE,"March"}</definedName>
    <definedName name="new_name_3_1_1" localSheetId="14">{"Collection report",#N/A,FALSE,"March"}</definedName>
    <definedName name="new_name_3_1_1">{"Collection report",#N/A,FALSE,"March"}</definedName>
    <definedName name="new_name_3_1_1_1" localSheetId="14">{"Collection report",#N/A,FALSE,"March"}</definedName>
    <definedName name="new_name_3_1_1_1">{"Collection report",#N/A,FALSE,"March"}</definedName>
    <definedName name="new_name_3_1_2" localSheetId="14">{"Collection report",#N/A,FALSE,"March"}</definedName>
    <definedName name="new_name_3_1_2">{"Collection report",#N/A,FALSE,"March"}</definedName>
    <definedName name="new_name_3_2" localSheetId="14">{"Collection report",#N/A,FALSE,"March"}</definedName>
    <definedName name="new_name_3_2">{"Collection report",#N/A,FALSE,"March"}</definedName>
    <definedName name="new_name_3_2_1" localSheetId="14">{"Collection report",#N/A,FALSE,"March"}</definedName>
    <definedName name="new_name_3_2_1">{"Collection report",#N/A,FALSE,"March"}</definedName>
    <definedName name="new_name_3_3" localSheetId="14">{"Collection report",#N/A,FALSE,"March"}</definedName>
    <definedName name="new_name_3_3">{"Collection report",#N/A,FALSE,"March"}</definedName>
    <definedName name="new_name_3_3_1" localSheetId="14">{"Collection report",#N/A,FALSE,"March"}</definedName>
    <definedName name="new_name_3_3_1">{"Collection report",#N/A,FALSE,"March"}</definedName>
    <definedName name="new_name_3_4" localSheetId="14">{"Collection report",#N/A,FALSE,"March"}</definedName>
    <definedName name="new_name_3_4">{"Collection report",#N/A,FALSE,"March"}</definedName>
    <definedName name="new_name_3_4_1" localSheetId="14">{"Collection report",#N/A,FALSE,"March"}</definedName>
    <definedName name="new_name_3_4_1">{"Collection report",#N/A,FALSE,"March"}</definedName>
    <definedName name="new_name_3_5" localSheetId="14">{"Collection report",#N/A,FALSE,"March"}</definedName>
    <definedName name="new_name_3_5">{"Collection report",#N/A,FALSE,"March"}</definedName>
    <definedName name="new_name_4" localSheetId="14">{"Collection report",#N/A,FALSE,"March"}</definedName>
    <definedName name="new_name_4">{"Collection report",#N/A,FALSE,"March"}</definedName>
    <definedName name="new_name_4_1" localSheetId="14">{"Collection report",#N/A,FALSE,"March"}</definedName>
    <definedName name="new_name_4_1">{"Collection report",#N/A,FALSE,"March"}</definedName>
    <definedName name="new_name_4_1_1" localSheetId="14">{"Collection report",#N/A,FALSE,"March"}</definedName>
    <definedName name="new_name_4_1_1">{"Collection report",#N/A,FALSE,"March"}</definedName>
    <definedName name="new_name_4_1_1_1" localSheetId="14">{"Collection report",#N/A,FALSE,"March"}</definedName>
    <definedName name="new_name_4_1_1_1">{"Collection report",#N/A,FALSE,"March"}</definedName>
    <definedName name="new_name_4_1_2" localSheetId="14">{"Collection report",#N/A,FALSE,"March"}</definedName>
    <definedName name="new_name_4_1_2">{"Collection report",#N/A,FALSE,"March"}</definedName>
    <definedName name="new_name_4_2" localSheetId="14">{"Collection report",#N/A,FALSE,"March"}</definedName>
    <definedName name="new_name_4_2">{"Collection report",#N/A,FALSE,"March"}</definedName>
    <definedName name="new_name_4_2_1" localSheetId="14">{"Collection report",#N/A,FALSE,"March"}</definedName>
    <definedName name="new_name_4_2_1">{"Collection report",#N/A,FALSE,"March"}</definedName>
    <definedName name="new_name_4_3" localSheetId="14">{"Collection report",#N/A,FALSE,"March"}</definedName>
    <definedName name="new_name_4_3">{"Collection report",#N/A,FALSE,"March"}</definedName>
    <definedName name="new_name_4_3_1" localSheetId="14">{"Collection report",#N/A,FALSE,"March"}</definedName>
    <definedName name="new_name_4_3_1">{"Collection report",#N/A,FALSE,"March"}</definedName>
    <definedName name="new_name_4_4" localSheetId="14">{"Collection report",#N/A,FALSE,"March"}</definedName>
    <definedName name="new_name_4_4">{"Collection report",#N/A,FALSE,"March"}</definedName>
    <definedName name="new_name_4_4_1" localSheetId="14">{"Collection report",#N/A,FALSE,"March"}</definedName>
    <definedName name="new_name_4_4_1">{"Collection report",#N/A,FALSE,"March"}</definedName>
    <definedName name="new_name_4_5" localSheetId="14">{"Collection report",#N/A,FALSE,"March"}</definedName>
    <definedName name="new_name_4_5">{"Collection report",#N/A,FALSE,"March"}</definedName>
    <definedName name="new_name_5" localSheetId="14">{"Collection report",#N/A,FALSE,"March"}</definedName>
    <definedName name="new_name_5">{"Collection report",#N/A,FALSE,"March"}</definedName>
    <definedName name="new_name_5_1" localSheetId="14">{"Collection report",#N/A,FALSE,"March"}</definedName>
    <definedName name="new_name_5_1">{"Collection report",#N/A,FALSE,"March"}</definedName>
    <definedName name="new_name_5_1_1" localSheetId="14">{"Collection report",#N/A,FALSE,"March"}</definedName>
    <definedName name="new_name_5_1_1">{"Collection report",#N/A,FALSE,"March"}</definedName>
    <definedName name="new_name_5_1_1_1" localSheetId="14">{"Collection report",#N/A,FALSE,"March"}</definedName>
    <definedName name="new_name_5_1_1_1">{"Collection report",#N/A,FALSE,"March"}</definedName>
    <definedName name="new_name_5_1_2" localSheetId="14">{"Collection report",#N/A,FALSE,"March"}</definedName>
    <definedName name="new_name_5_1_2">{"Collection report",#N/A,FALSE,"March"}</definedName>
    <definedName name="new_name_5_2" localSheetId="14">{"Collection report",#N/A,FALSE,"March"}</definedName>
    <definedName name="new_name_5_2">{"Collection report",#N/A,FALSE,"March"}</definedName>
    <definedName name="new_name_5_2_1" localSheetId="14">{"Collection report",#N/A,FALSE,"March"}</definedName>
    <definedName name="new_name_5_2_1">{"Collection report",#N/A,FALSE,"March"}</definedName>
    <definedName name="new_name_5_3" localSheetId="14">{"Collection report",#N/A,FALSE,"March"}</definedName>
    <definedName name="new_name_5_3">{"Collection report",#N/A,FALSE,"March"}</definedName>
    <definedName name="new_name_5_3_1" localSheetId="14">{"Collection report",#N/A,FALSE,"March"}</definedName>
    <definedName name="new_name_5_3_1">{"Collection report",#N/A,FALSE,"March"}</definedName>
    <definedName name="new_name_5_4" localSheetId="14">{"Collection report",#N/A,FALSE,"March"}</definedName>
    <definedName name="new_name_5_4">{"Collection report",#N/A,FALSE,"March"}</definedName>
    <definedName name="new_name_5_4_1" localSheetId="14">{"Collection report",#N/A,FALSE,"March"}</definedName>
    <definedName name="new_name_5_4_1">{"Collection report",#N/A,FALSE,"March"}</definedName>
    <definedName name="new_name_5_5" localSheetId="14">{"Collection report",#N/A,FALSE,"March"}</definedName>
    <definedName name="new_name_5_5">{"Collection report",#N/A,FALSE,"March"}</definedName>
    <definedName name="New_Reports" localSheetId="14">{#N/A,#N/A,FALSE,"Year";#N/A,#N/A,FALSE,"Client Savings";#N/A,#N/A,FALSE,"Staged Delivery by Hour";#N/A,#N/A,FALSE,"Hourly Rate By Activity";#N/A,#N/A,FALSE,"Hourly Rate By Custom Resource";#N/A,#N/A,FALSE,"Line of Business Review";#N/A,#N/A,FALSE,"Financials By Custom Resource";#N/A,#N/A,FALSE,"Assumptions";#N/A,#N/A,FALSE,"Sensitivity Analysis";#N/A,#N/A,FALSE,"Financing By Year";#N/A,#N/A,FALSE,"Billings";#N/A,#N/A,FALSE,"Overall Staffing Review"}</definedName>
    <definedName name="New_Reports">{#N/A,#N/A,FALSE,"Year";#N/A,#N/A,FALSE,"Client Savings";#N/A,#N/A,FALSE,"Staged Delivery by Hour";#N/A,#N/A,FALSE,"Hourly Rate By Activity";#N/A,#N/A,FALSE,"Hourly Rate By Custom Resource";#N/A,#N/A,FALSE,"Line of Business Review";#N/A,#N/A,FALSE,"Financials By Custom Resource";#N/A,#N/A,FALSE,"Assumptions";#N/A,#N/A,FALSE,"Sensitivity Analysis";#N/A,#N/A,FALSE,"Financing By Year";#N/A,#N/A,FALSE,"Billings";#N/A,#N/A,FALSE,"Overall Staffing Review"}</definedName>
    <definedName name="new_tab_name">#REF!</definedName>
    <definedName name="newAG" localSheetId="14">{#N/A,#N/A,FALSE,"OIT summ";#N/A,#N/A,FALSE,"otb summ-dental";#N/A,#N/A,FALSE,"otb summ-vision"}</definedName>
    <definedName name="newAG">{#N/A,#N/A,FALSE,"OIT summ";#N/A,#N/A,FALSE,"otb summ-dental";#N/A,#N/A,FALSE,"otb summ-vision"}</definedName>
    <definedName name="NEWBU">#REF!</definedName>
    <definedName name="newbud">#REF!</definedName>
    <definedName name="NEWDEPT">#REF!</definedName>
    <definedName name="newname" localSheetId="14">{"'Worksheet'!$A$3:$R$184"}</definedName>
    <definedName name="newname">{"'Worksheet'!$A$3:$R$184"}</definedName>
    <definedName name="NEWPROJ2">#REF!</definedName>
    <definedName name="newsheet" localSheetId="14">{"'Worksheet'!$A$3:$R$184"}</definedName>
    <definedName name="newsheet">{"'Worksheet'!$A$3:$R$184"}</definedName>
    <definedName name="neww">#REF!</definedName>
    <definedName name="nfFuel">#REF!</definedName>
    <definedName name="NG_PAYER">#REF!</definedName>
    <definedName name="Ngrid">#REF!</definedName>
    <definedName name="nhb" localSheetId="14">{#N/A,#N/A,FALSE,"Expenditures";#N/A,#N/A,FALSE,"Property Placed In-Service";#N/A,#N/A,FALSE,"Removals";#N/A,#N/A,FALSE,"Retirements";#N/A,#N/A,FALSE,"CWIP Balances";#N/A,#N/A,FALSE,"CWIP_Expend_Ratios";#N/A,#N/A,FALSE,"CWIP_Yr_End"}</definedName>
    <definedName name="nhb">{#N/A,#N/A,FALSE,"Expenditures";#N/A,#N/A,FALSE,"Property Placed In-Service";#N/A,#N/A,FALSE,"Removals";#N/A,#N/A,FALSE,"Retirements";#N/A,#N/A,FALSE,"CWIP Balances";#N/A,#N/A,FALSE,"CWIP_Expend_Ratios";#N/A,#N/A,FALSE,"CWIP_Yr_End"}</definedName>
    <definedName name="NIMO_DEALTYPE">#REF!</definedName>
    <definedName name="NIMO_MONTH">#REF!</definedName>
    <definedName name="NIMO_MTM">#REF!</definedName>
    <definedName name="NIMO_PNL">#REF!</definedName>
    <definedName name="ninemile">#REF!</definedName>
    <definedName name="nm2008cus">#REF!</definedName>
    <definedName name="nm2008thm">#REF!</definedName>
    <definedName name="nm2009cus">#REF!</definedName>
    <definedName name="nm2009thm">#REF!</definedName>
    <definedName name="nm2010cus">#REF!</definedName>
    <definedName name="nm2010thm">#REF!</definedName>
    <definedName name="nm2011cus">#REF!</definedName>
    <definedName name="nm2011cus6D">#REF!</definedName>
    <definedName name="nm2011thm">#REF!</definedName>
    <definedName name="nm2011thm6D">#REF!</definedName>
    <definedName name="nmmm" localSheetId="14">{#N/A,#N/A,FALSE,"Expenditures";#N/A,#N/A,FALSE,"Property Placed In-Service";#N/A,#N/A,FALSE,"Removals";#N/A,#N/A,FALSE,"Retirements";#N/A,#N/A,FALSE,"CWIP Balances";#N/A,#N/A,FALSE,"CWIP_Expend_Ratios";#N/A,#N/A,FALSE,"CWIP_Yr_End"}</definedName>
    <definedName name="nmmm">{#N/A,#N/A,FALSE,"Expenditures";#N/A,#N/A,FALSE,"Property Placed In-Service";#N/A,#N/A,FALSE,"Removals";#N/A,#N/A,FALSE,"Retirements";#N/A,#N/A,FALSE,"CWIP Balances";#N/A,#N/A,FALSE,"CWIP_Expend_Ratios";#N/A,#N/A,FALSE,"CWIP_Yr_End"}</definedName>
    <definedName name="nn" localSheetId="14">{#N/A,#N/A,FALSE,"PRJCTED QTRLY $'s"}</definedName>
    <definedName name="nn">{#N/A,#N/A,FALSE,"PRJCTED QTRLY $'s"}</definedName>
    <definedName name="nnbb" localSheetId="14">{#N/A,#N/A,FALSE,"Sheet1"}</definedName>
    <definedName name="nnbb">{#N/A,#N/A,FALSE,"Sheet1"}</definedName>
    <definedName name="nnbnn" localSheetId="14">{#N/A,#N/A,FALSE,"schA"}</definedName>
    <definedName name="nnbnn">{#N/A,#N/A,FALSE,"schA"}</definedName>
    <definedName name="nnj" localSheetId="14">{#N/A,#N/A,FALSE,"schA"}</definedName>
    <definedName name="nnj">{#N/A,#N/A,FALSE,"schA"}</definedName>
    <definedName name="nnnmbvvb" localSheetId="14">{#N/A,#N/A,FALSE,"schA"}</definedName>
    <definedName name="nnnmbvvb">{#N/A,#N/A,FALSE,"schA"}</definedName>
    <definedName name="nnnmm" localSheetId="14">{#N/A,#N/A,TRUE,"TOTALS";#N/A,#N/A,TRUE,"BULK POWER";#N/A,#N/A,TRUE,"SUSQUEHANNA REGION";#N/A,#N/A,TRUE,"NE REGION - SCRANTON AREA";#N/A,#N/A,TRUE,"NE REGION - HONESDALE AREA";#N/A,#N/A,TRUE,"NE REGION - HAZ_WB AREA";#N/A,#N/A,TRUE,"LEHIGH REGION";#N/A,#N/A,TRUE,"HARRISBURG REGION";#N/A,#N/A,TRUE,"LANCASTER REGION";#N/A,#N/A,TRUE,"REGIONAL POOL ITEMS";#N/A,#N/A,TRUE,"AREA POOLS ITEMS";#N/A,#N/A,TRUE,"AREA SUPPLY BLANKET ITEMS";#N/A,#N/A,TRUE,"SCADA BUDGET ITEMS"}</definedName>
    <definedName name="nnnmm">{#N/A,#N/A,TRUE,"TOTALS";#N/A,#N/A,TRUE,"BULK POWER";#N/A,#N/A,TRUE,"SUSQUEHANNA REGION";#N/A,#N/A,TRUE,"NE REGION - SCRANTON AREA";#N/A,#N/A,TRUE,"NE REGION - HONESDALE AREA";#N/A,#N/A,TRUE,"NE REGION - HAZ_WB AREA";#N/A,#N/A,TRUE,"LEHIGH REGION";#N/A,#N/A,TRUE,"HARRISBURG REGION";#N/A,#N/A,TRUE,"LANCASTER REGION";#N/A,#N/A,TRUE,"REGIONAL POOL ITEMS";#N/A,#N/A,TRUE,"AREA POOLS ITEMS";#N/A,#N/A,TRUE,"AREA SUPPLY BLANKET ITEMS";#N/A,#N/A,TRUE,"SCADA BUDGET ITEMS"}</definedName>
    <definedName name="non_cap_int">#REF!</definedName>
    <definedName name="Non_IE_AA">OFFSET(#REF!,0,5,,#REF!)</definedName>
    <definedName name="Non_IE_AE">OFFSET(#REF!,0,5,,#REF!)</definedName>
    <definedName name="Non_IE_OR">OFFSET(#REF!,0,5,,#REF!)</definedName>
    <definedName name="Non_II_AA">OFFSET(#REF!,0,5,,#REF!)</definedName>
    <definedName name="Non_II_AE">OFFSET(#REF!,0,5,,#REF!)</definedName>
    <definedName name="Non_II_OR">OFFSET(#REF!,0,5,,#REF!)</definedName>
    <definedName name="NOOFFFSEGMENTS1">#REF!</definedName>
    <definedName name="NOPBT_OR">OFFSET(#REF!,0,5,,#REF!)</definedName>
    <definedName name="NOPLAT_AA">OFFSET(#REF!,0,5,,#REF!)</definedName>
    <definedName name="Northwest_WACC">#REF!</definedName>
    <definedName name="nov">#REF!</definedName>
    <definedName name="Nov_09">#REF!</definedName>
    <definedName name="Nov3Vol">#REF!</definedName>
    <definedName name="NovVol">#REF!</definedName>
    <definedName name="nox">#REF!</definedName>
    <definedName name="nox_cost">#REF!</definedName>
    <definedName name="nox_esc">#REF!</definedName>
    <definedName name="NR">!$A2:$IV2</definedName>
    <definedName name="NrEutmLink1">#REF!</definedName>
    <definedName name="NrEutmLink10">#REF!,#REF!</definedName>
    <definedName name="NrEutmLink11">#REF!,#REF!</definedName>
    <definedName name="NrEutmLink2">#REF!</definedName>
    <definedName name="NrEutmLink3">#REF!</definedName>
    <definedName name="NrEutmLink4">#REF!</definedName>
    <definedName name="NrEutmLink5">#REF!</definedName>
    <definedName name="NrEutmLink6">#REF!</definedName>
    <definedName name="NrEutmLink7">#REF!,#REF!</definedName>
    <definedName name="NrEutmLink8">#REF!,#REF!,#REF!</definedName>
    <definedName name="NrEutmLink9">#REF!,#REF!</definedName>
    <definedName name="NrHolidays">#REF!</definedName>
    <definedName name="NSProjectionMethodIndex">#REF!</definedName>
    <definedName name="NSRequiredLevelOfEvidenceItems">#REF!</definedName>
    <definedName name="NSTargetedTestingItems">#REF!</definedName>
    <definedName name="NU_DEAL_KEY">#REF!</definedName>
    <definedName name="NUC_BUY_SELL_FLAG">#REF!</definedName>
    <definedName name="NUC_CO_NAME">#REF!</definedName>
    <definedName name="NUC_CONTRACT_MONTH">#REF!</definedName>
    <definedName name="NUC_DEAL_TYPE">#REF!</definedName>
    <definedName name="NUC_DEAL_VOL">#REF!</definedName>
    <definedName name="NUC_DEAL_VOL_2">#REF!</definedName>
    <definedName name="NUC_DESCRIPTION">#REF!</definedName>
    <definedName name="NUC_DESIGNATION">#REF!</definedName>
    <definedName name="NUC_FAS157LEVEL">#REF!</definedName>
    <definedName name="NUC_GAINLOSS_KEY">#REF!</definedName>
    <definedName name="NUC_NETMONTH_PNL">#REF!</definedName>
    <definedName name="NUC_NOTIONAL_USD">#REF!</definedName>
    <definedName name="NUC_NOTIONAL_VOLUME">#REF!</definedName>
    <definedName name="NUC_PNL">#REF!</definedName>
    <definedName name="NUC_PRICE_2">#REF!</definedName>
    <definedName name="Nuclear_Prices">#REF!</definedName>
    <definedName name="Nuclear2">#REF!</definedName>
    <definedName name="Nuclear3">#REF!</definedName>
    <definedName name="Nuclear4">#REF!</definedName>
    <definedName name="Nuclear5">#REF!</definedName>
    <definedName name="Nuclear6">#REF!</definedName>
    <definedName name="Number_of_Payments" localSheetId="14">MATCH(0.01,End_Bal,-1)+1</definedName>
    <definedName name="Number_of_Payments">MATCH(0.01,End_Bal,-1)+1</definedName>
    <definedName name="NUMBEROFDETAILFIELDS1">#REF!</definedName>
    <definedName name="NUMBEROFHEADERFIELDS1">#REF!</definedName>
    <definedName name="NVisionBS">#REF!</definedName>
    <definedName name="NVisionBSAccounts">#REF!</definedName>
    <definedName name="NVisionBSBalances">#REF!</definedName>
    <definedName name="NVisionBSEFBalances">#REF!</definedName>
    <definedName name="NVisionBSEUBalances">#REF!</definedName>
    <definedName name="NVisionBSLKEBal">#REF!</definedName>
    <definedName name="NVisionESBS">#REF!</definedName>
    <definedName name="NVisionESBSBalances">#REF!</definedName>
    <definedName name="NVisionIS">#REF!</definedName>
    <definedName name="NVisionISBalances">#REF!</definedName>
    <definedName name="NVisionISES">#REF!</definedName>
    <definedName name="NVisionISESBalances">#REF!</definedName>
    <definedName name="NVisionISEUBal">#REF!</definedName>
    <definedName name="NVisionISLKEBal">#REF!</definedName>
    <definedName name="NVisionISLMBBalances">#REF!</definedName>
    <definedName name="NvsASD">"V2001-02-28"</definedName>
    <definedName name="NvsASD_1">"V2009-12-31"</definedName>
    <definedName name="NvsASD_2">"V2012-02-29"</definedName>
    <definedName name="NvsASD_3">"V2011-03-31"</definedName>
    <definedName name="NvsASD_3_1">"V2010-12-31"</definedName>
    <definedName name="NvsASD_3_1_1">"V2011-03-31"</definedName>
    <definedName name="NvsASD_3_1_1_1">"V2010-12-31"</definedName>
    <definedName name="NvsASD_4">"V2011-03-31"</definedName>
    <definedName name="NvsASD_5">"V2009-08-31"</definedName>
    <definedName name="NvsASD1">"V2008-07-31"</definedName>
    <definedName name="NvsAutoDrillOk">"VN"</definedName>
    <definedName name="NvsElapsedTime">0.000805439813120756</definedName>
    <definedName name="NvsElapsedTime_1">0.000115740738692693</definedName>
    <definedName name="NvsElapsedTime_2">0.00070601851621177</definedName>
    <definedName name="NvsElapsedTime_3">0.000937500000873115</definedName>
    <definedName name="NvsElapsedTime_3_1">0.000613425923802424</definedName>
    <definedName name="NvsElapsedTime_3_1_1">0.000937500000873115</definedName>
    <definedName name="NvsElapsedTime_3_1_1_1">0.000613425923802424</definedName>
    <definedName name="NvsElapsedTime_4">0.000937500000873115</definedName>
    <definedName name="NvsElapsedTime_5">0.0000347222230629995</definedName>
    <definedName name="NvsEndTime">36956.0065459491</definedName>
    <definedName name="NvsEndTime_1">40192.024212963</definedName>
    <definedName name="NvsEndTime_2">40975.1103935185</definedName>
    <definedName name="NvsEndTime_3">40656.0630324074</definedName>
    <definedName name="NvsEndTime_3_1">40374.0331597222</definedName>
    <definedName name="NvsEndTime_3_1_1">40656.0630324074</definedName>
    <definedName name="NvsEndTime_3_1_1_1">40374.0331597222</definedName>
    <definedName name="NvsEndTime_4">40656.0630324074</definedName>
    <definedName name="NvsEndTime_5">41067.0619675926</definedName>
    <definedName name="NvsEndTime1">40579.062199074</definedName>
    <definedName name="NvsInstanceHook">"NG_Delete_Cols"</definedName>
    <definedName name="NvsInstLang">"VENG"</definedName>
    <definedName name="NvsInstSpec">"%,FDEPTID,TFF_TREE_DEPTID,NIT_CID"</definedName>
    <definedName name="NvsInstSpec_1">"%"</definedName>
    <definedName name="NvsInstSpec_3">"%,FBUSINESS_UNIT,V00005"</definedName>
    <definedName name="NvsInstSpec1">","</definedName>
    <definedName name="NvsInstSpec2">","</definedName>
    <definedName name="NvsInstSpec3">","</definedName>
    <definedName name="NvsInstSpec4">","</definedName>
    <definedName name="NvsInstSpec5">","</definedName>
    <definedName name="NvsInstSpec6">","</definedName>
    <definedName name="NvsInstSpec7">","</definedName>
    <definedName name="NvsInstSpec8">","</definedName>
    <definedName name="NvsInstSpec9">","</definedName>
    <definedName name="NvsLayoutType">"M3"</definedName>
    <definedName name="NvsNplSpec">"%,XZF.ACCOUNT.PSDetail"</definedName>
    <definedName name="NvsNplSpec_1">"%,X,RPF..,CZF.BUSINESS_UNIT."</definedName>
    <definedName name="NvsNplSpec_2">"%,X,RZF..,CZF.."</definedName>
    <definedName name="NvsPanelBusUnit">"V"</definedName>
    <definedName name="NvsPanelBusUnit_1">"V"</definedName>
    <definedName name="NvsPanelBusUnit_2">"V00005"</definedName>
    <definedName name="NvsPanelEffdt">"V2001-02-27"</definedName>
    <definedName name="NvsPanelEffdt_1">"V2003-11-14"</definedName>
    <definedName name="NvsPanelEffdt_2">"V2003-07-01"</definedName>
    <definedName name="NvsPanelEffdt_3">"V2003-11-05"</definedName>
    <definedName name="NvsPanelSetid">"VFFIC"</definedName>
    <definedName name="NvsParentRef">#REF!</definedName>
    <definedName name="NvsReqBU">"V001"</definedName>
    <definedName name="NvsReqBUOnly">"VN"</definedName>
    <definedName name="NvsStyleNme">"NoFormat.xls"</definedName>
    <definedName name="NvsTransLed">"VN"</definedName>
    <definedName name="NvsTreeASD">"V2001-02-28"</definedName>
    <definedName name="NvsTreeASD_1">"V2009-12-31"</definedName>
    <definedName name="NvsTreeASD_2">"V2012-02-29"</definedName>
    <definedName name="NvsTreeASD_3">"V2011-03-31"</definedName>
    <definedName name="NvsTreeASD_3_1">"V2010-12-31"</definedName>
    <definedName name="NvsTreeASD_3_1_1">"V2011-03-31"</definedName>
    <definedName name="NvsTreeASD_3_1_1_1">"V2010-12-31"</definedName>
    <definedName name="NvsTreeASD_4">"V2011-03-31"</definedName>
    <definedName name="NvsTreeASD_5">"V2009-08-31"</definedName>
    <definedName name="NvsTreeASD1">"V2007-03-31"</definedName>
    <definedName name="NvsValTbl.ACCOUNT">"GL_ACCOUNT_TBL"</definedName>
    <definedName name="NvsValTbl.AFFILIATE">"BUS_UNIT_TBL_FS"</definedName>
    <definedName name="NvsValTbl.AFFILIATE_1">"BUS_UNIT_TBL_FS"</definedName>
    <definedName name="NvsValTbl.AFFILIATE_2">"BUS_UNIT_TBL_GL"</definedName>
    <definedName name="NvsValTbl.AFFILIATE_2_1">"AFFILIATE_VW"</definedName>
    <definedName name="NvsValTbl.AFFILIATE_2_1_1">"BUS_UNIT_TBL_GL"</definedName>
    <definedName name="NvsValTbl.AFFILIATE_2_1_1_1">"AFFILIATE_VW"</definedName>
    <definedName name="NvsValTbl.AFFILIATE_3">"BUS_UNIT_TBL_GL"</definedName>
    <definedName name="NvsValTbl.AFFILIATE_INTRA1">"AFFINTRA1_VW"</definedName>
    <definedName name="NvsValTbl.BUSINESS_UNIT">"BUS_UNIT_TBL_FS"</definedName>
    <definedName name="NvsValTbl.CHARTFIELD1">"CHARTFIELD1_TBL"</definedName>
    <definedName name="NvsValTbl.CHARTFIELD2">"CHARTFIELD2_TBL"</definedName>
    <definedName name="NvsValTbl.CHARTFIELD3">"CHARTFIELD3_TBL"</definedName>
    <definedName name="NvsValTbl.CURRENCY_CD">"CHARTFIELD2_TBL"</definedName>
    <definedName name="NvsValTbl.DEPTID">"DEPARTMENT_TBL"</definedName>
    <definedName name="NvsValTbl.OPERATING_UNIT">"OPER_UNIT_TBL"</definedName>
    <definedName name="NvsValTbl.PPL_CONS_RES_CTR">"PPL_CRC_ALL_VW"</definedName>
    <definedName name="NvsValTbl.PPL_CUST_SEGMENT">"GL_ACCOUNT_TBL"</definedName>
    <definedName name="NvsValTbl.PPL_FACILITY">"PPL_FAC_BUGL_VW"</definedName>
    <definedName name="NvsValTbl.PRODUCT">"PROD_ALL_VW"</definedName>
    <definedName name="NvsValTbl.PROGRAM_CODE">"PROGRAM_TBL"</definedName>
    <definedName name="NvsValTbl.PROJECT_ID">"PPL_ALL_PROJ_VW"</definedName>
    <definedName name="NvsValTbl.SCENARIO">"BD_SCENARIO_TBL"</definedName>
    <definedName name="NvsValTbl.STATISTICS_CODE">"STAT_TBL"</definedName>
    <definedName name="NvsValTbl.TREE_NODE">"TREE_NODE_VW"</definedName>
    <definedName name="NvsValTbl.U_GL_RES_GROUP">"U_SUM_LEDGER"</definedName>
    <definedName name="NvsValTbl.U_GL_RESOURCE">"U_GLRESOURCE_VW"</definedName>
    <definedName name="NvsValTbl.U_PROCESS">"U_PROCESS_AL_VW"</definedName>
    <definedName name="NY_Base">#REF!</definedName>
    <definedName name="NY_FIRM_SLOPE">#REF!</definedName>
    <definedName name="NY_TCBASE">#REF!</definedName>
    <definedName name="NY_TCSLOPE">#REF!</definedName>
    <definedName name="NYMEX">#REF!</definedName>
    <definedName name="NYMEX_PRICES">#REF!</definedName>
    <definedName name="NYPACResid">#REF!</definedName>
    <definedName name="NYPAIndusSpec2">#REF!</definedName>
    <definedName name="NYPAOn">#REF!</definedName>
    <definedName name="NYPAOnE">#REF!</definedName>
    <definedName name="NYPAOnF">#REF!</definedName>
    <definedName name="NYPAOnP">#REF!</definedName>
    <definedName name="NYPAWE">#REF!</definedName>
    <definedName name="NYPAWEE">#REF!</definedName>
    <definedName name="NYPAWEF">#REF!</definedName>
    <definedName name="NYPAWEP">#REF!</definedName>
    <definedName name="NYPAWN">#REF!</definedName>
    <definedName name="NYPAWNE">#REF!</definedName>
    <definedName name="NYPAWNF">#REF!</definedName>
    <definedName name="NYPAWNP">#REF!</definedName>
    <definedName name="NYPAWResid">#REF!</definedName>
    <definedName name="o" localSheetId="14">{"Cash - Products",#N/A,FALSE,"SUB BS Flux"}</definedName>
    <definedName name="o">{"Cash - Products",#N/A,FALSE,"SUB BS Flux"}</definedName>
    <definedName name="oc">#REF!</definedName>
    <definedName name="OCI_2_Copy">#REF!</definedName>
    <definedName name="Oct">#REF!</definedName>
    <definedName name="Oct3Vol">#REF!</definedName>
    <definedName name="OctVol">#REF!</definedName>
    <definedName name="OE_OR">OFFSET(#REF!,0,5,,#REF!)</definedName>
    <definedName name="OffD">#REF!</definedName>
    <definedName name="Oil_Prices">#REF!</definedName>
    <definedName name="OILPRICETBLE1">#REF!</definedName>
    <definedName name="oiuu" localSheetId="14">{#N/A,#N/A,FALSE,"schA"}</definedName>
    <definedName name="oiuu">{#N/A,#N/A,FALSE,"schA"}</definedName>
    <definedName name="old" localSheetId="14">{#N/A,#N/A,FALSE,"Income";#N/A,#N/A,FALSE,"Cost of Goods Sold";#N/A,#N/A,FALSE,"Other Costs";#N/A,#N/A,FALSE,"Other Income";#N/A,#N/A,FALSE,"Taxes";#N/A,#N/A,FALSE,"Other Deductions";#N/A,#N/A,FALSE,"Compensation of Officers"}</definedName>
    <definedName name="old">{#N/A,#N/A,FALSE,"Income";#N/A,#N/A,FALSE,"Cost of Goods Sold";#N/A,#N/A,FALSE,"Other Costs";#N/A,#N/A,FALSE,"Other Income";#N/A,#N/A,FALSE,"Taxes";#N/A,#N/A,FALSE,"Other Deductions";#N/A,#N/A,FALSE,"Compensation of Officers"}</definedName>
    <definedName name="old_name" localSheetId="14">{"Collection report",#N/A,FALSE,"March"}</definedName>
    <definedName name="old_name">{"Collection report",#N/A,FALSE,"March"}</definedName>
    <definedName name="old_name_1" localSheetId="14">{"Collection report",#N/A,FALSE,"March"}</definedName>
    <definedName name="old_name_1">{"Collection report",#N/A,FALSE,"March"}</definedName>
    <definedName name="old_name_1_1" localSheetId="14">{"Collection report",#N/A,FALSE,"March"}</definedName>
    <definedName name="old_name_1_1">{"Collection report",#N/A,FALSE,"March"}</definedName>
    <definedName name="old_name_1_1_1" localSheetId="14">{"Collection report",#N/A,FALSE,"March"}</definedName>
    <definedName name="old_name_1_1_1">{"Collection report",#N/A,FALSE,"March"}</definedName>
    <definedName name="old_name_1_1_1_1" localSheetId="14">{"Collection report",#N/A,FALSE,"March"}</definedName>
    <definedName name="old_name_1_1_1_1">{"Collection report",#N/A,FALSE,"March"}</definedName>
    <definedName name="old_name_1_1_2" localSheetId="14">{"Collection report",#N/A,FALSE,"March"}</definedName>
    <definedName name="old_name_1_1_2">{"Collection report",#N/A,FALSE,"March"}</definedName>
    <definedName name="old_name_1_2" localSheetId="14">{"Collection report",#N/A,FALSE,"March"}</definedName>
    <definedName name="old_name_1_2">{"Collection report",#N/A,FALSE,"March"}</definedName>
    <definedName name="old_name_1_2_1" localSheetId="14">{"Collection report",#N/A,FALSE,"March"}</definedName>
    <definedName name="old_name_1_2_1">{"Collection report",#N/A,FALSE,"March"}</definedName>
    <definedName name="old_name_1_3" localSheetId="14">{"Collection report",#N/A,FALSE,"March"}</definedName>
    <definedName name="old_name_1_3">{"Collection report",#N/A,FALSE,"March"}</definedName>
    <definedName name="old_name_1_3_1" localSheetId="14">{"Collection report",#N/A,FALSE,"March"}</definedName>
    <definedName name="old_name_1_3_1">{"Collection report",#N/A,FALSE,"March"}</definedName>
    <definedName name="old_name_1_4" localSheetId="14">{"Collection report",#N/A,FALSE,"March"}</definedName>
    <definedName name="old_name_1_4">{"Collection report",#N/A,FALSE,"March"}</definedName>
    <definedName name="old_name_1_4_1" localSheetId="14">{"Collection report",#N/A,FALSE,"March"}</definedName>
    <definedName name="old_name_1_4_1">{"Collection report",#N/A,FALSE,"March"}</definedName>
    <definedName name="old_name_1_5" localSheetId="14">{"Collection report",#N/A,FALSE,"March"}</definedName>
    <definedName name="old_name_1_5">{"Collection report",#N/A,FALSE,"March"}</definedName>
    <definedName name="old_name_2" localSheetId="14">{"Collection report",#N/A,FALSE,"March"}</definedName>
    <definedName name="old_name_2">{"Collection report",#N/A,FALSE,"March"}</definedName>
    <definedName name="old_name_2_1" localSheetId="14">{"Collection report",#N/A,FALSE,"March"}</definedName>
    <definedName name="old_name_2_1">{"Collection report",#N/A,FALSE,"March"}</definedName>
    <definedName name="old_name_2_1_1" localSheetId="14">{"Collection report",#N/A,FALSE,"March"}</definedName>
    <definedName name="old_name_2_1_1">{"Collection report",#N/A,FALSE,"March"}</definedName>
    <definedName name="old_name_2_1_1_1" localSheetId="14">{"Collection report",#N/A,FALSE,"March"}</definedName>
    <definedName name="old_name_2_1_1_1">{"Collection report",#N/A,FALSE,"March"}</definedName>
    <definedName name="old_name_2_1_2" localSheetId="14">{"Collection report",#N/A,FALSE,"March"}</definedName>
    <definedName name="old_name_2_1_2">{"Collection report",#N/A,FALSE,"March"}</definedName>
    <definedName name="old_name_2_2" localSheetId="14">{"Collection report",#N/A,FALSE,"March"}</definedName>
    <definedName name="old_name_2_2">{"Collection report",#N/A,FALSE,"March"}</definedName>
    <definedName name="old_name_2_2_1" localSheetId="14">{"Collection report",#N/A,FALSE,"March"}</definedName>
    <definedName name="old_name_2_2_1">{"Collection report",#N/A,FALSE,"March"}</definedName>
    <definedName name="old_name_2_3" localSheetId="14">{"Collection report",#N/A,FALSE,"March"}</definedName>
    <definedName name="old_name_2_3">{"Collection report",#N/A,FALSE,"March"}</definedName>
    <definedName name="old_name_2_3_1" localSheetId="14">{"Collection report",#N/A,FALSE,"March"}</definedName>
    <definedName name="old_name_2_3_1">{"Collection report",#N/A,FALSE,"March"}</definedName>
    <definedName name="old_name_2_4" localSheetId="14">{"Collection report",#N/A,FALSE,"March"}</definedName>
    <definedName name="old_name_2_4">{"Collection report",#N/A,FALSE,"March"}</definedName>
    <definedName name="old_name_2_4_1" localSheetId="14">{"Collection report",#N/A,FALSE,"March"}</definedName>
    <definedName name="old_name_2_4_1">{"Collection report",#N/A,FALSE,"March"}</definedName>
    <definedName name="old_name_2_5" localSheetId="14">{"Collection report",#N/A,FALSE,"March"}</definedName>
    <definedName name="old_name_2_5">{"Collection report",#N/A,FALSE,"March"}</definedName>
    <definedName name="old_name_3" localSheetId="14">{"Collection report",#N/A,FALSE,"March"}</definedName>
    <definedName name="old_name_3">{"Collection report",#N/A,FALSE,"March"}</definedName>
    <definedName name="old_name_3_1" localSheetId="14">{"Collection report",#N/A,FALSE,"March"}</definedName>
    <definedName name="old_name_3_1">{"Collection report",#N/A,FALSE,"March"}</definedName>
    <definedName name="old_name_3_1_1" localSheetId="14">{"Collection report",#N/A,FALSE,"March"}</definedName>
    <definedName name="old_name_3_1_1">{"Collection report",#N/A,FALSE,"March"}</definedName>
    <definedName name="old_name_3_1_1_1" localSheetId="14">{"Collection report",#N/A,FALSE,"March"}</definedName>
    <definedName name="old_name_3_1_1_1">{"Collection report",#N/A,FALSE,"March"}</definedName>
    <definedName name="old_name_3_1_2" localSheetId="14">{"Collection report",#N/A,FALSE,"March"}</definedName>
    <definedName name="old_name_3_1_2">{"Collection report",#N/A,FALSE,"March"}</definedName>
    <definedName name="old_name_3_2" localSheetId="14">{"Collection report",#N/A,FALSE,"March"}</definedName>
    <definedName name="old_name_3_2">{"Collection report",#N/A,FALSE,"March"}</definedName>
    <definedName name="old_name_3_2_1" localSheetId="14">{"Collection report",#N/A,FALSE,"March"}</definedName>
    <definedName name="old_name_3_2_1">{"Collection report",#N/A,FALSE,"March"}</definedName>
    <definedName name="old_name_3_3" localSheetId="14">{"Collection report",#N/A,FALSE,"March"}</definedName>
    <definedName name="old_name_3_3">{"Collection report",#N/A,FALSE,"March"}</definedName>
    <definedName name="old_name_3_3_1" localSheetId="14">{"Collection report",#N/A,FALSE,"March"}</definedName>
    <definedName name="old_name_3_3_1">{"Collection report",#N/A,FALSE,"March"}</definedName>
    <definedName name="old_name_3_4" localSheetId="14">{"Collection report",#N/A,FALSE,"March"}</definedName>
    <definedName name="old_name_3_4">{"Collection report",#N/A,FALSE,"March"}</definedName>
    <definedName name="old_name_3_4_1" localSheetId="14">{"Collection report",#N/A,FALSE,"March"}</definedName>
    <definedName name="old_name_3_4_1">{"Collection report",#N/A,FALSE,"March"}</definedName>
    <definedName name="old_name_3_5" localSheetId="14">{"Collection report",#N/A,FALSE,"March"}</definedName>
    <definedName name="old_name_3_5">{"Collection report",#N/A,FALSE,"March"}</definedName>
    <definedName name="old_name_4" localSheetId="14">{"Collection report",#N/A,FALSE,"March"}</definedName>
    <definedName name="old_name_4">{"Collection report",#N/A,FALSE,"March"}</definedName>
    <definedName name="old_name_4_1" localSheetId="14">{"Collection report",#N/A,FALSE,"March"}</definedName>
    <definedName name="old_name_4_1">{"Collection report",#N/A,FALSE,"March"}</definedName>
    <definedName name="old_name_4_1_1" localSheetId="14">{"Collection report",#N/A,FALSE,"March"}</definedName>
    <definedName name="old_name_4_1_1">{"Collection report",#N/A,FALSE,"March"}</definedName>
    <definedName name="old_name_4_1_1_1" localSheetId="14">{"Collection report",#N/A,FALSE,"March"}</definedName>
    <definedName name="old_name_4_1_1_1">{"Collection report",#N/A,FALSE,"March"}</definedName>
    <definedName name="old_name_4_1_2" localSheetId="14">{"Collection report",#N/A,FALSE,"March"}</definedName>
    <definedName name="old_name_4_1_2">{"Collection report",#N/A,FALSE,"March"}</definedName>
    <definedName name="old_name_4_2" localSheetId="14">{"Collection report",#N/A,FALSE,"March"}</definedName>
    <definedName name="old_name_4_2">{"Collection report",#N/A,FALSE,"March"}</definedName>
    <definedName name="old_name_4_2_1" localSheetId="14">{"Collection report",#N/A,FALSE,"March"}</definedName>
    <definedName name="old_name_4_2_1">{"Collection report",#N/A,FALSE,"March"}</definedName>
    <definedName name="old_name_4_3" localSheetId="14">{"Collection report",#N/A,FALSE,"March"}</definedName>
    <definedName name="old_name_4_3">{"Collection report",#N/A,FALSE,"March"}</definedName>
    <definedName name="old_name_4_3_1" localSheetId="14">{"Collection report",#N/A,FALSE,"March"}</definedName>
    <definedName name="old_name_4_3_1">{"Collection report",#N/A,FALSE,"March"}</definedName>
    <definedName name="old_name_4_4" localSheetId="14">{"Collection report",#N/A,FALSE,"March"}</definedName>
    <definedName name="old_name_4_4">{"Collection report",#N/A,FALSE,"March"}</definedName>
    <definedName name="old_name_4_4_1" localSheetId="14">{"Collection report",#N/A,FALSE,"March"}</definedName>
    <definedName name="old_name_4_4_1">{"Collection report",#N/A,FALSE,"March"}</definedName>
    <definedName name="old_name_4_5" localSheetId="14">{"Collection report",#N/A,FALSE,"March"}</definedName>
    <definedName name="old_name_4_5">{"Collection report",#N/A,FALSE,"March"}</definedName>
    <definedName name="old_name_5" localSheetId="14">{"Collection report",#N/A,FALSE,"March"}</definedName>
    <definedName name="old_name_5">{"Collection report",#N/A,FALSE,"March"}</definedName>
    <definedName name="old_name_5_1" localSheetId="14">{"Collection report",#N/A,FALSE,"March"}</definedName>
    <definedName name="old_name_5_1">{"Collection report",#N/A,FALSE,"March"}</definedName>
    <definedName name="old_name_5_1_1" localSheetId="14">{"Collection report",#N/A,FALSE,"March"}</definedName>
    <definedName name="old_name_5_1_1">{"Collection report",#N/A,FALSE,"March"}</definedName>
    <definedName name="old_name_5_1_1_1" localSheetId="14">{"Collection report",#N/A,FALSE,"March"}</definedName>
    <definedName name="old_name_5_1_1_1">{"Collection report",#N/A,FALSE,"March"}</definedName>
    <definedName name="old_name_5_1_2" localSheetId="14">{"Collection report",#N/A,FALSE,"March"}</definedName>
    <definedName name="old_name_5_1_2">{"Collection report",#N/A,FALSE,"March"}</definedName>
    <definedName name="old_name_5_2" localSheetId="14">{"Collection report",#N/A,FALSE,"March"}</definedName>
    <definedName name="old_name_5_2">{"Collection report",#N/A,FALSE,"March"}</definedName>
    <definedName name="old_name_5_2_1" localSheetId="14">{"Collection report",#N/A,FALSE,"March"}</definedName>
    <definedName name="old_name_5_2_1">{"Collection report",#N/A,FALSE,"March"}</definedName>
    <definedName name="old_name_5_3" localSheetId="14">{"Collection report",#N/A,FALSE,"March"}</definedName>
    <definedName name="old_name_5_3">{"Collection report",#N/A,FALSE,"March"}</definedName>
    <definedName name="old_name_5_3_1" localSheetId="14">{"Collection report",#N/A,FALSE,"March"}</definedName>
    <definedName name="old_name_5_3_1">{"Collection report",#N/A,FALSE,"March"}</definedName>
    <definedName name="old_name_5_4" localSheetId="14">{"Collection report",#N/A,FALSE,"March"}</definedName>
    <definedName name="old_name_5_4">{"Collection report",#N/A,FALSE,"March"}</definedName>
    <definedName name="old_name_5_4_1" localSheetId="14">{"Collection report",#N/A,FALSE,"March"}</definedName>
    <definedName name="old_name_5_4_1">{"Collection report",#N/A,FALSE,"March"}</definedName>
    <definedName name="old_name_5_5" localSheetId="14">{"Collection report",#N/A,FALSE,"March"}</definedName>
    <definedName name="old_name_5_5">{"Collection report",#N/A,FALSE,"March"}</definedName>
    <definedName name="oldbud">#REF!</definedName>
    <definedName name="om">#REF!</definedName>
    <definedName name="OnD">#REF!</definedName>
    <definedName name="ONE_OR">OFFSET(#REF!,0,5,,#REF!)</definedName>
    <definedName name="ONI_OR">OFFSET(#REF!,0,5,,#REF!)</definedName>
    <definedName name="ooii" localSheetId="14">#REF!,#REF!,#REF!,#REF!</definedName>
    <definedName name="ooii" localSheetId="25">#REF!,#REF!,#REF!,#REF!</definedName>
    <definedName name="ooii" localSheetId="4">#REF!,#REF!,#REF!,#REF!</definedName>
    <definedName name="ooii" localSheetId="33">#REF!,#REF!,#REF!,#REF!</definedName>
    <definedName name="ooii">#REF!,#REF!,#REF!,#REF!</definedName>
    <definedName name="OP">#REF!</definedName>
    <definedName name="oper">#REF!</definedName>
    <definedName name="oper_lease">#REF!</definedName>
    <definedName name="oper_lease2">#REF!</definedName>
    <definedName name="oper_lease6">#REF!</definedName>
    <definedName name="oper_leases">#REF!</definedName>
    <definedName name="operinc">#REF!</definedName>
    <definedName name="Opex_FOC">#REF!</definedName>
    <definedName name="Opex_Mth">#REF!</definedName>
    <definedName name="Opex_Obj">#REF!</definedName>
    <definedName name="Opex_Obj_Mth">#REF!</definedName>
    <definedName name="Opex_Sens">#REF!</definedName>
    <definedName name="Opex_Subj">#REF!</definedName>
    <definedName name="Opex_Subj_Mth">#REF!</definedName>
    <definedName name="Opex_Trend">#REF!</definedName>
    <definedName name="opexp">#REF!</definedName>
    <definedName name="opinc">#REF!</definedName>
    <definedName name="OpLses">#REF!</definedName>
    <definedName name="OPR">#REF!</definedName>
    <definedName name="Options">#REF!</definedName>
    <definedName name="Options1">#REF!</definedName>
    <definedName name="options2">#REF!</definedName>
    <definedName name="OR_AE">OFFSET(#REF!,0,5,,#REF!)</definedName>
    <definedName name="ora">#REF!</definedName>
    <definedName name="oraclebs_map">#REF!</definedName>
    <definedName name="OracleBSMap">#REF!</definedName>
    <definedName name="ORHF_Mth">#REF!</definedName>
    <definedName name="Orig_Period">#REF!</definedName>
    <definedName name="original">#REF!</definedName>
    <definedName name="OTCOPT_MONTH">#REF!</definedName>
    <definedName name="OTCOPT_PNL">#REF!</definedName>
    <definedName name="otherincome">#REF!</definedName>
    <definedName name="othin">#REF!</definedName>
    <definedName name="othinc">#REF!</definedName>
    <definedName name="othincome">#REF!</definedName>
    <definedName name="othint">#REF!</definedName>
    <definedName name="Ownership" localSheetId="25">OFFSET(#REF!,1,0)</definedName>
    <definedName name="Ownership" localSheetId="4">OFFSET(#REF!,1,0)</definedName>
    <definedName name="Ownership" localSheetId="33">OFFSET(#REF!,1,0)</definedName>
    <definedName name="Ownership">OFFSET(#REF!,1,0)</definedName>
    <definedName name="OxOff">#REF!</definedName>
    <definedName name="OxOn">#REF!</definedName>
    <definedName name="OxWE">#REF!</definedName>
    <definedName name="P_1">#REF!</definedName>
    <definedName name="P8_DNCS">#REF!</definedName>
    <definedName name="page10">#REF!</definedName>
    <definedName name="Page19a">#REF!</definedName>
    <definedName name="PAPER_BASIS">#REF!</definedName>
    <definedName name="PAYEE">#REF!</definedName>
    <definedName name="payment" localSheetId="14">{#N/A,#N/A,FALSE,"Totals";#N/A,#N/A,FALSE,"First-Of-Month";#N/A,#N/A,FALSE,"March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payment">{#N/A,#N/A,FALSE,"Totals";#N/A,#N/A,FALSE,"First-Of-Month";#N/A,#N/A,FALSE,"March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Payment_Date" localSheetId="14">DATE(YEAR(Loan_Start),MONTH(Loan_Start)+Payment_Number,DAY(Loan_Start))</definedName>
    <definedName name="Payment_Date" localSheetId="25">DATE(YEAR(#REF!),MONTH(#REF!)+Payment_Number,DAY(#REF!))</definedName>
    <definedName name="Payment_Date" localSheetId="4">DATE(YEAR(#REF!),MONTH(#REF!)+Payment_Number,DAY(#REF!))</definedName>
    <definedName name="Payment_Date" localSheetId="33">DATE(YEAR(#REF!),MONTH(#REF!)+Payment_Number,DAY(#REF!))</definedName>
    <definedName name="Payment_Date">DATE(YEAR(Loan_Start),MONTH(Loan_Start)+Payment_Number,DAY(Loan_Start))</definedName>
    <definedName name="PayrollNumbers">#REF!,#REF!</definedName>
    <definedName name="PbeCategory">#REF!</definedName>
    <definedName name="pc" localSheetId="14">{#N/A,#N/A,FALSE,"PVC97"}</definedName>
    <definedName name="pc">{#N/A,#N/A,FALSE,"PVC97"}</definedName>
    <definedName name="PCC">#REF!</definedName>
    <definedName name="PCR">#REF!</definedName>
    <definedName name="pe_pct">#REF!</definedName>
    <definedName name="pe_rate">#REF!</definedName>
    <definedName name="PeakAdjs">#REF!</definedName>
    <definedName name="PeakAdjs_LI">#REF!</definedName>
    <definedName name="PeakDem">#REF!</definedName>
    <definedName name="PED">#REF!</definedName>
    <definedName name="penny">#REF!</definedName>
    <definedName name="PensionFAS158">#REF!</definedName>
    <definedName name="PensionFAS87">#REF!</definedName>
    <definedName name="PER_CFCST">#REF!</definedName>
    <definedName name="PER_CMTH">#REF!</definedName>
    <definedName name="PER_PFCST">#REF!</definedName>
    <definedName name="Period">#REF!</definedName>
    <definedName name="Period0405">#REF!</definedName>
    <definedName name="Period0506">#REF!</definedName>
    <definedName name="Period0607">#REF!</definedName>
    <definedName name="Period0708">#REF!</definedName>
    <definedName name="Period0809">#REF!</definedName>
    <definedName name="Period0910">#REF!</definedName>
    <definedName name="Period1011">#REF!</definedName>
    <definedName name="Period1112">#REF!</definedName>
    <definedName name="Period1213">#REF!</definedName>
    <definedName name="PeriodA">#REF!</definedName>
    <definedName name="Periods">#REF!</definedName>
    <definedName name="PERIODSETNAME1">#REF!</definedName>
    <definedName name="PF">#REF!</definedName>
    <definedName name="Phrase">#REF!</definedName>
    <definedName name="Phrase01">#REF!</definedName>
    <definedName name="Phrase1">#REF!</definedName>
    <definedName name="Phrase2">#REF!</definedName>
    <definedName name="Phrase3">#REF!</definedName>
    <definedName name="Phrases">#REF!</definedName>
    <definedName name="PIE">#REF!</definedName>
    <definedName name="pilot">#REF!</definedName>
    <definedName name="pipeline">#REF!</definedName>
    <definedName name="PivotRange">OFFSET(#REF!,0,0,COUNTA(#REF!),102)</definedName>
    <definedName name="PIVOTTABLE">#REF!</definedName>
    <definedName name="Plandepts">#REF!</definedName>
    <definedName name="PlanFrequency">#REF!</definedName>
    <definedName name="PMPG93">#REF!</definedName>
    <definedName name="pngts">#REF!</definedName>
    <definedName name="PNL">#REF!</definedName>
    <definedName name="point">#REF!</definedName>
    <definedName name="pom">#REF!</definedName>
    <definedName name="PoMNoN">#REF!</definedName>
    <definedName name="Pool_Codes">#REF!</definedName>
    <definedName name="POR">#REF!</definedName>
    <definedName name="POR_A_C_D0301">#REF!</definedName>
    <definedName name="PositionIDs">#REF!</definedName>
    <definedName name="POSTERRORSTOSUSP1">#REF!</definedName>
    <definedName name="PPData">#N/A</definedName>
    <definedName name="PPData2">#N/A</definedName>
    <definedName name="ppl">40469.4919791667</definedName>
    <definedName name="PR">!$A65536:$IV65536</definedName>
    <definedName name="Pre_Tax_ROE">OFFSET(#REF!,0,5,,#REF!)</definedName>
    <definedName name="PrelimGapResol">#REF!</definedName>
    <definedName name="Preparer">#REF!</definedName>
    <definedName name="PreviousCashFLows">#REF!</definedName>
    <definedName name="previousNon">#REF!</definedName>
    <definedName name="previousRec">#REF!</definedName>
    <definedName name="prevmnth">#REF!</definedName>
    <definedName name="PrevMonth">#REF!</definedName>
    <definedName name="PREVQ_COM">#REF!</definedName>
    <definedName name="PREVQ_DMD_CONTRACT_MONTH">#REF!</definedName>
    <definedName name="PREVQ_DMD_DEAL_KEY">#REF!</definedName>
    <definedName name="PREVQ_DMD_DESIGNATION">#REF!</definedName>
    <definedName name="PREVQ_DMD_TOTAL_CHARGE">#REF!</definedName>
    <definedName name="PREVQ_LR_DEALKEY">#REF!</definedName>
    <definedName name="PREVQ_LR_MONTH">#REF!</definedName>
    <definedName name="PREVQ_LRDOLLARS">#REF!</definedName>
    <definedName name="PREVQ_NUC_CONTRACT_MONTH">#REF!</definedName>
    <definedName name="PREVQ_NUC_DEAL_KEY">#REF!</definedName>
    <definedName name="PREVQ_NUC_DEALVOL">#REF!</definedName>
    <definedName name="PREVQ_NUC_LEVEL">#REF!</definedName>
    <definedName name="PREVQ_NUC_NETMONTHPNL">#REF!</definedName>
    <definedName name="PREVQ_PROFIT_LOSS">#REF!</definedName>
    <definedName name="PrevYr">#REF!</definedName>
    <definedName name="_xlnm.Print_Area" localSheetId="6">'Cap Int Pref'!$A$6:$H$75</definedName>
    <definedName name="_xlnm.Print_Area" localSheetId="39">'Unbilled revenue entry_Dec 21'!$A$1:$N$55</definedName>
    <definedName name="_xlnm.Print_Area">#REF!</definedName>
    <definedName name="Print_Area_MI">#REF!</definedName>
    <definedName name="Print_Area_Reset" localSheetId="14">OFFSET(Full_Print,0,0,Last_Row)</definedName>
    <definedName name="Print_Area_Reset">OFFSET(Full_Print,0,0,Last_Row)</definedName>
    <definedName name="print_Area1">#REF!</definedName>
    <definedName name="_xlnm.Print_Titles">#N/A</definedName>
    <definedName name="Print_Titles_MI">#REF!,#REF!</definedName>
    <definedName name="Prior_Year">#REF!</definedName>
    <definedName name="priorlist">#REF!</definedName>
    <definedName name="PriorMonth">#REF!</definedName>
    <definedName name="PriorPeriod">#REF!</definedName>
    <definedName name="PriorVol">#REF!</definedName>
    <definedName name="PrM">#REF!</definedName>
    <definedName name="PrMNoN">#REF!</definedName>
    <definedName name="process1">#REF!</definedName>
    <definedName name="Proforma">#REF!</definedName>
    <definedName name="PROJ">#REF!</definedName>
    <definedName name="projdata">#REF!</definedName>
    <definedName name="ProjectName" localSheetId="14">{"Client Name or Project Name"}</definedName>
    <definedName name="ProjectName">{"Client Name or Project Name"}</definedName>
    <definedName name="projnum">#REF!</definedName>
    <definedName name="projnum2">#REF!</definedName>
    <definedName name="Projtypes">#REF!</definedName>
    <definedName name="projtypes1">#REF!</definedName>
    <definedName name="prompt_buybacks">#REF!</definedName>
    <definedName name="PropertyNumbers">#REF!,#REF!</definedName>
    <definedName name="PS_New_Name">#REF!</definedName>
    <definedName name="psa">#REF!</definedName>
    <definedName name="Public">#REF!</definedName>
    <definedName name="PURCHASEDOLLARS">#REF!</definedName>
    <definedName name="push_roic">#REF!</definedName>
    <definedName name="push_rtree">#REF!</definedName>
    <definedName name="push_rtree3">#REF!</definedName>
    <definedName name="push_sales">#REF!</definedName>
    <definedName name="push_wacc">#REF!</definedName>
    <definedName name="push2_roic">#REF!</definedName>
    <definedName name="put_years">#REF!</definedName>
    <definedName name="pwkcap">#REF!</definedName>
    <definedName name="PYE">#REF!</definedName>
    <definedName name="qaazs" localSheetId="14">{#N/A,#N/A,FALSE,"Expenditures";#N/A,#N/A,FALSE,"Property Placed In-Service";#N/A,#N/A,FALSE,"CWIP Balances"}</definedName>
    <definedName name="qaazs">{#N/A,#N/A,FALSE,"Expenditures";#N/A,#N/A,FALSE,"Property Placed In-Service";#N/A,#N/A,FALSE,"CWIP Balances"}</definedName>
    <definedName name="Qantas_WACC">#REF!</definedName>
    <definedName name="qqq" localSheetId="14">{#N/A,#N/A,FALSE,"schA"}</definedName>
    <definedName name="qqq">{#N/A,#N/A,FALSE,"schA"}</definedName>
    <definedName name="qqq_1" localSheetId="14">{#N/A,#N/A,FALSE,"schA"}</definedName>
    <definedName name="qqq_1">{#N/A,#N/A,FALSE,"schA"}</definedName>
    <definedName name="qqq_1_1" localSheetId="14">{#N/A,#N/A,FALSE,"schA"}</definedName>
    <definedName name="qqq_1_1">{#N/A,#N/A,FALSE,"schA"}</definedName>
    <definedName name="qqq_2" localSheetId="14">{#N/A,#N/A,FALSE,"schA"}</definedName>
    <definedName name="qqq_2">{#N/A,#N/A,FALSE,"schA"}</definedName>
    <definedName name="qqqwwe" localSheetId="14">{#N/A,#N/A,FALSE,"Expenditures";#N/A,#N/A,FALSE,"Property Placed In-Service";#N/A,#N/A,FALSE,"CWIP Balances"}</definedName>
    <definedName name="qqqwwe">{#N/A,#N/A,FALSE,"Expenditures";#N/A,#N/A,FALSE,"Property Placed In-Service";#N/A,#N/A,FALSE,"CWIP Balances"}</definedName>
    <definedName name="qtr">#REF!</definedName>
    <definedName name="Qtr_Name">#REF!</definedName>
    <definedName name="QuarterEndDateString">"30 June 2001"</definedName>
    <definedName name="query">#REF!</definedName>
    <definedName name="qw" localSheetId="14">{"'Metretek HTML'!$A$7:$W$42"}</definedName>
    <definedName name="qw">{"'Metretek HTML'!$A$7:$W$42"}</definedName>
    <definedName name="R_SAT2">#REF!</definedName>
    <definedName name="R_SC10">#REF!</definedName>
    <definedName name="R_SD20">#REF!</definedName>
    <definedName name="R_SK401">#REF!</definedName>
    <definedName name="R_SK401T">#REF!</definedName>
    <definedName name="R_SK433">#REF!</definedName>
    <definedName name="R_SK929">#REF!</definedName>
    <definedName name="R_SP00">#REF!</definedName>
    <definedName name="R_SP01">#REF!</definedName>
    <definedName name="R_SP30">#REF!</definedName>
    <definedName name="R_SREQD">#REF!</definedName>
    <definedName name="R_SWCAP">#REF!</definedName>
    <definedName name="RANGE2">#REF!</definedName>
    <definedName name="rate_1a">#REF!</definedName>
    <definedName name="RBAL">#N/A</definedName>
    <definedName name="RBDES">#REF!</definedName>
    <definedName name="RBREV">#N/A</definedName>
    <definedName name="RBREV1">#N/A</definedName>
    <definedName name="RCABINERRELAY">#REF!</definedName>
    <definedName name="RCCVT">#REF!</definedName>
    <definedName name="rcdept">#REF!</definedName>
    <definedName name="RCT">#REF!</definedName>
    <definedName name="rd">#REF!</definedName>
    <definedName name="RdCap">#REF!</definedName>
    <definedName name="RdCapAmort">#REF!</definedName>
    <definedName name="rdk_r2tree">#REF!</definedName>
    <definedName name="rdk_roic">#REF!</definedName>
    <definedName name="rdk_rtree">#REF!</definedName>
    <definedName name="rdk_rtree3">#REF!</definedName>
    <definedName name="rdk_sales">#REF!</definedName>
    <definedName name="rdk_wacc">#REF!</definedName>
    <definedName name="rdk2_roic">#REF!</definedName>
    <definedName name="rdk2_wacc">#REF!</definedName>
    <definedName name="RDS">#REF!</definedName>
    <definedName name="re">#REF!</definedName>
    <definedName name="realty_tax">#REF!</definedName>
    <definedName name="reawreqw" localSheetId="14">{#N/A,#N/A,FALSE,"Monthly SAIFI";#N/A,#N/A,FALSE,"Yearly SAIFI";#N/A,#N/A,FALSE,"Monthly CAIDI";#N/A,#N/A,FALSE,"Yearly CAIDI";#N/A,#N/A,FALSE,"Monthly SAIDI";#N/A,#N/A,FALSE,"Yearly SAIDI";#N/A,#N/A,FALSE,"Monthly MAIFI";#N/A,#N/A,FALSE,"Yearly MAIFI";#N/A,#N/A,FALSE,"Monthly Cust &gt;=4 Int"}</definedName>
    <definedName name="reawreqw">{#N/A,#N/A,FALSE,"Monthly SAIFI";#N/A,#N/A,FALSE,"Yearly SAIFI";#N/A,#N/A,FALSE,"Monthly CAIDI";#N/A,#N/A,FALSE,"Yearly CAIDI";#N/A,#N/A,FALSE,"Monthly SAIDI";#N/A,#N/A,FALSE,"Yearly SAIDI";#N/A,#N/A,FALSE,"Monthly MAIFI";#N/A,#N/A,FALSE,"Yearly MAIFI";#N/A,#N/A,FALSE,"Monthly Cust &gt;=4 Int"}</definedName>
    <definedName name="records_no">#REF!</definedName>
    <definedName name="Region">#REF!</definedName>
    <definedName name="Region2">#REF!</definedName>
    <definedName name="Regions">#REF!</definedName>
    <definedName name="Reliability">#REF!</definedName>
    <definedName name="RemediationStatus">#REF!</definedName>
    <definedName name="reoffer_swap">#REF!</definedName>
    <definedName name="reps_charge">#REF!</definedName>
    <definedName name="req">#REF!</definedName>
    <definedName name="res">#REF!</definedName>
    <definedName name="Res_Percent">#REF!</definedName>
    <definedName name="reshapedifrs">#REF!</definedName>
    <definedName name="reshapednon">#REF!</definedName>
    <definedName name="reshapedrec">#REF!</definedName>
    <definedName name="Residential">#REF!</definedName>
    <definedName name="resources" localSheetId="14">{#N/A,#N/A,FALSE,"Assessment";#N/A,#N/A,FALSE,"Staffing";#N/A,#N/A,FALSE,"Hires";#N/A,#N/A,FALSE,"Assumptions"}</definedName>
    <definedName name="resources">{#N/A,#N/A,FALSE,"Assessment";#N/A,#N/A,FALSE,"Staffing";#N/A,#N/A,FALSE,"Hires";#N/A,#N/A,FALSE,"Assumptions"}</definedName>
    <definedName name="resources_new" localSheetId="14">{#N/A,#N/A,FALSE,"Assessment";#N/A,#N/A,FALSE,"Staffing";#N/A,#N/A,FALSE,"Hires";#N/A,#N/A,FALSE,"Assumptions"}</definedName>
    <definedName name="resources_new">{#N/A,#N/A,FALSE,"Assessment";#N/A,#N/A,FALSE,"Staffing";#N/A,#N/A,FALSE,"Hires";#N/A,#N/A,FALSE,"Assumptions"}</definedName>
    <definedName name="RESPONSIBILITYAPPLICATIONID1">#REF!</definedName>
    <definedName name="RESPONSIBILITYID1">#REF!</definedName>
    <definedName name="RESPONSIBILITYNAME1">#REF!</definedName>
    <definedName name="RetailAccessOn">#REF!</definedName>
    <definedName name="RetailRP">#REF!</definedName>
    <definedName name="RETRUN_TO_SUMARY_2">#REF!</definedName>
    <definedName name="rev">#REF!</definedName>
    <definedName name="reven">#REF!</definedName>
    <definedName name="revenue_taxes">#REF!</definedName>
    <definedName name="Reviewer">#REF!</definedName>
    <definedName name="RevTot">#REF!</definedName>
    <definedName name="RFENC">#REF!</definedName>
    <definedName name="rff" localSheetId="14">{#N/A,#N/A,FALSE,"Aging Summary";#N/A,#N/A,FALSE,"Ratio Analysis";#N/A,#N/A,FALSE,"Test 120 Day Accts";#N/A,#N/A,FALSE,"Tickmarks"}</definedName>
    <definedName name="rff">{#N/A,#N/A,FALSE,"Aging Summary";#N/A,#N/A,FALSE,"Ratio Analysis";#N/A,#N/A,FALSE,"Test 120 Day Accts";#N/A,#N/A,FALSE,"Tickmarks"}</definedName>
    <definedName name="rFuncTitle">#REF!</definedName>
    <definedName name="rgeClasses1">#REF!</definedName>
    <definedName name="rgeClasses2">#REF!</definedName>
    <definedName name="rgeClasses3">#REF!</definedName>
    <definedName name="rgfffff" localSheetId="14">{#N/A,#N/A,FALSE,"schA"}</definedName>
    <definedName name="rgfffff">{#N/A,#N/A,FALSE,"schA"}</definedName>
    <definedName name="RH_1">#REF!</definedName>
    <definedName name="RH_2">#REF!</definedName>
    <definedName name="RH_3">#REF!</definedName>
    <definedName name="RI_Code">#REF!</definedName>
    <definedName name="rico">#REF!</definedName>
    <definedName name="RID">#REF!</definedName>
    <definedName name="RISB">#REF!</definedName>
    <definedName name="Risk">#REF!</definedName>
    <definedName name="Risk_Level">#REF!</definedName>
    <definedName name="riskATSTbaselineRequested">TRUE</definedName>
    <definedName name="riskATSTboxGraph">TRUE</definedName>
    <definedName name="riskATSTcomparisonGraph">TRUE</definedName>
    <definedName name="riskATSThistogramGraph">FALSE</definedName>
    <definedName name="riskATSToutputStatistic">4</definedName>
    <definedName name="riskATSTprintReport">FALSE</definedName>
    <definedName name="riskATSTreportsInActiveBook">FALSE</definedName>
    <definedName name="riskATSTreportsSelected">TRUE</definedName>
    <definedName name="riskATSTsequentialStress">TRUE</definedName>
    <definedName name="riskATSTsummaryReport">TRUE</definedName>
    <definedName name="RiskRanking">#REF!</definedName>
    <definedName name="RiskType">#REF!</definedName>
    <definedName name="RISS">#REF!</definedName>
    <definedName name="rLast">#REF!</definedName>
    <definedName name="RLDS">#REF!</definedName>
    <definedName name="rlo">#REF!</definedName>
    <definedName name="RMEF">#REF!</definedName>
    <definedName name="rngLumpSum">#REF!</definedName>
    <definedName name="rngSelCurrColU">#REF!</definedName>
    <definedName name="rngSelCurrColV">#REF!</definedName>
    <definedName name="rngSelCurrFlg">#REF!</definedName>
    <definedName name="ROD">#REF!</definedName>
    <definedName name="ROE">OFFSET(#REF!,0,5,,#REF!)</definedName>
    <definedName name="ROR">#REF!</definedName>
    <definedName name="roucap">#REF!</definedName>
    <definedName name="ROWSTOUPLOAD1">#REF!</definedName>
    <definedName name="rPages">#REF!</definedName>
    <definedName name="RPFS">#REF!</definedName>
    <definedName name="RPT">#REF!</definedName>
    <definedName name="rr" localSheetId="14">{"'PRODUCTIONCOST SHEET'!$B$3:$G$48"}</definedName>
    <definedName name="rr">{"'PRODUCTIONCOST SHEET'!$B$3:$G$48"}</definedName>
    <definedName name="rrr">#REF!</definedName>
    <definedName name="rrrr" localSheetId="14">{#N/A,#N/A,FALSE,"O&amp;M by processes";#N/A,#N/A,FALSE,"Elec Act vs Bud";#N/A,#N/A,FALSE,"G&amp;A";#N/A,#N/A,FALSE,"BGS";#N/A,#N/A,FALSE,"Res Cost"}</definedName>
    <definedName name="rrrr">{#N/A,#N/A,FALSE,"O&amp;M by processes";#N/A,#N/A,FALSE,"Elec Act vs Bud";#N/A,#N/A,FALSE,"G&amp;A";#N/A,#N/A,FALSE,"BGS";#N/A,#N/A,FALSE,"Res Cost"}</definedName>
    <definedName name="RSA">#REF!</definedName>
    <definedName name="RSBETA0">#REF!</definedName>
    <definedName name="RSBETA1">#REF!</definedName>
    <definedName name="RSBETA1TEST">#REF!</definedName>
    <definedName name="RSBETA2">#REF!</definedName>
    <definedName name="RSBETA2TEST">#REF!</definedName>
    <definedName name="RTSBETA0">#REF!</definedName>
    <definedName name="RTSBETA1">#REF!</definedName>
    <definedName name="RTSBETA1TEST">#REF!</definedName>
    <definedName name="RTSBETA2">#REF!</definedName>
    <definedName name="RTSBETA2TEST">#REF!</definedName>
    <definedName name="run_date">#REF!</definedName>
    <definedName name="RWE">#REF!</definedName>
    <definedName name="RXFRM">#REF!</definedName>
    <definedName name="Ryanair_WACC">#REF!</definedName>
    <definedName name="S.C">#REF!</definedName>
    <definedName name="S.C.">#REF!</definedName>
    <definedName name="S.C.S">#REF!</definedName>
    <definedName name="S.C_Removal">#REF!</definedName>
    <definedName name="sadfs" localSheetId="14">{TRUE,TRUE,-2.75,-17,964.5,641.25,FALSE,TRUE,TRUE,TRUE,0,18,#N/A,11,#N/A,22.5227272727273,72.25,1,FALSE,FALSE,3,TRUE,1,FALSE,40,"Swvu.KJP_CC.","ACwvu.KJP_CC.",#N/A,FALSE,FALSE,0,0,0,0,2,"&amp;C&amp;""Arial,Bold""&amp;72Actual Production vs. Projected ","&amp;R&amp;""Arial,Bold Italic""&amp;8&amp;F&amp;A&amp;D",TRUE,TRUE,FALSE,FALSE,1,#N/A,1,1,"=R13C18:R168C107",FALSE,"Rwvu.KJP_CC.","Cwvu.KJP_CC.",FALSE,FALSE,FALSE,263,600,600,FALSE,FALSE,TRUE,TRUE,TRUE}</definedName>
    <definedName name="sadfs">{TRUE,TRUE,-2.75,-17,964.5,641.25,FALSE,TRUE,TRUE,TRUE,0,18,#N/A,11,#N/A,22.5227272727273,72.25,1,FALSE,FALSE,3,TRUE,1,FALSE,40,"Swvu.KJP_CC.","ACwvu.KJP_CC.",#N/A,FALSE,FALSE,0,0,0,0,2,"&amp;C&amp;""Arial,Bold""&amp;72Actual Production vs. Projected ","&amp;R&amp;""Arial,Bold Italic""&amp;8&amp;F&amp;A&amp;D",TRUE,TRUE,FALSE,FALSE,1,#N/A,1,1,"=R13C18:R168C107",FALSE,"Rwvu.KJP_CC.","Cwvu.KJP_CC.",FALSE,FALSE,FALSE,263,600,600,FALSE,FALSE,TRUE,TRUE,TRUE}</definedName>
    <definedName name="sagfo_roic">#REF!</definedName>
    <definedName name="sagfo_rtree">#REF!</definedName>
    <definedName name="sagfo_rtree3">#REF!</definedName>
    <definedName name="sagfo_sales">#REF!</definedName>
    <definedName name="sagfo_wacc">#REF!</definedName>
    <definedName name="sagfo2_roic">#REF!</definedName>
    <definedName name="SAL" localSheetId="14">{"SCHEDULE M",#N/A,FALSE,"ORSCHM12"}</definedName>
    <definedName name="SAL">{"SCHEDULE M",#N/A,FALSE,"ORSCHM12"}</definedName>
    <definedName name="salaries">#REF!</definedName>
    <definedName name="sales">#REF!</definedName>
    <definedName name="sales_volumes_12mo">#REF!</definedName>
    <definedName name="sales_volumes_mth">#REF!</definedName>
    <definedName name="sales_volumes_per">#REF!</definedName>
    <definedName name="sales_volumes_qtr">#REF!</definedName>
    <definedName name="Sales3">#REF!</definedName>
    <definedName name="Sales4">#REF!</definedName>
    <definedName name="Sales5">#REF!</definedName>
    <definedName name="Sales6">#REF!</definedName>
    <definedName name="SalesFcst">#REF!</definedName>
    <definedName name="SalesNumbers">#REF!,#REF!</definedName>
    <definedName name="SalesTax">#REF!</definedName>
    <definedName name="SalesVol">#REF!</definedName>
    <definedName name="SAMPLE">#REF!</definedName>
    <definedName name="SAP">#REF!</definedName>
    <definedName name="SAP_ACC">#REF!</definedName>
    <definedName name="SAP_Employee_Dept_Split">#REF!</definedName>
    <definedName name="SAPBEXhrIndnt">1</definedName>
    <definedName name="SAPBEXrevision">1</definedName>
    <definedName name="SAPBEXsysID">"BWP"</definedName>
    <definedName name="SAPBEXwbID">"3M0Y5JZ0K259IJHR15SO2N9QE"</definedName>
    <definedName name="SAPsysID">"708C5W7SBKP804JT78WJ0JNKI"</definedName>
    <definedName name="SAPwbID">"ARS"</definedName>
    <definedName name="SAS_WACC">#REF!</definedName>
    <definedName name="saSAsa" localSheetId="14">{#N/A,#N/A,FALSE,"Monthly SAIFI";#N/A,#N/A,FALSE,"Yearly SAIFI";#N/A,#N/A,FALSE,"Monthly CAIDI";#N/A,#N/A,FALSE,"Yearly CAIDI";#N/A,#N/A,FALSE,"Monthly SAIDI";#N/A,#N/A,FALSE,"Yearly SAIDI";#N/A,#N/A,FALSE,"Monthly MAIFI";#N/A,#N/A,FALSE,"Yearly MAIFI";#N/A,#N/A,FALSE,"Monthly Cust &gt;=4 Int"}</definedName>
    <definedName name="saSAsa">{#N/A,#N/A,FALSE,"Monthly SAIFI";#N/A,#N/A,FALSE,"Yearly SAIFI";#N/A,#N/A,FALSE,"Monthly CAIDI";#N/A,#N/A,FALSE,"Yearly CAIDI";#N/A,#N/A,FALSE,"Monthly SAIDI";#N/A,#N/A,FALSE,"Yearly SAIDI";#N/A,#N/A,FALSE,"Monthly MAIFI";#N/A,#N/A,FALSE,"Yearly MAIFI";#N/A,#N/A,FALSE,"Monthly Cust &gt;=4 Int"}</definedName>
    <definedName name="SC_RU">#REF!</definedName>
    <definedName name="SC_RU_EXP">#REF!</definedName>
    <definedName name="SC_RU_REM">#REF!</definedName>
    <definedName name="SC_RU_SAL">#REF!</definedName>
    <definedName name="SCD_OR">OFFSET(#REF!,0,5,,#REF!)</definedName>
    <definedName name="Sched">#REF!</definedName>
    <definedName name="schedule" localSheetId="14">{#N/A,#N/A,FALSE,"Totals";#N/A,#N/A,FALSE,"First-Of-Month";#N/A,#N/A,FALSE,"March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schedule">{#N/A,#N/A,FALSE,"Totals";#N/A,#N/A,FALSE,"First-Of-Month";#N/A,#N/A,FALSE,"March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Score___0">#REF!</definedName>
    <definedName name="SCTE">#REF!</definedName>
    <definedName name="SCTETOP">#REF!</definedName>
    <definedName name="sddddddddd" localSheetId="14">{#N/A,#N/A,FALSE,"Income";#N/A,#N/A,FALSE,"Cost of Goods Sold";#N/A,#N/A,FALSE,"Other Costs";#N/A,#N/A,FALSE,"Other Income";#N/A,#N/A,FALSE,"Taxes";#N/A,#N/A,FALSE,"Other Deductions";#N/A,#N/A,FALSE,"Compensation of Officers"}</definedName>
    <definedName name="sddddddddd">{#N/A,#N/A,FALSE,"Income";#N/A,#N/A,FALSE,"Cost of Goods Sold";#N/A,#N/A,FALSE,"Other Costs";#N/A,#N/A,FALSE,"Other Income";#N/A,#N/A,FALSE,"Taxes";#N/A,#N/A,FALSE,"Other Deductions";#N/A,#N/A,FALSE,"Compensation of Officers"}</definedName>
    <definedName name="sdf" localSheetId="14">{"'PRODUCTIONCOST SHEET'!$B$3:$G$48"}</definedName>
    <definedName name="sdf">{"'PRODUCTIONCOST SHEET'!$B$3:$G$48"}</definedName>
    <definedName name="sdfaadfasdfasdaasdfsdf" localSheetId="14">{#N/A,#N/A,FALSE,"Monthly SAIFI";#N/A,#N/A,FALSE,"Yearly SAIFI";#N/A,#N/A,FALSE,"Monthly CAIDI";#N/A,#N/A,FALSE,"Yearly CAIDI";#N/A,#N/A,FALSE,"Monthly SAIDI";#N/A,#N/A,FALSE,"Yearly SAIDI";#N/A,#N/A,FALSE,"Monthly MAIFI";#N/A,#N/A,FALSE,"Yearly MAIFI";#N/A,#N/A,FALSE,"Monthly Cust &gt;=4 Int"}</definedName>
    <definedName name="sdfaadfasdfasdaasdfsdf">{#N/A,#N/A,FALSE,"Monthly SAIFI";#N/A,#N/A,FALSE,"Yearly SAIFI";#N/A,#N/A,FALSE,"Monthly CAIDI";#N/A,#N/A,FALSE,"Yearly CAIDI";#N/A,#N/A,FALSE,"Monthly SAIDI";#N/A,#N/A,FALSE,"Yearly SAIDI";#N/A,#N/A,FALSE,"Monthly MAIFI";#N/A,#N/A,FALSE,"Yearly MAIFI";#N/A,#N/A,FALSE,"Monthly Cust &gt;=4 Int"}</definedName>
    <definedName name="sdfasdfasdfasdfasdfsdf" localSheetId="14">{#N/A,#N/A,FALSE,"Monthly SAIFI";#N/A,#N/A,FALSE,"Yearly SAIFI";#N/A,#N/A,FALSE,"Monthly CAIDI";#N/A,#N/A,FALSE,"Yearly CAIDI";#N/A,#N/A,FALSE,"Monthly SAIDI";#N/A,#N/A,FALSE,"Yearly SAIDI";#N/A,#N/A,FALSE,"Monthly MAIFI";#N/A,#N/A,FALSE,"Yearly MAIFI";#N/A,#N/A,FALSE,"Monthly Cust &gt;=4 Int"}</definedName>
    <definedName name="sdfasdfasdfasdfasdfsdf">{#N/A,#N/A,FALSE,"Monthly SAIFI";#N/A,#N/A,FALSE,"Yearly SAIFI";#N/A,#N/A,FALSE,"Monthly CAIDI";#N/A,#N/A,FALSE,"Yearly CAIDI";#N/A,#N/A,FALSE,"Monthly SAIDI";#N/A,#N/A,FALSE,"Yearly SAIDI";#N/A,#N/A,FALSE,"Monthly MAIFI";#N/A,#N/A,FALSE,"Yearly MAIFI";#N/A,#N/A,FALSE,"Monthly Cust &gt;=4 Int"}</definedName>
    <definedName name="sdfds" localSheetId="14">{#N/A,#N/A,FALSE,"Monthly SAIFI";#N/A,#N/A,FALSE,"Yearly SAIFI";#N/A,#N/A,FALSE,"Monthly CAIDI";#N/A,#N/A,FALSE,"Yearly CAIDI";#N/A,#N/A,FALSE,"Monthly SAIDI";#N/A,#N/A,FALSE,"Yearly SAIDI";#N/A,#N/A,FALSE,"Monthly MAIFI";#N/A,#N/A,FALSE,"Yearly MAIFI";#N/A,#N/A,FALSE,"Monthly Cust &gt;=4 Int"}</definedName>
    <definedName name="sdfds">{#N/A,#N/A,FALSE,"Monthly SAIFI";#N/A,#N/A,FALSE,"Yearly SAIFI";#N/A,#N/A,FALSE,"Monthly CAIDI";#N/A,#N/A,FALSE,"Yearly CAIDI";#N/A,#N/A,FALSE,"Monthly SAIDI";#N/A,#N/A,FALSE,"Yearly SAIDI";#N/A,#N/A,FALSE,"Monthly MAIFI";#N/A,#N/A,FALSE,"Yearly MAIFI";#N/A,#N/A,FALSE,"Monthly Cust &gt;=4 Int"}</definedName>
    <definedName name="sdfdsf" localSheetId="14">{#N/A,#N/A,FALSE,"Assessment";#N/A,#N/A,FALSE,"Staffing";#N/A,#N/A,FALSE,"Hires";#N/A,#N/A,FALSE,"Assumptions"}</definedName>
    <definedName name="sdfdsf">{#N/A,#N/A,FALSE,"Assessment";#N/A,#N/A,FALSE,"Staffing";#N/A,#N/A,FALSE,"Hires";#N/A,#N/A,FALSE,"Assumptions"}</definedName>
    <definedName name="sdfsdf" localSheetId="14">{#N/A,#N/A,FALSE,"schA"}</definedName>
    <definedName name="sdfsdf">{#N/A,#N/A,FALSE,"schA"}</definedName>
    <definedName name="sdfsdffsdfasfsdfsfasfsdfsfsdf" localSheetId="14">{#N/A,#N/A,FALSE,"Monthly SAIFI";#N/A,#N/A,FALSE,"Yearly SAIFI";#N/A,#N/A,FALSE,"Monthly CAIDI";#N/A,#N/A,FALSE,"Yearly CAIDI";#N/A,#N/A,FALSE,"Monthly SAIDI";#N/A,#N/A,FALSE,"Yearly SAIDI";#N/A,#N/A,FALSE,"Monthly MAIFI";#N/A,#N/A,FALSE,"Yearly MAIFI";#N/A,#N/A,FALSE,"Monthly Cust &gt;=4 Int"}</definedName>
    <definedName name="sdfsdffsdfasfsdfsfasfsdfsfsdf">{#N/A,#N/A,FALSE,"Monthly SAIFI";#N/A,#N/A,FALSE,"Yearly SAIFI";#N/A,#N/A,FALSE,"Monthly CAIDI";#N/A,#N/A,FALSE,"Yearly CAIDI";#N/A,#N/A,FALSE,"Monthly SAIDI";#N/A,#N/A,FALSE,"Yearly SAIDI";#N/A,#N/A,FALSE,"Monthly MAIFI";#N/A,#N/A,FALSE,"Yearly MAIFI";#N/A,#N/A,FALSE,"Monthly Cust &gt;=4 Int"}</definedName>
    <definedName name="sdfsdfsfsa" localSheetId="14">{#N/A,#N/A,FALSE,"Monthly SAIFI";#N/A,#N/A,FALSE,"Yearly SAIFI";#N/A,#N/A,FALSE,"Monthly CAIDI";#N/A,#N/A,FALSE,"Yearly CAIDI";#N/A,#N/A,FALSE,"Monthly SAIDI";#N/A,#N/A,FALSE,"Yearly SAIDI";#N/A,#N/A,FALSE,"Monthly MAIFI";#N/A,#N/A,FALSE,"Yearly MAIFI";#N/A,#N/A,FALSE,"Monthly Cust &gt;=4 Int"}</definedName>
    <definedName name="sdfsdfsfsa">{#N/A,#N/A,FALSE,"Monthly SAIFI";#N/A,#N/A,FALSE,"Yearly SAIFI";#N/A,#N/A,FALSE,"Monthly CAIDI";#N/A,#N/A,FALSE,"Yearly CAIDI";#N/A,#N/A,FALSE,"Monthly SAIDI";#N/A,#N/A,FALSE,"Yearly SAIDI";#N/A,#N/A,FALSE,"Monthly MAIFI";#N/A,#N/A,FALSE,"Yearly MAIFI";#N/A,#N/A,FALSE,"Monthly Cust &gt;=4 Int"}</definedName>
    <definedName name="sdfvc" localSheetId="14">#REF!,#REF!,#REF!,#REF!</definedName>
    <definedName name="sdfvc" localSheetId="25">#REF!,#REF!,#REF!,#REF!</definedName>
    <definedName name="sdfvc" localSheetId="4">#REF!,#REF!,#REF!,#REF!</definedName>
    <definedName name="sdfvc" localSheetId="33">#REF!,#REF!,#REF!,#REF!</definedName>
    <definedName name="sdfvc">#REF!,#REF!,#REF!,#REF!</definedName>
    <definedName name="sdfvvvv" localSheetId="14">{#N/A,#N/A,FALSE,"Expenditures";#N/A,#N/A,FALSE,"Property Placed In-Service";#N/A,#N/A,FALSE,"CWIP Balances"}</definedName>
    <definedName name="sdfvvvv">{#N/A,#N/A,FALSE,"Expenditures";#N/A,#N/A,FALSE,"Property Placed In-Service";#N/A,#N/A,FALSE,"CWIP Balances"}</definedName>
    <definedName name="SDTE">#REF!,#REF!</definedName>
    <definedName name="SDTETOP">#REF!,#REF!</definedName>
    <definedName name="Segment">#REF!</definedName>
    <definedName name="Segment_Sector">#REF!</definedName>
    <definedName name="segname2">#REF!</definedName>
    <definedName name="sencount">1</definedName>
    <definedName name="sens">#REF!</definedName>
    <definedName name="Sens_Chks_Msg">#REF!</definedName>
    <definedName name="Sens_Chks_Ttl_Areas">#REF!</definedName>
    <definedName name="Sensitivity">#REF!</definedName>
    <definedName name="sep">#REF!</definedName>
    <definedName name="Sep3Vol">#REF!</definedName>
    <definedName name="SepVol">#REF!</definedName>
    <definedName name="server">#REF!</definedName>
    <definedName name="SERVICE">#REF!</definedName>
    <definedName name="Set">" "</definedName>
    <definedName name="SETOFBOOKSID1">#REF!</definedName>
    <definedName name="SETOFBOOKSNAME1">#REF!</definedName>
    <definedName name="sffsfa" localSheetId="14">{#N/A,#N/A,FALSE,"Monthly SAIFI";#N/A,#N/A,FALSE,"Yearly SAIFI";#N/A,#N/A,FALSE,"Monthly CAIDI";#N/A,#N/A,FALSE,"Yearly CAIDI";#N/A,#N/A,FALSE,"Monthly SAIDI";#N/A,#N/A,FALSE,"Yearly SAIDI";#N/A,#N/A,FALSE,"Monthly MAIFI";#N/A,#N/A,FALSE,"Yearly MAIFI";#N/A,#N/A,FALSE,"Monthly Cust &gt;=4 Int"}</definedName>
    <definedName name="sffsfa">{#N/A,#N/A,FALSE,"Monthly SAIFI";#N/A,#N/A,FALSE,"Yearly SAIFI";#N/A,#N/A,FALSE,"Monthly CAIDI";#N/A,#N/A,FALSE,"Yearly CAIDI";#N/A,#N/A,FALSE,"Monthly SAIDI";#N/A,#N/A,FALSE,"Yearly SAIDI";#N/A,#N/A,FALSE,"Monthly MAIFI";#N/A,#N/A,FALSE,"Yearly MAIFI";#N/A,#N/A,FALSE,"Monthly Cust &gt;=4 Int"}</definedName>
    <definedName name="sfhgfhghfsghfshfsh" localSheetId="14">{#N/A,#N/A,FALSE,"Income";#N/A,#N/A,FALSE,"Cost of Goods Sold";#N/A,#N/A,FALSE,"Other Costs";#N/A,#N/A,FALSE,"Other Income";#N/A,#N/A,FALSE,"Taxes";#N/A,#N/A,FALSE,"Other Deductions";#N/A,#N/A,FALSE,"Compensation of Officers"}</definedName>
    <definedName name="sfhgfhghfsghfshfsh">{#N/A,#N/A,FALSE,"Income";#N/A,#N/A,FALSE,"Cost of Goods Sold";#N/A,#N/A,FALSE,"Other Costs";#N/A,#N/A,FALSE,"Other Income";#N/A,#N/A,FALSE,"Taxes";#N/A,#N/A,FALSE,"Other Deductions";#N/A,#N/A,FALSE,"Compensation of Officers"}</definedName>
    <definedName name="SFSFD" localSheetId="14">{#N/A,#N/A,FALSE,"Monthly SAIFI";#N/A,#N/A,FALSE,"Yearly SAIFI";#N/A,#N/A,FALSE,"Monthly CAIDI";#N/A,#N/A,FALSE,"Yearly CAIDI";#N/A,#N/A,FALSE,"Monthly SAIDI";#N/A,#N/A,FALSE,"Yearly SAIDI";#N/A,#N/A,FALSE,"Monthly MAIFI";#N/A,#N/A,FALSE,"Yearly MAIFI";#N/A,#N/A,FALSE,"Monthly Cust &gt;=4 Int"}</definedName>
    <definedName name="SFSFD">{#N/A,#N/A,FALSE,"Monthly SAIFI";#N/A,#N/A,FALSE,"Yearly SAIFI";#N/A,#N/A,FALSE,"Monthly CAIDI";#N/A,#N/A,FALSE,"Yearly CAIDI";#N/A,#N/A,FALSE,"Monthly SAIDI";#N/A,#N/A,FALSE,"Yearly SAIDI";#N/A,#N/A,FALSE,"Monthly MAIFI";#N/A,#N/A,FALSE,"Yearly MAIFI";#N/A,#N/A,FALSE,"Monthly Cust &gt;=4 Int"}</definedName>
    <definedName name="SH_Rng1">#REF!</definedName>
    <definedName name="SH_Rng2">#REF!</definedName>
    <definedName name="SH_Rng3">#REF!</definedName>
    <definedName name="SH_Rng4">#REF!</definedName>
    <definedName name="SH_Rng5">#REF!</definedName>
    <definedName name="sharaon">#REF!</definedName>
    <definedName name="sharon">#REF!</definedName>
    <definedName name="she">#REF!</definedName>
    <definedName name="sheet">#REF!</definedName>
    <definedName name="Sheet1" localSheetId="14">{#N/A,#N/A,FALSE,"Monthly SAIFI";#N/A,#N/A,FALSE,"Yearly SAIFI";#N/A,#N/A,FALSE,"Monthly CAIDI";#N/A,#N/A,FALSE,"Yearly CAIDI";#N/A,#N/A,FALSE,"Monthly SAIDI";#N/A,#N/A,FALSE,"Yearly SAIDI";#N/A,#N/A,FALSE,"Monthly MAIFI";#N/A,#N/A,FALSE,"Yearly MAIFI";#N/A,#N/A,FALSE,"Monthly Cust &gt;=4 Int"}</definedName>
    <definedName name="Sheet1">{#N/A,#N/A,FALSE,"Monthly SAIFI";#N/A,#N/A,FALSE,"Yearly SAIFI";#N/A,#N/A,FALSE,"Monthly CAIDI";#N/A,#N/A,FALSE,"Yearly CAIDI";#N/A,#N/A,FALSE,"Monthly SAIDI";#N/A,#N/A,FALSE,"Yearly SAIDI";#N/A,#N/A,FALSE,"Monthly MAIFI";#N/A,#N/A,FALSE,"Yearly MAIFI";#N/A,#N/A,FALSE,"Monthly Cust &gt;=4 Int"}</definedName>
    <definedName name="sheet53" localSheetId="25">#REF!</definedName>
    <definedName name="sheet53" localSheetId="4">#REF!</definedName>
    <definedName name="sheet53" localSheetId="33">#REF!</definedName>
    <definedName name="sheet53">#REF!</definedName>
    <definedName name="sheetpasswords">#REF!</definedName>
    <definedName name="shit" localSheetId="14">{"'O&amp;M 2000'!$A$1:$T$24"}</definedName>
    <definedName name="shit">{"'O&amp;M 2000'!$A$1:$T$24"}</definedName>
    <definedName name="shiva" localSheetId="14">{#N/A,#N/A,FALSE,"O&amp;M by processes";#N/A,#N/A,FALSE,"Elec Act vs Bud";#N/A,#N/A,FALSE,"G&amp;A";#N/A,#N/A,FALSE,"BGS";#N/A,#N/A,FALSE,"Res Cost"}</definedName>
    <definedName name="shiva">{#N/A,#N/A,FALSE,"O&amp;M by processes";#N/A,#N/A,FALSE,"Elec Act vs Bud";#N/A,#N/A,FALSE,"G&amp;A";#N/A,#N/A,FALSE,"BGS";#N/A,#N/A,FALSE,"Res Cost"}</definedName>
    <definedName name="SHORT_NAME">#REF!</definedName>
    <definedName name="Signature">#REF!</definedName>
    <definedName name="Singapore_WACC">#REF!</definedName>
    <definedName name="SKILLCODEYR1">#REF!</definedName>
    <definedName name="SKILLCODEYR2">#REF!</definedName>
    <definedName name="SKILLCODEYR3">#REF!</definedName>
    <definedName name="SKILLCODEYR4">#REF!</definedName>
    <definedName name="SKILLCODEYR5">#REF!</definedName>
    <definedName name="SKILLCODEYR6">#REF!</definedName>
    <definedName name="SkyWest_WACC">#REF!</definedName>
    <definedName name="slldk" localSheetId="14">{#N/A,#N/A,FALSE,"Monthly SAIFI";#N/A,#N/A,FALSE,"Yearly SAIFI";#N/A,#N/A,FALSE,"Monthly CAIDI";#N/A,#N/A,FALSE,"Yearly CAIDI";#N/A,#N/A,FALSE,"Monthly SAIDI";#N/A,#N/A,FALSE,"Yearly SAIDI";#N/A,#N/A,FALSE,"Monthly MAIFI";#N/A,#N/A,FALSE,"Yearly MAIFI";#N/A,#N/A,FALSE,"Monthly Cust &gt;=4 Int"}</definedName>
    <definedName name="slldk">{#N/A,#N/A,FALSE,"Monthly SAIFI";#N/A,#N/A,FALSE,"Yearly SAIFI";#N/A,#N/A,FALSE,"Monthly CAIDI";#N/A,#N/A,FALSE,"Yearly CAIDI";#N/A,#N/A,FALSE,"Monthly SAIDI";#N/A,#N/A,FALSE,"Yearly SAIDI";#N/A,#N/A,FALSE,"Monthly MAIFI";#N/A,#N/A,FALSE,"Yearly MAIFI";#N/A,#N/A,FALSE,"Monthly Cust &gt;=4 Int"}</definedName>
    <definedName name="SmallGold">#REF!</definedName>
    <definedName name="SmallSilver">#REF!</definedName>
    <definedName name="so2_styr">#REF!</definedName>
    <definedName name="solver_lin" hidden="1">0</definedName>
    <definedName name="solver_num" hidden="1">0</definedName>
    <definedName name="solver_typ" hidden="1">1</definedName>
    <definedName name="solver_val" hidden="1">0</definedName>
    <definedName name="Southwest_WACC">#REF!</definedName>
    <definedName name="Specific_Issue">#REF!</definedName>
    <definedName name="spread">#REF!</definedName>
    <definedName name="SPWS_WBID">"0A364783-6728-11D5-A438-99D762EF948E"</definedName>
    <definedName name="SR">#REF!</definedName>
    <definedName name="ss1WithFuel">#REF!</definedName>
    <definedName name="ssss">#REF!</definedName>
    <definedName name="ssssssssss" localSheetId="14">{"'Metretek HTML'!$A$7:$W$42"}</definedName>
    <definedName name="ssssssssss">{"'Metretek HTML'!$A$7:$W$42"}</definedName>
    <definedName name="st_9611">#REF!</definedName>
    <definedName name="st_9612">#REF!</definedName>
    <definedName name="st_sal">#REF!</definedName>
    <definedName name="st_sales">#REF!</definedName>
    <definedName name="staffing_new" localSheetId="14">{#N/A,#N/A,FALSE,"Overall Staffing Review";#N/A,#N/A,FALSE,"Detailed Resource Mix Review";#N/A,#N/A,FALSE,"Detailed Pyramid Review";#N/A,#N/A,FALSE,"Hours By Activity";#N/A,#N/A,FALSE,"Hours By Custom Resource"}</definedName>
    <definedName name="staffing_new">{#N/A,#N/A,FALSE,"Overall Staffing Review";#N/A,#N/A,FALSE,"Detailed Resource Mix Review";#N/A,#N/A,FALSE,"Detailed Pyramid Review";#N/A,#N/A,FALSE,"Hours By Activity";#N/A,#N/A,FALSE,"Hours By Custom Resource"}</definedName>
    <definedName name="staffing1new" localSheetId="14">{#N/A,#N/A,FALSE,"Assessment";#N/A,#N/A,FALSE,"Staffing";#N/A,#N/A,FALSE,"Hires";#N/A,#N/A,FALSE,"Assumptions"}</definedName>
    <definedName name="staffing1new">{#N/A,#N/A,FALSE,"Assessment";#N/A,#N/A,FALSE,"Staffing";#N/A,#N/A,FALSE,"Hires";#N/A,#N/A,FALSE,"Assumptions"}</definedName>
    <definedName name="staffing2" localSheetId="14">{#N/A,#N/A,FALSE,"Assessment";#N/A,#N/A,FALSE,"Staffing";#N/A,#N/A,FALSE,"Hires";#N/A,#N/A,FALSE,"Assumptions"}</definedName>
    <definedName name="staffing2">{#N/A,#N/A,FALSE,"Assessment";#N/A,#N/A,FALSE,"Staffing";#N/A,#N/A,FALSE,"Hires";#N/A,#N/A,FALSE,"Assumptions"}</definedName>
    <definedName name="staffing2_new" localSheetId="14">{#N/A,#N/A,FALSE,"Assessment";#N/A,#N/A,FALSE,"Staffing";#N/A,#N/A,FALSE,"Hires";#N/A,#N/A,FALSE,"Assumptions"}</definedName>
    <definedName name="staffing2_new">{#N/A,#N/A,FALSE,"Assessment";#N/A,#N/A,FALSE,"Staffing";#N/A,#N/A,FALSE,"Hires";#N/A,#N/A,FALSE,"Assumptions"}</definedName>
    <definedName name="Staffing3" localSheetId="14">{#N/A,#N/A,FALSE,"Assessment";#N/A,#N/A,FALSE,"Staffing";#N/A,#N/A,FALSE,"Hires";#N/A,#N/A,FALSE,"Assumptions"}</definedName>
    <definedName name="Staffing3">{#N/A,#N/A,FALSE,"Assessment";#N/A,#N/A,FALSE,"Staffing";#N/A,#N/A,FALSE,"Hires";#N/A,#N/A,FALSE,"Assumptions"}</definedName>
    <definedName name="staffing3_new" localSheetId="14">{#N/A,#N/A,FALSE,"Assessment";#N/A,#N/A,FALSE,"Staffing";#N/A,#N/A,FALSE,"Hires";#N/A,#N/A,FALSE,"Assumptions"}</definedName>
    <definedName name="staffing3_new">{#N/A,#N/A,FALSE,"Assessment";#N/A,#N/A,FALSE,"Staffing";#N/A,#N/A,FALSE,"Hires";#N/A,#N/A,FALSE,"Assumptions"}</definedName>
    <definedName name="Start25">#REF!</definedName>
    <definedName name="Start40">#REF!</definedName>
    <definedName name="STARTJOURNALIMPORT1">#REF!</definedName>
    <definedName name="StateQuestionsRange">#REF!,#REF!,#REF!,#REF!,#REF!,#REF!,#REF!,#REF!,#REF!,#REF!,#REF!,#REF!,#REF!,#REF!,#REF!,#REF!,#REF!,#REF!,#REF!</definedName>
    <definedName name="statsrevised" localSheetId="14">{#N/A,#N/A,FALSE,"O&amp;M by processes";#N/A,#N/A,FALSE,"Elec Act vs Bud";#N/A,#N/A,FALSE,"G&amp;A";#N/A,#N/A,FALSE,"BGS";#N/A,#N/A,FALSE,"Res Cost"}</definedName>
    <definedName name="statsrevised">{#N/A,#N/A,FALSE,"O&amp;M by processes";#N/A,#N/A,FALSE,"Elec Act vs Bud";#N/A,#N/A,FALSE,"G&amp;A";#N/A,#N/A,FALSE,"BGS";#N/A,#N/A,FALSE,"Res Cost"}</definedName>
    <definedName name="Status___0">#REF!</definedName>
    <definedName name="Status3">#REF!</definedName>
    <definedName name="STCUTOFF">#REF!</definedName>
    <definedName name="Steam_S0300">#REF!</definedName>
    <definedName name="STEVE">OFFSET(#REF!,0,0,COUNTA(#REF!)-1)</definedName>
    <definedName name="STILL1040">#REF!</definedName>
    <definedName name="Stmt_Sale">#REF!</definedName>
    <definedName name="storage">#REF!</definedName>
    <definedName name="Storm_Name_Lookup">#REF!</definedName>
    <definedName name="str">#REF!</definedName>
    <definedName name="STRATEGY">#REF!</definedName>
    <definedName name="Street">#REF!</definedName>
    <definedName name="stxM3Fuel">#REF!</definedName>
    <definedName name="Sub_Type">#REF!</definedName>
    <definedName name="SubCode">#REF!</definedName>
    <definedName name="SubLiab">#REF!</definedName>
    <definedName name="subprocess1">#REF!</definedName>
    <definedName name="SUM_SCHED">#REF!</definedName>
    <definedName name="SUM_SENDOUT">#REF!</definedName>
    <definedName name="Summary" localSheetId="14">{#N/A,#N/A,FALSE,"Sheet1"}</definedName>
    <definedName name="Summary">{#N/A,#N/A,FALSE,"Sheet1"}</definedName>
    <definedName name="Summaryfigures">#REF!</definedName>
    <definedName name="sunk_cost">#REF!</definedName>
    <definedName name="supplemental_new" localSheetId="14">{#N/A,#N/A,FALSE,"Assumptions";#N/A,#N/A,FALSE,"DNP Expense Summary";#N/A,#N/A,FALSE,"Sensitivity Analysis"}</definedName>
    <definedName name="supplemental_new">{#N/A,#N/A,FALSE,"Assumptions";#N/A,#N/A,FALSE,"DNP Expense Summary";#N/A,#N/A,FALSE,"Sensitivity Analysis"}</definedName>
    <definedName name="support" localSheetId="14">{#N/A,#N/A,FALSE,"O&amp;M by processes";#N/A,#N/A,FALSE,"Elec Act vs Bud";#N/A,#N/A,FALSE,"G&amp;A";#N/A,#N/A,FALSE,"BGS";#N/A,#N/A,FALSE,"Res Cost"}</definedName>
    <definedName name="support">{#N/A,#N/A,FALSE,"O&amp;M by processes";#N/A,#N/A,FALSE,"Elec Act vs Bud";#N/A,#N/A,FALSE,"G&amp;A";#N/A,#N/A,FALSE,"BGS";#N/A,#N/A,FALSE,"Res Cost"}</definedName>
    <definedName name="supporti" localSheetId="14">{#N/A,#N/A,FALSE,"O&amp;M by processes";#N/A,#N/A,FALSE,"Elec Act vs Bud";#N/A,#N/A,FALSE,"G&amp;A";#N/A,#N/A,FALSE,"BGS";#N/A,#N/A,FALSE,"Res Cost"}</definedName>
    <definedName name="supporti">{#N/A,#N/A,FALSE,"O&amp;M by processes";#N/A,#N/A,FALSE,"Elec Act vs Bud";#N/A,#N/A,FALSE,"G&amp;A";#N/A,#N/A,FALSE,"BGS";#N/A,#N/A,FALSE,"Res Cost"}</definedName>
    <definedName name="svu_roic">#REF!</definedName>
    <definedName name="svu_rtree">#REF!</definedName>
    <definedName name="svu_rtree3">#REF!</definedName>
    <definedName name="svu_sales">#REF!</definedName>
    <definedName name="svu_wacc">#REF!</definedName>
    <definedName name="svu2_roic">#REF!</definedName>
    <definedName name="swed" localSheetId="14">{#N/A,#N/A,FALSE,"Sheet1"}</definedName>
    <definedName name="swed">{#N/A,#N/A,FALSE,"Sheet1"}</definedName>
    <definedName name="SWP_MONTH">#REF!</definedName>
    <definedName name="SWP_PNL">#REF!</definedName>
    <definedName name="swy_noplat">#REF!</definedName>
    <definedName name="swy_roic">#REF!</definedName>
    <definedName name="swy_rtree">#REF!</definedName>
    <definedName name="swy_rtree3">#REF!</definedName>
    <definedName name="swy_sales">#REF!</definedName>
    <definedName name="swy_wacc">#REF!</definedName>
    <definedName name="swy2_roic">#REF!</definedName>
    <definedName name="swy2_rtree">#REF!</definedName>
    <definedName name="SystemTotalCharts">#REF!</definedName>
    <definedName name="tab_links">#REF!</definedName>
    <definedName name="TAB_NYMEX">#REF!</definedName>
    <definedName name="TAB_NYMEX_HYP">#REF!</definedName>
    <definedName name="TAB_NYMEX_UNDRLN">#REF!</definedName>
    <definedName name="TAB_NYMEX1">#REF!</definedName>
    <definedName name="tab_open_positions">#REF!</definedName>
    <definedName name="table00">#REF!</definedName>
    <definedName name="table00_01">#REF!</definedName>
    <definedName name="table01_02">#REF!</definedName>
    <definedName name="table0107_0108">#REF!</definedName>
    <definedName name="table02_03">#REF!</definedName>
    <definedName name="table03_04">#REF!</definedName>
    <definedName name="table04_05">#REF!</definedName>
    <definedName name="table06_12_2005">#REF!</definedName>
    <definedName name="table1">#REF!</definedName>
    <definedName name="table1105_0107">#REF!</definedName>
    <definedName name="tableCY08">#REF!</definedName>
    <definedName name="tableCY09">#REF!</definedName>
    <definedName name="tableCY10">#REF!</definedName>
    <definedName name="tableCY11">#REF!</definedName>
    <definedName name="TABLEDEFAULTGM">#REF!</definedName>
    <definedName name="TableName">"Dummy"</definedName>
    <definedName name="TABLENAMES">#REF!</definedName>
    <definedName name="tablerates">#REF!</definedName>
    <definedName name="TAI_OR">OFFSET(#REF!,0,5,,#REF!)</definedName>
    <definedName name="TARGETGRT">#REF!</definedName>
    <definedName name="tax">#REF!</definedName>
    <definedName name="tax_base_on_inc">#REF!</definedName>
    <definedName name="tax_basis">#REF!</definedName>
    <definedName name="TAX_CAT">#REF!</definedName>
    <definedName name="TAX_CATEGORIES">#REF!</definedName>
    <definedName name="TAX_EXEMPT_INT">#REF!</definedName>
    <definedName name="TAX_IND">#REF!</definedName>
    <definedName name="TAX_INDICATOR">#REF!</definedName>
    <definedName name="TaxCash">#REF!</definedName>
    <definedName name="taxes">#REF!</definedName>
    <definedName name="taxes1">#REF!</definedName>
    <definedName name="TaxRate">#REF!</definedName>
    <definedName name="TAXTYPE">#REF!</definedName>
    <definedName name="TC_Base">#REF!</definedName>
    <definedName name="TC_Slope">#REF!</definedName>
    <definedName name="tcoFuel">#REF!</definedName>
    <definedName name="Temp_2" localSheetId="14">{#N/A,#N/A,FALSE,"Assessment";#N/A,#N/A,FALSE,"Staffing";#N/A,#N/A,FALSE,"Hires";#N/A,#N/A,FALSE,"Assumptions"}</definedName>
    <definedName name="Temp_2">{#N/A,#N/A,FALSE,"Assessment";#N/A,#N/A,FALSE,"Staffing";#N/A,#N/A,FALSE,"Hires";#N/A,#N/A,FALSE,"Assumptions"}</definedName>
    <definedName name="Temp_2_new" localSheetId="14">{#N/A,#N/A,FALSE,"Assessment";#N/A,#N/A,FALSE,"Staffing";#N/A,#N/A,FALSE,"Hires";#N/A,#N/A,FALSE,"Assumptions"}</definedName>
    <definedName name="Temp_2_new">{#N/A,#N/A,FALSE,"Assessment";#N/A,#N/A,FALSE,"Staffing";#N/A,#N/A,FALSE,"Hires";#N/A,#N/A,FALSE,"Assumptions"}</definedName>
    <definedName name="Temp_3" localSheetId="14">{#N/A,#N/A,FALSE,"Assessment";#N/A,#N/A,FALSE,"Staffing";#N/A,#N/A,FALSE,"Hires";#N/A,#N/A,FALSE,"Assumptions"}</definedName>
    <definedName name="Temp_3">{#N/A,#N/A,FALSE,"Assessment";#N/A,#N/A,FALSE,"Staffing";#N/A,#N/A,FALSE,"Hires";#N/A,#N/A,FALSE,"Assumptions"}</definedName>
    <definedName name="Temp_3_new" localSheetId="14">{#N/A,#N/A,FALSE,"Assessment";#N/A,#N/A,FALSE,"Staffing";#N/A,#N/A,FALSE,"Hires";#N/A,#N/A,FALSE,"Assumptions"}</definedName>
    <definedName name="Temp_3_new">{#N/A,#N/A,FALSE,"Assessment";#N/A,#N/A,FALSE,"Staffing";#N/A,#N/A,FALSE,"Hires";#N/A,#N/A,FALSE,"Assumptions"}</definedName>
    <definedName name="temp_4" localSheetId="14">{#N/A,#N/A,FALSE,"Assessment";#N/A,#N/A,FALSE,"Staffing";#N/A,#N/A,FALSE,"Hires";#N/A,#N/A,FALSE,"Assumptions"}</definedName>
    <definedName name="temp_4">{#N/A,#N/A,FALSE,"Assessment";#N/A,#N/A,FALSE,"Staffing";#N/A,#N/A,FALSE,"Hires";#N/A,#N/A,FALSE,"Assumptions"}</definedName>
    <definedName name="temp_4_new" localSheetId="14">{#N/A,#N/A,FALSE,"Assessment";#N/A,#N/A,FALSE,"Staffing";#N/A,#N/A,FALSE,"Hires";#N/A,#N/A,FALSE,"Assumptions"}</definedName>
    <definedName name="temp_4_new">{#N/A,#N/A,FALSE,"Assessment";#N/A,#N/A,FALSE,"Staffing";#N/A,#N/A,FALSE,"Hires";#N/A,#N/A,FALSE,"Assumptions"}</definedName>
    <definedName name="TEMPLATENUMBER1">#REF!</definedName>
    <definedName name="TEMPLATESTYLE1">#REF!</definedName>
    <definedName name="TEMPLATETYPE1">#REF!</definedName>
    <definedName name="Tender_OT0n">#REF!</definedName>
    <definedName name="Tenders_Capacity_FT0n">#REF!</definedName>
    <definedName name="Tenders_Capacity_OT0n">#REF!</definedName>
    <definedName name="Tenders_FT0n">#REF!</definedName>
    <definedName name="TENN1">#REF!</definedName>
    <definedName name="teph_roic">#REF!</definedName>
    <definedName name="teph_rtree">#REF!</definedName>
    <definedName name="teph_rtree3">#REF!</definedName>
    <definedName name="teph_sales">#REF!</definedName>
    <definedName name="teph_wacc">#REF!</definedName>
    <definedName name="teph2_roic">#REF!</definedName>
    <definedName name="test" localSheetId="14">{#N/A,#N/A,FALSE,"Month";#N/A,#N/A,FALSE,"Period";#N/A,#N/A,FALSE,"12 Month";#N/A,#N/A,FALSE,"Quarter"}</definedName>
    <definedName name="test">{#N/A,#N/A,FALSE,"Month";#N/A,#N/A,FALSE,"Period";#N/A,#N/A,FALSE,"12 Month";#N/A,#N/A,FALSE,"Quarter"}</definedName>
    <definedName name="TEST1">#REF!</definedName>
    <definedName name="TETCO1">#REF!</definedName>
    <definedName name="TEXT" localSheetId="14">{"'Metretek HTML'!$A$7:$W$42"}</definedName>
    <definedName name="TEXT">{"'Metretek HTML'!$A$7:$W$42"}</definedName>
    <definedName name="TextRefCopyRangeCount">1</definedName>
    <definedName name="TGP_Col">#REF!</definedName>
    <definedName name="TGP_EN">#REF!</definedName>
    <definedName name="tgpInjFuel">#REF!</definedName>
    <definedName name="tgpz0Z4Fuel">#REF!</definedName>
    <definedName name="tgpz0z6Fuel">#REF!</definedName>
    <definedName name="tgtFuel">#REF!</definedName>
    <definedName name="Thai_WACC">#REF!</definedName>
    <definedName name="Ticker">#REF!</definedName>
    <definedName name="Tier1teamsa">#REF!</definedName>
    <definedName name="Title">#REF!</definedName>
    <definedName name="Title_RY">#REF!</definedName>
    <definedName name="Title_TY">#REF!</definedName>
    <definedName name="TOC">#REF!</definedName>
    <definedName name="TOC_Hdg_1">#REF!</definedName>
    <definedName name="TOC_Hdg_10">#REF!</definedName>
    <definedName name="TOC_Hdg_11">#REF!</definedName>
    <definedName name="TOC_Hdg_12">#REF!</definedName>
    <definedName name="TOC_Hdg_13">#REF!</definedName>
    <definedName name="TOC_Hdg_15">#REF!</definedName>
    <definedName name="TOC_Hdg_16">#REF!</definedName>
    <definedName name="TOC_Hdg_17">#REF!</definedName>
    <definedName name="TOC_Hdg_2">#REF!</definedName>
    <definedName name="TOC_Hdg_21">#REF!</definedName>
    <definedName name="TOC_Hdg_24">#REF!</definedName>
    <definedName name="TOC_Hdg_3">#REF!</definedName>
    <definedName name="TOC_Hdg_32">#REF!</definedName>
    <definedName name="TOC_Hdg_5">#REF!</definedName>
    <definedName name="TOC_Hdg_6">#REF!</definedName>
    <definedName name="TOC_Hdg_7">#REF!</definedName>
    <definedName name="TOC_Hdg_8">#REF!</definedName>
    <definedName name="TOC_Hdg_9">#REF!</definedName>
    <definedName name="TOCLD">#REF!</definedName>
    <definedName name="Today">#REF!</definedName>
    <definedName name="toma" localSheetId="14">{#N/A,#N/A,FALSE,"O&amp;M by processes";#N/A,#N/A,FALSE,"Elec Act vs Bud";#N/A,#N/A,FALSE,"G&amp;A";#N/A,#N/A,FALSE,"BGS";#N/A,#N/A,FALSE,"Res Cost"}</definedName>
    <definedName name="toma">{#N/A,#N/A,FALSE,"O&amp;M by processes";#N/A,#N/A,FALSE,"Elec Act vs Bud";#N/A,#N/A,FALSE,"G&amp;A";#N/A,#N/A,FALSE,"BGS";#N/A,#N/A,FALSE,"Res Cost"}</definedName>
    <definedName name="tomb" localSheetId="14">{#N/A,#N/A,FALSE,"O&amp;M by processes";#N/A,#N/A,FALSE,"Elec Act vs Bud";#N/A,#N/A,FALSE,"G&amp;A";#N/A,#N/A,FALSE,"BGS";#N/A,#N/A,FALSE,"Res Cost"}</definedName>
    <definedName name="tomb">{#N/A,#N/A,FALSE,"O&amp;M by processes";#N/A,#N/A,FALSE,"Elec Act vs Bud";#N/A,#N/A,FALSE,"G&amp;A";#N/A,#N/A,FALSE,"BGS";#N/A,#N/A,FALSE,"Res Cost"}</definedName>
    <definedName name="tomc" localSheetId="14">{#N/A,#N/A,FALSE,"O&amp;M by processes";#N/A,#N/A,FALSE,"Elec Act vs Bud";#N/A,#N/A,FALSE,"G&amp;A";#N/A,#N/A,FALSE,"BGS";#N/A,#N/A,FALSE,"Res Cost"}</definedName>
    <definedName name="tomc">{#N/A,#N/A,FALSE,"O&amp;M by processes";#N/A,#N/A,FALSE,"Elec Act vs Bud";#N/A,#N/A,FALSE,"G&amp;A";#N/A,#N/A,FALSE,"BGS";#N/A,#N/A,FALSE,"Res Cost"}</definedName>
    <definedName name="tomd" localSheetId="14">{#N/A,#N/A,FALSE,"O&amp;M by processes";#N/A,#N/A,FALSE,"Elec Act vs Bud";#N/A,#N/A,FALSE,"G&amp;A";#N/A,#N/A,FALSE,"BGS";#N/A,#N/A,FALSE,"Res Cost"}</definedName>
    <definedName name="tomd">{#N/A,#N/A,FALSE,"O&amp;M by processes";#N/A,#N/A,FALSE,"Elec Act vs Bud";#N/A,#N/A,FALSE,"G&amp;A";#N/A,#N/A,FALSE,"BGS";#N/A,#N/A,FALSE,"Res Cost"}</definedName>
    <definedName name="tomx" localSheetId="14">{#N/A,#N/A,FALSE,"O&amp;M by processes";#N/A,#N/A,FALSE,"Elec Act vs Bud";#N/A,#N/A,FALSE,"G&amp;A";#N/A,#N/A,FALSE,"BGS";#N/A,#N/A,FALSE,"Res Cost"}</definedName>
    <definedName name="tomx">{#N/A,#N/A,FALSE,"O&amp;M by processes";#N/A,#N/A,FALSE,"Elec Act vs Bud";#N/A,#N/A,FALSE,"G&amp;A";#N/A,#N/A,FALSE,"BGS";#N/A,#N/A,FALSE,"Res Cost"}</definedName>
    <definedName name="tomy" localSheetId="14">{#N/A,#N/A,FALSE,"O&amp;M by processes";#N/A,#N/A,FALSE,"Elec Act vs Bud";#N/A,#N/A,FALSE,"G&amp;A";#N/A,#N/A,FALSE,"BGS";#N/A,#N/A,FALSE,"Res Cost"}</definedName>
    <definedName name="tomy">{#N/A,#N/A,FALSE,"O&amp;M by processes";#N/A,#N/A,FALSE,"Elec Act vs Bud";#N/A,#N/A,FALSE,"G&amp;A";#N/A,#N/A,FALSE,"BGS";#N/A,#N/A,FALSE,"Res Cost"}</definedName>
    <definedName name="tomz" localSheetId="14">{#N/A,#N/A,FALSE,"O&amp;M by processes";#N/A,#N/A,FALSE,"Elec Act vs Bud";#N/A,#N/A,FALSE,"G&amp;A";#N/A,#N/A,FALSE,"BGS";#N/A,#N/A,FALSE,"Res Cost"}</definedName>
    <definedName name="tomz">{#N/A,#N/A,FALSE,"O&amp;M by processes";#N/A,#N/A,FALSE,"Elec Act vs Bud";#N/A,#N/A,FALSE,"G&amp;A";#N/A,#N/A,FALSE,"BGS";#N/A,#N/A,FALSE,"Res Cost"}</definedName>
    <definedName name="tot_ded">#REF!</definedName>
    <definedName name="tot_incr_cap">#REF!</definedName>
    <definedName name="Total_assets">#REF!</definedName>
    <definedName name="Total_Payment" localSheetId="14">Scheduled_Payment+Extra_Payment</definedName>
    <definedName name="Total_Payment" localSheetId="25">Scheduled_Payment+Extra_Payment</definedName>
    <definedName name="Total_Payment" localSheetId="4">Scheduled_Payment+Extra_Payment</definedName>
    <definedName name="Total_Payment" localSheetId="33">Scheduled_Payment+Extra_Payment</definedName>
    <definedName name="Total_Payment">Scheduled_Payment+Extra_Payment</definedName>
    <definedName name="TOTLABCOSTYR1">#REF!</definedName>
    <definedName name="TOTLABCOSTYR2">#REF!</definedName>
    <definedName name="TOTLABCOSTYR3">#REF!</definedName>
    <definedName name="TOTLABCOSTYR4">#REF!</definedName>
    <definedName name="TOTLABCOSTYR5">#REF!</definedName>
    <definedName name="TOTLABCOSTYR6">#REF!</definedName>
    <definedName name="totrevenues">#REF!</definedName>
    <definedName name="TP_Footer_Path">"S:\74639\03RET\(417) 2004 Cost Projection\"</definedName>
    <definedName name="TP_Footer_Path1">"S:\74639\03RET\(852) Pension Val - OOS\Contribution Allocations\"</definedName>
    <definedName name="TP_Footer_User">"Mary Lou Barrios"</definedName>
    <definedName name="TP_Footer_Version">"v3.00"</definedName>
    <definedName name="TR_OR">OFFSET(#REF!,0,5,,#REF!)</definedName>
    <definedName name="TRAN1">#REF!</definedName>
    <definedName name="TranAdj">#REF!</definedName>
    <definedName name="trans_type">#REF!</definedName>
    <definedName name="TranscoS2Fuel">#REF!</definedName>
    <definedName name="transcoz2Z6Fuel">#REF!</definedName>
    <definedName name="transcoZ6Z6Fuel">#REF!</definedName>
    <definedName name="trrrrrrrrrrr" localSheetId="14">{#N/A,#N/A,FALSE,"Income";#N/A,#N/A,FALSE,"Cost of Goods Sold";#N/A,#N/A,FALSE,"Other Costs";#N/A,#N/A,FALSE,"Other Income";#N/A,#N/A,FALSE,"Taxes";#N/A,#N/A,FALSE,"Other Deductions";#N/A,#N/A,FALSE,"Compensation of Officers"}</definedName>
    <definedName name="trrrrrrrrrrr">{#N/A,#N/A,FALSE,"Income";#N/A,#N/A,FALSE,"Cost of Goods Sold";#N/A,#N/A,FALSE,"Other Costs";#N/A,#N/A,FALSE,"Other Income";#N/A,#N/A,FALSE,"Taxes";#N/A,#N/A,FALSE,"Other Deductions";#N/A,#N/A,FALSE,"Compensation of Officers"}</definedName>
    <definedName name="TRS_Lookup14">#REF!</definedName>
    <definedName name="trucking">#REF!</definedName>
    <definedName name="TS_Actual_Per_Title">#REF!</definedName>
    <definedName name="TS_Actual_Pers">#REF!</definedName>
    <definedName name="TS_Budget_Per_Title">#REF!</definedName>
    <definedName name="TS_Budget_Pers">#REF!</definedName>
    <definedName name="TS_Data_End_Date">#REF!</definedName>
    <definedName name="TS_Data_Final_Stub">#REF!</definedName>
    <definedName name="TS_Data_Full_Pers">#REF!</definedName>
    <definedName name="TS_Data_Pers_Ass">#REF!</definedName>
    <definedName name="TS_Data_Total_Pers">#REF!</definedName>
    <definedName name="TS_Fcast_Per_Title">#REF!</definedName>
    <definedName name="TS_Mth_End">#REF!</definedName>
    <definedName name="TS_Mths_In_Per">#REF!</definedName>
    <definedName name="TS_Per_1_End_Date">#REF!</definedName>
    <definedName name="TS_Per_1_FY_End_Date">#REF!</definedName>
    <definedName name="TS_Per_1_FY_Start_Date">#REF!</definedName>
    <definedName name="TS_Per_1_Number">#REF!</definedName>
    <definedName name="TS_Per_1_Start_Date">#REF!</definedName>
    <definedName name="TS_Per_Type_Name">#REF!</definedName>
    <definedName name="TS_Per_Type_Prefix">#REF!</definedName>
    <definedName name="TS_Periodicity">#REF!</definedName>
    <definedName name="TS_Pers_In_Yr">#REF!</definedName>
    <definedName name="TS_Proj_Per_1_End_Date">#REF!</definedName>
    <definedName name="TS_Proj_Per_1_FY_End_Date">#REF!</definedName>
    <definedName name="TS_Proj_Per_1_FY_Start_Date">#REF!</definedName>
    <definedName name="TS_Proj_Per_1_Number">#REF!</definedName>
    <definedName name="TS_Proj_Start_Date">#REF!</definedName>
    <definedName name="TS_Proj_Start_Date_Ass">#REF!</definedName>
    <definedName name="TS_Start_Date">#REF!</definedName>
    <definedName name="tt" localSheetId="14">#REF!,#REF!,#REF!,#REF!</definedName>
    <definedName name="tt" localSheetId="25">#REF!,#REF!,#REF!,#REF!</definedName>
    <definedName name="tt" localSheetId="4">#REF!,#REF!,#REF!,#REF!</definedName>
    <definedName name="tt" localSheetId="33">#REF!,#REF!,#REF!,#REF!</definedName>
    <definedName name="tt">#REF!,#REF!,#REF!,#REF!</definedName>
    <definedName name="TTDesiredLevelOfEvidenceItems">#REF!</definedName>
    <definedName name="ttghh" localSheetId="14">{#N/A,#N/A,FALSE,"schA"}</definedName>
    <definedName name="ttghh">{#N/A,#N/A,FALSE,"schA"}</definedName>
    <definedName name="TwoStepMisstatementIdentified">#REF!</definedName>
    <definedName name="TwoStepTolerableEstMisstmtCalc">#REF!</definedName>
    <definedName name="tyhdxrthdrcthdcrtf">0.00167824074742384</definedName>
    <definedName name="tyhg" localSheetId="14">{#N/A,#N/A,FALSE,"schA"}</definedName>
    <definedName name="tyhg">{#N/A,#N/A,FALSE,"schA"}</definedName>
    <definedName name="tykjukjyuyukuyk">#REF!,#REF!</definedName>
    <definedName name="Type">#REF!</definedName>
    <definedName name="Type_Code_Map">#REF!</definedName>
    <definedName name="tyty" localSheetId="14">{#N/A,#N/A,FALSE,"Monthly SAIFI";#N/A,#N/A,FALSE,"Yearly SAIFI";#N/A,#N/A,FALSE,"Monthly CAIDI";#N/A,#N/A,FALSE,"Yearly CAIDI";#N/A,#N/A,FALSE,"Monthly SAIDI";#N/A,#N/A,FALSE,"Yearly SAIDI";#N/A,#N/A,FALSE,"Monthly MAIFI";#N/A,#N/A,FALSE,"Yearly MAIFI";#N/A,#N/A,FALSE,"Monthly Cust &gt;=4 Int"}</definedName>
    <definedName name="tyty">{#N/A,#N/A,FALSE,"Monthly SAIFI";#N/A,#N/A,FALSE,"Yearly SAIFI";#N/A,#N/A,FALSE,"Monthly CAIDI";#N/A,#N/A,FALSE,"Yearly CAIDI";#N/A,#N/A,FALSE,"Monthly SAIDI";#N/A,#N/A,FALSE,"Yearly SAIDI";#N/A,#N/A,FALSE,"Monthly MAIFI";#N/A,#N/A,FALSE,"Yearly MAIFI";#N/A,#N/A,FALSE,"Monthly Cust &gt;=4 Int"}</definedName>
    <definedName name="u" localSheetId="14">{#VALUE!,#N/A,FALSE,0}</definedName>
    <definedName name="u">{#VALUE!,#N/A,FALSE,0}</definedName>
    <definedName name="UGHydOff">#REF!</definedName>
    <definedName name="UGHydOn">#REF!</definedName>
    <definedName name="UGHydWE">#REF!</definedName>
    <definedName name="uhh" localSheetId="14">#REF!,#REF!,#REF!,#REF!</definedName>
    <definedName name="uhh" localSheetId="25">#REF!,#REF!,#REF!,#REF!</definedName>
    <definedName name="uhh" localSheetId="4">#REF!,#REF!,#REF!,#REF!</definedName>
    <definedName name="uhh" localSheetId="33">#REF!,#REF!,#REF!,#REF!</definedName>
    <definedName name="uhh">#REF!,#REF!,#REF!,#REF!</definedName>
    <definedName name="uhj" localSheetId="14">{#N/A,#N/A,FALSE,"Expenditures";#N/A,#N/A,FALSE,"Property Placed In-Service";#N/A,#N/A,FALSE,"Removals";#N/A,#N/A,FALSE,"Retirements";#N/A,#N/A,FALSE,"CWIP Balances";#N/A,#N/A,FALSE,"CWIP_Expend_Ratios";#N/A,#N/A,FALSE,"CWIP_Yr_End"}</definedName>
    <definedName name="uhj">{#N/A,#N/A,FALSE,"Expenditures";#N/A,#N/A,FALSE,"Property Placed In-Service";#N/A,#N/A,FALSE,"Removals";#N/A,#N/A,FALSE,"Retirements";#N/A,#N/A,FALSE,"CWIP Balances";#N/A,#N/A,FALSE,"CWIP_Expend_Ratios";#N/A,#N/A,FALSE,"CWIP_Yr_End"}</definedName>
    <definedName name="uiuhyuj" localSheetId="14">{#N/A,#N/A,FALSE,"schA"}</definedName>
    <definedName name="uiuhyuj">{#N/A,#N/A,FALSE,"schA"}</definedName>
    <definedName name="UKAcct">#REF!</definedName>
    <definedName name="ukknmn" localSheetId="14">{#N/A,#N/A,FALSE,"schA"}</definedName>
    <definedName name="ukknmn">{#N/A,#N/A,FALSE,"schA"}</definedName>
    <definedName name="ukonly">#REF!</definedName>
    <definedName name="Unbilled_Fuel_Rev">#REF!</definedName>
    <definedName name="unc">#REF!</definedName>
    <definedName name="UNC_0300">#REF!</definedName>
    <definedName name="UNC_S0300">#REF!</definedName>
    <definedName name="Uncollectibles">#REF!</definedName>
    <definedName name="Uncollectibles_POR">#REF!</definedName>
    <definedName name="UNI_FILT_OFFSPEC">2</definedName>
    <definedName name="UNI_FILT_ONSPEC">1</definedName>
    <definedName name="UNI_NOTHING">0</definedName>
    <definedName name="UNI_PRES_FILTER">1</definedName>
    <definedName name="UNI_PRES_HEADINGS">16</definedName>
    <definedName name="UNI_PRES_INVERT">2</definedName>
    <definedName name="UNI_PRES_MATRIX">4</definedName>
    <definedName name="UNI_PRES_MERGED">8</definedName>
    <definedName name="UNI_PRES_OUTLIERS">32</definedName>
    <definedName name="UNI_RET_ATTRIB">64</definedName>
    <definedName name="UNI_RET_CONF">32</definedName>
    <definedName name="UNI_RET_DESC">4</definedName>
    <definedName name="UNI_RET_EQUIP">1</definedName>
    <definedName name="UNI_RET_OFFSPEC">512</definedName>
    <definedName name="UNI_RET_ONSPEC">256</definedName>
    <definedName name="UNI_RET_PROP">32</definedName>
    <definedName name="UNI_RET_PROPDESC">64</definedName>
    <definedName name="UNI_RET_SMPLPNT">4</definedName>
    <definedName name="UNI_RET_SPECMAX">2048</definedName>
    <definedName name="UNI_RET_SPECMIN">1024</definedName>
    <definedName name="UNI_RET_TAG">1</definedName>
    <definedName name="UNI_RET_TESTTIME">128</definedName>
    <definedName name="UNI_RET_TIME">8</definedName>
    <definedName name="UNI_RET_UNIT">2</definedName>
    <definedName name="UNI_RET_VALUE">16</definedName>
    <definedName name="UNIQUEBILL">#REF!</definedName>
    <definedName name="Unit">#REF!</definedName>
    <definedName name="unit_util">#REF!</definedName>
    <definedName name="United_WACC">#REF!</definedName>
    <definedName name="update">#REF!</definedName>
    <definedName name="USAirways_WACC">#REF!</definedName>
    <definedName name="UseDAM">#REF!</definedName>
    <definedName name="users">#REF!</definedName>
    <definedName name="USSales">#REF!</definedName>
    <definedName name="USV" localSheetId="14">{#N/A,#N/A,FALSE,"OIT ee contribs 00";#N/A,#N/A,FALSE,"OITeecontribs-DentalVision";#N/A,#N/A,FALSE,"OIT-pc01";#N/A,#N/A,FALSE,"pc-dent&amp;vision01";#N/A,#N/A,FALSE,"OIT-tc01";#N/A,#N/A,FALSE,"tc-dent&amp;vision01"}</definedName>
    <definedName name="USV">{#N/A,#N/A,FALSE,"OIT ee contribs 00";#N/A,#N/A,FALSE,"OITeecontribs-DentalVision";#N/A,#N/A,FALSE,"OIT-pc01";#N/A,#N/A,FALSE,"pc-dent&amp;vision01";#N/A,#N/A,FALSE,"OIT-tc01";#N/A,#N/A,FALSE,"tc-dent&amp;vision01"}</definedName>
    <definedName name="uuii" localSheetId="14">{#N/A,#N/A,FALSE,"schA"}</definedName>
    <definedName name="uuii">{#N/A,#N/A,FALSE,"schA"}</definedName>
    <definedName name="uuij" localSheetId="14">#REF!,#REF!,#REF!,#REF!</definedName>
    <definedName name="uuij" localSheetId="25">#REF!,#REF!,#REF!,#REF!</definedName>
    <definedName name="uuij" localSheetId="4">#REF!,#REF!,#REF!,#REF!</definedName>
    <definedName name="uuij" localSheetId="33">#REF!,#REF!,#REF!,#REF!</definedName>
    <definedName name="uuij">#REF!,#REF!,#REF!,#REF!</definedName>
    <definedName name="uujhh" localSheetId="14">{#N/A,#N/A,FALSE,"schA"}</definedName>
    <definedName name="uujhh">{#N/A,#N/A,FALSE,"schA"}</definedName>
    <definedName name="uuu" localSheetId="14">{#N/A,#N/A,FALSE,"schA"}</definedName>
    <definedName name="uuu">{#N/A,#N/A,FALSE,"schA"}</definedName>
    <definedName name="v" localSheetId="14">{"Japan_Capers_Ed_Pub",#N/A,FALSE,"DI 2 YEAR MASTER SCHEDULE"}</definedName>
    <definedName name="v">{"Japan_Capers_Ed_Pub",#N/A,FALSE,"DI 2 YEAR MASTER SCHEDULE"}</definedName>
    <definedName name="ValDate">#REF!</definedName>
    <definedName name="Validation">#REF!</definedName>
    <definedName name="ValidMonths">#REF!</definedName>
    <definedName name="Values_Entered" localSheetId="14">IF(Loan_Amount*#REF!*Loan_Years*Loan_Start&gt;0,1,0)</definedName>
    <definedName name="Values_Entered">IF(Loan_Amount*#REF!*Loan_Years*Loan_Start&gt;0,1,0)</definedName>
    <definedName name="vaporization">#REF!</definedName>
    <definedName name="Var_Res_Type">#REF!</definedName>
    <definedName name="VARDETAILCAP">#REF!</definedName>
    <definedName name="Vars1b">#REF!,#REF!,#REF!,#REF!,#REF!,#REF!,#REF!</definedName>
    <definedName name="Vars1c">#REF!,#REF!,#REF!,#REF!,#REF!,#REF!,#REF!</definedName>
    <definedName name="Vars4a">#REF!,#REF!,#REF!,#REF!,#REF!,#REF!,#REF!</definedName>
    <definedName name="Vars4b">#REF!,#REF!,#REF!,#REF!</definedName>
    <definedName name="Vars4c">#REF!,#REF!,#REF!,#REF!,#REF!,#REF!,#REF!</definedName>
    <definedName name="Vars4d">#REF!,#REF!,#REF!,#REF!,#REF!,#REF!,#REF!</definedName>
    <definedName name="Vars4e">#REF!,#REF!,#REF!,#REF!,#REF!,#REF!,#REF!</definedName>
    <definedName name="Vars4f">#REF!,#REF!,#REF!,#REF!,#REF!,#REF!,#REF!</definedName>
    <definedName name="Vars4g">#REF!,#REF!,#REF!,#REF!,#REF!,#REF!,#REF!,#REF!,#REF!,#REF!</definedName>
    <definedName name="Vars4h">#REF!,#REF!,#REF!,#REF!,#REF!,#REF!,#REF!</definedName>
    <definedName name="Vars4i">#REF!,#REF!,#REF!,#REF!,#REF!,#REF!,#REF!</definedName>
    <definedName name="Vars4j">#REF!,#REF!,#REF!,#REF!,#REF!,#REF!,#REF!</definedName>
    <definedName name="Vars4k">#REF!,#REF!,#REF!,#REF!,#REF!,#REF!,#REF!</definedName>
    <definedName name="Vars4l">#REF!,#REF!,#REF!,#REF!,#REF!,#REF!,#REF!</definedName>
    <definedName name="Vars4m">#REF!,#REF!,#REF!,#REF!,#REF!,#REF!,#REF!</definedName>
    <definedName name="Vars4n">#REF!,#REF!,#REF!,#REF!,#REF!,#REF!,#REF!</definedName>
    <definedName name="Vars4o">#REF!,#REF!,#REF!,#REF!,#REF!,#REF!,#REF!</definedName>
    <definedName name="Vars4p">#REF!,#REF!,#REF!,#REF!,#REF!,#REF!,#REF!</definedName>
    <definedName name="Vars4q">#REF!,#REF!,#REF!,#REF!,#REF!,#REF!,#REF!</definedName>
    <definedName name="Vars8a2">#REF!,#REF!,#REF!,#REF!,#REF!</definedName>
    <definedName name="Vars8a3">#REF!,#REF!,#REF!,#REF!,#REF!,#REF!,#REF!</definedName>
    <definedName name="Vars8b1">#REF!,#REF!,#REF!,#REF!,#REF!,#REF!,#REF!</definedName>
    <definedName name="Vars8b2">#REF!,#REF!,#REF!,#REF!,#REF!</definedName>
    <definedName name="Vars8b3">#REF!,#REF!,#REF!,#REF!,#REF!,#REF!,#REF!</definedName>
    <definedName name="vbbb" localSheetId="14">{#N/A,#N/A,FALSE,"Sheet1"}</definedName>
    <definedName name="vbbb">{#N/A,#N/A,FALSE,"Sheet1"}</definedName>
    <definedName name="vbhnm" localSheetId="14">{#N/A,#N/A,FALSE,"schA"}</definedName>
    <definedName name="vbhnm">{#N/A,#N/A,FALSE,"schA"}</definedName>
    <definedName name="vbnhh" localSheetId="14">{#N/A,#N/A,FALSE,"Expenditures";#N/A,#N/A,FALSE,"Property Placed In-Service";#N/A,#N/A,FALSE,"CWIP Balances"}</definedName>
    <definedName name="vbnhh">{#N/A,#N/A,FALSE,"Expenditures";#N/A,#N/A,FALSE,"Property Placed In-Service";#N/A,#N/A,FALSE,"CWIP Balances"}</definedName>
    <definedName name="vbv" localSheetId="14">{#N/A,#N/A,FALSE,"JE051 PAGE 1 OF 3";#N/A,#N/A,FALSE,"JE051 PAGE 2 OF 3";#N/A,#N/A,FALSE,"JE051 PAGE 3 OF 3"}</definedName>
    <definedName name="vbv">{#N/A,#N/A,FALSE,"JE051 PAGE 1 OF 3";#N/A,#N/A,FALSE,"JE051 PAGE 2 OF 3";#N/A,#N/A,FALSE,"JE051 PAGE 3 OF 3"}</definedName>
    <definedName name="vcbcvbcv" localSheetId="14">{#N/A,#N/A,FALSE,"Monthly SAIFI";#N/A,#N/A,FALSE,"Yearly SAIFI";#N/A,#N/A,FALSE,"Monthly CAIDI";#N/A,#N/A,FALSE,"Yearly CAIDI";#N/A,#N/A,FALSE,"Monthly SAIDI";#N/A,#N/A,FALSE,"Yearly SAIDI";#N/A,#N/A,FALSE,"Monthly MAIFI";#N/A,#N/A,FALSE,"Yearly MAIFI";#N/A,#N/A,FALSE,"Monthly Cust &gt;=4 Int"}</definedName>
    <definedName name="vcbcvbcv">{#N/A,#N/A,FALSE,"Monthly SAIFI";#N/A,#N/A,FALSE,"Yearly SAIFI";#N/A,#N/A,FALSE,"Monthly CAIDI";#N/A,#N/A,FALSE,"Yearly CAIDI";#N/A,#N/A,FALSE,"Monthly SAIDI";#N/A,#N/A,FALSE,"Yearly SAIDI";#N/A,#N/A,FALSE,"Monthly MAIFI";#N/A,#N/A,FALSE,"Yearly MAIFI";#N/A,#N/A,FALSE,"Monthly Cust &gt;=4 Int"}</definedName>
    <definedName name="vdd" localSheetId="14">{"summary",#N/A,TRUE,"Coal Inventory Summary";"view 1",#N/A,TRUE,"Coal Inv. By Station";"view 2",#N/A,TRUE,"Coal inv by sta 2";"view 3",#N/A,TRUE,"Coal inv by sta 3";"oil",#N/A,TRUE,"Oil Purchases"}</definedName>
    <definedName name="vdd">{"summary",#N/A,TRUE,"Coal Inventory Summary";"view 1",#N/A,TRUE,"Coal Inv. By Station";"view 2",#N/A,TRUE,"Coal inv by sta 2";"view 3",#N/A,TRUE,"Coal inv by sta 3";"oil",#N/A,TRUE,"Oil Purchases"}</definedName>
    <definedName name="Vendor">#REF!</definedName>
    <definedName name="VendorList">#REF!</definedName>
    <definedName name="Version">#REF!</definedName>
    <definedName name="vgb" localSheetId="14">{#N/A,#N/A,FALSE,"Expenditures";#N/A,#N/A,FALSE,"Property Placed In-Service";#N/A,#N/A,FALSE,"Removals";#N/A,#N/A,FALSE,"Retirements";#N/A,#N/A,FALSE,"CWIP Balances";#N/A,#N/A,FALSE,"CWIP_Expend_Ratios";#N/A,#N/A,FALSE,"CWIP_Yr_End"}</definedName>
    <definedName name="vgb">{#N/A,#N/A,FALSE,"Expenditures";#N/A,#N/A,FALSE,"Property Placed In-Service";#N/A,#N/A,FALSE,"Removals";#N/A,#N/A,FALSE,"Retirements";#N/A,#N/A,FALSE,"CWIP Balances";#N/A,#N/A,FALSE,"CWIP_Expend_Ratios";#N/A,#N/A,FALSE,"CWIP_Yr_End"}</definedName>
    <definedName name="View_Graph3" localSheetId="25">#REF!</definedName>
    <definedName name="View_Graph3" localSheetId="4">#REF!</definedName>
    <definedName name="View_Graph3" localSheetId="33">#REF!</definedName>
    <definedName name="View_Graph3">#REF!</definedName>
    <definedName name="VirginExpress_WACC">#REF!</definedName>
    <definedName name="Vol_NH">#REF!</definedName>
    <definedName name="VON_COMPANY">#REF!</definedName>
    <definedName name="VON_DESC">#REF!</definedName>
    <definedName name="VON_PNL">#REF!</definedName>
    <definedName name="VTEL2006">#REF!</definedName>
    <definedName name="vtel2007">#REF!</definedName>
    <definedName name="vv">#REF!</definedName>
    <definedName name="vvbb" localSheetId="14">{"rates",#N/A,FALSE,"COSSUM"}</definedName>
    <definedName name="vvbb">{"rates",#N/A,FALSE,"COSSUM"}</definedName>
    <definedName name="vvbvbv" localSheetId="14">{#N/A,#N/A,FALSE,"Aging Summary";#N/A,#N/A,FALSE,"Ratio Analysis";#N/A,#N/A,FALSE,"Test 120 Day Accts";#N/A,#N/A,FALSE,"Tickmarks"}</definedName>
    <definedName name="vvbvbv">{#N/A,#N/A,FALSE,"Aging Summary";#N/A,#N/A,FALSE,"Ratio Analysis";#N/A,#N/A,FALSE,"Test 120 Day Accts";#N/A,#N/A,FALSE,"Tickmarks"}</definedName>
    <definedName name="vvcxc" localSheetId="14">{#N/A,#N/A,FALSE,"Expenditures";#N/A,#N/A,FALSE,"Property Placed In-Service";#N/A,#N/A,FALSE,"Removals";#N/A,#N/A,FALSE,"Retirements";#N/A,#N/A,FALSE,"CWIP Balances";#N/A,#N/A,FALSE,"CWIP_Expend_Ratios";#N/A,#N/A,FALSE,"CWIP_Yr_End";#N/A,#N/A,FALSE,"Nuc_Fuel";#N/A,#N/A,FALSE,"New_Gen";#N/A,#N/A,FALSE,"New_Trans";#N/A,#N/A,FALSE,"DSM";#N/A,#N/A,FALSE,"Factors"}</definedName>
    <definedName name="vvcxc">{#N/A,#N/A,FALSE,"Expenditures";#N/A,#N/A,FALSE,"Property Placed In-Service";#N/A,#N/A,FALSE,"Removals";#N/A,#N/A,FALSE,"Retirements";#N/A,#N/A,FALSE,"CWIP Balances";#N/A,#N/A,FALSE,"CWIP_Expend_Ratios";#N/A,#N/A,FALSE,"CWIP_Yr_End";#N/A,#N/A,FALSE,"Nuc_Fuel";#N/A,#N/A,FALSE,"New_Gen";#N/A,#N/A,FALSE,"New_Trans";#N/A,#N/A,FALSE,"DSM";#N/A,#N/A,FALSE,"Factors"}</definedName>
    <definedName name="vvhnbn" localSheetId="14">{#N/A,#N/A,FALSE,"schA"}</definedName>
    <definedName name="vvhnbn">{#N/A,#N/A,FALSE,"schA"}</definedName>
    <definedName name="vvv">#REF!</definedName>
    <definedName name="vvvb" localSheetId="14">{#N/A,#N/A,TRUE,"TOTALS";#N/A,#N/A,TRUE,"BULK POWER";#N/A,#N/A,TRUE,"SUSQUEHANNA REGION";#N/A,#N/A,TRUE,"NE REGION - SCRANTON AREA";#N/A,#N/A,TRUE,"NE REGION - HONESDALE AREA";#N/A,#N/A,TRUE,"NE REGION - HAZ_WB AREA";#N/A,#N/A,TRUE,"LEHIGH REGION";#N/A,#N/A,TRUE,"HARRISBURG REGION";#N/A,#N/A,TRUE,"LANCASTER REGION";#N/A,#N/A,TRUE,"REGIONAL POOL ITEMS";#N/A,#N/A,TRUE,"AREA POOLS ITEMS";#N/A,#N/A,TRUE,"AREA SUPPLY BLANKET ITEMS";#N/A,#N/A,TRUE,"SCADA BUDGET ITEMS"}</definedName>
    <definedName name="vvvb">{#N/A,#N/A,TRUE,"TOTALS";#N/A,#N/A,TRUE,"BULK POWER";#N/A,#N/A,TRUE,"SUSQUEHANNA REGION";#N/A,#N/A,TRUE,"NE REGION - SCRANTON AREA";#N/A,#N/A,TRUE,"NE REGION - HONESDALE AREA";#N/A,#N/A,TRUE,"NE REGION - HAZ_WB AREA";#N/A,#N/A,TRUE,"LEHIGH REGION";#N/A,#N/A,TRUE,"HARRISBURG REGION";#N/A,#N/A,TRUE,"LANCASTER REGION";#N/A,#N/A,TRUE,"REGIONAL POOL ITEMS";#N/A,#N/A,TRUE,"AREA POOLS ITEMS";#N/A,#N/A,TRUE,"AREA SUPPLY BLANKET ITEMS";#N/A,#N/A,TRUE,"SCADA BUDGET ITEMS"}</definedName>
    <definedName name="vvvbb">43815.7444212963</definedName>
    <definedName name="vvvfcvvvcvcv">"V2019-11-30"</definedName>
    <definedName name="vvvvvv" localSheetId="14">{"Yr 5 Consol Monthly",#N/A,FALSE,"O&amp;R";"Yr 5 Elim Monthly",#N/A,FALSE,"O&amp;R";"Yr 5 O&amp;R Monthly",#N/A,FALSE,"O&amp;R";"Yr 5 OE Monthly",#N/A,FALSE,"O&amp;R";"Yr 5 OG Monthly",#N/A,FALSE,"O&amp;R";"Yr 5 RE Monthly",#N/A,FALSE,"O&amp;R";"Yr 5 Pike Monthly",#N/A,FALSE,"O&amp;R";"Yr 5 PE Monthly",#N/A,FALSE,"O&amp;R";"Yr 5 PG Monthly",#N/A,FALSE,"O&amp;R";"Yr 5 Clove Monthly",#N/A,FALSE,"O&amp;R";"Yr 5 Unreg Monthly",#N/A,FALSE,"O&amp;R"}</definedName>
    <definedName name="vvvvvv">{"Yr 5 Consol Monthly",#N/A,FALSE,"O&amp;R";"Yr 5 Elim Monthly",#N/A,FALSE,"O&amp;R";"Yr 5 O&amp;R Monthly",#N/A,FALSE,"O&amp;R";"Yr 5 OE Monthly",#N/A,FALSE,"O&amp;R";"Yr 5 OG Monthly",#N/A,FALSE,"O&amp;R";"Yr 5 RE Monthly",#N/A,FALSE,"O&amp;R";"Yr 5 Pike Monthly",#N/A,FALSE,"O&amp;R";"Yr 5 PE Monthly",#N/A,FALSE,"O&amp;R";"Yr 5 PG Monthly",#N/A,FALSE,"O&amp;R";"Yr 5 Clove Monthly",#N/A,FALSE,"O&amp;R";"Yr 5 Unreg Monthly",#N/A,FALSE,"O&amp;R"}</definedName>
    <definedName name="w">41016.7584953704</definedName>
    <definedName name="WACC1999">#REF!</definedName>
    <definedName name="WACC2000">#REF!</definedName>
    <definedName name="WACC2001">#REF!</definedName>
    <definedName name="wage_esc_ibew">#REF!</definedName>
    <definedName name="wage_esc_mcp">#REF!</definedName>
    <definedName name="wage_ibew_init">#REF!</definedName>
    <definedName name="wage_mcp_init">#REF!</definedName>
    <definedName name="wamr_new" localSheetId="14">{#N/A,#N/A,FALSE,"Header";#N/A,#N/A,FALSE,"Assumptions";#N/A,#N/A,FALSE,"Summary";#N/A,#N/A,FALSE,"Client Cost Baseline";#N/A,#N/A,FALSE,"Service Delivery ";#N/A,#N/A,FALSE,"Service Management";#N/A,#N/A,FALSE,"Transition";#N/A,#N/A,FALSE,"Business Integration";#N/A,#N/A,FALSE,"Operating Costs";#N/A,#N/A,FALSE,"Capex";#N/A,#N/A,FALSE,"Accommodation";#N/A,#N/A,FALSE,"Telecommunications";#N/A,#N/A,FALSE,"LAN Server";#N/A,#N/A,FALSE,"Payslip Processing";#N/A,#N/A,FALSE,"Trans Non Payroll";#N/A,#N/A,FALSE,"HRMIS"}</definedName>
    <definedName name="wamr_new">{#N/A,#N/A,FALSE,"Header";#N/A,#N/A,FALSE,"Assumptions";#N/A,#N/A,FALSE,"Summary";#N/A,#N/A,FALSE,"Client Cost Baseline";#N/A,#N/A,FALSE,"Service Delivery ";#N/A,#N/A,FALSE,"Service Management";#N/A,#N/A,FALSE,"Transition";#N/A,#N/A,FALSE,"Business Integration";#N/A,#N/A,FALSE,"Operating Costs";#N/A,#N/A,FALSE,"Capex";#N/A,#N/A,FALSE,"Accommodation";#N/A,#N/A,FALSE,"Telecommunications";#N/A,#N/A,FALSE,"LAN Server";#N/A,#N/A,FALSE,"Payslip Processing";#N/A,#N/A,FALSE,"Trans Non Payroll";#N/A,#N/A,FALSE,"HRMIS"}</definedName>
    <definedName name="Water2">#REF!</definedName>
    <definedName name="Water3">#REF!</definedName>
    <definedName name="Water4">#REF!</definedName>
    <definedName name="Water5">#REF!</definedName>
    <definedName name="Water6">#REF!</definedName>
    <definedName name="we" localSheetId="14">{"'Metretek HTML'!$A$7:$W$42"}</definedName>
    <definedName name="we">{"'Metretek HTML'!$A$7:$W$42"}</definedName>
    <definedName name="Weather10">#REF!</definedName>
    <definedName name="Weather11">#REF!</definedName>
    <definedName name="Weather12">#REF!</definedName>
    <definedName name="Weather13">#REF!</definedName>
    <definedName name="Weather14">#REF!</definedName>
    <definedName name="Weather15">#REF!</definedName>
    <definedName name="Weather16">#REF!</definedName>
    <definedName name="Weather9">#REF!</definedName>
    <definedName name="WEATHERVOL">#REF!</definedName>
    <definedName name="WED">#REF!</definedName>
    <definedName name="WEOff">#REF!</definedName>
    <definedName name="wer" localSheetId="14">{#N/A,#N/A,FALSE,"Monthly SAIFI";#N/A,#N/A,FALSE,"Yearly SAIFI";#N/A,#N/A,FALSE,"Monthly CAIDI";#N/A,#N/A,FALSE,"Yearly CAIDI";#N/A,#N/A,FALSE,"Monthly SAIDI";#N/A,#N/A,FALSE,"Yearly SAIDI";#N/A,#N/A,FALSE,"Monthly MAIFI";#N/A,#N/A,FALSE,"Yearly MAIFI";#N/A,#N/A,FALSE,"Monthly Cust &gt;=4 Int"}</definedName>
    <definedName name="wer">{#N/A,#N/A,FALSE,"Monthly SAIFI";#N/A,#N/A,FALSE,"Yearly SAIFI";#N/A,#N/A,FALSE,"Monthly CAIDI";#N/A,#N/A,FALSE,"Yearly CAIDI";#N/A,#N/A,FALSE,"Monthly SAIDI";#N/A,#N/A,FALSE,"Yearly SAIDI";#N/A,#N/A,FALSE,"Monthly MAIFI";#N/A,#N/A,FALSE,"Yearly MAIFI";#N/A,#N/A,FALSE,"Monthly Cust &gt;=4 Int"}</definedName>
    <definedName name="WestAsset">#REF!</definedName>
    <definedName name="WestS">#REF!</definedName>
    <definedName name="WestW">#REF!</definedName>
    <definedName name="wh" localSheetId="14">{#N/A,#N/A,FALSE,"O&amp;M by processes";#N/A,#N/A,FALSE,"Elec Act vs Bud";#N/A,#N/A,FALSE,"G&amp;A";#N/A,#N/A,FALSE,"BGS";#N/A,#N/A,FALSE,"Res Cost"}</definedName>
    <definedName name="wh">{#N/A,#N/A,FALSE,"O&amp;M by processes";#N/A,#N/A,FALSE,"Elec Act vs Bud";#N/A,#N/A,FALSE,"G&amp;A";#N/A,#N/A,FALSE,"BGS";#N/A,#N/A,FALSE,"Res Cost"}</definedName>
    <definedName name="Whatwhat" localSheetId="14">{#N/A,#N/A,FALSE,"O&amp;M by processes";#N/A,#N/A,FALSE,"Elec Act vs Bud";#N/A,#N/A,FALSE,"G&amp;A";#N/A,#N/A,FALSE,"BGS";#N/A,#N/A,FALSE,"Res Cost"}</definedName>
    <definedName name="Whatwhat">{#N/A,#N/A,FALSE,"O&amp;M by processes";#N/A,#N/A,FALSE,"Elec Act vs Bud";#N/A,#N/A,FALSE,"G&amp;A";#N/A,#N/A,FALSE,"BGS";#N/A,#N/A,FALSE,"Res Cost"}</definedName>
    <definedName name="whowho" localSheetId="14">{#N/A,#N/A,FALSE,"O&amp;M by processes";#N/A,#N/A,FALSE,"Elec Act vs Bud";#N/A,#N/A,FALSE,"G&amp;A";#N/A,#N/A,FALSE,"BGS";#N/A,#N/A,FALSE,"Res Cost"}</definedName>
    <definedName name="whowho">{#N/A,#N/A,FALSE,"O&amp;M by processes";#N/A,#N/A,FALSE,"Elec Act vs Bud";#N/A,#N/A,FALSE,"G&amp;A";#N/A,#N/A,FALSE,"BGS";#N/A,#N/A,FALSE,"Res Cost"}</definedName>
    <definedName name="whwh" localSheetId="14">{#N/A,#N/A,FALSE,"O&amp;M by processes";#N/A,#N/A,FALSE,"Elec Act vs Bud";#N/A,#N/A,FALSE,"G&amp;A";#N/A,#N/A,FALSE,"BGS";#N/A,#N/A,FALSE,"Res Cost"}</definedName>
    <definedName name="whwh">{#N/A,#N/A,FALSE,"O&amp;M by processes";#N/A,#N/A,FALSE,"Elec Act vs Bud";#N/A,#N/A,FALSE,"G&amp;A";#N/A,#N/A,FALSE,"BGS";#N/A,#N/A,FALSE,"Res Cost"}</definedName>
    <definedName name="why" localSheetId="14">{#N/A,#N/A,FALSE,"O&amp;M by processes";#N/A,#N/A,FALSE,"Elec Act vs Bud";#N/A,#N/A,FALSE,"G&amp;A";#N/A,#N/A,FALSE,"BGS";#N/A,#N/A,FALSE,"Res Cost"}</definedName>
    <definedName name="why">{#N/A,#N/A,FALSE,"O&amp;M by processes";#N/A,#N/A,FALSE,"Elec Act vs Bud";#N/A,#N/A,FALSE,"G&amp;A";#N/A,#N/A,FALSE,"BGS";#N/A,#N/A,FALSE,"Res Cost"}</definedName>
    <definedName name="win_roic">#REF!</definedName>
    <definedName name="win_rtree">#REF!</definedName>
    <definedName name="win_rtree3">#REF!</definedName>
    <definedName name="win_sales">#REF!</definedName>
    <definedName name="win_wacc">#REF!</definedName>
    <definedName name="win2_roic">#REF!</definedName>
    <definedName name="wlaM3Fuel">#REF!</definedName>
    <definedName name="wmk_roic">#REF!</definedName>
    <definedName name="wmk_rtree">#REF!</definedName>
    <definedName name="wmk_rtree3">#REF!</definedName>
    <definedName name="wmk_sales">#REF!</definedName>
    <definedName name="wmk_wacc">#REF!</definedName>
    <definedName name="wmk2_roic">#REF!</definedName>
    <definedName name="wmt_roic">#REF!</definedName>
    <definedName name="wmt_rtree">#REF!</definedName>
    <definedName name="wmt_rtree3">#REF!</definedName>
    <definedName name="wmt_sales">#REF!</definedName>
    <definedName name="wmt_wacc">#REF!</definedName>
    <definedName name="wmt2_roic">#REF!</definedName>
    <definedName name="wmt3_roic">#REF!</definedName>
    <definedName name="WND">#REF!</definedName>
    <definedName name="WNOff">#REF!</definedName>
    <definedName name="WO_Adj_Type">#REF!</definedName>
    <definedName name="WO_Description">#REF!</definedName>
    <definedName name="work">#REF!</definedName>
    <definedName name="WorkDayDue">#REF!</definedName>
    <definedName name="WorkDayPost">#REF!</definedName>
    <definedName name="workload">#REF!</definedName>
    <definedName name="workpaper" localSheetId="14">{#N/A,#N/A,FALSE,"Month";#N/A,#N/A,FALSE,"Period";#N/A,#N/A,FALSE,"12 Month";#N/A,#N/A,FALSE,"Quarter"}</definedName>
    <definedName name="workpaper">{#N/A,#N/A,FALSE,"Month";#N/A,#N/A,FALSE,"Period";#N/A,#N/A,FALSE,"12 Month";#N/A,#N/A,FALSE,"Quarter"}</definedName>
    <definedName name="WorkStatus">#REF!</definedName>
    <definedName name="WPDBSReclasses">#REF!</definedName>
    <definedName name="WPDCF">#REF!</definedName>
    <definedName name="WPDCFLabels">#REF!</definedName>
    <definedName name="WPDCTA">#REF!</definedName>
    <definedName name="WPDCurBal">#REF!</definedName>
    <definedName name="WPDCurInv">#REF!</definedName>
    <definedName name="WPDDebtIssCosts">#REF!</definedName>
    <definedName name="WPDDebtIssCosts1">#REF!</definedName>
    <definedName name="WPDDeferredTaxes">#REF!</definedName>
    <definedName name="WPDEasements">#REF!</definedName>
    <definedName name="WPDFX">#REF!</definedName>
    <definedName name="WPDGoodwillTopside">#REF!</definedName>
    <definedName name="WPDPension">#REF!</definedName>
    <definedName name="WPDPensionCapex">#REF!</definedName>
    <definedName name="WPDPensionFund">#REF!</definedName>
    <definedName name="WPDPPE">#REF!</definedName>
    <definedName name="WPDPPEGainLoss">#REF!</definedName>
    <definedName name="WPDPPESales">#REF!</definedName>
    <definedName name="WPDWelshLoss">#REF!</definedName>
    <definedName name="WPDWelshProceeds">#REF!</definedName>
    <definedName name="WrkSht">#REF!</definedName>
    <definedName name="wrn" localSheetId="14">{#N/A,#N/A,FALSE,"O&amp;M by processes";#N/A,#N/A,FALSE,"Elec Act vs Bud";#N/A,#N/A,FALSE,"G&amp;A";#N/A,#N/A,FALSE,"BGS";#N/A,#N/A,FALSE,"Res Cost"}</definedName>
    <definedName name="wrn">{#N/A,#N/A,FALSE,"O&amp;M by processes";#N/A,#N/A,FALSE,"Elec Act vs Bud";#N/A,#N/A,FALSE,"G&amp;A";#N/A,#N/A,FALSE,"BGS";#N/A,#N/A,FALSE,"Res Cost"}</definedName>
    <definedName name="wrn.2004._.Feb." localSheetId="14">{"2004 Feb Therms",#N/A,FALSE,"Feb";"2004 Feb Gas Gross Margin Act vs act",#N/A,FALSE,"Feb";"2004 Feb Gas Gross Margin Bud vs Act",#N/A,FALSE,"Feb";"2004 Feb Norm vs Norm wna",#N/A,FALSE,"Feb";"2004 Feb Act vs Act wna",#N/A,FALSE,"Feb";"2004 Feb Budget vs norm wna",#N/A,FALSE,"Feb";"2004 Feb Bud vs act wna",#N/A,FALSE,"Feb";"2004 Feb Weather norm",#N/A,FALSE,"Feb";"2004 Feb var analy part 2",#N/A,FALSE,"Feb";"2004 Var analysis part 1",#N/A,FALSE,"Feb";"2004 Feb Act Margin Calc",#N/A,FALSE,"Feb";"2004 Feb Budget Breakdown",#N/A,FALSE,"Feb"}</definedName>
    <definedName name="wrn.2004._.Feb.">{"2004 Feb Therms",#N/A,FALSE,"Feb";"2004 Feb Gas Gross Margin Act vs act",#N/A,FALSE,"Feb";"2004 Feb Gas Gross Margin Bud vs Act",#N/A,FALSE,"Feb";"2004 Feb Norm vs Norm wna",#N/A,FALSE,"Feb";"2004 Feb Act vs Act wna",#N/A,FALSE,"Feb";"2004 Feb Budget vs norm wna",#N/A,FALSE,"Feb";"2004 Feb Bud vs act wna",#N/A,FALSE,"Feb";"2004 Feb Weather norm",#N/A,FALSE,"Feb";"2004 Feb var analy part 2",#N/A,FALSE,"Feb";"2004 Var analysis part 1",#N/A,FALSE,"Feb";"2004 Feb Act Margin Calc",#N/A,FALSE,"Feb";"2004 Feb Budget Breakdown",#N/A,FALSE,"Feb"}</definedName>
    <definedName name="wrn.2005." localSheetId="14">{#N/A,#N/A,FALSE,"Jan2005";#N/A,#N/A,FALSE,"Feb2005";#N/A,#N/A,FALSE,"Mar2005";#N/A,#N/A,FALSE,"Apr2005";#N/A,#N/A,FALSE,"May2005";#N/A,#N/A,FALSE,"Jun2005";#N/A,#N/A,FALSE,"Jul2005";#N/A,#N/A,FALSE,"Aug2005";#N/A,#N/A,FALSE,"Sep2005";#N/A,#N/A,FALSE,"Oct2005";#N/A,#N/A,FALSE,"Nov2005";#N/A,#N/A,FALSE,"Dec2005"}</definedName>
    <definedName name="wrn.2005.">{#N/A,#N/A,FALSE,"Jan2005";#N/A,#N/A,FALSE,"Feb2005";#N/A,#N/A,FALSE,"Mar2005";#N/A,#N/A,FALSE,"Apr2005";#N/A,#N/A,FALSE,"May2005";#N/A,#N/A,FALSE,"Jun2005";#N/A,#N/A,FALSE,"Jul2005";#N/A,#N/A,FALSE,"Aug2005";#N/A,#N/A,FALSE,"Sep2005";#N/A,#N/A,FALSE,"Oct2005";#N/A,#N/A,FALSE,"Nov2005";#N/A,#N/A,FALSE,"Dec2005"}</definedName>
    <definedName name="wrn.2005._1" localSheetId="14">{#N/A,#N/A,FALSE,"Jan2005";#N/A,#N/A,FALSE,"Feb2005";#N/A,#N/A,FALSE,"Mar2005";#N/A,#N/A,FALSE,"Apr2005";#N/A,#N/A,FALSE,"May2005";#N/A,#N/A,FALSE,"Jun2005";#N/A,#N/A,FALSE,"Jul2005";#N/A,#N/A,FALSE,"Aug2005";#N/A,#N/A,FALSE,"Sep2005";#N/A,#N/A,FALSE,"Oct2005";#N/A,#N/A,FALSE,"Nov2005";#N/A,#N/A,FALSE,"Dec2005"}</definedName>
    <definedName name="wrn.2005._1">{#N/A,#N/A,FALSE,"Jan2005";#N/A,#N/A,FALSE,"Feb2005";#N/A,#N/A,FALSE,"Mar2005";#N/A,#N/A,FALSE,"Apr2005";#N/A,#N/A,FALSE,"May2005";#N/A,#N/A,FALSE,"Jun2005";#N/A,#N/A,FALSE,"Jul2005";#N/A,#N/A,FALSE,"Aug2005";#N/A,#N/A,FALSE,"Sep2005";#N/A,#N/A,FALSE,"Oct2005";#N/A,#N/A,FALSE,"Nov2005";#N/A,#N/A,FALSE,"Dec2005"}</definedName>
    <definedName name="wrn.2005._1_2" localSheetId="14">{#N/A,#N/A,FALSE,"Jan2005";#N/A,#N/A,FALSE,"Feb2005";#N/A,#N/A,FALSE,"Mar2005";#N/A,#N/A,FALSE,"Apr2005";#N/A,#N/A,FALSE,"May2005";#N/A,#N/A,FALSE,"Jun2005";#N/A,#N/A,FALSE,"Jul2005";#N/A,#N/A,FALSE,"Aug2005";#N/A,#N/A,FALSE,"Sep2005";#N/A,#N/A,FALSE,"Oct2005";#N/A,#N/A,FALSE,"Nov2005";#N/A,#N/A,FALSE,"Dec2005"}</definedName>
    <definedName name="wrn.2005._1_2">{#N/A,#N/A,FALSE,"Jan2005";#N/A,#N/A,FALSE,"Feb2005";#N/A,#N/A,FALSE,"Mar2005";#N/A,#N/A,FALSE,"Apr2005";#N/A,#N/A,FALSE,"May2005";#N/A,#N/A,FALSE,"Jun2005";#N/A,#N/A,FALSE,"Jul2005";#N/A,#N/A,FALSE,"Aug2005";#N/A,#N/A,FALSE,"Sep2005";#N/A,#N/A,FALSE,"Oct2005";#N/A,#N/A,FALSE,"Nov2005";#N/A,#N/A,FALSE,"Dec2005"}</definedName>
    <definedName name="wrn.2005._1_2_1" localSheetId="14">{#N/A,#N/A,FALSE,"Jan2005";#N/A,#N/A,FALSE,"Feb2005";#N/A,#N/A,FALSE,"Mar2005";#N/A,#N/A,FALSE,"Apr2005";#N/A,#N/A,FALSE,"May2005";#N/A,#N/A,FALSE,"Jun2005";#N/A,#N/A,FALSE,"Jul2005";#N/A,#N/A,FALSE,"Aug2005";#N/A,#N/A,FALSE,"Sep2005";#N/A,#N/A,FALSE,"Oct2005";#N/A,#N/A,FALSE,"Nov2005";#N/A,#N/A,FALSE,"Dec2005"}</definedName>
    <definedName name="wrn.2005._1_2_1">{#N/A,#N/A,FALSE,"Jan2005";#N/A,#N/A,FALSE,"Feb2005";#N/A,#N/A,FALSE,"Mar2005";#N/A,#N/A,FALSE,"Apr2005";#N/A,#N/A,FALSE,"May2005";#N/A,#N/A,FALSE,"Jun2005";#N/A,#N/A,FALSE,"Jul2005";#N/A,#N/A,FALSE,"Aug2005";#N/A,#N/A,FALSE,"Sep2005";#N/A,#N/A,FALSE,"Oct2005";#N/A,#N/A,FALSE,"Nov2005";#N/A,#N/A,FALSE,"Dec2005"}</definedName>
    <definedName name="wrn.2005._2" localSheetId="14">{#N/A,#N/A,FALSE,"Jan2005";#N/A,#N/A,FALSE,"Feb2005";#N/A,#N/A,FALSE,"Mar2005";#N/A,#N/A,FALSE,"Apr2005";#N/A,#N/A,FALSE,"May2005";#N/A,#N/A,FALSE,"Jun2005";#N/A,#N/A,FALSE,"Jul2005";#N/A,#N/A,FALSE,"Aug2005";#N/A,#N/A,FALSE,"Sep2005";#N/A,#N/A,FALSE,"Oct2005";#N/A,#N/A,FALSE,"Nov2005";#N/A,#N/A,FALSE,"Dec2005"}</definedName>
    <definedName name="wrn.2005._2">{#N/A,#N/A,FALSE,"Jan2005";#N/A,#N/A,FALSE,"Feb2005";#N/A,#N/A,FALSE,"Mar2005";#N/A,#N/A,FALSE,"Apr2005";#N/A,#N/A,FALSE,"May2005";#N/A,#N/A,FALSE,"Jun2005";#N/A,#N/A,FALSE,"Jul2005";#N/A,#N/A,FALSE,"Aug2005";#N/A,#N/A,FALSE,"Sep2005";#N/A,#N/A,FALSE,"Oct2005";#N/A,#N/A,FALSE,"Nov2005";#N/A,#N/A,FALSE,"Dec2005"}</definedName>
    <definedName name="wrn.2005._2_1" localSheetId="14">{#N/A,#N/A,FALSE,"Jan2005";#N/A,#N/A,FALSE,"Feb2005";#N/A,#N/A,FALSE,"Mar2005";#N/A,#N/A,FALSE,"Apr2005";#N/A,#N/A,FALSE,"May2005";#N/A,#N/A,FALSE,"Jun2005";#N/A,#N/A,FALSE,"Jul2005";#N/A,#N/A,FALSE,"Aug2005";#N/A,#N/A,FALSE,"Sep2005";#N/A,#N/A,FALSE,"Oct2005";#N/A,#N/A,FALSE,"Nov2005";#N/A,#N/A,FALSE,"Dec2005"}</definedName>
    <definedName name="wrn.2005._2_1">{#N/A,#N/A,FALSE,"Jan2005";#N/A,#N/A,FALSE,"Feb2005";#N/A,#N/A,FALSE,"Mar2005";#N/A,#N/A,FALSE,"Apr2005";#N/A,#N/A,FALSE,"May2005";#N/A,#N/A,FALSE,"Jun2005";#N/A,#N/A,FALSE,"Jul2005";#N/A,#N/A,FALSE,"Aug2005";#N/A,#N/A,FALSE,"Sep2005";#N/A,#N/A,FALSE,"Oct2005";#N/A,#N/A,FALSE,"Nov2005";#N/A,#N/A,FALSE,"Dec2005"}</definedName>
    <definedName name="wrn.2005._2_1_1" localSheetId="14">{#N/A,#N/A,FALSE,"Jan2005";#N/A,#N/A,FALSE,"Feb2005";#N/A,#N/A,FALSE,"Mar2005";#N/A,#N/A,FALSE,"Apr2005";#N/A,#N/A,FALSE,"May2005";#N/A,#N/A,FALSE,"Jun2005";#N/A,#N/A,FALSE,"Jul2005";#N/A,#N/A,FALSE,"Aug2005";#N/A,#N/A,FALSE,"Sep2005";#N/A,#N/A,FALSE,"Oct2005";#N/A,#N/A,FALSE,"Nov2005";#N/A,#N/A,FALSE,"Dec2005"}</definedName>
    <definedName name="wrn.2005._2_1_1">{#N/A,#N/A,FALSE,"Jan2005";#N/A,#N/A,FALSE,"Feb2005";#N/A,#N/A,FALSE,"Mar2005";#N/A,#N/A,FALSE,"Apr2005";#N/A,#N/A,FALSE,"May2005";#N/A,#N/A,FALSE,"Jun2005";#N/A,#N/A,FALSE,"Jul2005";#N/A,#N/A,FALSE,"Aug2005";#N/A,#N/A,FALSE,"Sep2005";#N/A,#N/A,FALSE,"Oct2005";#N/A,#N/A,FALSE,"Nov2005";#N/A,#N/A,FALSE,"Dec2005"}</definedName>
    <definedName name="wrn.2005._2_1_1_1" localSheetId="14">{#N/A,#N/A,FALSE,"Jan2005";#N/A,#N/A,FALSE,"Feb2005";#N/A,#N/A,FALSE,"Mar2005";#N/A,#N/A,FALSE,"Apr2005";#N/A,#N/A,FALSE,"May2005";#N/A,#N/A,FALSE,"Jun2005";#N/A,#N/A,FALSE,"Jul2005";#N/A,#N/A,FALSE,"Aug2005";#N/A,#N/A,FALSE,"Sep2005";#N/A,#N/A,FALSE,"Oct2005";#N/A,#N/A,FALSE,"Nov2005";#N/A,#N/A,FALSE,"Dec2005"}</definedName>
    <definedName name="wrn.2005._2_1_1_1">{#N/A,#N/A,FALSE,"Jan2005";#N/A,#N/A,FALSE,"Feb2005";#N/A,#N/A,FALSE,"Mar2005";#N/A,#N/A,FALSE,"Apr2005";#N/A,#N/A,FALSE,"May2005";#N/A,#N/A,FALSE,"Jun2005";#N/A,#N/A,FALSE,"Jul2005";#N/A,#N/A,FALSE,"Aug2005";#N/A,#N/A,FALSE,"Sep2005";#N/A,#N/A,FALSE,"Oct2005";#N/A,#N/A,FALSE,"Nov2005";#N/A,#N/A,FALSE,"Dec2005"}</definedName>
    <definedName name="wrn.2005._2_1_2" localSheetId="14">{#N/A,#N/A,FALSE,"Jan2005";#N/A,#N/A,FALSE,"Feb2005";#N/A,#N/A,FALSE,"Mar2005";#N/A,#N/A,FALSE,"Apr2005";#N/A,#N/A,FALSE,"May2005";#N/A,#N/A,FALSE,"Jun2005";#N/A,#N/A,FALSE,"Jul2005";#N/A,#N/A,FALSE,"Aug2005";#N/A,#N/A,FALSE,"Sep2005";#N/A,#N/A,FALSE,"Oct2005";#N/A,#N/A,FALSE,"Nov2005";#N/A,#N/A,FALSE,"Dec2005"}</definedName>
    <definedName name="wrn.2005._2_1_2">{#N/A,#N/A,FALSE,"Jan2005";#N/A,#N/A,FALSE,"Feb2005";#N/A,#N/A,FALSE,"Mar2005";#N/A,#N/A,FALSE,"Apr2005";#N/A,#N/A,FALSE,"May2005";#N/A,#N/A,FALSE,"Jun2005";#N/A,#N/A,FALSE,"Jul2005";#N/A,#N/A,FALSE,"Aug2005";#N/A,#N/A,FALSE,"Sep2005";#N/A,#N/A,FALSE,"Oct2005";#N/A,#N/A,FALSE,"Nov2005";#N/A,#N/A,FALSE,"Dec2005"}</definedName>
    <definedName name="wrn.2005._2_2" localSheetId="14">{#N/A,#N/A,FALSE,"Jan2005";#N/A,#N/A,FALSE,"Feb2005";#N/A,#N/A,FALSE,"Mar2005";#N/A,#N/A,FALSE,"Apr2005";#N/A,#N/A,FALSE,"May2005";#N/A,#N/A,FALSE,"Jun2005";#N/A,#N/A,FALSE,"Jul2005";#N/A,#N/A,FALSE,"Aug2005";#N/A,#N/A,FALSE,"Sep2005";#N/A,#N/A,FALSE,"Oct2005";#N/A,#N/A,FALSE,"Nov2005";#N/A,#N/A,FALSE,"Dec2005"}</definedName>
    <definedName name="wrn.2005._2_2">{#N/A,#N/A,FALSE,"Jan2005";#N/A,#N/A,FALSE,"Feb2005";#N/A,#N/A,FALSE,"Mar2005";#N/A,#N/A,FALSE,"Apr2005";#N/A,#N/A,FALSE,"May2005";#N/A,#N/A,FALSE,"Jun2005";#N/A,#N/A,FALSE,"Jul2005";#N/A,#N/A,FALSE,"Aug2005";#N/A,#N/A,FALSE,"Sep2005";#N/A,#N/A,FALSE,"Oct2005";#N/A,#N/A,FALSE,"Nov2005";#N/A,#N/A,FALSE,"Dec2005"}</definedName>
    <definedName name="wrn.2005._2_2_1" localSheetId="14">{#N/A,#N/A,FALSE,"Jan2005";#N/A,#N/A,FALSE,"Feb2005";#N/A,#N/A,FALSE,"Mar2005";#N/A,#N/A,FALSE,"Apr2005";#N/A,#N/A,FALSE,"May2005";#N/A,#N/A,FALSE,"Jun2005";#N/A,#N/A,FALSE,"Jul2005";#N/A,#N/A,FALSE,"Aug2005";#N/A,#N/A,FALSE,"Sep2005";#N/A,#N/A,FALSE,"Oct2005";#N/A,#N/A,FALSE,"Nov2005";#N/A,#N/A,FALSE,"Dec2005"}</definedName>
    <definedName name="wrn.2005._2_2_1">{#N/A,#N/A,FALSE,"Jan2005";#N/A,#N/A,FALSE,"Feb2005";#N/A,#N/A,FALSE,"Mar2005";#N/A,#N/A,FALSE,"Apr2005";#N/A,#N/A,FALSE,"May2005";#N/A,#N/A,FALSE,"Jun2005";#N/A,#N/A,FALSE,"Jul2005";#N/A,#N/A,FALSE,"Aug2005";#N/A,#N/A,FALSE,"Sep2005";#N/A,#N/A,FALSE,"Oct2005";#N/A,#N/A,FALSE,"Nov2005";#N/A,#N/A,FALSE,"Dec2005"}</definedName>
    <definedName name="wrn.2005._2_3" localSheetId="14">{#N/A,#N/A,FALSE,"Jan2005";#N/A,#N/A,FALSE,"Feb2005";#N/A,#N/A,FALSE,"Mar2005";#N/A,#N/A,FALSE,"Apr2005";#N/A,#N/A,FALSE,"May2005";#N/A,#N/A,FALSE,"Jun2005";#N/A,#N/A,FALSE,"Jul2005";#N/A,#N/A,FALSE,"Aug2005";#N/A,#N/A,FALSE,"Sep2005";#N/A,#N/A,FALSE,"Oct2005";#N/A,#N/A,FALSE,"Nov2005";#N/A,#N/A,FALSE,"Dec2005"}</definedName>
    <definedName name="wrn.2005._2_3">{#N/A,#N/A,FALSE,"Jan2005";#N/A,#N/A,FALSE,"Feb2005";#N/A,#N/A,FALSE,"Mar2005";#N/A,#N/A,FALSE,"Apr2005";#N/A,#N/A,FALSE,"May2005";#N/A,#N/A,FALSE,"Jun2005";#N/A,#N/A,FALSE,"Jul2005";#N/A,#N/A,FALSE,"Aug2005";#N/A,#N/A,FALSE,"Sep2005";#N/A,#N/A,FALSE,"Oct2005";#N/A,#N/A,FALSE,"Nov2005";#N/A,#N/A,FALSE,"Dec2005"}</definedName>
    <definedName name="wrn.2005._2_3_1" localSheetId="14">{#N/A,#N/A,FALSE,"Jan2005";#N/A,#N/A,FALSE,"Feb2005";#N/A,#N/A,FALSE,"Mar2005";#N/A,#N/A,FALSE,"Apr2005";#N/A,#N/A,FALSE,"May2005";#N/A,#N/A,FALSE,"Jun2005";#N/A,#N/A,FALSE,"Jul2005";#N/A,#N/A,FALSE,"Aug2005";#N/A,#N/A,FALSE,"Sep2005";#N/A,#N/A,FALSE,"Oct2005";#N/A,#N/A,FALSE,"Nov2005";#N/A,#N/A,FALSE,"Dec2005"}</definedName>
    <definedName name="wrn.2005._2_3_1">{#N/A,#N/A,FALSE,"Jan2005";#N/A,#N/A,FALSE,"Feb2005";#N/A,#N/A,FALSE,"Mar2005";#N/A,#N/A,FALSE,"Apr2005";#N/A,#N/A,FALSE,"May2005";#N/A,#N/A,FALSE,"Jun2005";#N/A,#N/A,FALSE,"Jul2005";#N/A,#N/A,FALSE,"Aug2005";#N/A,#N/A,FALSE,"Sep2005";#N/A,#N/A,FALSE,"Oct2005";#N/A,#N/A,FALSE,"Nov2005";#N/A,#N/A,FALSE,"Dec2005"}</definedName>
    <definedName name="wrn.2005._2_4" localSheetId="14">{#N/A,#N/A,FALSE,"Jan2005";#N/A,#N/A,FALSE,"Feb2005";#N/A,#N/A,FALSE,"Mar2005";#N/A,#N/A,FALSE,"Apr2005";#N/A,#N/A,FALSE,"May2005";#N/A,#N/A,FALSE,"Jun2005";#N/A,#N/A,FALSE,"Jul2005";#N/A,#N/A,FALSE,"Aug2005";#N/A,#N/A,FALSE,"Sep2005";#N/A,#N/A,FALSE,"Oct2005";#N/A,#N/A,FALSE,"Nov2005";#N/A,#N/A,FALSE,"Dec2005"}</definedName>
    <definedName name="wrn.2005._2_4">{#N/A,#N/A,FALSE,"Jan2005";#N/A,#N/A,FALSE,"Feb2005";#N/A,#N/A,FALSE,"Mar2005";#N/A,#N/A,FALSE,"Apr2005";#N/A,#N/A,FALSE,"May2005";#N/A,#N/A,FALSE,"Jun2005";#N/A,#N/A,FALSE,"Jul2005";#N/A,#N/A,FALSE,"Aug2005";#N/A,#N/A,FALSE,"Sep2005";#N/A,#N/A,FALSE,"Oct2005";#N/A,#N/A,FALSE,"Nov2005";#N/A,#N/A,FALSE,"Dec2005"}</definedName>
    <definedName name="wrn.2005._2_4_1" localSheetId="14">{#N/A,#N/A,FALSE,"Jan2005";#N/A,#N/A,FALSE,"Feb2005";#N/A,#N/A,FALSE,"Mar2005";#N/A,#N/A,FALSE,"Apr2005";#N/A,#N/A,FALSE,"May2005";#N/A,#N/A,FALSE,"Jun2005";#N/A,#N/A,FALSE,"Jul2005";#N/A,#N/A,FALSE,"Aug2005";#N/A,#N/A,FALSE,"Sep2005";#N/A,#N/A,FALSE,"Oct2005";#N/A,#N/A,FALSE,"Nov2005";#N/A,#N/A,FALSE,"Dec2005"}</definedName>
    <definedName name="wrn.2005._2_4_1">{#N/A,#N/A,FALSE,"Jan2005";#N/A,#N/A,FALSE,"Feb2005";#N/A,#N/A,FALSE,"Mar2005";#N/A,#N/A,FALSE,"Apr2005";#N/A,#N/A,FALSE,"May2005";#N/A,#N/A,FALSE,"Jun2005";#N/A,#N/A,FALSE,"Jul2005";#N/A,#N/A,FALSE,"Aug2005";#N/A,#N/A,FALSE,"Sep2005";#N/A,#N/A,FALSE,"Oct2005";#N/A,#N/A,FALSE,"Nov2005";#N/A,#N/A,FALSE,"Dec2005"}</definedName>
    <definedName name="wrn.2005._2_5" localSheetId="14">{#N/A,#N/A,FALSE,"Jan2005";#N/A,#N/A,FALSE,"Feb2005";#N/A,#N/A,FALSE,"Mar2005";#N/A,#N/A,FALSE,"Apr2005";#N/A,#N/A,FALSE,"May2005";#N/A,#N/A,FALSE,"Jun2005";#N/A,#N/A,FALSE,"Jul2005";#N/A,#N/A,FALSE,"Aug2005";#N/A,#N/A,FALSE,"Sep2005";#N/A,#N/A,FALSE,"Oct2005";#N/A,#N/A,FALSE,"Nov2005";#N/A,#N/A,FALSE,"Dec2005"}</definedName>
    <definedName name="wrn.2005._2_5">{#N/A,#N/A,FALSE,"Jan2005";#N/A,#N/A,FALSE,"Feb2005";#N/A,#N/A,FALSE,"Mar2005";#N/A,#N/A,FALSE,"Apr2005";#N/A,#N/A,FALSE,"May2005";#N/A,#N/A,FALSE,"Jun2005";#N/A,#N/A,FALSE,"Jul2005";#N/A,#N/A,FALSE,"Aug2005";#N/A,#N/A,FALSE,"Sep2005";#N/A,#N/A,FALSE,"Oct2005";#N/A,#N/A,FALSE,"Nov2005";#N/A,#N/A,FALSE,"Dec2005"}</definedName>
    <definedName name="wrn.2005._3" localSheetId="14">{#N/A,#N/A,FALSE,"Jan2005";#N/A,#N/A,FALSE,"Feb2005";#N/A,#N/A,FALSE,"Mar2005";#N/A,#N/A,FALSE,"Apr2005";#N/A,#N/A,FALSE,"May2005";#N/A,#N/A,FALSE,"Jun2005";#N/A,#N/A,FALSE,"Jul2005";#N/A,#N/A,FALSE,"Aug2005";#N/A,#N/A,FALSE,"Sep2005";#N/A,#N/A,FALSE,"Oct2005";#N/A,#N/A,FALSE,"Nov2005";#N/A,#N/A,FALSE,"Dec2005"}</definedName>
    <definedName name="wrn.2005._3">{#N/A,#N/A,FALSE,"Jan2005";#N/A,#N/A,FALSE,"Feb2005";#N/A,#N/A,FALSE,"Mar2005";#N/A,#N/A,FALSE,"Apr2005";#N/A,#N/A,FALSE,"May2005";#N/A,#N/A,FALSE,"Jun2005";#N/A,#N/A,FALSE,"Jul2005";#N/A,#N/A,FALSE,"Aug2005";#N/A,#N/A,FALSE,"Sep2005";#N/A,#N/A,FALSE,"Oct2005";#N/A,#N/A,FALSE,"Nov2005";#N/A,#N/A,FALSE,"Dec2005"}</definedName>
    <definedName name="wrn.2005._3_1" localSheetId="14">{#N/A,#N/A,FALSE,"Jan2005";#N/A,#N/A,FALSE,"Feb2005";#N/A,#N/A,FALSE,"Mar2005";#N/A,#N/A,FALSE,"Apr2005";#N/A,#N/A,FALSE,"May2005";#N/A,#N/A,FALSE,"Jun2005";#N/A,#N/A,FALSE,"Jul2005";#N/A,#N/A,FALSE,"Aug2005";#N/A,#N/A,FALSE,"Sep2005";#N/A,#N/A,FALSE,"Oct2005";#N/A,#N/A,FALSE,"Nov2005";#N/A,#N/A,FALSE,"Dec2005"}</definedName>
    <definedName name="wrn.2005._3_1">{#N/A,#N/A,FALSE,"Jan2005";#N/A,#N/A,FALSE,"Feb2005";#N/A,#N/A,FALSE,"Mar2005";#N/A,#N/A,FALSE,"Apr2005";#N/A,#N/A,FALSE,"May2005";#N/A,#N/A,FALSE,"Jun2005";#N/A,#N/A,FALSE,"Jul2005";#N/A,#N/A,FALSE,"Aug2005";#N/A,#N/A,FALSE,"Sep2005";#N/A,#N/A,FALSE,"Oct2005";#N/A,#N/A,FALSE,"Nov2005";#N/A,#N/A,FALSE,"Dec2005"}</definedName>
    <definedName name="wrn.2005._3_1_1" localSheetId="14">{#N/A,#N/A,FALSE,"Jan2005";#N/A,#N/A,FALSE,"Feb2005";#N/A,#N/A,FALSE,"Mar2005";#N/A,#N/A,FALSE,"Apr2005";#N/A,#N/A,FALSE,"May2005";#N/A,#N/A,FALSE,"Jun2005";#N/A,#N/A,FALSE,"Jul2005";#N/A,#N/A,FALSE,"Aug2005";#N/A,#N/A,FALSE,"Sep2005";#N/A,#N/A,FALSE,"Oct2005";#N/A,#N/A,FALSE,"Nov2005";#N/A,#N/A,FALSE,"Dec2005"}</definedName>
    <definedName name="wrn.2005._3_1_1">{#N/A,#N/A,FALSE,"Jan2005";#N/A,#N/A,FALSE,"Feb2005";#N/A,#N/A,FALSE,"Mar2005";#N/A,#N/A,FALSE,"Apr2005";#N/A,#N/A,FALSE,"May2005";#N/A,#N/A,FALSE,"Jun2005";#N/A,#N/A,FALSE,"Jul2005";#N/A,#N/A,FALSE,"Aug2005";#N/A,#N/A,FALSE,"Sep2005";#N/A,#N/A,FALSE,"Oct2005";#N/A,#N/A,FALSE,"Nov2005";#N/A,#N/A,FALSE,"Dec2005"}</definedName>
    <definedName name="wrn.2005._3_1_1_1" localSheetId="14">{#N/A,#N/A,FALSE,"Jan2005";#N/A,#N/A,FALSE,"Feb2005";#N/A,#N/A,FALSE,"Mar2005";#N/A,#N/A,FALSE,"Apr2005";#N/A,#N/A,FALSE,"May2005";#N/A,#N/A,FALSE,"Jun2005";#N/A,#N/A,FALSE,"Jul2005";#N/A,#N/A,FALSE,"Aug2005";#N/A,#N/A,FALSE,"Sep2005";#N/A,#N/A,FALSE,"Oct2005";#N/A,#N/A,FALSE,"Nov2005";#N/A,#N/A,FALSE,"Dec2005"}</definedName>
    <definedName name="wrn.2005._3_1_1_1">{#N/A,#N/A,FALSE,"Jan2005";#N/A,#N/A,FALSE,"Feb2005";#N/A,#N/A,FALSE,"Mar2005";#N/A,#N/A,FALSE,"Apr2005";#N/A,#N/A,FALSE,"May2005";#N/A,#N/A,FALSE,"Jun2005";#N/A,#N/A,FALSE,"Jul2005";#N/A,#N/A,FALSE,"Aug2005";#N/A,#N/A,FALSE,"Sep2005";#N/A,#N/A,FALSE,"Oct2005";#N/A,#N/A,FALSE,"Nov2005";#N/A,#N/A,FALSE,"Dec2005"}</definedName>
    <definedName name="wrn.2005._3_1_2" localSheetId="14">{#N/A,#N/A,FALSE,"Jan2005";#N/A,#N/A,FALSE,"Feb2005";#N/A,#N/A,FALSE,"Mar2005";#N/A,#N/A,FALSE,"Apr2005";#N/A,#N/A,FALSE,"May2005";#N/A,#N/A,FALSE,"Jun2005";#N/A,#N/A,FALSE,"Jul2005";#N/A,#N/A,FALSE,"Aug2005";#N/A,#N/A,FALSE,"Sep2005";#N/A,#N/A,FALSE,"Oct2005";#N/A,#N/A,FALSE,"Nov2005";#N/A,#N/A,FALSE,"Dec2005"}</definedName>
    <definedName name="wrn.2005._3_1_2">{#N/A,#N/A,FALSE,"Jan2005";#N/A,#N/A,FALSE,"Feb2005";#N/A,#N/A,FALSE,"Mar2005";#N/A,#N/A,FALSE,"Apr2005";#N/A,#N/A,FALSE,"May2005";#N/A,#N/A,FALSE,"Jun2005";#N/A,#N/A,FALSE,"Jul2005";#N/A,#N/A,FALSE,"Aug2005";#N/A,#N/A,FALSE,"Sep2005";#N/A,#N/A,FALSE,"Oct2005";#N/A,#N/A,FALSE,"Nov2005";#N/A,#N/A,FALSE,"Dec2005"}</definedName>
    <definedName name="wrn.2005._3_2" localSheetId="14">{#N/A,#N/A,FALSE,"Jan2005";#N/A,#N/A,FALSE,"Feb2005";#N/A,#N/A,FALSE,"Mar2005";#N/A,#N/A,FALSE,"Apr2005";#N/A,#N/A,FALSE,"May2005";#N/A,#N/A,FALSE,"Jun2005";#N/A,#N/A,FALSE,"Jul2005";#N/A,#N/A,FALSE,"Aug2005";#N/A,#N/A,FALSE,"Sep2005";#N/A,#N/A,FALSE,"Oct2005";#N/A,#N/A,FALSE,"Nov2005";#N/A,#N/A,FALSE,"Dec2005"}</definedName>
    <definedName name="wrn.2005._3_2">{#N/A,#N/A,FALSE,"Jan2005";#N/A,#N/A,FALSE,"Feb2005";#N/A,#N/A,FALSE,"Mar2005";#N/A,#N/A,FALSE,"Apr2005";#N/A,#N/A,FALSE,"May2005";#N/A,#N/A,FALSE,"Jun2005";#N/A,#N/A,FALSE,"Jul2005";#N/A,#N/A,FALSE,"Aug2005";#N/A,#N/A,FALSE,"Sep2005";#N/A,#N/A,FALSE,"Oct2005";#N/A,#N/A,FALSE,"Nov2005";#N/A,#N/A,FALSE,"Dec2005"}</definedName>
    <definedName name="wrn.2005._3_2_1" localSheetId="14">{#N/A,#N/A,FALSE,"Jan2005";#N/A,#N/A,FALSE,"Feb2005";#N/A,#N/A,FALSE,"Mar2005";#N/A,#N/A,FALSE,"Apr2005";#N/A,#N/A,FALSE,"May2005";#N/A,#N/A,FALSE,"Jun2005";#N/A,#N/A,FALSE,"Jul2005";#N/A,#N/A,FALSE,"Aug2005";#N/A,#N/A,FALSE,"Sep2005";#N/A,#N/A,FALSE,"Oct2005";#N/A,#N/A,FALSE,"Nov2005";#N/A,#N/A,FALSE,"Dec2005"}</definedName>
    <definedName name="wrn.2005._3_2_1">{#N/A,#N/A,FALSE,"Jan2005";#N/A,#N/A,FALSE,"Feb2005";#N/A,#N/A,FALSE,"Mar2005";#N/A,#N/A,FALSE,"Apr2005";#N/A,#N/A,FALSE,"May2005";#N/A,#N/A,FALSE,"Jun2005";#N/A,#N/A,FALSE,"Jul2005";#N/A,#N/A,FALSE,"Aug2005";#N/A,#N/A,FALSE,"Sep2005";#N/A,#N/A,FALSE,"Oct2005";#N/A,#N/A,FALSE,"Nov2005";#N/A,#N/A,FALSE,"Dec2005"}</definedName>
    <definedName name="wrn.2005._3_3" localSheetId="14">{#N/A,#N/A,FALSE,"Jan2005";#N/A,#N/A,FALSE,"Feb2005";#N/A,#N/A,FALSE,"Mar2005";#N/A,#N/A,FALSE,"Apr2005";#N/A,#N/A,FALSE,"May2005";#N/A,#N/A,FALSE,"Jun2005";#N/A,#N/A,FALSE,"Jul2005";#N/A,#N/A,FALSE,"Aug2005";#N/A,#N/A,FALSE,"Sep2005";#N/A,#N/A,FALSE,"Oct2005";#N/A,#N/A,FALSE,"Nov2005";#N/A,#N/A,FALSE,"Dec2005"}</definedName>
    <definedName name="wrn.2005._3_3">{#N/A,#N/A,FALSE,"Jan2005";#N/A,#N/A,FALSE,"Feb2005";#N/A,#N/A,FALSE,"Mar2005";#N/A,#N/A,FALSE,"Apr2005";#N/A,#N/A,FALSE,"May2005";#N/A,#N/A,FALSE,"Jun2005";#N/A,#N/A,FALSE,"Jul2005";#N/A,#N/A,FALSE,"Aug2005";#N/A,#N/A,FALSE,"Sep2005";#N/A,#N/A,FALSE,"Oct2005";#N/A,#N/A,FALSE,"Nov2005";#N/A,#N/A,FALSE,"Dec2005"}</definedName>
    <definedName name="wrn.2005._3_3_1" localSheetId="14">{#N/A,#N/A,FALSE,"Jan2005";#N/A,#N/A,FALSE,"Feb2005";#N/A,#N/A,FALSE,"Mar2005";#N/A,#N/A,FALSE,"Apr2005";#N/A,#N/A,FALSE,"May2005";#N/A,#N/A,FALSE,"Jun2005";#N/A,#N/A,FALSE,"Jul2005";#N/A,#N/A,FALSE,"Aug2005";#N/A,#N/A,FALSE,"Sep2005";#N/A,#N/A,FALSE,"Oct2005";#N/A,#N/A,FALSE,"Nov2005";#N/A,#N/A,FALSE,"Dec2005"}</definedName>
    <definedName name="wrn.2005._3_3_1">{#N/A,#N/A,FALSE,"Jan2005";#N/A,#N/A,FALSE,"Feb2005";#N/A,#N/A,FALSE,"Mar2005";#N/A,#N/A,FALSE,"Apr2005";#N/A,#N/A,FALSE,"May2005";#N/A,#N/A,FALSE,"Jun2005";#N/A,#N/A,FALSE,"Jul2005";#N/A,#N/A,FALSE,"Aug2005";#N/A,#N/A,FALSE,"Sep2005";#N/A,#N/A,FALSE,"Oct2005";#N/A,#N/A,FALSE,"Nov2005";#N/A,#N/A,FALSE,"Dec2005"}</definedName>
    <definedName name="wrn.2005._3_4" localSheetId="14">{#N/A,#N/A,FALSE,"Jan2005";#N/A,#N/A,FALSE,"Feb2005";#N/A,#N/A,FALSE,"Mar2005";#N/A,#N/A,FALSE,"Apr2005";#N/A,#N/A,FALSE,"May2005";#N/A,#N/A,FALSE,"Jun2005";#N/A,#N/A,FALSE,"Jul2005";#N/A,#N/A,FALSE,"Aug2005";#N/A,#N/A,FALSE,"Sep2005";#N/A,#N/A,FALSE,"Oct2005";#N/A,#N/A,FALSE,"Nov2005";#N/A,#N/A,FALSE,"Dec2005"}</definedName>
    <definedName name="wrn.2005._3_4">{#N/A,#N/A,FALSE,"Jan2005";#N/A,#N/A,FALSE,"Feb2005";#N/A,#N/A,FALSE,"Mar2005";#N/A,#N/A,FALSE,"Apr2005";#N/A,#N/A,FALSE,"May2005";#N/A,#N/A,FALSE,"Jun2005";#N/A,#N/A,FALSE,"Jul2005";#N/A,#N/A,FALSE,"Aug2005";#N/A,#N/A,FALSE,"Sep2005";#N/A,#N/A,FALSE,"Oct2005";#N/A,#N/A,FALSE,"Nov2005";#N/A,#N/A,FALSE,"Dec2005"}</definedName>
    <definedName name="wrn.2005._3_4_1" localSheetId="14">{#N/A,#N/A,FALSE,"Jan2005";#N/A,#N/A,FALSE,"Feb2005";#N/A,#N/A,FALSE,"Mar2005";#N/A,#N/A,FALSE,"Apr2005";#N/A,#N/A,FALSE,"May2005";#N/A,#N/A,FALSE,"Jun2005";#N/A,#N/A,FALSE,"Jul2005";#N/A,#N/A,FALSE,"Aug2005";#N/A,#N/A,FALSE,"Sep2005";#N/A,#N/A,FALSE,"Oct2005";#N/A,#N/A,FALSE,"Nov2005";#N/A,#N/A,FALSE,"Dec2005"}</definedName>
    <definedName name="wrn.2005._3_4_1">{#N/A,#N/A,FALSE,"Jan2005";#N/A,#N/A,FALSE,"Feb2005";#N/A,#N/A,FALSE,"Mar2005";#N/A,#N/A,FALSE,"Apr2005";#N/A,#N/A,FALSE,"May2005";#N/A,#N/A,FALSE,"Jun2005";#N/A,#N/A,FALSE,"Jul2005";#N/A,#N/A,FALSE,"Aug2005";#N/A,#N/A,FALSE,"Sep2005";#N/A,#N/A,FALSE,"Oct2005";#N/A,#N/A,FALSE,"Nov2005";#N/A,#N/A,FALSE,"Dec2005"}</definedName>
    <definedName name="wrn.2005._3_5" localSheetId="14">{#N/A,#N/A,FALSE,"Jan2005";#N/A,#N/A,FALSE,"Feb2005";#N/A,#N/A,FALSE,"Mar2005";#N/A,#N/A,FALSE,"Apr2005";#N/A,#N/A,FALSE,"May2005";#N/A,#N/A,FALSE,"Jun2005";#N/A,#N/A,FALSE,"Jul2005";#N/A,#N/A,FALSE,"Aug2005";#N/A,#N/A,FALSE,"Sep2005";#N/A,#N/A,FALSE,"Oct2005";#N/A,#N/A,FALSE,"Nov2005";#N/A,#N/A,FALSE,"Dec2005"}</definedName>
    <definedName name="wrn.2005._3_5">{#N/A,#N/A,FALSE,"Jan2005";#N/A,#N/A,FALSE,"Feb2005";#N/A,#N/A,FALSE,"Mar2005";#N/A,#N/A,FALSE,"Apr2005";#N/A,#N/A,FALSE,"May2005";#N/A,#N/A,FALSE,"Jun2005";#N/A,#N/A,FALSE,"Jul2005";#N/A,#N/A,FALSE,"Aug2005";#N/A,#N/A,FALSE,"Sep2005";#N/A,#N/A,FALSE,"Oct2005";#N/A,#N/A,FALSE,"Nov2005";#N/A,#N/A,FALSE,"Dec2005"}</definedName>
    <definedName name="wrn.2005._4" localSheetId="14">{#N/A,#N/A,FALSE,"Jan2005";#N/A,#N/A,FALSE,"Feb2005";#N/A,#N/A,FALSE,"Mar2005";#N/A,#N/A,FALSE,"Apr2005";#N/A,#N/A,FALSE,"May2005";#N/A,#N/A,FALSE,"Jun2005";#N/A,#N/A,FALSE,"Jul2005";#N/A,#N/A,FALSE,"Aug2005";#N/A,#N/A,FALSE,"Sep2005";#N/A,#N/A,FALSE,"Oct2005";#N/A,#N/A,FALSE,"Nov2005";#N/A,#N/A,FALSE,"Dec2005"}</definedName>
    <definedName name="wrn.2005._4">{#N/A,#N/A,FALSE,"Jan2005";#N/A,#N/A,FALSE,"Feb2005";#N/A,#N/A,FALSE,"Mar2005";#N/A,#N/A,FALSE,"Apr2005";#N/A,#N/A,FALSE,"May2005";#N/A,#N/A,FALSE,"Jun2005";#N/A,#N/A,FALSE,"Jul2005";#N/A,#N/A,FALSE,"Aug2005";#N/A,#N/A,FALSE,"Sep2005";#N/A,#N/A,FALSE,"Oct2005";#N/A,#N/A,FALSE,"Nov2005";#N/A,#N/A,FALSE,"Dec2005"}</definedName>
    <definedName name="wrn.2005._4_1" localSheetId="14">{#N/A,#N/A,FALSE,"Jan2005";#N/A,#N/A,FALSE,"Feb2005";#N/A,#N/A,FALSE,"Mar2005";#N/A,#N/A,FALSE,"Apr2005";#N/A,#N/A,FALSE,"May2005";#N/A,#N/A,FALSE,"Jun2005";#N/A,#N/A,FALSE,"Jul2005";#N/A,#N/A,FALSE,"Aug2005";#N/A,#N/A,FALSE,"Sep2005";#N/A,#N/A,FALSE,"Oct2005";#N/A,#N/A,FALSE,"Nov2005";#N/A,#N/A,FALSE,"Dec2005"}</definedName>
    <definedName name="wrn.2005._4_1">{#N/A,#N/A,FALSE,"Jan2005";#N/A,#N/A,FALSE,"Feb2005";#N/A,#N/A,FALSE,"Mar2005";#N/A,#N/A,FALSE,"Apr2005";#N/A,#N/A,FALSE,"May2005";#N/A,#N/A,FALSE,"Jun2005";#N/A,#N/A,FALSE,"Jul2005";#N/A,#N/A,FALSE,"Aug2005";#N/A,#N/A,FALSE,"Sep2005";#N/A,#N/A,FALSE,"Oct2005";#N/A,#N/A,FALSE,"Nov2005";#N/A,#N/A,FALSE,"Dec2005"}</definedName>
    <definedName name="wrn.2005._4_1_1" localSheetId="14">{#N/A,#N/A,FALSE,"Jan2005";#N/A,#N/A,FALSE,"Feb2005";#N/A,#N/A,FALSE,"Mar2005";#N/A,#N/A,FALSE,"Apr2005";#N/A,#N/A,FALSE,"May2005";#N/A,#N/A,FALSE,"Jun2005";#N/A,#N/A,FALSE,"Jul2005";#N/A,#N/A,FALSE,"Aug2005";#N/A,#N/A,FALSE,"Sep2005";#N/A,#N/A,FALSE,"Oct2005";#N/A,#N/A,FALSE,"Nov2005";#N/A,#N/A,FALSE,"Dec2005"}</definedName>
    <definedName name="wrn.2005._4_1_1">{#N/A,#N/A,FALSE,"Jan2005";#N/A,#N/A,FALSE,"Feb2005";#N/A,#N/A,FALSE,"Mar2005";#N/A,#N/A,FALSE,"Apr2005";#N/A,#N/A,FALSE,"May2005";#N/A,#N/A,FALSE,"Jun2005";#N/A,#N/A,FALSE,"Jul2005";#N/A,#N/A,FALSE,"Aug2005";#N/A,#N/A,FALSE,"Sep2005";#N/A,#N/A,FALSE,"Oct2005";#N/A,#N/A,FALSE,"Nov2005";#N/A,#N/A,FALSE,"Dec2005"}</definedName>
    <definedName name="wrn.2005._4_1_1_1" localSheetId="14">{#N/A,#N/A,FALSE,"Jan2005";#N/A,#N/A,FALSE,"Feb2005";#N/A,#N/A,FALSE,"Mar2005";#N/A,#N/A,FALSE,"Apr2005";#N/A,#N/A,FALSE,"May2005";#N/A,#N/A,FALSE,"Jun2005";#N/A,#N/A,FALSE,"Jul2005";#N/A,#N/A,FALSE,"Aug2005";#N/A,#N/A,FALSE,"Sep2005";#N/A,#N/A,FALSE,"Oct2005";#N/A,#N/A,FALSE,"Nov2005";#N/A,#N/A,FALSE,"Dec2005"}</definedName>
    <definedName name="wrn.2005._4_1_1_1">{#N/A,#N/A,FALSE,"Jan2005";#N/A,#N/A,FALSE,"Feb2005";#N/A,#N/A,FALSE,"Mar2005";#N/A,#N/A,FALSE,"Apr2005";#N/A,#N/A,FALSE,"May2005";#N/A,#N/A,FALSE,"Jun2005";#N/A,#N/A,FALSE,"Jul2005";#N/A,#N/A,FALSE,"Aug2005";#N/A,#N/A,FALSE,"Sep2005";#N/A,#N/A,FALSE,"Oct2005";#N/A,#N/A,FALSE,"Nov2005";#N/A,#N/A,FALSE,"Dec2005"}</definedName>
    <definedName name="wrn.2005._4_1_2" localSheetId="14">{#N/A,#N/A,FALSE,"Jan2005";#N/A,#N/A,FALSE,"Feb2005";#N/A,#N/A,FALSE,"Mar2005";#N/A,#N/A,FALSE,"Apr2005";#N/A,#N/A,FALSE,"May2005";#N/A,#N/A,FALSE,"Jun2005";#N/A,#N/A,FALSE,"Jul2005";#N/A,#N/A,FALSE,"Aug2005";#N/A,#N/A,FALSE,"Sep2005";#N/A,#N/A,FALSE,"Oct2005";#N/A,#N/A,FALSE,"Nov2005";#N/A,#N/A,FALSE,"Dec2005"}</definedName>
    <definedName name="wrn.2005._4_1_2">{#N/A,#N/A,FALSE,"Jan2005";#N/A,#N/A,FALSE,"Feb2005";#N/A,#N/A,FALSE,"Mar2005";#N/A,#N/A,FALSE,"Apr2005";#N/A,#N/A,FALSE,"May2005";#N/A,#N/A,FALSE,"Jun2005";#N/A,#N/A,FALSE,"Jul2005";#N/A,#N/A,FALSE,"Aug2005";#N/A,#N/A,FALSE,"Sep2005";#N/A,#N/A,FALSE,"Oct2005";#N/A,#N/A,FALSE,"Nov2005";#N/A,#N/A,FALSE,"Dec2005"}</definedName>
    <definedName name="wrn.2005._4_2" localSheetId="14">{#N/A,#N/A,FALSE,"Jan2005";#N/A,#N/A,FALSE,"Feb2005";#N/A,#N/A,FALSE,"Mar2005";#N/A,#N/A,FALSE,"Apr2005";#N/A,#N/A,FALSE,"May2005";#N/A,#N/A,FALSE,"Jun2005";#N/A,#N/A,FALSE,"Jul2005";#N/A,#N/A,FALSE,"Aug2005";#N/A,#N/A,FALSE,"Sep2005";#N/A,#N/A,FALSE,"Oct2005";#N/A,#N/A,FALSE,"Nov2005";#N/A,#N/A,FALSE,"Dec2005"}</definedName>
    <definedName name="wrn.2005._4_2">{#N/A,#N/A,FALSE,"Jan2005";#N/A,#N/A,FALSE,"Feb2005";#N/A,#N/A,FALSE,"Mar2005";#N/A,#N/A,FALSE,"Apr2005";#N/A,#N/A,FALSE,"May2005";#N/A,#N/A,FALSE,"Jun2005";#N/A,#N/A,FALSE,"Jul2005";#N/A,#N/A,FALSE,"Aug2005";#N/A,#N/A,FALSE,"Sep2005";#N/A,#N/A,FALSE,"Oct2005";#N/A,#N/A,FALSE,"Nov2005";#N/A,#N/A,FALSE,"Dec2005"}</definedName>
    <definedName name="wrn.2005._4_2_1" localSheetId="14">{#N/A,#N/A,FALSE,"Jan2005";#N/A,#N/A,FALSE,"Feb2005";#N/A,#N/A,FALSE,"Mar2005";#N/A,#N/A,FALSE,"Apr2005";#N/A,#N/A,FALSE,"May2005";#N/A,#N/A,FALSE,"Jun2005";#N/A,#N/A,FALSE,"Jul2005";#N/A,#N/A,FALSE,"Aug2005";#N/A,#N/A,FALSE,"Sep2005";#N/A,#N/A,FALSE,"Oct2005";#N/A,#N/A,FALSE,"Nov2005";#N/A,#N/A,FALSE,"Dec2005"}</definedName>
    <definedName name="wrn.2005._4_2_1">{#N/A,#N/A,FALSE,"Jan2005";#N/A,#N/A,FALSE,"Feb2005";#N/A,#N/A,FALSE,"Mar2005";#N/A,#N/A,FALSE,"Apr2005";#N/A,#N/A,FALSE,"May2005";#N/A,#N/A,FALSE,"Jun2005";#N/A,#N/A,FALSE,"Jul2005";#N/A,#N/A,FALSE,"Aug2005";#N/A,#N/A,FALSE,"Sep2005";#N/A,#N/A,FALSE,"Oct2005";#N/A,#N/A,FALSE,"Nov2005";#N/A,#N/A,FALSE,"Dec2005"}</definedName>
    <definedName name="wrn.2005._4_3" localSheetId="14">{#N/A,#N/A,FALSE,"Jan2005";#N/A,#N/A,FALSE,"Feb2005";#N/A,#N/A,FALSE,"Mar2005";#N/A,#N/A,FALSE,"Apr2005";#N/A,#N/A,FALSE,"May2005";#N/A,#N/A,FALSE,"Jun2005";#N/A,#N/A,FALSE,"Jul2005";#N/A,#N/A,FALSE,"Aug2005";#N/A,#N/A,FALSE,"Sep2005";#N/A,#N/A,FALSE,"Oct2005";#N/A,#N/A,FALSE,"Nov2005";#N/A,#N/A,FALSE,"Dec2005"}</definedName>
    <definedName name="wrn.2005._4_3">{#N/A,#N/A,FALSE,"Jan2005";#N/A,#N/A,FALSE,"Feb2005";#N/A,#N/A,FALSE,"Mar2005";#N/A,#N/A,FALSE,"Apr2005";#N/A,#N/A,FALSE,"May2005";#N/A,#N/A,FALSE,"Jun2005";#N/A,#N/A,FALSE,"Jul2005";#N/A,#N/A,FALSE,"Aug2005";#N/A,#N/A,FALSE,"Sep2005";#N/A,#N/A,FALSE,"Oct2005";#N/A,#N/A,FALSE,"Nov2005";#N/A,#N/A,FALSE,"Dec2005"}</definedName>
    <definedName name="wrn.2005._4_3_1" localSheetId="14">{#N/A,#N/A,FALSE,"Jan2005";#N/A,#N/A,FALSE,"Feb2005";#N/A,#N/A,FALSE,"Mar2005";#N/A,#N/A,FALSE,"Apr2005";#N/A,#N/A,FALSE,"May2005";#N/A,#N/A,FALSE,"Jun2005";#N/A,#N/A,FALSE,"Jul2005";#N/A,#N/A,FALSE,"Aug2005";#N/A,#N/A,FALSE,"Sep2005";#N/A,#N/A,FALSE,"Oct2005";#N/A,#N/A,FALSE,"Nov2005";#N/A,#N/A,FALSE,"Dec2005"}</definedName>
    <definedName name="wrn.2005._4_3_1">{#N/A,#N/A,FALSE,"Jan2005";#N/A,#N/A,FALSE,"Feb2005";#N/A,#N/A,FALSE,"Mar2005";#N/A,#N/A,FALSE,"Apr2005";#N/A,#N/A,FALSE,"May2005";#N/A,#N/A,FALSE,"Jun2005";#N/A,#N/A,FALSE,"Jul2005";#N/A,#N/A,FALSE,"Aug2005";#N/A,#N/A,FALSE,"Sep2005";#N/A,#N/A,FALSE,"Oct2005";#N/A,#N/A,FALSE,"Nov2005";#N/A,#N/A,FALSE,"Dec2005"}</definedName>
    <definedName name="wrn.2005._4_4" localSheetId="14">{#N/A,#N/A,FALSE,"Jan2005";#N/A,#N/A,FALSE,"Feb2005";#N/A,#N/A,FALSE,"Mar2005";#N/A,#N/A,FALSE,"Apr2005";#N/A,#N/A,FALSE,"May2005";#N/A,#N/A,FALSE,"Jun2005";#N/A,#N/A,FALSE,"Jul2005";#N/A,#N/A,FALSE,"Aug2005";#N/A,#N/A,FALSE,"Sep2005";#N/A,#N/A,FALSE,"Oct2005";#N/A,#N/A,FALSE,"Nov2005";#N/A,#N/A,FALSE,"Dec2005"}</definedName>
    <definedName name="wrn.2005._4_4">{#N/A,#N/A,FALSE,"Jan2005";#N/A,#N/A,FALSE,"Feb2005";#N/A,#N/A,FALSE,"Mar2005";#N/A,#N/A,FALSE,"Apr2005";#N/A,#N/A,FALSE,"May2005";#N/A,#N/A,FALSE,"Jun2005";#N/A,#N/A,FALSE,"Jul2005";#N/A,#N/A,FALSE,"Aug2005";#N/A,#N/A,FALSE,"Sep2005";#N/A,#N/A,FALSE,"Oct2005";#N/A,#N/A,FALSE,"Nov2005";#N/A,#N/A,FALSE,"Dec2005"}</definedName>
    <definedName name="wrn.2005._4_4_1" localSheetId="14">{#N/A,#N/A,FALSE,"Jan2005";#N/A,#N/A,FALSE,"Feb2005";#N/A,#N/A,FALSE,"Mar2005";#N/A,#N/A,FALSE,"Apr2005";#N/A,#N/A,FALSE,"May2005";#N/A,#N/A,FALSE,"Jun2005";#N/A,#N/A,FALSE,"Jul2005";#N/A,#N/A,FALSE,"Aug2005";#N/A,#N/A,FALSE,"Sep2005";#N/A,#N/A,FALSE,"Oct2005";#N/A,#N/A,FALSE,"Nov2005";#N/A,#N/A,FALSE,"Dec2005"}</definedName>
    <definedName name="wrn.2005._4_4_1">{#N/A,#N/A,FALSE,"Jan2005";#N/A,#N/A,FALSE,"Feb2005";#N/A,#N/A,FALSE,"Mar2005";#N/A,#N/A,FALSE,"Apr2005";#N/A,#N/A,FALSE,"May2005";#N/A,#N/A,FALSE,"Jun2005";#N/A,#N/A,FALSE,"Jul2005";#N/A,#N/A,FALSE,"Aug2005";#N/A,#N/A,FALSE,"Sep2005";#N/A,#N/A,FALSE,"Oct2005";#N/A,#N/A,FALSE,"Nov2005";#N/A,#N/A,FALSE,"Dec2005"}</definedName>
    <definedName name="wrn.2005._4_5" localSheetId="14">{#N/A,#N/A,FALSE,"Jan2005";#N/A,#N/A,FALSE,"Feb2005";#N/A,#N/A,FALSE,"Mar2005";#N/A,#N/A,FALSE,"Apr2005";#N/A,#N/A,FALSE,"May2005";#N/A,#N/A,FALSE,"Jun2005";#N/A,#N/A,FALSE,"Jul2005";#N/A,#N/A,FALSE,"Aug2005";#N/A,#N/A,FALSE,"Sep2005";#N/A,#N/A,FALSE,"Oct2005";#N/A,#N/A,FALSE,"Nov2005";#N/A,#N/A,FALSE,"Dec2005"}</definedName>
    <definedName name="wrn.2005._4_5">{#N/A,#N/A,FALSE,"Jan2005";#N/A,#N/A,FALSE,"Feb2005";#N/A,#N/A,FALSE,"Mar2005";#N/A,#N/A,FALSE,"Apr2005";#N/A,#N/A,FALSE,"May2005";#N/A,#N/A,FALSE,"Jun2005";#N/A,#N/A,FALSE,"Jul2005";#N/A,#N/A,FALSE,"Aug2005";#N/A,#N/A,FALSE,"Sep2005";#N/A,#N/A,FALSE,"Oct2005";#N/A,#N/A,FALSE,"Nov2005";#N/A,#N/A,FALSE,"Dec2005"}</definedName>
    <definedName name="wrn.2005._5" localSheetId="14">{#N/A,#N/A,FALSE,"Jan2005";#N/A,#N/A,FALSE,"Feb2005";#N/A,#N/A,FALSE,"Mar2005";#N/A,#N/A,FALSE,"Apr2005";#N/A,#N/A,FALSE,"May2005";#N/A,#N/A,FALSE,"Jun2005";#N/A,#N/A,FALSE,"Jul2005";#N/A,#N/A,FALSE,"Aug2005";#N/A,#N/A,FALSE,"Sep2005";#N/A,#N/A,FALSE,"Oct2005";#N/A,#N/A,FALSE,"Nov2005";#N/A,#N/A,FALSE,"Dec2005"}</definedName>
    <definedName name="wrn.2005._5">{#N/A,#N/A,FALSE,"Jan2005";#N/A,#N/A,FALSE,"Feb2005";#N/A,#N/A,FALSE,"Mar2005";#N/A,#N/A,FALSE,"Apr2005";#N/A,#N/A,FALSE,"May2005";#N/A,#N/A,FALSE,"Jun2005";#N/A,#N/A,FALSE,"Jul2005";#N/A,#N/A,FALSE,"Aug2005";#N/A,#N/A,FALSE,"Sep2005";#N/A,#N/A,FALSE,"Oct2005";#N/A,#N/A,FALSE,"Nov2005";#N/A,#N/A,FALSE,"Dec2005"}</definedName>
    <definedName name="wrn.2005._5_1" localSheetId="14">{#N/A,#N/A,FALSE,"Jan2005";#N/A,#N/A,FALSE,"Feb2005";#N/A,#N/A,FALSE,"Mar2005";#N/A,#N/A,FALSE,"Apr2005";#N/A,#N/A,FALSE,"May2005";#N/A,#N/A,FALSE,"Jun2005";#N/A,#N/A,FALSE,"Jul2005";#N/A,#N/A,FALSE,"Aug2005";#N/A,#N/A,FALSE,"Sep2005";#N/A,#N/A,FALSE,"Oct2005";#N/A,#N/A,FALSE,"Nov2005";#N/A,#N/A,FALSE,"Dec2005"}</definedName>
    <definedName name="wrn.2005._5_1">{#N/A,#N/A,FALSE,"Jan2005";#N/A,#N/A,FALSE,"Feb2005";#N/A,#N/A,FALSE,"Mar2005";#N/A,#N/A,FALSE,"Apr2005";#N/A,#N/A,FALSE,"May2005";#N/A,#N/A,FALSE,"Jun2005";#N/A,#N/A,FALSE,"Jul2005";#N/A,#N/A,FALSE,"Aug2005";#N/A,#N/A,FALSE,"Sep2005";#N/A,#N/A,FALSE,"Oct2005";#N/A,#N/A,FALSE,"Nov2005";#N/A,#N/A,FALSE,"Dec2005"}</definedName>
    <definedName name="wrn.2005._5_1_1" localSheetId="14">{#N/A,#N/A,FALSE,"Jan2005";#N/A,#N/A,FALSE,"Feb2005";#N/A,#N/A,FALSE,"Mar2005";#N/A,#N/A,FALSE,"Apr2005";#N/A,#N/A,FALSE,"May2005";#N/A,#N/A,FALSE,"Jun2005";#N/A,#N/A,FALSE,"Jul2005";#N/A,#N/A,FALSE,"Aug2005";#N/A,#N/A,FALSE,"Sep2005";#N/A,#N/A,FALSE,"Oct2005";#N/A,#N/A,FALSE,"Nov2005";#N/A,#N/A,FALSE,"Dec2005"}</definedName>
    <definedName name="wrn.2005._5_1_1">{#N/A,#N/A,FALSE,"Jan2005";#N/A,#N/A,FALSE,"Feb2005";#N/A,#N/A,FALSE,"Mar2005";#N/A,#N/A,FALSE,"Apr2005";#N/A,#N/A,FALSE,"May2005";#N/A,#N/A,FALSE,"Jun2005";#N/A,#N/A,FALSE,"Jul2005";#N/A,#N/A,FALSE,"Aug2005";#N/A,#N/A,FALSE,"Sep2005";#N/A,#N/A,FALSE,"Oct2005";#N/A,#N/A,FALSE,"Nov2005";#N/A,#N/A,FALSE,"Dec2005"}</definedName>
    <definedName name="wrn.2005._5_1_1_1" localSheetId="14">{#N/A,#N/A,FALSE,"Jan2005";#N/A,#N/A,FALSE,"Feb2005";#N/A,#N/A,FALSE,"Mar2005";#N/A,#N/A,FALSE,"Apr2005";#N/A,#N/A,FALSE,"May2005";#N/A,#N/A,FALSE,"Jun2005";#N/A,#N/A,FALSE,"Jul2005";#N/A,#N/A,FALSE,"Aug2005";#N/A,#N/A,FALSE,"Sep2005";#N/A,#N/A,FALSE,"Oct2005";#N/A,#N/A,FALSE,"Nov2005";#N/A,#N/A,FALSE,"Dec2005"}</definedName>
    <definedName name="wrn.2005._5_1_1_1">{#N/A,#N/A,FALSE,"Jan2005";#N/A,#N/A,FALSE,"Feb2005";#N/A,#N/A,FALSE,"Mar2005";#N/A,#N/A,FALSE,"Apr2005";#N/A,#N/A,FALSE,"May2005";#N/A,#N/A,FALSE,"Jun2005";#N/A,#N/A,FALSE,"Jul2005";#N/A,#N/A,FALSE,"Aug2005";#N/A,#N/A,FALSE,"Sep2005";#N/A,#N/A,FALSE,"Oct2005";#N/A,#N/A,FALSE,"Nov2005";#N/A,#N/A,FALSE,"Dec2005"}</definedName>
    <definedName name="wrn.2005._5_1_2" localSheetId="14">{#N/A,#N/A,FALSE,"Jan2005";#N/A,#N/A,FALSE,"Feb2005";#N/A,#N/A,FALSE,"Mar2005";#N/A,#N/A,FALSE,"Apr2005";#N/A,#N/A,FALSE,"May2005";#N/A,#N/A,FALSE,"Jun2005";#N/A,#N/A,FALSE,"Jul2005";#N/A,#N/A,FALSE,"Aug2005";#N/A,#N/A,FALSE,"Sep2005";#N/A,#N/A,FALSE,"Oct2005";#N/A,#N/A,FALSE,"Nov2005";#N/A,#N/A,FALSE,"Dec2005"}</definedName>
    <definedName name="wrn.2005._5_1_2">{#N/A,#N/A,FALSE,"Jan2005";#N/A,#N/A,FALSE,"Feb2005";#N/A,#N/A,FALSE,"Mar2005";#N/A,#N/A,FALSE,"Apr2005";#N/A,#N/A,FALSE,"May2005";#N/A,#N/A,FALSE,"Jun2005";#N/A,#N/A,FALSE,"Jul2005";#N/A,#N/A,FALSE,"Aug2005";#N/A,#N/A,FALSE,"Sep2005";#N/A,#N/A,FALSE,"Oct2005";#N/A,#N/A,FALSE,"Nov2005";#N/A,#N/A,FALSE,"Dec2005"}</definedName>
    <definedName name="wrn.2005._5_2" localSheetId="14">{#N/A,#N/A,FALSE,"Jan2005";#N/A,#N/A,FALSE,"Feb2005";#N/A,#N/A,FALSE,"Mar2005";#N/A,#N/A,FALSE,"Apr2005";#N/A,#N/A,FALSE,"May2005";#N/A,#N/A,FALSE,"Jun2005";#N/A,#N/A,FALSE,"Jul2005";#N/A,#N/A,FALSE,"Aug2005";#N/A,#N/A,FALSE,"Sep2005";#N/A,#N/A,FALSE,"Oct2005";#N/A,#N/A,FALSE,"Nov2005";#N/A,#N/A,FALSE,"Dec2005"}</definedName>
    <definedName name="wrn.2005._5_2">{#N/A,#N/A,FALSE,"Jan2005";#N/A,#N/A,FALSE,"Feb2005";#N/A,#N/A,FALSE,"Mar2005";#N/A,#N/A,FALSE,"Apr2005";#N/A,#N/A,FALSE,"May2005";#N/A,#N/A,FALSE,"Jun2005";#N/A,#N/A,FALSE,"Jul2005";#N/A,#N/A,FALSE,"Aug2005";#N/A,#N/A,FALSE,"Sep2005";#N/A,#N/A,FALSE,"Oct2005";#N/A,#N/A,FALSE,"Nov2005";#N/A,#N/A,FALSE,"Dec2005"}</definedName>
    <definedName name="wrn.2005._5_2_1" localSheetId="14">{#N/A,#N/A,FALSE,"Jan2005";#N/A,#N/A,FALSE,"Feb2005";#N/A,#N/A,FALSE,"Mar2005";#N/A,#N/A,FALSE,"Apr2005";#N/A,#N/A,FALSE,"May2005";#N/A,#N/A,FALSE,"Jun2005";#N/A,#N/A,FALSE,"Jul2005";#N/A,#N/A,FALSE,"Aug2005";#N/A,#N/A,FALSE,"Sep2005";#N/A,#N/A,FALSE,"Oct2005";#N/A,#N/A,FALSE,"Nov2005";#N/A,#N/A,FALSE,"Dec2005"}</definedName>
    <definedName name="wrn.2005._5_2_1">{#N/A,#N/A,FALSE,"Jan2005";#N/A,#N/A,FALSE,"Feb2005";#N/A,#N/A,FALSE,"Mar2005";#N/A,#N/A,FALSE,"Apr2005";#N/A,#N/A,FALSE,"May2005";#N/A,#N/A,FALSE,"Jun2005";#N/A,#N/A,FALSE,"Jul2005";#N/A,#N/A,FALSE,"Aug2005";#N/A,#N/A,FALSE,"Sep2005";#N/A,#N/A,FALSE,"Oct2005";#N/A,#N/A,FALSE,"Nov2005";#N/A,#N/A,FALSE,"Dec2005"}</definedName>
    <definedName name="wrn.2005._5_3" localSheetId="14">{#N/A,#N/A,FALSE,"Jan2005";#N/A,#N/A,FALSE,"Feb2005";#N/A,#N/A,FALSE,"Mar2005";#N/A,#N/A,FALSE,"Apr2005";#N/A,#N/A,FALSE,"May2005";#N/A,#N/A,FALSE,"Jun2005";#N/A,#N/A,FALSE,"Jul2005";#N/A,#N/A,FALSE,"Aug2005";#N/A,#N/A,FALSE,"Sep2005";#N/A,#N/A,FALSE,"Oct2005";#N/A,#N/A,FALSE,"Nov2005";#N/A,#N/A,FALSE,"Dec2005"}</definedName>
    <definedName name="wrn.2005._5_3">{#N/A,#N/A,FALSE,"Jan2005";#N/A,#N/A,FALSE,"Feb2005";#N/A,#N/A,FALSE,"Mar2005";#N/A,#N/A,FALSE,"Apr2005";#N/A,#N/A,FALSE,"May2005";#N/A,#N/A,FALSE,"Jun2005";#N/A,#N/A,FALSE,"Jul2005";#N/A,#N/A,FALSE,"Aug2005";#N/A,#N/A,FALSE,"Sep2005";#N/A,#N/A,FALSE,"Oct2005";#N/A,#N/A,FALSE,"Nov2005";#N/A,#N/A,FALSE,"Dec2005"}</definedName>
    <definedName name="wrn.2005._5_3_1" localSheetId="14">{#N/A,#N/A,FALSE,"Jan2005";#N/A,#N/A,FALSE,"Feb2005";#N/A,#N/A,FALSE,"Mar2005";#N/A,#N/A,FALSE,"Apr2005";#N/A,#N/A,FALSE,"May2005";#N/A,#N/A,FALSE,"Jun2005";#N/A,#N/A,FALSE,"Jul2005";#N/A,#N/A,FALSE,"Aug2005";#N/A,#N/A,FALSE,"Sep2005";#N/A,#N/A,FALSE,"Oct2005";#N/A,#N/A,FALSE,"Nov2005";#N/A,#N/A,FALSE,"Dec2005"}</definedName>
    <definedName name="wrn.2005._5_3_1">{#N/A,#N/A,FALSE,"Jan2005";#N/A,#N/A,FALSE,"Feb2005";#N/A,#N/A,FALSE,"Mar2005";#N/A,#N/A,FALSE,"Apr2005";#N/A,#N/A,FALSE,"May2005";#N/A,#N/A,FALSE,"Jun2005";#N/A,#N/A,FALSE,"Jul2005";#N/A,#N/A,FALSE,"Aug2005";#N/A,#N/A,FALSE,"Sep2005";#N/A,#N/A,FALSE,"Oct2005";#N/A,#N/A,FALSE,"Nov2005";#N/A,#N/A,FALSE,"Dec2005"}</definedName>
    <definedName name="wrn.2005._5_4" localSheetId="14">{#N/A,#N/A,FALSE,"Jan2005";#N/A,#N/A,FALSE,"Feb2005";#N/A,#N/A,FALSE,"Mar2005";#N/A,#N/A,FALSE,"Apr2005";#N/A,#N/A,FALSE,"May2005";#N/A,#N/A,FALSE,"Jun2005";#N/A,#N/A,FALSE,"Jul2005";#N/A,#N/A,FALSE,"Aug2005";#N/A,#N/A,FALSE,"Sep2005";#N/A,#N/A,FALSE,"Oct2005";#N/A,#N/A,FALSE,"Nov2005";#N/A,#N/A,FALSE,"Dec2005"}</definedName>
    <definedName name="wrn.2005._5_4">{#N/A,#N/A,FALSE,"Jan2005";#N/A,#N/A,FALSE,"Feb2005";#N/A,#N/A,FALSE,"Mar2005";#N/A,#N/A,FALSE,"Apr2005";#N/A,#N/A,FALSE,"May2005";#N/A,#N/A,FALSE,"Jun2005";#N/A,#N/A,FALSE,"Jul2005";#N/A,#N/A,FALSE,"Aug2005";#N/A,#N/A,FALSE,"Sep2005";#N/A,#N/A,FALSE,"Oct2005";#N/A,#N/A,FALSE,"Nov2005";#N/A,#N/A,FALSE,"Dec2005"}</definedName>
    <definedName name="wrn.2005._5_4_1" localSheetId="14">{#N/A,#N/A,FALSE,"Jan2005";#N/A,#N/A,FALSE,"Feb2005";#N/A,#N/A,FALSE,"Mar2005";#N/A,#N/A,FALSE,"Apr2005";#N/A,#N/A,FALSE,"May2005";#N/A,#N/A,FALSE,"Jun2005";#N/A,#N/A,FALSE,"Jul2005";#N/A,#N/A,FALSE,"Aug2005";#N/A,#N/A,FALSE,"Sep2005";#N/A,#N/A,FALSE,"Oct2005";#N/A,#N/A,FALSE,"Nov2005";#N/A,#N/A,FALSE,"Dec2005"}</definedName>
    <definedName name="wrn.2005._5_4_1">{#N/A,#N/A,FALSE,"Jan2005";#N/A,#N/A,FALSE,"Feb2005";#N/A,#N/A,FALSE,"Mar2005";#N/A,#N/A,FALSE,"Apr2005";#N/A,#N/A,FALSE,"May2005";#N/A,#N/A,FALSE,"Jun2005";#N/A,#N/A,FALSE,"Jul2005";#N/A,#N/A,FALSE,"Aug2005";#N/A,#N/A,FALSE,"Sep2005";#N/A,#N/A,FALSE,"Oct2005";#N/A,#N/A,FALSE,"Nov2005";#N/A,#N/A,FALSE,"Dec2005"}</definedName>
    <definedName name="wrn.2005._5_5" localSheetId="14">{#N/A,#N/A,FALSE,"Jan2005";#N/A,#N/A,FALSE,"Feb2005";#N/A,#N/A,FALSE,"Mar2005";#N/A,#N/A,FALSE,"Apr2005";#N/A,#N/A,FALSE,"May2005";#N/A,#N/A,FALSE,"Jun2005";#N/A,#N/A,FALSE,"Jul2005";#N/A,#N/A,FALSE,"Aug2005";#N/A,#N/A,FALSE,"Sep2005";#N/A,#N/A,FALSE,"Oct2005";#N/A,#N/A,FALSE,"Nov2005";#N/A,#N/A,FALSE,"Dec2005"}</definedName>
    <definedName name="wrn.2005._5_5">{#N/A,#N/A,FALSE,"Jan2005";#N/A,#N/A,FALSE,"Feb2005";#N/A,#N/A,FALSE,"Mar2005";#N/A,#N/A,FALSE,"Apr2005";#N/A,#N/A,FALSE,"May2005";#N/A,#N/A,FALSE,"Jun2005";#N/A,#N/A,FALSE,"Jul2005";#N/A,#N/A,FALSE,"Aug2005";#N/A,#N/A,FALSE,"Sep2005";#N/A,#N/A,FALSE,"Oct2005";#N/A,#N/A,FALSE,"Nov2005";#N/A,#N/A,FALSE,"Dec2005"}</definedName>
    <definedName name="WRN.2005A." localSheetId="14">{#N/A,#N/A,FALSE,"Jan2005";#N/A,#N/A,FALSE,"Feb2005";#N/A,#N/A,FALSE,"Mar2005";#N/A,#N/A,FALSE,"Apr2005";#N/A,#N/A,FALSE,"May2005";#N/A,#N/A,FALSE,"Jun2005";#N/A,#N/A,FALSE,"Jul2005";#N/A,#N/A,FALSE,"Aug2005";#N/A,#N/A,FALSE,"Sep2005";#N/A,#N/A,FALSE,"Oct2005";#N/A,#N/A,FALSE,"Nov2005";#N/A,#N/A,FALSE,"Dec2005"}</definedName>
    <definedName name="WRN.2005A.">{#N/A,#N/A,FALSE,"Jan2005";#N/A,#N/A,FALSE,"Feb2005";#N/A,#N/A,FALSE,"Mar2005";#N/A,#N/A,FALSE,"Apr2005";#N/A,#N/A,FALSE,"May2005";#N/A,#N/A,FALSE,"Jun2005";#N/A,#N/A,FALSE,"Jul2005";#N/A,#N/A,FALSE,"Aug2005";#N/A,#N/A,FALSE,"Sep2005";#N/A,#N/A,FALSE,"Oct2005";#N/A,#N/A,FALSE,"Nov2005";#N/A,#N/A,FALSE,"Dec2005"}</definedName>
    <definedName name="wrn.2006." localSheetId="14">{#N/A,#N/A,FALSE,"Jan2006";#N/A,#N/A,FALSE,"Feb2006";#N/A,#N/A,FALSE,"Mar2006";#N/A,#N/A,FALSE,"Apr2006";#N/A,#N/A,FALSE,"May2006";#N/A,#N/A,FALSE,"Jun2006";#N/A,#N/A,FALSE,"Jul2006";#N/A,#N/A,FALSE,"Aug2006";#N/A,#N/A,FALSE,"Sep2006";#N/A,#N/A,FALSE,"Oct2006";#N/A,#N/A,FALSE,"Nov2006";#N/A,#N/A,FALSE,"Dec2006"}</definedName>
    <definedName name="wrn.2006.">{#N/A,#N/A,FALSE,"Jan2006";#N/A,#N/A,FALSE,"Feb2006";#N/A,#N/A,FALSE,"Mar2006";#N/A,#N/A,FALSE,"Apr2006";#N/A,#N/A,FALSE,"May2006";#N/A,#N/A,FALSE,"Jun2006";#N/A,#N/A,FALSE,"Jul2006";#N/A,#N/A,FALSE,"Aug2006";#N/A,#N/A,FALSE,"Sep2006";#N/A,#N/A,FALSE,"Oct2006";#N/A,#N/A,FALSE,"Nov2006";#N/A,#N/A,FALSE,"Dec2006"}</definedName>
    <definedName name="wrn.2006._1" localSheetId="14">{#N/A,#N/A,FALSE,"Jan2006";#N/A,#N/A,FALSE,"Feb2006";#N/A,#N/A,FALSE,"Mar2006";#N/A,#N/A,FALSE,"Apr2006";#N/A,#N/A,FALSE,"May2006";#N/A,#N/A,FALSE,"Jun2006";#N/A,#N/A,FALSE,"Jul2006";#N/A,#N/A,FALSE,"Aug2006";#N/A,#N/A,FALSE,"Sep2006";#N/A,#N/A,FALSE,"Oct2006";#N/A,#N/A,FALSE,"Nov2006";#N/A,#N/A,FALSE,"Dec2006"}</definedName>
    <definedName name="wrn.2006._1">{#N/A,#N/A,FALSE,"Jan2006";#N/A,#N/A,FALSE,"Feb2006";#N/A,#N/A,FALSE,"Mar2006";#N/A,#N/A,FALSE,"Apr2006";#N/A,#N/A,FALSE,"May2006";#N/A,#N/A,FALSE,"Jun2006";#N/A,#N/A,FALSE,"Jul2006";#N/A,#N/A,FALSE,"Aug2006";#N/A,#N/A,FALSE,"Sep2006";#N/A,#N/A,FALSE,"Oct2006";#N/A,#N/A,FALSE,"Nov2006";#N/A,#N/A,FALSE,"Dec2006"}</definedName>
    <definedName name="wrn.2006._1_2" localSheetId="14">{#N/A,#N/A,FALSE,"Jan2006";#N/A,#N/A,FALSE,"Feb2006";#N/A,#N/A,FALSE,"Mar2006";#N/A,#N/A,FALSE,"Apr2006";#N/A,#N/A,FALSE,"May2006";#N/A,#N/A,FALSE,"Jun2006";#N/A,#N/A,FALSE,"Jul2006";#N/A,#N/A,FALSE,"Aug2006";#N/A,#N/A,FALSE,"Sep2006";#N/A,#N/A,FALSE,"Oct2006";#N/A,#N/A,FALSE,"Nov2006";#N/A,#N/A,FALSE,"Dec2006"}</definedName>
    <definedName name="wrn.2006._1_2">{#N/A,#N/A,FALSE,"Jan2006";#N/A,#N/A,FALSE,"Feb2006";#N/A,#N/A,FALSE,"Mar2006";#N/A,#N/A,FALSE,"Apr2006";#N/A,#N/A,FALSE,"May2006";#N/A,#N/A,FALSE,"Jun2006";#N/A,#N/A,FALSE,"Jul2006";#N/A,#N/A,FALSE,"Aug2006";#N/A,#N/A,FALSE,"Sep2006";#N/A,#N/A,FALSE,"Oct2006";#N/A,#N/A,FALSE,"Nov2006";#N/A,#N/A,FALSE,"Dec2006"}</definedName>
    <definedName name="wrn.2006._1_2_1" localSheetId="14">{#N/A,#N/A,FALSE,"Jan2006";#N/A,#N/A,FALSE,"Feb2006";#N/A,#N/A,FALSE,"Mar2006";#N/A,#N/A,FALSE,"Apr2006";#N/A,#N/A,FALSE,"May2006";#N/A,#N/A,FALSE,"Jun2006";#N/A,#N/A,FALSE,"Jul2006";#N/A,#N/A,FALSE,"Aug2006";#N/A,#N/A,FALSE,"Sep2006";#N/A,#N/A,FALSE,"Oct2006";#N/A,#N/A,FALSE,"Nov2006";#N/A,#N/A,FALSE,"Dec2006"}</definedName>
    <definedName name="wrn.2006._1_2_1">{#N/A,#N/A,FALSE,"Jan2006";#N/A,#N/A,FALSE,"Feb2006";#N/A,#N/A,FALSE,"Mar2006";#N/A,#N/A,FALSE,"Apr2006";#N/A,#N/A,FALSE,"May2006";#N/A,#N/A,FALSE,"Jun2006";#N/A,#N/A,FALSE,"Jul2006";#N/A,#N/A,FALSE,"Aug2006";#N/A,#N/A,FALSE,"Sep2006";#N/A,#N/A,FALSE,"Oct2006";#N/A,#N/A,FALSE,"Nov2006";#N/A,#N/A,FALSE,"Dec2006"}</definedName>
    <definedName name="wrn.2006._2" localSheetId="14">{#N/A,#N/A,FALSE,"Jan2006";#N/A,#N/A,FALSE,"Feb2006";#N/A,#N/A,FALSE,"Mar2006";#N/A,#N/A,FALSE,"Apr2006";#N/A,#N/A,FALSE,"May2006";#N/A,#N/A,FALSE,"Jun2006";#N/A,#N/A,FALSE,"Jul2006";#N/A,#N/A,FALSE,"Aug2006";#N/A,#N/A,FALSE,"Sep2006";#N/A,#N/A,FALSE,"Oct2006";#N/A,#N/A,FALSE,"Nov2006";#N/A,#N/A,FALSE,"Dec2006"}</definedName>
    <definedName name="wrn.2006._2">{#N/A,#N/A,FALSE,"Jan2006";#N/A,#N/A,FALSE,"Feb2006";#N/A,#N/A,FALSE,"Mar2006";#N/A,#N/A,FALSE,"Apr2006";#N/A,#N/A,FALSE,"May2006";#N/A,#N/A,FALSE,"Jun2006";#N/A,#N/A,FALSE,"Jul2006";#N/A,#N/A,FALSE,"Aug2006";#N/A,#N/A,FALSE,"Sep2006";#N/A,#N/A,FALSE,"Oct2006";#N/A,#N/A,FALSE,"Nov2006";#N/A,#N/A,FALSE,"Dec2006"}</definedName>
    <definedName name="wrn.2006._2_1" localSheetId="14">{#N/A,#N/A,FALSE,"Jan2006";#N/A,#N/A,FALSE,"Feb2006";#N/A,#N/A,FALSE,"Mar2006";#N/A,#N/A,FALSE,"Apr2006";#N/A,#N/A,FALSE,"May2006";#N/A,#N/A,FALSE,"Jun2006";#N/A,#N/A,FALSE,"Jul2006";#N/A,#N/A,FALSE,"Aug2006";#N/A,#N/A,FALSE,"Sep2006";#N/A,#N/A,FALSE,"Oct2006";#N/A,#N/A,FALSE,"Nov2006";#N/A,#N/A,FALSE,"Dec2006"}</definedName>
    <definedName name="wrn.2006._2_1">{#N/A,#N/A,FALSE,"Jan2006";#N/A,#N/A,FALSE,"Feb2006";#N/A,#N/A,FALSE,"Mar2006";#N/A,#N/A,FALSE,"Apr2006";#N/A,#N/A,FALSE,"May2006";#N/A,#N/A,FALSE,"Jun2006";#N/A,#N/A,FALSE,"Jul2006";#N/A,#N/A,FALSE,"Aug2006";#N/A,#N/A,FALSE,"Sep2006";#N/A,#N/A,FALSE,"Oct2006";#N/A,#N/A,FALSE,"Nov2006";#N/A,#N/A,FALSE,"Dec2006"}</definedName>
    <definedName name="wrn.2006._2_1_1" localSheetId="14">{#N/A,#N/A,FALSE,"Jan2006";#N/A,#N/A,FALSE,"Feb2006";#N/A,#N/A,FALSE,"Mar2006";#N/A,#N/A,FALSE,"Apr2006";#N/A,#N/A,FALSE,"May2006";#N/A,#N/A,FALSE,"Jun2006";#N/A,#N/A,FALSE,"Jul2006";#N/A,#N/A,FALSE,"Aug2006";#N/A,#N/A,FALSE,"Sep2006";#N/A,#N/A,FALSE,"Oct2006";#N/A,#N/A,FALSE,"Nov2006";#N/A,#N/A,FALSE,"Dec2006"}</definedName>
    <definedName name="wrn.2006._2_1_1">{#N/A,#N/A,FALSE,"Jan2006";#N/A,#N/A,FALSE,"Feb2006";#N/A,#N/A,FALSE,"Mar2006";#N/A,#N/A,FALSE,"Apr2006";#N/A,#N/A,FALSE,"May2006";#N/A,#N/A,FALSE,"Jun2006";#N/A,#N/A,FALSE,"Jul2006";#N/A,#N/A,FALSE,"Aug2006";#N/A,#N/A,FALSE,"Sep2006";#N/A,#N/A,FALSE,"Oct2006";#N/A,#N/A,FALSE,"Nov2006";#N/A,#N/A,FALSE,"Dec2006"}</definedName>
    <definedName name="wrn.2006._2_1_1_1" localSheetId="14">{#N/A,#N/A,FALSE,"Jan2006";#N/A,#N/A,FALSE,"Feb2006";#N/A,#N/A,FALSE,"Mar2006";#N/A,#N/A,FALSE,"Apr2006";#N/A,#N/A,FALSE,"May2006";#N/A,#N/A,FALSE,"Jun2006";#N/A,#N/A,FALSE,"Jul2006";#N/A,#N/A,FALSE,"Aug2006";#N/A,#N/A,FALSE,"Sep2006";#N/A,#N/A,FALSE,"Oct2006";#N/A,#N/A,FALSE,"Nov2006";#N/A,#N/A,FALSE,"Dec2006"}</definedName>
    <definedName name="wrn.2006._2_1_1_1">{#N/A,#N/A,FALSE,"Jan2006";#N/A,#N/A,FALSE,"Feb2006";#N/A,#N/A,FALSE,"Mar2006";#N/A,#N/A,FALSE,"Apr2006";#N/A,#N/A,FALSE,"May2006";#N/A,#N/A,FALSE,"Jun2006";#N/A,#N/A,FALSE,"Jul2006";#N/A,#N/A,FALSE,"Aug2006";#N/A,#N/A,FALSE,"Sep2006";#N/A,#N/A,FALSE,"Oct2006";#N/A,#N/A,FALSE,"Nov2006";#N/A,#N/A,FALSE,"Dec2006"}</definedName>
    <definedName name="wrn.2006._2_1_2" localSheetId="14">{#N/A,#N/A,FALSE,"Jan2006";#N/A,#N/A,FALSE,"Feb2006";#N/A,#N/A,FALSE,"Mar2006";#N/A,#N/A,FALSE,"Apr2006";#N/A,#N/A,FALSE,"May2006";#N/A,#N/A,FALSE,"Jun2006";#N/A,#N/A,FALSE,"Jul2006";#N/A,#N/A,FALSE,"Aug2006";#N/A,#N/A,FALSE,"Sep2006";#N/A,#N/A,FALSE,"Oct2006";#N/A,#N/A,FALSE,"Nov2006";#N/A,#N/A,FALSE,"Dec2006"}</definedName>
    <definedName name="wrn.2006._2_1_2">{#N/A,#N/A,FALSE,"Jan2006";#N/A,#N/A,FALSE,"Feb2006";#N/A,#N/A,FALSE,"Mar2006";#N/A,#N/A,FALSE,"Apr2006";#N/A,#N/A,FALSE,"May2006";#N/A,#N/A,FALSE,"Jun2006";#N/A,#N/A,FALSE,"Jul2006";#N/A,#N/A,FALSE,"Aug2006";#N/A,#N/A,FALSE,"Sep2006";#N/A,#N/A,FALSE,"Oct2006";#N/A,#N/A,FALSE,"Nov2006";#N/A,#N/A,FALSE,"Dec2006"}</definedName>
    <definedName name="wrn.2006._2_2" localSheetId="14">{#N/A,#N/A,FALSE,"Jan2006";#N/A,#N/A,FALSE,"Feb2006";#N/A,#N/A,FALSE,"Mar2006";#N/A,#N/A,FALSE,"Apr2006";#N/A,#N/A,FALSE,"May2006";#N/A,#N/A,FALSE,"Jun2006";#N/A,#N/A,FALSE,"Jul2006";#N/A,#N/A,FALSE,"Aug2006";#N/A,#N/A,FALSE,"Sep2006";#N/A,#N/A,FALSE,"Oct2006";#N/A,#N/A,FALSE,"Nov2006";#N/A,#N/A,FALSE,"Dec2006"}</definedName>
    <definedName name="wrn.2006._2_2">{#N/A,#N/A,FALSE,"Jan2006";#N/A,#N/A,FALSE,"Feb2006";#N/A,#N/A,FALSE,"Mar2006";#N/A,#N/A,FALSE,"Apr2006";#N/A,#N/A,FALSE,"May2006";#N/A,#N/A,FALSE,"Jun2006";#N/A,#N/A,FALSE,"Jul2006";#N/A,#N/A,FALSE,"Aug2006";#N/A,#N/A,FALSE,"Sep2006";#N/A,#N/A,FALSE,"Oct2006";#N/A,#N/A,FALSE,"Nov2006";#N/A,#N/A,FALSE,"Dec2006"}</definedName>
    <definedName name="wrn.2006._2_2_1" localSheetId="14">{#N/A,#N/A,FALSE,"Jan2006";#N/A,#N/A,FALSE,"Feb2006";#N/A,#N/A,FALSE,"Mar2006";#N/A,#N/A,FALSE,"Apr2006";#N/A,#N/A,FALSE,"May2006";#N/A,#N/A,FALSE,"Jun2006";#N/A,#N/A,FALSE,"Jul2006";#N/A,#N/A,FALSE,"Aug2006";#N/A,#N/A,FALSE,"Sep2006";#N/A,#N/A,FALSE,"Oct2006";#N/A,#N/A,FALSE,"Nov2006";#N/A,#N/A,FALSE,"Dec2006"}</definedName>
    <definedName name="wrn.2006._2_2_1">{#N/A,#N/A,FALSE,"Jan2006";#N/A,#N/A,FALSE,"Feb2006";#N/A,#N/A,FALSE,"Mar2006";#N/A,#N/A,FALSE,"Apr2006";#N/A,#N/A,FALSE,"May2006";#N/A,#N/A,FALSE,"Jun2006";#N/A,#N/A,FALSE,"Jul2006";#N/A,#N/A,FALSE,"Aug2006";#N/A,#N/A,FALSE,"Sep2006";#N/A,#N/A,FALSE,"Oct2006";#N/A,#N/A,FALSE,"Nov2006";#N/A,#N/A,FALSE,"Dec2006"}</definedName>
    <definedName name="wrn.2006._2_3" localSheetId="14">{#N/A,#N/A,FALSE,"Jan2006";#N/A,#N/A,FALSE,"Feb2006";#N/A,#N/A,FALSE,"Mar2006";#N/A,#N/A,FALSE,"Apr2006";#N/A,#N/A,FALSE,"May2006";#N/A,#N/A,FALSE,"Jun2006";#N/A,#N/A,FALSE,"Jul2006";#N/A,#N/A,FALSE,"Aug2006";#N/A,#N/A,FALSE,"Sep2006";#N/A,#N/A,FALSE,"Oct2006";#N/A,#N/A,FALSE,"Nov2006";#N/A,#N/A,FALSE,"Dec2006"}</definedName>
    <definedName name="wrn.2006._2_3">{#N/A,#N/A,FALSE,"Jan2006";#N/A,#N/A,FALSE,"Feb2006";#N/A,#N/A,FALSE,"Mar2006";#N/A,#N/A,FALSE,"Apr2006";#N/A,#N/A,FALSE,"May2006";#N/A,#N/A,FALSE,"Jun2006";#N/A,#N/A,FALSE,"Jul2006";#N/A,#N/A,FALSE,"Aug2006";#N/A,#N/A,FALSE,"Sep2006";#N/A,#N/A,FALSE,"Oct2006";#N/A,#N/A,FALSE,"Nov2006";#N/A,#N/A,FALSE,"Dec2006"}</definedName>
    <definedName name="wrn.2006._2_3_1" localSheetId="14">{#N/A,#N/A,FALSE,"Jan2006";#N/A,#N/A,FALSE,"Feb2006";#N/A,#N/A,FALSE,"Mar2006";#N/A,#N/A,FALSE,"Apr2006";#N/A,#N/A,FALSE,"May2006";#N/A,#N/A,FALSE,"Jun2006";#N/A,#N/A,FALSE,"Jul2006";#N/A,#N/A,FALSE,"Aug2006";#N/A,#N/A,FALSE,"Sep2006";#N/A,#N/A,FALSE,"Oct2006";#N/A,#N/A,FALSE,"Nov2006";#N/A,#N/A,FALSE,"Dec2006"}</definedName>
    <definedName name="wrn.2006._2_3_1">{#N/A,#N/A,FALSE,"Jan2006";#N/A,#N/A,FALSE,"Feb2006";#N/A,#N/A,FALSE,"Mar2006";#N/A,#N/A,FALSE,"Apr2006";#N/A,#N/A,FALSE,"May2006";#N/A,#N/A,FALSE,"Jun2006";#N/A,#N/A,FALSE,"Jul2006";#N/A,#N/A,FALSE,"Aug2006";#N/A,#N/A,FALSE,"Sep2006";#N/A,#N/A,FALSE,"Oct2006";#N/A,#N/A,FALSE,"Nov2006";#N/A,#N/A,FALSE,"Dec2006"}</definedName>
    <definedName name="wrn.2006._2_4" localSheetId="14">{#N/A,#N/A,FALSE,"Jan2006";#N/A,#N/A,FALSE,"Feb2006";#N/A,#N/A,FALSE,"Mar2006";#N/A,#N/A,FALSE,"Apr2006";#N/A,#N/A,FALSE,"May2006";#N/A,#N/A,FALSE,"Jun2006";#N/A,#N/A,FALSE,"Jul2006";#N/A,#N/A,FALSE,"Aug2006";#N/A,#N/A,FALSE,"Sep2006";#N/A,#N/A,FALSE,"Oct2006";#N/A,#N/A,FALSE,"Nov2006";#N/A,#N/A,FALSE,"Dec2006"}</definedName>
    <definedName name="wrn.2006._2_4">{#N/A,#N/A,FALSE,"Jan2006";#N/A,#N/A,FALSE,"Feb2006";#N/A,#N/A,FALSE,"Mar2006";#N/A,#N/A,FALSE,"Apr2006";#N/A,#N/A,FALSE,"May2006";#N/A,#N/A,FALSE,"Jun2006";#N/A,#N/A,FALSE,"Jul2006";#N/A,#N/A,FALSE,"Aug2006";#N/A,#N/A,FALSE,"Sep2006";#N/A,#N/A,FALSE,"Oct2006";#N/A,#N/A,FALSE,"Nov2006";#N/A,#N/A,FALSE,"Dec2006"}</definedName>
    <definedName name="wrn.2006._2_4_1" localSheetId="14">{#N/A,#N/A,FALSE,"Jan2006";#N/A,#N/A,FALSE,"Feb2006";#N/A,#N/A,FALSE,"Mar2006";#N/A,#N/A,FALSE,"Apr2006";#N/A,#N/A,FALSE,"May2006";#N/A,#N/A,FALSE,"Jun2006";#N/A,#N/A,FALSE,"Jul2006";#N/A,#N/A,FALSE,"Aug2006";#N/A,#N/A,FALSE,"Sep2006";#N/A,#N/A,FALSE,"Oct2006";#N/A,#N/A,FALSE,"Nov2006";#N/A,#N/A,FALSE,"Dec2006"}</definedName>
    <definedName name="wrn.2006._2_4_1">{#N/A,#N/A,FALSE,"Jan2006";#N/A,#N/A,FALSE,"Feb2006";#N/A,#N/A,FALSE,"Mar2006";#N/A,#N/A,FALSE,"Apr2006";#N/A,#N/A,FALSE,"May2006";#N/A,#N/A,FALSE,"Jun2006";#N/A,#N/A,FALSE,"Jul2006";#N/A,#N/A,FALSE,"Aug2006";#N/A,#N/A,FALSE,"Sep2006";#N/A,#N/A,FALSE,"Oct2006";#N/A,#N/A,FALSE,"Nov2006";#N/A,#N/A,FALSE,"Dec2006"}</definedName>
    <definedName name="wrn.2006._2_5" localSheetId="14">{#N/A,#N/A,FALSE,"Jan2006";#N/A,#N/A,FALSE,"Feb2006";#N/A,#N/A,FALSE,"Mar2006";#N/A,#N/A,FALSE,"Apr2006";#N/A,#N/A,FALSE,"May2006";#N/A,#N/A,FALSE,"Jun2006";#N/A,#N/A,FALSE,"Jul2006";#N/A,#N/A,FALSE,"Aug2006";#N/A,#N/A,FALSE,"Sep2006";#N/A,#N/A,FALSE,"Oct2006";#N/A,#N/A,FALSE,"Nov2006";#N/A,#N/A,FALSE,"Dec2006"}</definedName>
    <definedName name="wrn.2006._2_5">{#N/A,#N/A,FALSE,"Jan2006";#N/A,#N/A,FALSE,"Feb2006";#N/A,#N/A,FALSE,"Mar2006";#N/A,#N/A,FALSE,"Apr2006";#N/A,#N/A,FALSE,"May2006";#N/A,#N/A,FALSE,"Jun2006";#N/A,#N/A,FALSE,"Jul2006";#N/A,#N/A,FALSE,"Aug2006";#N/A,#N/A,FALSE,"Sep2006";#N/A,#N/A,FALSE,"Oct2006";#N/A,#N/A,FALSE,"Nov2006";#N/A,#N/A,FALSE,"Dec2006"}</definedName>
    <definedName name="wrn.2006._3" localSheetId="14">{#N/A,#N/A,FALSE,"Jan2006";#N/A,#N/A,FALSE,"Feb2006";#N/A,#N/A,FALSE,"Mar2006";#N/A,#N/A,FALSE,"Apr2006";#N/A,#N/A,FALSE,"May2006";#N/A,#N/A,FALSE,"Jun2006";#N/A,#N/A,FALSE,"Jul2006";#N/A,#N/A,FALSE,"Aug2006";#N/A,#N/A,FALSE,"Sep2006";#N/A,#N/A,FALSE,"Oct2006";#N/A,#N/A,FALSE,"Nov2006";#N/A,#N/A,FALSE,"Dec2006"}</definedName>
    <definedName name="wrn.2006._3">{#N/A,#N/A,FALSE,"Jan2006";#N/A,#N/A,FALSE,"Feb2006";#N/A,#N/A,FALSE,"Mar2006";#N/A,#N/A,FALSE,"Apr2006";#N/A,#N/A,FALSE,"May2006";#N/A,#N/A,FALSE,"Jun2006";#N/A,#N/A,FALSE,"Jul2006";#N/A,#N/A,FALSE,"Aug2006";#N/A,#N/A,FALSE,"Sep2006";#N/A,#N/A,FALSE,"Oct2006";#N/A,#N/A,FALSE,"Nov2006";#N/A,#N/A,FALSE,"Dec2006"}</definedName>
    <definedName name="wrn.2006._3_1" localSheetId="14">{#N/A,#N/A,FALSE,"Jan2006";#N/A,#N/A,FALSE,"Feb2006";#N/A,#N/A,FALSE,"Mar2006";#N/A,#N/A,FALSE,"Apr2006";#N/A,#N/A,FALSE,"May2006";#N/A,#N/A,FALSE,"Jun2006";#N/A,#N/A,FALSE,"Jul2006";#N/A,#N/A,FALSE,"Aug2006";#N/A,#N/A,FALSE,"Sep2006";#N/A,#N/A,FALSE,"Oct2006";#N/A,#N/A,FALSE,"Nov2006";#N/A,#N/A,FALSE,"Dec2006"}</definedName>
    <definedName name="wrn.2006._3_1">{#N/A,#N/A,FALSE,"Jan2006";#N/A,#N/A,FALSE,"Feb2006";#N/A,#N/A,FALSE,"Mar2006";#N/A,#N/A,FALSE,"Apr2006";#N/A,#N/A,FALSE,"May2006";#N/A,#N/A,FALSE,"Jun2006";#N/A,#N/A,FALSE,"Jul2006";#N/A,#N/A,FALSE,"Aug2006";#N/A,#N/A,FALSE,"Sep2006";#N/A,#N/A,FALSE,"Oct2006";#N/A,#N/A,FALSE,"Nov2006";#N/A,#N/A,FALSE,"Dec2006"}</definedName>
    <definedName name="wrn.2006._3_1_1" localSheetId="14">{#N/A,#N/A,FALSE,"Jan2006";#N/A,#N/A,FALSE,"Feb2006";#N/A,#N/A,FALSE,"Mar2006";#N/A,#N/A,FALSE,"Apr2006";#N/A,#N/A,FALSE,"May2006";#N/A,#N/A,FALSE,"Jun2006";#N/A,#N/A,FALSE,"Jul2006";#N/A,#N/A,FALSE,"Aug2006";#N/A,#N/A,FALSE,"Sep2006";#N/A,#N/A,FALSE,"Oct2006";#N/A,#N/A,FALSE,"Nov2006";#N/A,#N/A,FALSE,"Dec2006"}</definedName>
    <definedName name="wrn.2006._3_1_1">{#N/A,#N/A,FALSE,"Jan2006";#N/A,#N/A,FALSE,"Feb2006";#N/A,#N/A,FALSE,"Mar2006";#N/A,#N/A,FALSE,"Apr2006";#N/A,#N/A,FALSE,"May2006";#N/A,#N/A,FALSE,"Jun2006";#N/A,#N/A,FALSE,"Jul2006";#N/A,#N/A,FALSE,"Aug2006";#N/A,#N/A,FALSE,"Sep2006";#N/A,#N/A,FALSE,"Oct2006";#N/A,#N/A,FALSE,"Nov2006";#N/A,#N/A,FALSE,"Dec2006"}</definedName>
    <definedName name="wrn.2006._3_1_1_1" localSheetId="14">{#N/A,#N/A,FALSE,"Jan2006";#N/A,#N/A,FALSE,"Feb2006";#N/A,#N/A,FALSE,"Mar2006";#N/A,#N/A,FALSE,"Apr2006";#N/A,#N/A,FALSE,"May2006";#N/A,#N/A,FALSE,"Jun2006";#N/A,#N/A,FALSE,"Jul2006";#N/A,#N/A,FALSE,"Aug2006";#N/A,#N/A,FALSE,"Sep2006";#N/A,#N/A,FALSE,"Oct2006";#N/A,#N/A,FALSE,"Nov2006";#N/A,#N/A,FALSE,"Dec2006"}</definedName>
    <definedName name="wrn.2006._3_1_1_1">{#N/A,#N/A,FALSE,"Jan2006";#N/A,#N/A,FALSE,"Feb2006";#N/A,#N/A,FALSE,"Mar2006";#N/A,#N/A,FALSE,"Apr2006";#N/A,#N/A,FALSE,"May2006";#N/A,#N/A,FALSE,"Jun2006";#N/A,#N/A,FALSE,"Jul2006";#N/A,#N/A,FALSE,"Aug2006";#N/A,#N/A,FALSE,"Sep2006";#N/A,#N/A,FALSE,"Oct2006";#N/A,#N/A,FALSE,"Nov2006";#N/A,#N/A,FALSE,"Dec2006"}</definedName>
    <definedName name="wrn.2006._3_1_2" localSheetId="14">{#N/A,#N/A,FALSE,"Jan2006";#N/A,#N/A,FALSE,"Feb2006";#N/A,#N/A,FALSE,"Mar2006";#N/A,#N/A,FALSE,"Apr2006";#N/A,#N/A,FALSE,"May2006";#N/A,#N/A,FALSE,"Jun2006";#N/A,#N/A,FALSE,"Jul2006";#N/A,#N/A,FALSE,"Aug2006";#N/A,#N/A,FALSE,"Sep2006";#N/A,#N/A,FALSE,"Oct2006";#N/A,#N/A,FALSE,"Nov2006";#N/A,#N/A,FALSE,"Dec2006"}</definedName>
    <definedName name="wrn.2006._3_1_2">{#N/A,#N/A,FALSE,"Jan2006";#N/A,#N/A,FALSE,"Feb2006";#N/A,#N/A,FALSE,"Mar2006";#N/A,#N/A,FALSE,"Apr2006";#N/A,#N/A,FALSE,"May2006";#N/A,#N/A,FALSE,"Jun2006";#N/A,#N/A,FALSE,"Jul2006";#N/A,#N/A,FALSE,"Aug2006";#N/A,#N/A,FALSE,"Sep2006";#N/A,#N/A,FALSE,"Oct2006";#N/A,#N/A,FALSE,"Nov2006";#N/A,#N/A,FALSE,"Dec2006"}</definedName>
    <definedName name="wrn.2006._3_2" localSheetId="14">{#N/A,#N/A,FALSE,"Jan2006";#N/A,#N/A,FALSE,"Feb2006";#N/A,#N/A,FALSE,"Mar2006";#N/A,#N/A,FALSE,"Apr2006";#N/A,#N/A,FALSE,"May2006";#N/A,#N/A,FALSE,"Jun2006";#N/A,#N/A,FALSE,"Jul2006";#N/A,#N/A,FALSE,"Aug2006";#N/A,#N/A,FALSE,"Sep2006";#N/A,#N/A,FALSE,"Oct2006";#N/A,#N/A,FALSE,"Nov2006";#N/A,#N/A,FALSE,"Dec2006"}</definedName>
    <definedName name="wrn.2006._3_2">{#N/A,#N/A,FALSE,"Jan2006";#N/A,#N/A,FALSE,"Feb2006";#N/A,#N/A,FALSE,"Mar2006";#N/A,#N/A,FALSE,"Apr2006";#N/A,#N/A,FALSE,"May2006";#N/A,#N/A,FALSE,"Jun2006";#N/A,#N/A,FALSE,"Jul2006";#N/A,#N/A,FALSE,"Aug2006";#N/A,#N/A,FALSE,"Sep2006";#N/A,#N/A,FALSE,"Oct2006";#N/A,#N/A,FALSE,"Nov2006";#N/A,#N/A,FALSE,"Dec2006"}</definedName>
    <definedName name="wrn.2006._3_2_1" localSheetId="14">{#N/A,#N/A,FALSE,"Jan2006";#N/A,#N/A,FALSE,"Feb2006";#N/A,#N/A,FALSE,"Mar2006";#N/A,#N/A,FALSE,"Apr2006";#N/A,#N/A,FALSE,"May2006";#N/A,#N/A,FALSE,"Jun2006";#N/A,#N/A,FALSE,"Jul2006";#N/A,#N/A,FALSE,"Aug2006";#N/A,#N/A,FALSE,"Sep2006";#N/A,#N/A,FALSE,"Oct2006";#N/A,#N/A,FALSE,"Nov2006";#N/A,#N/A,FALSE,"Dec2006"}</definedName>
    <definedName name="wrn.2006._3_2_1">{#N/A,#N/A,FALSE,"Jan2006";#N/A,#N/A,FALSE,"Feb2006";#N/A,#N/A,FALSE,"Mar2006";#N/A,#N/A,FALSE,"Apr2006";#N/A,#N/A,FALSE,"May2006";#N/A,#N/A,FALSE,"Jun2006";#N/A,#N/A,FALSE,"Jul2006";#N/A,#N/A,FALSE,"Aug2006";#N/A,#N/A,FALSE,"Sep2006";#N/A,#N/A,FALSE,"Oct2006";#N/A,#N/A,FALSE,"Nov2006";#N/A,#N/A,FALSE,"Dec2006"}</definedName>
    <definedName name="wrn.2006._3_3" localSheetId="14">{#N/A,#N/A,FALSE,"Jan2006";#N/A,#N/A,FALSE,"Feb2006";#N/A,#N/A,FALSE,"Mar2006";#N/A,#N/A,FALSE,"Apr2006";#N/A,#N/A,FALSE,"May2006";#N/A,#N/A,FALSE,"Jun2006";#N/A,#N/A,FALSE,"Jul2006";#N/A,#N/A,FALSE,"Aug2006";#N/A,#N/A,FALSE,"Sep2006";#N/A,#N/A,FALSE,"Oct2006";#N/A,#N/A,FALSE,"Nov2006";#N/A,#N/A,FALSE,"Dec2006"}</definedName>
    <definedName name="wrn.2006._3_3">{#N/A,#N/A,FALSE,"Jan2006";#N/A,#N/A,FALSE,"Feb2006";#N/A,#N/A,FALSE,"Mar2006";#N/A,#N/A,FALSE,"Apr2006";#N/A,#N/A,FALSE,"May2006";#N/A,#N/A,FALSE,"Jun2006";#N/A,#N/A,FALSE,"Jul2006";#N/A,#N/A,FALSE,"Aug2006";#N/A,#N/A,FALSE,"Sep2006";#N/A,#N/A,FALSE,"Oct2006";#N/A,#N/A,FALSE,"Nov2006";#N/A,#N/A,FALSE,"Dec2006"}</definedName>
    <definedName name="wrn.2006._3_3_1" localSheetId="14">{#N/A,#N/A,FALSE,"Jan2006";#N/A,#N/A,FALSE,"Feb2006";#N/A,#N/A,FALSE,"Mar2006";#N/A,#N/A,FALSE,"Apr2006";#N/A,#N/A,FALSE,"May2006";#N/A,#N/A,FALSE,"Jun2006";#N/A,#N/A,FALSE,"Jul2006";#N/A,#N/A,FALSE,"Aug2006";#N/A,#N/A,FALSE,"Sep2006";#N/A,#N/A,FALSE,"Oct2006";#N/A,#N/A,FALSE,"Nov2006";#N/A,#N/A,FALSE,"Dec2006"}</definedName>
    <definedName name="wrn.2006._3_3_1">{#N/A,#N/A,FALSE,"Jan2006";#N/A,#N/A,FALSE,"Feb2006";#N/A,#N/A,FALSE,"Mar2006";#N/A,#N/A,FALSE,"Apr2006";#N/A,#N/A,FALSE,"May2006";#N/A,#N/A,FALSE,"Jun2006";#N/A,#N/A,FALSE,"Jul2006";#N/A,#N/A,FALSE,"Aug2006";#N/A,#N/A,FALSE,"Sep2006";#N/A,#N/A,FALSE,"Oct2006";#N/A,#N/A,FALSE,"Nov2006";#N/A,#N/A,FALSE,"Dec2006"}</definedName>
    <definedName name="wrn.2006._3_4" localSheetId="14">{#N/A,#N/A,FALSE,"Jan2006";#N/A,#N/A,FALSE,"Feb2006";#N/A,#N/A,FALSE,"Mar2006";#N/A,#N/A,FALSE,"Apr2006";#N/A,#N/A,FALSE,"May2006";#N/A,#N/A,FALSE,"Jun2006";#N/A,#N/A,FALSE,"Jul2006";#N/A,#N/A,FALSE,"Aug2006";#N/A,#N/A,FALSE,"Sep2006";#N/A,#N/A,FALSE,"Oct2006";#N/A,#N/A,FALSE,"Nov2006";#N/A,#N/A,FALSE,"Dec2006"}</definedName>
    <definedName name="wrn.2006._3_4">{#N/A,#N/A,FALSE,"Jan2006";#N/A,#N/A,FALSE,"Feb2006";#N/A,#N/A,FALSE,"Mar2006";#N/A,#N/A,FALSE,"Apr2006";#N/A,#N/A,FALSE,"May2006";#N/A,#N/A,FALSE,"Jun2006";#N/A,#N/A,FALSE,"Jul2006";#N/A,#N/A,FALSE,"Aug2006";#N/A,#N/A,FALSE,"Sep2006";#N/A,#N/A,FALSE,"Oct2006";#N/A,#N/A,FALSE,"Nov2006";#N/A,#N/A,FALSE,"Dec2006"}</definedName>
    <definedName name="wrn.2006._3_4_1" localSheetId="14">{#N/A,#N/A,FALSE,"Jan2006";#N/A,#N/A,FALSE,"Feb2006";#N/A,#N/A,FALSE,"Mar2006";#N/A,#N/A,FALSE,"Apr2006";#N/A,#N/A,FALSE,"May2006";#N/A,#N/A,FALSE,"Jun2006";#N/A,#N/A,FALSE,"Jul2006";#N/A,#N/A,FALSE,"Aug2006";#N/A,#N/A,FALSE,"Sep2006";#N/A,#N/A,FALSE,"Oct2006";#N/A,#N/A,FALSE,"Nov2006";#N/A,#N/A,FALSE,"Dec2006"}</definedName>
    <definedName name="wrn.2006._3_4_1">{#N/A,#N/A,FALSE,"Jan2006";#N/A,#N/A,FALSE,"Feb2006";#N/A,#N/A,FALSE,"Mar2006";#N/A,#N/A,FALSE,"Apr2006";#N/A,#N/A,FALSE,"May2006";#N/A,#N/A,FALSE,"Jun2006";#N/A,#N/A,FALSE,"Jul2006";#N/A,#N/A,FALSE,"Aug2006";#N/A,#N/A,FALSE,"Sep2006";#N/A,#N/A,FALSE,"Oct2006";#N/A,#N/A,FALSE,"Nov2006";#N/A,#N/A,FALSE,"Dec2006"}</definedName>
    <definedName name="wrn.2006._3_5" localSheetId="14">{#N/A,#N/A,FALSE,"Jan2006";#N/A,#N/A,FALSE,"Feb2006";#N/A,#N/A,FALSE,"Mar2006";#N/A,#N/A,FALSE,"Apr2006";#N/A,#N/A,FALSE,"May2006";#N/A,#N/A,FALSE,"Jun2006";#N/A,#N/A,FALSE,"Jul2006";#N/A,#N/A,FALSE,"Aug2006";#N/A,#N/A,FALSE,"Sep2006";#N/A,#N/A,FALSE,"Oct2006";#N/A,#N/A,FALSE,"Nov2006";#N/A,#N/A,FALSE,"Dec2006"}</definedName>
    <definedName name="wrn.2006._3_5">{#N/A,#N/A,FALSE,"Jan2006";#N/A,#N/A,FALSE,"Feb2006";#N/A,#N/A,FALSE,"Mar2006";#N/A,#N/A,FALSE,"Apr2006";#N/A,#N/A,FALSE,"May2006";#N/A,#N/A,FALSE,"Jun2006";#N/A,#N/A,FALSE,"Jul2006";#N/A,#N/A,FALSE,"Aug2006";#N/A,#N/A,FALSE,"Sep2006";#N/A,#N/A,FALSE,"Oct2006";#N/A,#N/A,FALSE,"Nov2006";#N/A,#N/A,FALSE,"Dec2006"}</definedName>
    <definedName name="wrn.2006._4" localSheetId="14">{#N/A,#N/A,FALSE,"Jan2006";#N/A,#N/A,FALSE,"Feb2006";#N/A,#N/A,FALSE,"Mar2006";#N/A,#N/A,FALSE,"Apr2006";#N/A,#N/A,FALSE,"May2006";#N/A,#N/A,FALSE,"Jun2006";#N/A,#N/A,FALSE,"Jul2006";#N/A,#N/A,FALSE,"Aug2006";#N/A,#N/A,FALSE,"Sep2006";#N/A,#N/A,FALSE,"Oct2006";#N/A,#N/A,FALSE,"Nov2006";#N/A,#N/A,FALSE,"Dec2006"}</definedName>
    <definedName name="wrn.2006._4">{#N/A,#N/A,FALSE,"Jan2006";#N/A,#N/A,FALSE,"Feb2006";#N/A,#N/A,FALSE,"Mar2006";#N/A,#N/A,FALSE,"Apr2006";#N/A,#N/A,FALSE,"May2006";#N/A,#N/A,FALSE,"Jun2006";#N/A,#N/A,FALSE,"Jul2006";#N/A,#N/A,FALSE,"Aug2006";#N/A,#N/A,FALSE,"Sep2006";#N/A,#N/A,FALSE,"Oct2006";#N/A,#N/A,FALSE,"Nov2006";#N/A,#N/A,FALSE,"Dec2006"}</definedName>
    <definedName name="wrn.2006._4_1" localSheetId="14">{#N/A,#N/A,FALSE,"Jan2006";#N/A,#N/A,FALSE,"Feb2006";#N/A,#N/A,FALSE,"Mar2006";#N/A,#N/A,FALSE,"Apr2006";#N/A,#N/A,FALSE,"May2006";#N/A,#N/A,FALSE,"Jun2006";#N/A,#N/A,FALSE,"Jul2006";#N/A,#N/A,FALSE,"Aug2006";#N/A,#N/A,FALSE,"Sep2006";#N/A,#N/A,FALSE,"Oct2006";#N/A,#N/A,FALSE,"Nov2006";#N/A,#N/A,FALSE,"Dec2006"}</definedName>
    <definedName name="wrn.2006._4_1">{#N/A,#N/A,FALSE,"Jan2006";#N/A,#N/A,FALSE,"Feb2006";#N/A,#N/A,FALSE,"Mar2006";#N/A,#N/A,FALSE,"Apr2006";#N/A,#N/A,FALSE,"May2006";#N/A,#N/A,FALSE,"Jun2006";#N/A,#N/A,FALSE,"Jul2006";#N/A,#N/A,FALSE,"Aug2006";#N/A,#N/A,FALSE,"Sep2006";#N/A,#N/A,FALSE,"Oct2006";#N/A,#N/A,FALSE,"Nov2006";#N/A,#N/A,FALSE,"Dec2006"}</definedName>
    <definedName name="wrn.2006._4_1_1" localSheetId="14">{#N/A,#N/A,FALSE,"Jan2006";#N/A,#N/A,FALSE,"Feb2006";#N/A,#N/A,FALSE,"Mar2006";#N/A,#N/A,FALSE,"Apr2006";#N/A,#N/A,FALSE,"May2006";#N/A,#N/A,FALSE,"Jun2006";#N/A,#N/A,FALSE,"Jul2006";#N/A,#N/A,FALSE,"Aug2006";#N/A,#N/A,FALSE,"Sep2006";#N/A,#N/A,FALSE,"Oct2006";#N/A,#N/A,FALSE,"Nov2006";#N/A,#N/A,FALSE,"Dec2006"}</definedName>
    <definedName name="wrn.2006._4_1_1">{#N/A,#N/A,FALSE,"Jan2006";#N/A,#N/A,FALSE,"Feb2006";#N/A,#N/A,FALSE,"Mar2006";#N/A,#N/A,FALSE,"Apr2006";#N/A,#N/A,FALSE,"May2006";#N/A,#N/A,FALSE,"Jun2006";#N/A,#N/A,FALSE,"Jul2006";#N/A,#N/A,FALSE,"Aug2006";#N/A,#N/A,FALSE,"Sep2006";#N/A,#N/A,FALSE,"Oct2006";#N/A,#N/A,FALSE,"Nov2006";#N/A,#N/A,FALSE,"Dec2006"}</definedName>
    <definedName name="wrn.2006._4_1_1_1" localSheetId="14">{#N/A,#N/A,FALSE,"Jan2006";#N/A,#N/A,FALSE,"Feb2006";#N/A,#N/A,FALSE,"Mar2006";#N/A,#N/A,FALSE,"Apr2006";#N/A,#N/A,FALSE,"May2006";#N/A,#N/A,FALSE,"Jun2006";#N/A,#N/A,FALSE,"Jul2006";#N/A,#N/A,FALSE,"Aug2006";#N/A,#N/A,FALSE,"Sep2006";#N/A,#N/A,FALSE,"Oct2006";#N/A,#N/A,FALSE,"Nov2006";#N/A,#N/A,FALSE,"Dec2006"}</definedName>
    <definedName name="wrn.2006._4_1_1_1">{#N/A,#N/A,FALSE,"Jan2006";#N/A,#N/A,FALSE,"Feb2006";#N/A,#N/A,FALSE,"Mar2006";#N/A,#N/A,FALSE,"Apr2006";#N/A,#N/A,FALSE,"May2006";#N/A,#N/A,FALSE,"Jun2006";#N/A,#N/A,FALSE,"Jul2006";#N/A,#N/A,FALSE,"Aug2006";#N/A,#N/A,FALSE,"Sep2006";#N/A,#N/A,FALSE,"Oct2006";#N/A,#N/A,FALSE,"Nov2006";#N/A,#N/A,FALSE,"Dec2006"}</definedName>
    <definedName name="wrn.2006._4_1_2" localSheetId="14">{#N/A,#N/A,FALSE,"Jan2006";#N/A,#N/A,FALSE,"Feb2006";#N/A,#N/A,FALSE,"Mar2006";#N/A,#N/A,FALSE,"Apr2006";#N/A,#N/A,FALSE,"May2006";#N/A,#N/A,FALSE,"Jun2006";#N/A,#N/A,FALSE,"Jul2006";#N/A,#N/A,FALSE,"Aug2006";#N/A,#N/A,FALSE,"Sep2006";#N/A,#N/A,FALSE,"Oct2006";#N/A,#N/A,FALSE,"Nov2006";#N/A,#N/A,FALSE,"Dec2006"}</definedName>
    <definedName name="wrn.2006._4_1_2">{#N/A,#N/A,FALSE,"Jan2006";#N/A,#N/A,FALSE,"Feb2006";#N/A,#N/A,FALSE,"Mar2006";#N/A,#N/A,FALSE,"Apr2006";#N/A,#N/A,FALSE,"May2006";#N/A,#N/A,FALSE,"Jun2006";#N/A,#N/A,FALSE,"Jul2006";#N/A,#N/A,FALSE,"Aug2006";#N/A,#N/A,FALSE,"Sep2006";#N/A,#N/A,FALSE,"Oct2006";#N/A,#N/A,FALSE,"Nov2006";#N/A,#N/A,FALSE,"Dec2006"}</definedName>
    <definedName name="wrn.2006._4_2" localSheetId="14">{#N/A,#N/A,FALSE,"Jan2006";#N/A,#N/A,FALSE,"Feb2006";#N/A,#N/A,FALSE,"Mar2006";#N/A,#N/A,FALSE,"Apr2006";#N/A,#N/A,FALSE,"May2006";#N/A,#N/A,FALSE,"Jun2006";#N/A,#N/A,FALSE,"Jul2006";#N/A,#N/A,FALSE,"Aug2006";#N/A,#N/A,FALSE,"Sep2006";#N/A,#N/A,FALSE,"Oct2006";#N/A,#N/A,FALSE,"Nov2006";#N/A,#N/A,FALSE,"Dec2006"}</definedName>
    <definedName name="wrn.2006._4_2">{#N/A,#N/A,FALSE,"Jan2006";#N/A,#N/A,FALSE,"Feb2006";#N/A,#N/A,FALSE,"Mar2006";#N/A,#N/A,FALSE,"Apr2006";#N/A,#N/A,FALSE,"May2006";#N/A,#N/A,FALSE,"Jun2006";#N/A,#N/A,FALSE,"Jul2006";#N/A,#N/A,FALSE,"Aug2006";#N/A,#N/A,FALSE,"Sep2006";#N/A,#N/A,FALSE,"Oct2006";#N/A,#N/A,FALSE,"Nov2006";#N/A,#N/A,FALSE,"Dec2006"}</definedName>
    <definedName name="wrn.2006._4_2_1" localSheetId="14">{#N/A,#N/A,FALSE,"Jan2006";#N/A,#N/A,FALSE,"Feb2006";#N/A,#N/A,FALSE,"Mar2006";#N/A,#N/A,FALSE,"Apr2006";#N/A,#N/A,FALSE,"May2006";#N/A,#N/A,FALSE,"Jun2006";#N/A,#N/A,FALSE,"Jul2006";#N/A,#N/A,FALSE,"Aug2006";#N/A,#N/A,FALSE,"Sep2006";#N/A,#N/A,FALSE,"Oct2006";#N/A,#N/A,FALSE,"Nov2006";#N/A,#N/A,FALSE,"Dec2006"}</definedName>
    <definedName name="wrn.2006._4_2_1">{#N/A,#N/A,FALSE,"Jan2006";#N/A,#N/A,FALSE,"Feb2006";#N/A,#N/A,FALSE,"Mar2006";#N/A,#N/A,FALSE,"Apr2006";#N/A,#N/A,FALSE,"May2006";#N/A,#N/A,FALSE,"Jun2006";#N/A,#N/A,FALSE,"Jul2006";#N/A,#N/A,FALSE,"Aug2006";#N/A,#N/A,FALSE,"Sep2006";#N/A,#N/A,FALSE,"Oct2006";#N/A,#N/A,FALSE,"Nov2006";#N/A,#N/A,FALSE,"Dec2006"}</definedName>
    <definedName name="wrn.2006._4_3" localSheetId="14">{#N/A,#N/A,FALSE,"Jan2006";#N/A,#N/A,FALSE,"Feb2006";#N/A,#N/A,FALSE,"Mar2006";#N/A,#N/A,FALSE,"Apr2006";#N/A,#N/A,FALSE,"May2006";#N/A,#N/A,FALSE,"Jun2006";#N/A,#N/A,FALSE,"Jul2006";#N/A,#N/A,FALSE,"Aug2006";#N/A,#N/A,FALSE,"Sep2006";#N/A,#N/A,FALSE,"Oct2006";#N/A,#N/A,FALSE,"Nov2006";#N/A,#N/A,FALSE,"Dec2006"}</definedName>
    <definedName name="wrn.2006._4_3">{#N/A,#N/A,FALSE,"Jan2006";#N/A,#N/A,FALSE,"Feb2006";#N/A,#N/A,FALSE,"Mar2006";#N/A,#N/A,FALSE,"Apr2006";#N/A,#N/A,FALSE,"May2006";#N/A,#N/A,FALSE,"Jun2006";#N/A,#N/A,FALSE,"Jul2006";#N/A,#N/A,FALSE,"Aug2006";#N/A,#N/A,FALSE,"Sep2006";#N/A,#N/A,FALSE,"Oct2006";#N/A,#N/A,FALSE,"Nov2006";#N/A,#N/A,FALSE,"Dec2006"}</definedName>
    <definedName name="wrn.2006._4_3_1" localSheetId="14">{#N/A,#N/A,FALSE,"Jan2006";#N/A,#N/A,FALSE,"Feb2006";#N/A,#N/A,FALSE,"Mar2006";#N/A,#N/A,FALSE,"Apr2006";#N/A,#N/A,FALSE,"May2006";#N/A,#N/A,FALSE,"Jun2006";#N/A,#N/A,FALSE,"Jul2006";#N/A,#N/A,FALSE,"Aug2006";#N/A,#N/A,FALSE,"Sep2006";#N/A,#N/A,FALSE,"Oct2006";#N/A,#N/A,FALSE,"Nov2006";#N/A,#N/A,FALSE,"Dec2006"}</definedName>
    <definedName name="wrn.2006._4_3_1">{#N/A,#N/A,FALSE,"Jan2006";#N/A,#N/A,FALSE,"Feb2006";#N/A,#N/A,FALSE,"Mar2006";#N/A,#N/A,FALSE,"Apr2006";#N/A,#N/A,FALSE,"May2006";#N/A,#N/A,FALSE,"Jun2006";#N/A,#N/A,FALSE,"Jul2006";#N/A,#N/A,FALSE,"Aug2006";#N/A,#N/A,FALSE,"Sep2006";#N/A,#N/A,FALSE,"Oct2006";#N/A,#N/A,FALSE,"Nov2006";#N/A,#N/A,FALSE,"Dec2006"}</definedName>
    <definedName name="wrn.2006._4_4" localSheetId="14">{#N/A,#N/A,FALSE,"Jan2006";#N/A,#N/A,FALSE,"Feb2006";#N/A,#N/A,FALSE,"Mar2006";#N/A,#N/A,FALSE,"Apr2006";#N/A,#N/A,FALSE,"May2006";#N/A,#N/A,FALSE,"Jun2006";#N/A,#N/A,FALSE,"Jul2006";#N/A,#N/A,FALSE,"Aug2006";#N/A,#N/A,FALSE,"Sep2006";#N/A,#N/A,FALSE,"Oct2006";#N/A,#N/A,FALSE,"Nov2006";#N/A,#N/A,FALSE,"Dec2006"}</definedName>
    <definedName name="wrn.2006._4_4">{#N/A,#N/A,FALSE,"Jan2006";#N/A,#N/A,FALSE,"Feb2006";#N/A,#N/A,FALSE,"Mar2006";#N/A,#N/A,FALSE,"Apr2006";#N/A,#N/A,FALSE,"May2006";#N/A,#N/A,FALSE,"Jun2006";#N/A,#N/A,FALSE,"Jul2006";#N/A,#N/A,FALSE,"Aug2006";#N/A,#N/A,FALSE,"Sep2006";#N/A,#N/A,FALSE,"Oct2006";#N/A,#N/A,FALSE,"Nov2006";#N/A,#N/A,FALSE,"Dec2006"}</definedName>
    <definedName name="wrn.2006._4_4_1" localSheetId="14">{#N/A,#N/A,FALSE,"Jan2006";#N/A,#N/A,FALSE,"Feb2006";#N/A,#N/A,FALSE,"Mar2006";#N/A,#N/A,FALSE,"Apr2006";#N/A,#N/A,FALSE,"May2006";#N/A,#N/A,FALSE,"Jun2006";#N/A,#N/A,FALSE,"Jul2006";#N/A,#N/A,FALSE,"Aug2006";#N/A,#N/A,FALSE,"Sep2006";#N/A,#N/A,FALSE,"Oct2006";#N/A,#N/A,FALSE,"Nov2006";#N/A,#N/A,FALSE,"Dec2006"}</definedName>
    <definedName name="wrn.2006._4_4_1">{#N/A,#N/A,FALSE,"Jan2006";#N/A,#N/A,FALSE,"Feb2006";#N/A,#N/A,FALSE,"Mar2006";#N/A,#N/A,FALSE,"Apr2006";#N/A,#N/A,FALSE,"May2006";#N/A,#N/A,FALSE,"Jun2006";#N/A,#N/A,FALSE,"Jul2006";#N/A,#N/A,FALSE,"Aug2006";#N/A,#N/A,FALSE,"Sep2006";#N/A,#N/A,FALSE,"Oct2006";#N/A,#N/A,FALSE,"Nov2006";#N/A,#N/A,FALSE,"Dec2006"}</definedName>
    <definedName name="wrn.2006._4_5" localSheetId="14">{#N/A,#N/A,FALSE,"Jan2006";#N/A,#N/A,FALSE,"Feb2006";#N/A,#N/A,FALSE,"Mar2006";#N/A,#N/A,FALSE,"Apr2006";#N/A,#N/A,FALSE,"May2006";#N/A,#N/A,FALSE,"Jun2006";#N/A,#N/A,FALSE,"Jul2006";#N/A,#N/A,FALSE,"Aug2006";#N/A,#N/A,FALSE,"Sep2006";#N/A,#N/A,FALSE,"Oct2006";#N/A,#N/A,FALSE,"Nov2006";#N/A,#N/A,FALSE,"Dec2006"}</definedName>
    <definedName name="wrn.2006._4_5">{#N/A,#N/A,FALSE,"Jan2006";#N/A,#N/A,FALSE,"Feb2006";#N/A,#N/A,FALSE,"Mar2006";#N/A,#N/A,FALSE,"Apr2006";#N/A,#N/A,FALSE,"May2006";#N/A,#N/A,FALSE,"Jun2006";#N/A,#N/A,FALSE,"Jul2006";#N/A,#N/A,FALSE,"Aug2006";#N/A,#N/A,FALSE,"Sep2006";#N/A,#N/A,FALSE,"Oct2006";#N/A,#N/A,FALSE,"Nov2006";#N/A,#N/A,FALSE,"Dec2006"}</definedName>
    <definedName name="wrn.2006._5" localSheetId="14">{#N/A,#N/A,FALSE,"Jan2006";#N/A,#N/A,FALSE,"Feb2006";#N/A,#N/A,FALSE,"Mar2006";#N/A,#N/A,FALSE,"Apr2006";#N/A,#N/A,FALSE,"May2006";#N/A,#N/A,FALSE,"Jun2006";#N/A,#N/A,FALSE,"Jul2006";#N/A,#N/A,FALSE,"Aug2006";#N/A,#N/A,FALSE,"Sep2006";#N/A,#N/A,FALSE,"Oct2006";#N/A,#N/A,FALSE,"Nov2006";#N/A,#N/A,FALSE,"Dec2006"}</definedName>
    <definedName name="wrn.2006._5">{#N/A,#N/A,FALSE,"Jan2006";#N/A,#N/A,FALSE,"Feb2006";#N/A,#N/A,FALSE,"Mar2006";#N/A,#N/A,FALSE,"Apr2006";#N/A,#N/A,FALSE,"May2006";#N/A,#N/A,FALSE,"Jun2006";#N/A,#N/A,FALSE,"Jul2006";#N/A,#N/A,FALSE,"Aug2006";#N/A,#N/A,FALSE,"Sep2006";#N/A,#N/A,FALSE,"Oct2006";#N/A,#N/A,FALSE,"Nov2006";#N/A,#N/A,FALSE,"Dec2006"}</definedName>
    <definedName name="wrn.2006._5_1" localSheetId="14">{#N/A,#N/A,FALSE,"Jan2006";#N/A,#N/A,FALSE,"Feb2006";#N/A,#N/A,FALSE,"Mar2006";#N/A,#N/A,FALSE,"Apr2006";#N/A,#N/A,FALSE,"May2006";#N/A,#N/A,FALSE,"Jun2006";#N/A,#N/A,FALSE,"Jul2006";#N/A,#N/A,FALSE,"Aug2006";#N/A,#N/A,FALSE,"Sep2006";#N/A,#N/A,FALSE,"Oct2006";#N/A,#N/A,FALSE,"Nov2006";#N/A,#N/A,FALSE,"Dec2006"}</definedName>
    <definedName name="wrn.2006._5_1">{#N/A,#N/A,FALSE,"Jan2006";#N/A,#N/A,FALSE,"Feb2006";#N/A,#N/A,FALSE,"Mar2006";#N/A,#N/A,FALSE,"Apr2006";#N/A,#N/A,FALSE,"May2006";#N/A,#N/A,FALSE,"Jun2006";#N/A,#N/A,FALSE,"Jul2006";#N/A,#N/A,FALSE,"Aug2006";#N/A,#N/A,FALSE,"Sep2006";#N/A,#N/A,FALSE,"Oct2006";#N/A,#N/A,FALSE,"Nov2006";#N/A,#N/A,FALSE,"Dec2006"}</definedName>
    <definedName name="wrn.2006._5_1_1" localSheetId="14">{#N/A,#N/A,FALSE,"Jan2006";#N/A,#N/A,FALSE,"Feb2006";#N/A,#N/A,FALSE,"Mar2006";#N/A,#N/A,FALSE,"Apr2006";#N/A,#N/A,FALSE,"May2006";#N/A,#N/A,FALSE,"Jun2006";#N/A,#N/A,FALSE,"Jul2006";#N/A,#N/A,FALSE,"Aug2006";#N/A,#N/A,FALSE,"Sep2006";#N/A,#N/A,FALSE,"Oct2006";#N/A,#N/A,FALSE,"Nov2006";#N/A,#N/A,FALSE,"Dec2006"}</definedName>
    <definedName name="wrn.2006._5_1_1">{#N/A,#N/A,FALSE,"Jan2006";#N/A,#N/A,FALSE,"Feb2006";#N/A,#N/A,FALSE,"Mar2006";#N/A,#N/A,FALSE,"Apr2006";#N/A,#N/A,FALSE,"May2006";#N/A,#N/A,FALSE,"Jun2006";#N/A,#N/A,FALSE,"Jul2006";#N/A,#N/A,FALSE,"Aug2006";#N/A,#N/A,FALSE,"Sep2006";#N/A,#N/A,FALSE,"Oct2006";#N/A,#N/A,FALSE,"Nov2006";#N/A,#N/A,FALSE,"Dec2006"}</definedName>
    <definedName name="wrn.2006._5_1_1_1" localSheetId="14">{#N/A,#N/A,FALSE,"Jan2006";#N/A,#N/A,FALSE,"Feb2006";#N/A,#N/A,FALSE,"Mar2006";#N/A,#N/A,FALSE,"Apr2006";#N/A,#N/A,FALSE,"May2006";#N/A,#N/A,FALSE,"Jun2006";#N/A,#N/A,FALSE,"Jul2006";#N/A,#N/A,FALSE,"Aug2006";#N/A,#N/A,FALSE,"Sep2006";#N/A,#N/A,FALSE,"Oct2006";#N/A,#N/A,FALSE,"Nov2006";#N/A,#N/A,FALSE,"Dec2006"}</definedName>
    <definedName name="wrn.2006._5_1_1_1">{#N/A,#N/A,FALSE,"Jan2006";#N/A,#N/A,FALSE,"Feb2006";#N/A,#N/A,FALSE,"Mar2006";#N/A,#N/A,FALSE,"Apr2006";#N/A,#N/A,FALSE,"May2006";#N/A,#N/A,FALSE,"Jun2006";#N/A,#N/A,FALSE,"Jul2006";#N/A,#N/A,FALSE,"Aug2006";#N/A,#N/A,FALSE,"Sep2006";#N/A,#N/A,FALSE,"Oct2006";#N/A,#N/A,FALSE,"Nov2006";#N/A,#N/A,FALSE,"Dec2006"}</definedName>
    <definedName name="wrn.2006._5_1_2" localSheetId="14">{#N/A,#N/A,FALSE,"Jan2006";#N/A,#N/A,FALSE,"Feb2006";#N/A,#N/A,FALSE,"Mar2006";#N/A,#N/A,FALSE,"Apr2006";#N/A,#N/A,FALSE,"May2006";#N/A,#N/A,FALSE,"Jun2006";#N/A,#N/A,FALSE,"Jul2006";#N/A,#N/A,FALSE,"Aug2006";#N/A,#N/A,FALSE,"Sep2006";#N/A,#N/A,FALSE,"Oct2006";#N/A,#N/A,FALSE,"Nov2006";#N/A,#N/A,FALSE,"Dec2006"}</definedName>
    <definedName name="wrn.2006._5_1_2">{#N/A,#N/A,FALSE,"Jan2006";#N/A,#N/A,FALSE,"Feb2006";#N/A,#N/A,FALSE,"Mar2006";#N/A,#N/A,FALSE,"Apr2006";#N/A,#N/A,FALSE,"May2006";#N/A,#N/A,FALSE,"Jun2006";#N/A,#N/A,FALSE,"Jul2006";#N/A,#N/A,FALSE,"Aug2006";#N/A,#N/A,FALSE,"Sep2006";#N/A,#N/A,FALSE,"Oct2006";#N/A,#N/A,FALSE,"Nov2006";#N/A,#N/A,FALSE,"Dec2006"}</definedName>
    <definedName name="wrn.2006._5_2" localSheetId="14">{#N/A,#N/A,FALSE,"Jan2006";#N/A,#N/A,FALSE,"Feb2006";#N/A,#N/A,FALSE,"Mar2006";#N/A,#N/A,FALSE,"Apr2006";#N/A,#N/A,FALSE,"May2006";#N/A,#N/A,FALSE,"Jun2006";#N/A,#N/A,FALSE,"Jul2006";#N/A,#N/A,FALSE,"Aug2006";#N/A,#N/A,FALSE,"Sep2006";#N/A,#N/A,FALSE,"Oct2006";#N/A,#N/A,FALSE,"Nov2006";#N/A,#N/A,FALSE,"Dec2006"}</definedName>
    <definedName name="wrn.2006._5_2">{#N/A,#N/A,FALSE,"Jan2006";#N/A,#N/A,FALSE,"Feb2006";#N/A,#N/A,FALSE,"Mar2006";#N/A,#N/A,FALSE,"Apr2006";#N/A,#N/A,FALSE,"May2006";#N/A,#N/A,FALSE,"Jun2006";#N/A,#N/A,FALSE,"Jul2006";#N/A,#N/A,FALSE,"Aug2006";#N/A,#N/A,FALSE,"Sep2006";#N/A,#N/A,FALSE,"Oct2006";#N/A,#N/A,FALSE,"Nov2006";#N/A,#N/A,FALSE,"Dec2006"}</definedName>
    <definedName name="wrn.2006._5_2_1" localSheetId="14">{#N/A,#N/A,FALSE,"Jan2006";#N/A,#N/A,FALSE,"Feb2006";#N/A,#N/A,FALSE,"Mar2006";#N/A,#N/A,FALSE,"Apr2006";#N/A,#N/A,FALSE,"May2006";#N/A,#N/A,FALSE,"Jun2006";#N/A,#N/A,FALSE,"Jul2006";#N/A,#N/A,FALSE,"Aug2006";#N/A,#N/A,FALSE,"Sep2006";#N/A,#N/A,FALSE,"Oct2006";#N/A,#N/A,FALSE,"Nov2006";#N/A,#N/A,FALSE,"Dec2006"}</definedName>
    <definedName name="wrn.2006._5_2_1">{#N/A,#N/A,FALSE,"Jan2006";#N/A,#N/A,FALSE,"Feb2006";#N/A,#N/A,FALSE,"Mar2006";#N/A,#N/A,FALSE,"Apr2006";#N/A,#N/A,FALSE,"May2006";#N/A,#N/A,FALSE,"Jun2006";#N/A,#N/A,FALSE,"Jul2006";#N/A,#N/A,FALSE,"Aug2006";#N/A,#N/A,FALSE,"Sep2006";#N/A,#N/A,FALSE,"Oct2006";#N/A,#N/A,FALSE,"Nov2006";#N/A,#N/A,FALSE,"Dec2006"}</definedName>
    <definedName name="wrn.2006._5_3" localSheetId="14">{#N/A,#N/A,FALSE,"Jan2006";#N/A,#N/A,FALSE,"Feb2006";#N/A,#N/A,FALSE,"Mar2006";#N/A,#N/A,FALSE,"Apr2006";#N/A,#N/A,FALSE,"May2006";#N/A,#N/A,FALSE,"Jun2006";#N/A,#N/A,FALSE,"Jul2006";#N/A,#N/A,FALSE,"Aug2006";#N/A,#N/A,FALSE,"Sep2006";#N/A,#N/A,FALSE,"Oct2006";#N/A,#N/A,FALSE,"Nov2006";#N/A,#N/A,FALSE,"Dec2006"}</definedName>
    <definedName name="wrn.2006._5_3">{#N/A,#N/A,FALSE,"Jan2006";#N/A,#N/A,FALSE,"Feb2006";#N/A,#N/A,FALSE,"Mar2006";#N/A,#N/A,FALSE,"Apr2006";#N/A,#N/A,FALSE,"May2006";#N/A,#N/A,FALSE,"Jun2006";#N/A,#N/A,FALSE,"Jul2006";#N/A,#N/A,FALSE,"Aug2006";#N/A,#N/A,FALSE,"Sep2006";#N/A,#N/A,FALSE,"Oct2006";#N/A,#N/A,FALSE,"Nov2006";#N/A,#N/A,FALSE,"Dec2006"}</definedName>
    <definedName name="wrn.2006._5_3_1" localSheetId="14">{#N/A,#N/A,FALSE,"Jan2006";#N/A,#N/A,FALSE,"Feb2006";#N/A,#N/A,FALSE,"Mar2006";#N/A,#N/A,FALSE,"Apr2006";#N/A,#N/A,FALSE,"May2006";#N/A,#N/A,FALSE,"Jun2006";#N/A,#N/A,FALSE,"Jul2006";#N/A,#N/A,FALSE,"Aug2006";#N/A,#N/A,FALSE,"Sep2006";#N/A,#N/A,FALSE,"Oct2006";#N/A,#N/A,FALSE,"Nov2006";#N/A,#N/A,FALSE,"Dec2006"}</definedName>
    <definedName name="wrn.2006._5_3_1">{#N/A,#N/A,FALSE,"Jan2006";#N/A,#N/A,FALSE,"Feb2006";#N/A,#N/A,FALSE,"Mar2006";#N/A,#N/A,FALSE,"Apr2006";#N/A,#N/A,FALSE,"May2006";#N/A,#N/A,FALSE,"Jun2006";#N/A,#N/A,FALSE,"Jul2006";#N/A,#N/A,FALSE,"Aug2006";#N/A,#N/A,FALSE,"Sep2006";#N/A,#N/A,FALSE,"Oct2006";#N/A,#N/A,FALSE,"Nov2006";#N/A,#N/A,FALSE,"Dec2006"}</definedName>
    <definedName name="wrn.2006._5_4" localSheetId="14">{#N/A,#N/A,FALSE,"Jan2006";#N/A,#N/A,FALSE,"Feb2006";#N/A,#N/A,FALSE,"Mar2006";#N/A,#N/A,FALSE,"Apr2006";#N/A,#N/A,FALSE,"May2006";#N/A,#N/A,FALSE,"Jun2006";#N/A,#N/A,FALSE,"Jul2006";#N/A,#N/A,FALSE,"Aug2006";#N/A,#N/A,FALSE,"Sep2006";#N/A,#N/A,FALSE,"Oct2006";#N/A,#N/A,FALSE,"Nov2006";#N/A,#N/A,FALSE,"Dec2006"}</definedName>
    <definedName name="wrn.2006._5_4">{#N/A,#N/A,FALSE,"Jan2006";#N/A,#N/A,FALSE,"Feb2006";#N/A,#N/A,FALSE,"Mar2006";#N/A,#N/A,FALSE,"Apr2006";#N/A,#N/A,FALSE,"May2006";#N/A,#N/A,FALSE,"Jun2006";#N/A,#N/A,FALSE,"Jul2006";#N/A,#N/A,FALSE,"Aug2006";#N/A,#N/A,FALSE,"Sep2006";#N/A,#N/A,FALSE,"Oct2006";#N/A,#N/A,FALSE,"Nov2006";#N/A,#N/A,FALSE,"Dec2006"}</definedName>
    <definedName name="wrn.2006._5_4_1" localSheetId="14">{#N/A,#N/A,FALSE,"Jan2006";#N/A,#N/A,FALSE,"Feb2006";#N/A,#N/A,FALSE,"Mar2006";#N/A,#N/A,FALSE,"Apr2006";#N/A,#N/A,FALSE,"May2006";#N/A,#N/A,FALSE,"Jun2006";#N/A,#N/A,FALSE,"Jul2006";#N/A,#N/A,FALSE,"Aug2006";#N/A,#N/A,FALSE,"Sep2006";#N/A,#N/A,FALSE,"Oct2006";#N/A,#N/A,FALSE,"Nov2006";#N/A,#N/A,FALSE,"Dec2006"}</definedName>
    <definedName name="wrn.2006._5_4_1">{#N/A,#N/A,FALSE,"Jan2006";#N/A,#N/A,FALSE,"Feb2006";#N/A,#N/A,FALSE,"Mar2006";#N/A,#N/A,FALSE,"Apr2006";#N/A,#N/A,FALSE,"May2006";#N/A,#N/A,FALSE,"Jun2006";#N/A,#N/A,FALSE,"Jul2006";#N/A,#N/A,FALSE,"Aug2006";#N/A,#N/A,FALSE,"Sep2006";#N/A,#N/A,FALSE,"Oct2006";#N/A,#N/A,FALSE,"Nov2006";#N/A,#N/A,FALSE,"Dec2006"}</definedName>
    <definedName name="wrn.2006._5_5" localSheetId="14">{#N/A,#N/A,FALSE,"Jan2006";#N/A,#N/A,FALSE,"Feb2006";#N/A,#N/A,FALSE,"Mar2006";#N/A,#N/A,FALSE,"Apr2006";#N/A,#N/A,FALSE,"May2006";#N/A,#N/A,FALSE,"Jun2006";#N/A,#N/A,FALSE,"Jul2006";#N/A,#N/A,FALSE,"Aug2006";#N/A,#N/A,FALSE,"Sep2006";#N/A,#N/A,FALSE,"Oct2006";#N/A,#N/A,FALSE,"Nov2006";#N/A,#N/A,FALSE,"Dec2006"}</definedName>
    <definedName name="wrn.2006._5_5">{#N/A,#N/A,FALSE,"Jan2006";#N/A,#N/A,FALSE,"Feb2006";#N/A,#N/A,FALSE,"Mar2006";#N/A,#N/A,FALSE,"Apr2006";#N/A,#N/A,FALSE,"May2006";#N/A,#N/A,FALSE,"Jun2006";#N/A,#N/A,FALSE,"Jul2006";#N/A,#N/A,FALSE,"Aug2006";#N/A,#N/A,FALSE,"Sep2006";#N/A,#N/A,FALSE,"Oct2006";#N/A,#N/A,FALSE,"Nov2006";#N/A,#N/A,FALSE,"Dec2006"}</definedName>
    <definedName name="WRN.2006A." localSheetId="14">{#N/A,#N/A,FALSE,"Jan2006";#N/A,#N/A,FALSE,"Feb2006";#N/A,#N/A,FALSE,"Mar2006";#N/A,#N/A,FALSE,"Apr2006";#N/A,#N/A,FALSE,"May2006";#N/A,#N/A,FALSE,"Jun2006";#N/A,#N/A,FALSE,"Jul2006";#N/A,#N/A,FALSE,"Aug2006";#N/A,#N/A,FALSE,"Sep2006";#N/A,#N/A,FALSE,"Oct2006";#N/A,#N/A,FALSE,"Nov2006";#N/A,#N/A,FALSE,"Dec2006"}</definedName>
    <definedName name="WRN.2006A.">{#N/A,#N/A,FALSE,"Jan2006";#N/A,#N/A,FALSE,"Feb2006";#N/A,#N/A,FALSE,"Mar2006";#N/A,#N/A,FALSE,"Apr2006";#N/A,#N/A,FALSE,"May2006";#N/A,#N/A,FALSE,"Jun2006";#N/A,#N/A,FALSE,"Jul2006";#N/A,#N/A,FALSE,"Aug2006";#N/A,#N/A,FALSE,"Sep2006";#N/A,#N/A,FALSE,"Oct2006";#N/A,#N/A,FALSE,"Nov2006";#N/A,#N/A,FALSE,"Dec2006"}</definedName>
    <definedName name="wrn.2007." localSheetId="14">{#N/A,#N/A,FALSE,"Jan2007";#N/A,#N/A,FALSE,"Feb2007";#N/A,#N/A,FALSE,"Mar2007";#N/A,#N/A,FALSE,"Apr2007";#N/A,#N/A,FALSE,"May2007";#N/A,#N/A,FALSE,"Jun2007";#N/A,#N/A,FALSE,"Jul2007";#N/A,#N/A,FALSE,"Aug2007";#N/A,#N/A,FALSE,"Sept2007";#N/A,#N/A,FALSE,"Oct2007"}</definedName>
    <definedName name="wrn.2007.">{#N/A,#N/A,FALSE,"Jan2007";#N/A,#N/A,FALSE,"Feb2007";#N/A,#N/A,FALSE,"Mar2007";#N/A,#N/A,FALSE,"Apr2007";#N/A,#N/A,FALSE,"May2007";#N/A,#N/A,FALSE,"Jun2007";#N/A,#N/A,FALSE,"Jul2007";#N/A,#N/A,FALSE,"Aug2007";#N/A,#N/A,FALSE,"Sept2007";#N/A,#N/A,FALSE,"Oct2007"}</definedName>
    <definedName name="wrn.2007._1" localSheetId="14">{#N/A,#N/A,FALSE,"Jan2007";#N/A,#N/A,FALSE,"Feb2007";#N/A,#N/A,FALSE,"Mar2007";#N/A,#N/A,FALSE,"Apr2007";#N/A,#N/A,FALSE,"May2007";#N/A,#N/A,FALSE,"Jun2007";#N/A,#N/A,FALSE,"Jul2007";#N/A,#N/A,FALSE,"Aug2007";#N/A,#N/A,FALSE,"Sept2007";#N/A,#N/A,FALSE,"Oct2007"}</definedName>
    <definedName name="wrn.2007._1">{#N/A,#N/A,FALSE,"Jan2007";#N/A,#N/A,FALSE,"Feb2007";#N/A,#N/A,FALSE,"Mar2007";#N/A,#N/A,FALSE,"Apr2007";#N/A,#N/A,FALSE,"May2007";#N/A,#N/A,FALSE,"Jun2007";#N/A,#N/A,FALSE,"Jul2007";#N/A,#N/A,FALSE,"Aug2007";#N/A,#N/A,FALSE,"Sept2007";#N/A,#N/A,FALSE,"Oct2007"}</definedName>
    <definedName name="wrn.2007._1_2" localSheetId="14">{#N/A,#N/A,FALSE,"Jan2007";#N/A,#N/A,FALSE,"Feb2007";#N/A,#N/A,FALSE,"Mar2007";#N/A,#N/A,FALSE,"Apr2007";#N/A,#N/A,FALSE,"May2007";#N/A,#N/A,FALSE,"Jun2007";#N/A,#N/A,FALSE,"Jul2007";#N/A,#N/A,FALSE,"Aug2007";#N/A,#N/A,FALSE,"Sept2007";#N/A,#N/A,FALSE,"Oct2007"}</definedName>
    <definedName name="wrn.2007._1_2">{#N/A,#N/A,FALSE,"Jan2007";#N/A,#N/A,FALSE,"Feb2007";#N/A,#N/A,FALSE,"Mar2007";#N/A,#N/A,FALSE,"Apr2007";#N/A,#N/A,FALSE,"May2007";#N/A,#N/A,FALSE,"Jun2007";#N/A,#N/A,FALSE,"Jul2007";#N/A,#N/A,FALSE,"Aug2007";#N/A,#N/A,FALSE,"Sept2007";#N/A,#N/A,FALSE,"Oct2007"}</definedName>
    <definedName name="wrn.2007._1_2_1" localSheetId="14">{#N/A,#N/A,FALSE,"Jan2007";#N/A,#N/A,FALSE,"Feb2007";#N/A,#N/A,FALSE,"Mar2007";#N/A,#N/A,FALSE,"Apr2007";#N/A,#N/A,FALSE,"May2007";#N/A,#N/A,FALSE,"Jun2007";#N/A,#N/A,FALSE,"Jul2007";#N/A,#N/A,FALSE,"Aug2007";#N/A,#N/A,FALSE,"Sept2007";#N/A,#N/A,FALSE,"Oct2007"}</definedName>
    <definedName name="wrn.2007._1_2_1">{#N/A,#N/A,FALSE,"Jan2007";#N/A,#N/A,FALSE,"Feb2007";#N/A,#N/A,FALSE,"Mar2007";#N/A,#N/A,FALSE,"Apr2007";#N/A,#N/A,FALSE,"May2007";#N/A,#N/A,FALSE,"Jun2007";#N/A,#N/A,FALSE,"Jul2007";#N/A,#N/A,FALSE,"Aug2007";#N/A,#N/A,FALSE,"Sept2007";#N/A,#N/A,FALSE,"Oct2007"}</definedName>
    <definedName name="wrn.2007._2" localSheetId="14">{#N/A,#N/A,FALSE,"Jan2007";#N/A,#N/A,FALSE,"Feb2007";#N/A,#N/A,FALSE,"Mar2007";#N/A,#N/A,FALSE,"Apr2007";#N/A,#N/A,FALSE,"May2007";#N/A,#N/A,FALSE,"Jun2007";#N/A,#N/A,FALSE,"Jul2007";#N/A,#N/A,FALSE,"Aug2007";#N/A,#N/A,FALSE,"Sept2007";#N/A,#N/A,FALSE,"Oct2007"}</definedName>
    <definedName name="wrn.2007._2">{#N/A,#N/A,FALSE,"Jan2007";#N/A,#N/A,FALSE,"Feb2007";#N/A,#N/A,FALSE,"Mar2007";#N/A,#N/A,FALSE,"Apr2007";#N/A,#N/A,FALSE,"May2007";#N/A,#N/A,FALSE,"Jun2007";#N/A,#N/A,FALSE,"Jul2007";#N/A,#N/A,FALSE,"Aug2007";#N/A,#N/A,FALSE,"Sept2007";#N/A,#N/A,FALSE,"Oct2007"}</definedName>
    <definedName name="wrn.2007._2_1" localSheetId="14">{#N/A,#N/A,FALSE,"Jan2007";#N/A,#N/A,FALSE,"Feb2007";#N/A,#N/A,FALSE,"Mar2007";#N/A,#N/A,FALSE,"Apr2007";#N/A,#N/A,FALSE,"May2007";#N/A,#N/A,FALSE,"Jun2007";#N/A,#N/A,FALSE,"Jul2007";#N/A,#N/A,FALSE,"Aug2007";#N/A,#N/A,FALSE,"Sept2007";#N/A,#N/A,FALSE,"Oct2007"}</definedName>
    <definedName name="wrn.2007._2_1">{#N/A,#N/A,FALSE,"Jan2007";#N/A,#N/A,FALSE,"Feb2007";#N/A,#N/A,FALSE,"Mar2007";#N/A,#N/A,FALSE,"Apr2007";#N/A,#N/A,FALSE,"May2007";#N/A,#N/A,FALSE,"Jun2007";#N/A,#N/A,FALSE,"Jul2007";#N/A,#N/A,FALSE,"Aug2007";#N/A,#N/A,FALSE,"Sept2007";#N/A,#N/A,FALSE,"Oct2007"}</definedName>
    <definedName name="wrn.2007._2_1_1" localSheetId="14">{#N/A,#N/A,FALSE,"Jan2007";#N/A,#N/A,FALSE,"Feb2007";#N/A,#N/A,FALSE,"Mar2007";#N/A,#N/A,FALSE,"Apr2007";#N/A,#N/A,FALSE,"May2007";#N/A,#N/A,FALSE,"Jun2007";#N/A,#N/A,FALSE,"Jul2007";#N/A,#N/A,FALSE,"Aug2007";#N/A,#N/A,FALSE,"Sept2007";#N/A,#N/A,FALSE,"Oct2007"}</definedName>
    <definedName name="wrn.2007._2_1_1">{#N/A,#N/A,FALSE,"Jan2007";#N/A,#N/A,FALSE,"Feb2007";#N/A,#N/A,FALSE,"Mar2007";#N/A,#N/A,FALSE,"Apr2007";#N/A,#N/A,FALSE,"May2007";#N/A,#N/A,FALSE,"Jun2007";#N/A,#N/A,FALSE,"Jul2007";#N/A,#N/A,FALSE,"Aug2007";#N/A,#N/A,FALSE,"Sept2007";#N/A,#N/A,FALSE,"Oct2007"}</definedName>
    <definedName name="wrn.2007._2_1_1_1" localSheetId="14">{#N/A,#N/A,FALSE,"Jan2007";#N/A,#N/A,FALSE,"Feb2007";#N/A,#N/A,FALSE,"Mar2007";#N/A,#N/A,FALSE,"Apr2007";#N/A,#N/A,FALSE,"May2007";#N/A,#N/A,FALSE,"Jun2007";#N/A,#N/A,FALSE,"Jul2007";#N/A,#N/A,FALSE,"Aug2007";#N/A,#N/A,FALSE,"Sept2007";#N/A,#N/A,FALSE,"Oct2007"}</definedName>
    <definedName name="wrn.2007._2_1_1_1">{#N/A,#N/A,FALSE,"Jan2007";#N/A,#N/A,FALSE,"Feb2007";#N/A,#N/A,FALSE,"Mar2007";#N/A,#N/A,FALSE,"Apr2007";#N/A,#N/A,FALSE,"May2007";#N/A,#N/A,FALSE,"Jun2007";#N/A,#N/A,FALSE,"Jul2007";#N/A,#N/A,FALSE,"Aug2007";#N/A,#N/A,FALSE,"Sept2007";#N/A,#N/A,FALSE,"Oct2007"}</definedName>
    <definedName name="wrn.2007._2_1_2" localSheetId="14">{#N/A,#N/A,FALSE,"Jan2007";#N/A,#N/A,FALSE,"Feb2007";#N/A,#N/A,FALSE,"Mar2007";#N/A,#N/A,FALSE,"Apr2007";#N/A,#N/A,FALSE,"May2007";#N/A,#N/A,FALSE,"Jun2007";#N/A,#N/A,FALSE,"Jul2007";#N/A,#N/A,FALSE,"Aug2007";#N/A,#N/A,FALSE,"Sept2007";#N/A,#N/A,FALSE,"Oct2007"}</definedName>
    <definedName name="wrn.2007._2_1_2">{#N/A,#N/A,FALSE,"Jan2007";#N/A,#N/A,FALSE,"Feb2007";#N/A,#N/A,FALSE,"Mar2007";#N/A,#N/A,FALSE,"Apr2007";#N/A,#N/A,FALSE,"May2007";#N/A,#N/A,FALSE,"Jun2007";#N/A,#N/A,FALSE,"Jul2007";#N/A,#N/A,FALSE,"Aug2007";#N/A,#N/A,FALSE,"Sept2007";#N/A,#N/A,FALSE,"Oct2007"}</definedName>
    <definedName name="wrn.2007._2_2" localSheetId="14">{#N/A,#N/A,FALSE,"Jan2007";#N/A,#N/A,FALSE,"Feb2007";#N/A,#N/A,FALSE,"Mar2007";#N/A,#N/A,FALSE,"Apr2007";#N/A,#N/A,FALSE,"May2007";#N/A,#N/A,FALSE,"Jun2007";#N/A,#N/A,FALSE,"Jul2007";#N/A,#N/A,FALSE,"Aug2007";#N/A,#N/A,FALSE,"Sept2007";#N/A,#N/A,FALSE,"Oct2007"}</definedName>
    <definedName name="wrn.2007._2_2">{#N/A,#N/A,FALSE,"Jan2007";#N/A,#N/A,FALSE,"Feb2007";#N/A,#N/A,FALSE,"Mar2007";#N/A,#N/A,FALSE,"Apr2007";#N/A,#N/A,FALSE,"May2007";#N/A,#N/A,FALSE,"Jun2007";#N/A,#N/A,FALSE,"Jul2007";#N/A,#N/A,FALSE,"Aug2007";#N/A,#N/A,FALSE,"Sept2007";#N/A,#N/A,FALSE,"Oct2007"}</definedName>
    <definedName name="wrn.2007._2_2_1" localSheetId="14">{#N/A,#N/A,FALSE,"Jan2007";#N/A,#N/A,FALSE,"Feb2007";#N/A,#N/A,FALSE,"Mar2007";#N/A,#N/A,FALSE,"Apr2007";#N/A,#N/A,FALSE,"May2007";#N/A,#N/A,FALSE,"Jun2007";#N/A,#N/A,FALSE,"Jul2007";#N/A,#N/A,FALSE,"Aug2007";#N/A,#N/A,FALSE,"Sept2007";#N/A,#N/A,FALSE,"Oct2007"}</definedName>
    <definedName name="wrn.2007._2_2_1">{#N/A,#N/A,FALSE,"Jan2007";#N/A,#N/A,FALSE,"Feb2007";#N/A,#N/A,FALSE,"Mar2007";#N/A,#N/A,FALSE,"Apr2007";#N/A,#N/A,FALSE,"May2007";#N/A,#N/A,FALSE,"Jun2007";#N/A,#N/A,FALSE,"Jul2007";#N/A,#N/A,FALSE,"Aug2007";#N/A,#N/A,FALSE,"Sept2007";#N/A,#N/A,FALSE,"Oct2007"}</definedName>
    <definedName name="wrn.2007._2_3" localSheetId="14">{#N/A,#N/A,FALSE,"Jan2007";#N/A,#N/A,FALSE,"Feb2007";#N/A,#N/A,FALSE,"Mar2007";#N/A,#N/A,FALSE,"Apr2007";#N/A,#N/A,FALSE,"May2007";#N/A,#N/A,FALSE,"Jun2007";#N/A,#N/A,FALSE,"Jul2007";#N/A,#N/A,FALSE,"Aug2007";#N/A,#N/A,FALSE,"Sept2007";#N/A,#N/A,FALSE,"Oct2007"}</definedName>
    <definedName name="wrn.2007._2_3">{#N/A,#N/A,FALSE,"Jan2007";#N/A,#N/A,FALSE,"Feb2007";#N/A,#N/A,FALSE,"Mar2007";#N/A,#N/A,FALSE,"Apr2007";#N/A,#N/A,FALSE,"May2007";#N/A,#N/A,FALSE,"Jun2007";#N/A,#N/A,FALSE,"Jul2007";#N/A,#N/A,FALSE,"Aug2007";#N/A,#N/A,FALSE,"Sept2007";#N/A,#N/A,FALSE,"Oct2007"}</definedName>
    <definedName name="wrn.2007._2_3_1" localSheetId="14">{#N/A,#N/A,FALSE,"Jan2007";#N/A,#N/A,FALSE,"Feb2007";#N/A,#N/A,FALSE,"Mar2007";#N/A,#N/A,FALSE,"Apr2007";#N/A,#N/A,FALSE,"May2007";#N/A,#N/A,FALSE,"Jun2007";#N/A,#N/A,FALSE,"Jul2007";#N/A,#N/A,FALSE,"Aug2007";#N/A,#N/A,FALSE,"Sept2007";#N/A,#N/A,FALSE,"Oct2007"}</definedName>
    <definedName name="wrn.2007._2_3_1">{#N/A,#N/A,FALSE,"Jan2007";#N/A,#N/A,FALSE,"Feb2007";#N/A,#N/A,FALSE,"Mar2007";#N/A,#N/A,FALSE,"Apr2007";#N/A,#N/A,FALSE,"May2007";#N/A,#N/A,FALSE,"Jun2007";#N/A,#N/A,FALSE,"Jul2007";#N/A,#N/A,FALSE,"Aug2007";#N/A,#N/A,FALSE,"Sept2007";#N/A,#N/A,FALSE,"Oct2007"}</definedName>
    <definedName name="wrn.2007._2_4" localSheetId="14">{#N/A,#N/A,FALSE,"Jan2007";#N/A,#N/A,FALSE,"Feb2007";#N/A,#N/A,FALSE,"Mar2007";#N/A,#N/A,FALSE,"Apr2007";#N/A,#N/A,FALSE,"May2007";#N/A,#N/A,FALSE,"Jun2007";#N/A,#N/A,FALSE,"Jul2007";#N/A,#N/A,FALSE,"Aug2007";#N/A,#N/A,FALSE,"Sept2007";#N/A,#N/A,FALSE,"Oct2007"}</definedName>
    <definedName name="wrn.2007._2_4">{#N/A,#N/A,FALSE,"Jan2007";#N/A,#N/A,FALSE,"Feb2007";#N/A,#N/A,FALSE,"Mar2007";#N/A,#N/A,FALSE,"Apr2007";#N/A,#N/A,FALSE,"May2007";#N/A,#N/A,FALSE,"Jun2007";#N/A,#N/A,FALSE,"Jul2007";#N/A,#N/A,FALSE,"Aug2007";#N/A,#N/A,FALSE,"Sept2007";#N/A,#N/A,FALSE,"Oct2007"}</definedName>
    <definedName name="wrn.2007._2_4_1" localSheetId="14">{#N/A,#N/A,FALSE,"Jan2007";#N/A,#N/A,FALSE,"Feb2007";#N/A,#N/A,FALSE,"Mar2007";#N/A,#N/A,FALSE,"Apr2007";#N/A,#N/A,FALSE,"May2007";#N/A,#N/A,FALSE,"Jun2007";#N/A,#N/A,FALSE,"Jul2007";#N/A,#N/A,FALSE,"Aug2007";#N/A,#N/A,FALSE,"Sept2007";#N/A,#N/A,FALSE,"Oct2007"}</definedName>
    <definedName name="wrn.2007._2_4_1">{#N/A,#N/A,FALSE,"Jan2007";#N/A,#N/A,FALSE,"Feb2007";#N/A,#N/A,FALSE,"Mar2007";#N/A,#N/A,FALSE,"Apr2007";#N/A,#N/A,FALSE,"May2007";#N/A,#N/A,FALSE,"Jun2007";#N/A,#N/A,FALSE,"Jul2007";#N/A,#N/A,FALSE,"Aug2007";#N/A,#N/A,FALSE,"Sept2007";#N/A,#N/A,FALSE,"Oct2007"}</definedName>
    <definedName name="wrn.2007._2_5" localSheetId="14">{#N/A,#N/A,FALSE,"Jan2007";#N/A,#N/A,FALSE,"Feb2007";#N/A,#N/A,FALSE,"Mar2007";#N/A,#N/A,FALSE,"Apr2007";#N/A,#N/A,FALSE,"May2007";#N/A,#N/A,FALSE,"Jun2007";#N/A,#N/A,FALSE,"Jul2007";#N/A,#N/A,FALSE,"Aug2007";#N/A,#N/A,FALSE,"Sept2007";#N/A,#N/A,FALSE,"Oct2007"}</definedName>
    <definedName name="wrn.2007._2_5">{#N/A,#N/A,FALSE,"Jan2007";#N/A,#N/A,FALSE,"Feb2007";#N/A,#N/A,FALSE,"Mar2007";#N/A,#N/A,FALSE,"Apr2007";#N/A,#N/A,FALSE,"May2007";#N/A,#N/A,FALSE,"Jun2007";#N/A,#N/A,FALSE,"Jul2007";#N/A,#N/A,FALSE,"Aug2007";#N/A,#N/A,FALSE,"Sept2007";#N/A,#N/A,FALSE,"Oct2007"}</definedName>
    <definedName name="wrn.2007._3" localSheetId="14">{#N/A,#N/A,FALSE,"Jan2007";#N/A,#N/A,FALSE,"Feb2007";#N/A,#N/A,FALSE,"Mar2007";#N/A,#N/A,FALSE,"Apr2007";#N/A,#N/A,FALSE,"May2007";#N/A,#N/A,FALSE,"Jun2007";#N/A,#N/A,FALSE,"Jul2007";#N/A,#N/A,FALSE,"Aug2007";#N/A,#N/A,FALSE,"Sept2007";#N/A,#N/A,FALSE,"Oct2007"}</definedName>
    <definedName name="wrn.2007._3">{#N/A,#N/A,FALSE,"Jan2007";#N/A,#N/A,FALSE,"Feb2007";#N/A,#N/A,FALSE,"Mar2007";#N/A,#N/A,FALSE,"Apr2007";#N/A,#N/A,FALSE,"May2007";#N/A,#N/A,FALSE,"Jun2007";#N/A,#N/A,FALSE,"Jul2007";#N/A,#N/A,FALSE,"Aug2007";#N/A,#N/A,FALSE,"Sept2007";#N/A,#N/A,FALSE,"Oct2007"}</definedName>
    <definedName name="wrn.2007._3_1" localSheetId="14">{#N/A,#N/A,FALSE,"Jan2007";#N/A,#N/A,FALSE,"Feb2007";#N/A,#N/A,FALSE,"Mar2007";#N/A,#N/A,FALSE,"Apr2007";#N/A,#N/A,FALSE,"May2007";#N/A,#N/A,FALSE,"Jun2007";#N/A,#N/A,FALSE,"Jul2007";#N/A,#N/A,FALSE,"Aug2007";#N/A,#N/A,FALSE,"Sept2007";#N/A,#N/A,FALSE,"Oct2007"}</definedName>
    <definedName name="wrn.2007._3_1">{#N/A,#N/A,FALSE,"Jan2007";#N/A,#N/A,FALSE,"Feb2007";#N/A,#N/A,FALSE,"Mar2007";#N/A,#N/A,FALSE,"Apr2007";#N/A,#N/A,FALSE,"May2007";#N/A,#N/A,FALSE,"Jun2007";#N/A,#N/A,FALSE,"Jul2007";#N/A,#N/A,FALSE,"Aug2007";#N/A,#N/A,FALSE,"Sept2007";#N/A,#N/A,FALSE,"Oct2007"}</definedName>
    <definedName name="wrn.2007._3_1_1" localSheetId="14">{#N/A,#N/A,FALSE,"Jan2007";#N/A,#N/A,FALSE,"Feb2007";#N/A,#N/A,FALSE,"Mar2007";#N/A,#N/A,FALSE,"Apr2007";#N/A,#N/A,FALSE,"May2007";#N/A,#N/A,FALSE,"Jun2007";#N/A,#N/A,FALSE,"Jul2007";#N/A,#N/A,FALSE,"Aug2007";#N/A,#N/A,FALSE,"Sept2007";#N/A,#N/A,FALSE,"Oct2007"}</definedName>
    <definedName name="wrn.2007._3_1_1">{#N/A,#N/A,FALSE,"Jan2007";#N/A,#N/A,FALSE,"Feb2007";#N/A,#N/A,FALSE,"Mar2007";#N/A,#N/A,FALSE,"Apr2007";#N/A,#N/A,FALSE,"May2007";#N/A,#N/A,FALSE,"Jun2007";#N/A,#N/A,FALSE,"Jul2007";#N/A,#N/A,FALSE,"Aug2007";#N/A,#N/A,FALSE,"Sept2007";#N/A,#N/A,FALSE,"Oct2007"}</definedName>
    <definedName name="wrn.2007._3_1_1_1" localSheetId="14">{#N/A,#N/A,FALSE,"Jan2007";#N/A,#N/A,FALSE,"Feb2007";#N/A,#N/A,FALSE,"Mar2007";#N/A,#N/A,FALSE,"Apr2007";#N/A,#N/A,FALSE,"May2007";#N/A,#N/A,FALSE,"Jun2007";#N/A,#N/A,FALSE,"Jul2007";#N/A,#N/A,FALSE,"Aug2007";#N/A,#N/A,FALSE,"Sept2007";#N/A,#N/A,FALSE,"Oct2007"}</definedName>
    <definedName name="wrn.2007._3_1_1_1">{#N/A,#N/A,FALSE,"Jan2007";#N/A,#N/A,FALSE,"Feb2007";#N/A,#N/A,FALSE,"Mar2007";#N/A,#N/A,FALSE,"Apr2007";#N/A,#N/A,FALSE,"May2007";#N/A,#N/A,FALSE,"Jun2007";#N/A,#N/A,FALSE,"Jul2007";#N/A,#N/A,FALSE,"Aug2007";#N/A,#N/A,FALSE,"Sept2007";#N/A,#N/A,FALSE,"Oct2007"}</definedName>
    <definedName name="wrn.2007._3_1_2" localSheetId="14">{#N/A,#N/A,FALSE,"Jan2007";#N/A,#N/A,FALSE,"Feb2007";#N/A,#N/A,FALSE,"Mar2007";#N/A,#N/A,FALSE,"Apr2007";#N/A,#N/A,FALSE,"May2007";#N/A,#N/A,FALSE,"Jun2007";#N/A,#N/A,FALSE,"Jul2007";#N/A,#N/A,FALSE,"Aug2007";#N/A,#N/A,FALSE,"Sept2007";#N/A,#N/A,FALSE,"Oct2007"}</definedName>
    <definedName name="wrn.2007._3_1_2">{#N/A,#N/A,FALSE,"Jan2007";#N/A,#N/A,FALSE,"Feb2007";#N/A,#N/A,FALSE,"Mar2007";#N/A,#N/A,FALSE,"Apr2007";#N/A,#N/A,FALSE,"May2007";#N/A,#N/A,FALSE,"Jun2007";#N/A,#N/A,FALSE,"Jul2007";#N/A,#N/A,FALSE,"Aug2007";#N/A,#N/A,FALSE,"Sept2007";#N/A,#N/A,FALSE,"Oct2007"}</definedName>
    <definedName name="wrn.2007._3_2" localSheetId="14">{#N/A,#N/A,FALSE,"Jan2007";#N/A,#N/A,FALSE,"Feb2007";#N/A,#N/A,FALSE,"Mar2007";#N/A,#N/A,FALSE,"Apr2007";#N/A,#N/A,FALSE,"May2007";#N/A,#N/A,FALSE,"Jun2007";#N/A,#N/A,FALSE,"Jul2007";#N/A,#N/A,FALSE,"Aug2007";#N/A,#N/A,FALSE,"Sept2007";#N/A,#N/A,FALSE,"Oct2007"}</definedName>
    <definedName name="wrn.2007._3_2">{#N/A,#N/A,FALSE,"Jan2007";#N/A,#N/A,FALSE,"Feb2007";#N/A,#N/A,FALSE,"Mar2007";#N/A,#N/A,FALSE,"Apr2007";#N/A,#N/A,FALSE,"May2007";#N/A,#N/A,FALSE,"Jun2007";#N/A,#N/A,FALSE,"Jul2007";#N/A,#N/A,FALSE,"Aug2007";#N/A,#N/A,FALSE,"Sept2007";#N/A,#N/A,FALSE,"Oct2007"}</definedName>
    <definedName name="wrn.2007._3_2_1" localSheetId="14">{#N/A,#N/A,FALSE,"Jan2007";#N/A,#N/A,FALSE,"Feb2007";#N/A,#N/A,FALSE,"Mar2007";#N/A,#N/A,FALSE,"Apr2007";#N/A,#N/A,FALSE,"May2007";#N/A,#N/A,FALSE,"Jun2007";#N/A,#N/A,FALSE,"Jul2007";#N/A,#N/A,FALSE,"Aug2007";#N/A,#N/A,FALSE,"Sept2007";#N/A,#N/A,FALSE,"Oct2007"}</definedName>
    <definedName name="wrn.2007._3_2_1">{#N/A,#N/A,FALSE,"Jan2007";#N/A,#N/A,FALSE,"Feb2007";#N/A,#N/A,FALSE,"Mar2007";#N/A,#N/A,FALSE,"Apr2007";#N/A,#N/A,FALSE,"May2007";#N/A,#N/A,FALSE,"Jun2007";#N/A,#N/A,FALSE,"Jul2007";#N/A,#N/A,FALSE,"Aug2007";#N/A,#N/A,FALSE,"Sept2007";#N/A,#N/A,FALSE,"Oct2007"}</definedName>
    <definedName name="wrn.2007._3_3" localSheetId="14">{#N/A,#N/A,FALSE,"Jan2007";#N/A,#N/A,FALSE,"Feb2007";#N/A,#N/A,FALSE,"Mar2007";#N/A,#N/A,FALSE,"Apr2007";#N/A,#N/A,FALSE,"May2007";#N/A,#N/A,FALSE,"Jun2007";#N/A,#N/A,FALSE,"Jul2007";#N/A,#N/A,FALSE,"Aug2007";#N/A,#N/A,FALSE,"Sept2007";#N/A,#N/A,FALSE,"Oct2007"}</definedName>
    <definedName name="wrn.2007._3_3">{#N/A,#N/A,FALSE,"Jan2007";#N/A,#N/A,FALSE,"Feb2007";#N/A,#N/A,FALSE,"Mar2007";#N/A,#N/A,FALSE,"Apr2007";#N/A,#N/A,FALSE,"May2007";#N/A,#N/A,FALSE,"Jun2007";#N/A,#N/A,FALSE,"Jul2007";#N/A,#N/A,FALSE,"Aug2007";#N/A,#N/A,FALSE,"Sept2007";#N/A,#N/A,FALSE,"Oct2007"}</definedName>
    <definedName name="wrn.2007._3_3_1" localSheetId="14">{#N/A,#N/A,FALSE,"Jan2007";#N/A,#N/A,FALSE,"Feb2007";#N/A,#N/A,FALSE,"Mar2007";#N/A,#N/A,FALSE,"Apr2007";#N/A,#N/A,FALSE,"May2007";#N/A,#N/A,FALSE,"Jun2007";#N/A,#N/A,FALSE,"Jul2007";#N/A,#N/A,FALSE,"Aug2007";#N/A,#N/A,FALSE,"Sept2007";#N/A,#N/A,FALSE,"Oct2007"}</definedName>
    <definedName name="wrn.2007._3_3_1">{#N/A,#N/A,FALSE,"Jan2007";#N/A,#N/A,FALSE,"Feb2007";#N/A,#N/A,FALSE,"Mar2007";#N/A,#N/A,FALSE,"Apr2007";#N/A,#N/A,FALSE,"May2007";#N/A,#N/A,FALSE,"Jun2007";#N/A,#N/A,FALSE,"Jul2007";#N/A,#N/A,FALSE,"Aug2007";#N/A,#N/A,FALSE,"Sept2007";#N/A,#N/A,FALSE,"Oct2007"}</definedName>
    <definedName name="wrn.2007._3_4" localSheetId="14">{#N/A,#N/A,FALSE,"Jan2007";#N/A,#N/A,FALSE,"Feb2007";#N/A,#N/A,FALSE,"Mar2007";#N/A,#N/A,FALSE,"Apr2007";#N/A,#N/A,FALSE,"May2007";#N/A,#N/A,FALSE,"Jun2007";#N/A,#N/A,FALSE,"Jul2007";#N/A,#N/A,FALSE,"Aug2007";#N/A,#N/A,FALSE,"Sept2007";#N/A,#N/A,FALSE,"Oct2007"}</definedName>
    <definedName name="wrn.2007._3_4">{#N/A,#N/A,FALSE,"Jan2007";#N/A,#N/A,FALSE,"Feb2007";#N/A,#N/A,FALSE,"Mar2007";#N/A,#N/A,FALSE,"Apr2007";#N/A,#N/A,FALSE,"May2007";#N/A,#N/A,FALSE,"Jun2007";#N/A,#N/A,FALSE,"Jul2007";#N/A,#N/A,FALSE,"Aug2007";#N/A,#N/A,FALSE,"Sept2007";#N/A,#N/A,FALSE,"Oct2007"}</definedName>
    <definedName name="wrn.2007._3_4_1" localSheetId="14">{#N/A,#N/A,FALSE,"Jan2007";#N/A,#N/A,FALSE,"Feb2007";#N/A,#N/A,FALSE,"Mar2007";#N/A,#N/A,FALSE,"Apr2007";#N/A,#N/A,FALSE,"May2007";#N/A,#N/A,FALSE,"Jun2007";#N/A,#N/A,FALSE,"Jul2007";#N/A,#N/A,FALSE,"Aug2007";#N/A,#N/A,FALSE,"Sept2007";#N/A,#N/A,FALSE,"Oct2007"}</definedName>
    <definedName name="wrn.2007._3_4_1">{#N/A,#N/A,FALSE,"Jan2007";#N/A,#N/A,FALSE,"Feb2007";#N/A,#N/A,FALSE,"Mar2007";#N/A,#N/A,FALSE,"Apr2007";#N/A,#N/A,FALSE,"May2007";#N/A,#N/A,FALSE,"Jun2007";#N/A,#N/A,FALSE,"Jul2007";#N/A,#N/A,FALSE,"Aug2007";#N/A,#N/A,FALSE,"Sept2007";#N/A,#N/A,FALSE,"Oct2007"}</definedName>
    <definedName name="wrn.2007._3_5" localSheetId="14">{#N/A,#N/A,FALSE,"Jan2007";#N/A,#N/A,FALSE,"Feb2007";#N/A,#N/A,FALSE,"Mar2007";#N/A,#N/A,FALSE,"Apr2007";#N/A,#N/A,FALSE,"May2007";#N/A,#N/A,FALSE,"Jun2007";#N/A,#N/A,FALSE,"Jul2007";#N/A,#N/A,FALSE,"Aug2007";#N/A,#N/A,FALSE,"Sept2007";#N/A,#N/A,FALSE,"Oct2007"}</definedName>
    <definedName name="wrn.2007._3_5">{#N/A,#N/A,FALSE,"Jan2007";#N/A,#N/A,FALSE,"Feb2007";#N/A,#N/A,FALSE,"Mar2007";#N/A,#N/A,FALSE,"Apr2007";#N/A,#N/A,FALSE,"May2007";#N/A,#N/A,FALSE,"Jun2007";#N/A,#N/A,FALSE,"Jul2007";#N/A,#N/A,FALSE,"Aug2007";#N/A,#N/A,FALSE,"Sept2007";#N/A,#N/A,FALSE,"Oct2007"}</definedName>
    <definedName name="wrn.2007._4" localSheetId="14">{#N/A,#N/A,FALSE,"Jan2007";#N/A,#N/A,FALSE,"Feb2007";#N/A,#N/A,FALSE,"Mar2007";#N/A,#N/A,FALSE,"Apr2007";#N/A,#N/A,FALSE,"May2007";#N/A,#N/A,FALSE,"Jun2007";#N/A,#N/A,FALSE,"Jul2007";#N/A,#N/A,FALSE,"Aug2007";#N/A,#N/A,FALSE,"Sept2007";#N/A,#N/A,FALSE,"Oct2007"}</definedName>
    <definedName name="wrn.2007._4">{#N/A,#N/A,FALSE,"Jan2007";#N/A,#N/A,FALSE,"Feb2007";#N/A,#N/A,FALSE,"Mar2007";#N/A,#N/A,FALSE,"Apr2007";#N/A,#N/A,FALSE,"May2007";#N/A,#N/A,FALSE,"Jun2007";#N/A,#N/A,FALSE,"Jul2007";#N/A,#N/A,FALSE,"Aug2007";#N/A,#N/A,FALSE,"Sept2007";#N/A,#N/A,FALSE,"Oct2007"}</definedName>
    <definedName name="wrn.2007._4_1" localSheetId="14">{#N/A,#N/A,FALSE,"Jan2007";#N/A,#N/A,FALSE,"Feb2007";#N/A,#N/A,FALSE,"Mar2007";#N/A,#N/A,FALSE,"Apr2007";#N/A,#N/A,FALSE,"May2007";#N/A,#N/A,FALSE,"Jun2007";#N/A,#N/A,FALSE,"Jul2007";#N/A,#N/A,FALSE,"Aug2007";#N/A,#N/A,FALSE,"Sept2007";#N/A,#N/A,FALSE,"Oct2007"}</definedName>
    <definedName name="wrn.2007._4_1">{#N/A,#N/A,FALSE,"Jan2007";#N/A,#N/A,FALSE,"Feb2007";#N/A,#N/A,FALSE,"Mar2007";#N/A,#N/A,FALSE,"Apr2007";#N/A,#N/A,FALSE,"May2007";#N/A,#N/A,FALSE,"Jun2007";#N/A,#N/A,FALSE,"Jul2007";#N/A,#N/A,FALSE,"Aug2007";#N/A,#N/A,FALSE,"Sept2007";#N/A,#N/A,FALSE,"Oct2007"}</definedName>
    <definedName name="wrn.2007._4_1_1" localSheetId="14">{#N/A,#N/A,FALSE,"Jan2007";#N/A,#N/A,FALSE,"Feb2007";#N/A,#N/A,FALSE,"Mar2007";#N/A,#N/A,FALSE,"Apr2007";#N/A,#N/A,FALSE,"May2007";#N/A,#N/A,FALSE,"Jun2007";#N/A,#N/A,FALSE,"Jul2007";#N/A,#N/A,FALSE,"Aug2007";#N/A,#N/A,FALSE,"Sept2007";#N/A,#N/A,FALSE,"Oct2007"}</definedName>
    <definedName name="wrn.2007._4_1_1">{#N/A,#N/A,FALSE,"Jan2007";#N/A,#N/A,FALSE,"Feb2007";#N/A,#N/A,FALSE,"Mar2007";#N/A,#N/A,FALSE,"Apr2007";#N/A,#N/A,FALSE,"May2007";#N/A,#N/A,FALSE,"Jun2007";#N/A,#N/A,FALSE,"Jul2007";#N/A,#N/A,FALSE,"Aug2007";#N/A,#N/A,FALSE,"Sept2007";#N/A,#N/A,FALSE,"Oct2007"}</definedName>
    <definedName name="wrn.2007._4_1_1_1" localSheetId="14">{#N/A,#N/A,FALSE,"Jan2007";#N/A,#N/A,FALSE,"Feb2007";#N/A,#N/A,FALSE,"Mar2007";#N/A,#N/A,FALSE,"Apr2007";#N/A,#N/A,FALSE,"May2007";#N/A,#N/A,FALSE,"Jun2007";#N/A,#N/A,FALSE,"Jul2007";#N/A,#N/A,FALSE,"Aug2007";#N/A,#N/A,FALSE,"Sept2007";#N/A,#N/A,FALSE,"Oct2007"}</definedName>
    <definedName name="wrn.2007._4_1_1_1">{#N/A,#N/A,FALSE,"Jan2007";#N/A,#N/A,FALSE,"Feb2007";#N/A,#N/A,FALSE,"Mar2007";#N/A,#N/A,FALSE,"Apr2007";#N/A,#N/A,FALSE,"May2007";#N/A,#N/A,FALSE,"Jun2007";#N/A,#N/A,FALSE,"Jul2007";#N/A,#N/A,FALSE,"Aug2007";#N/A,#N/A,FALSE,"Sept2007";#N/A,#N/A,FALSE,"Oct2007"}</definedName>
    <definedName name="wrn.2007._4_1_2" localSheetId="14">{#N/A,#N/A,FALSE,"Jan2007";#N/A,#N/A,FALSE,"Feb2007";#N/A,#N/A,FALSE,"Mar2007";#N/A,#N/A,FALSE,"Apr2007";#N/A,#N/A,FALSE,"May2007";#N/A,#N/A,FALSE,"Jun2007";#N/A,#N/A,FALSE,"Jul2007";#N/A,#N/A,FALSE,"Aug2007";#N/A,#N/A,FALSE,"Sept2007";#N/A,#N/A,FALSE,"Oct2007"}</definedName>
    <definedName name="wrn.2007._4_1_2">{#N/A,#N/A,FALSE,"Jan2007";#N/A,#N/A,FALSE,"Feb2007";#N/A,#N/A,FALSE,"Mar2007";#N/A,#N/A,FALSE,"Apr2007";#N/A,#N/A,FALSE,"May2007";#N/A,#N/A,FALSE,"Jun2007";#N/A,#N/A,FALSE,"Jul2007";#N/A,#N/A,FALSE,"Aug2007";#N/A,#N/A,FALSE,"Sept2007";#N/A,#N/A,FALSE,"Oct2007"}</definedName>
    <definedName name="wrn.2007._4_2" localSheetId="14">{#N/A,#N/A,FALSE,"Jan2007";#N/A,#N/A,FALSE,"Feb2007";#N/A,#N/A,FALSE,"Mar2007";#N/A,#N/A,FALSE,"Apr2007";#N/A,#N/A,FALSE,"May2007";#N/A,#N/A,FALSE,"Jun2007";#N/A,#N/A,FALSE,"Jul2007";#N/A,#N/A,FALSE,"Aug2007";#N/A,#N/A,FALSE,"Sept2007";#N/A,#N/A,FALSE,"Oct2007"}</definedName>
    <definedName name="wrn.2007._4_2">{#N/A,#N/A,FALSE,"Jan2007";#N/A,#N/A,FALSE,"Feb2007";#N/A,#N/A,FALSE,"Mar2007";#N/A,#N/A,FALSE,"Apr2007";#N/A,#N/A,FALSE,"May2007";#N/A,#N/A,FALSE,"Jun2007";#N/A,#N/A,FALSE,"Jul2007";#N/A,#N/A,FALSE,"Aug2007";#N/A,#N/A,FALSE,"Sept2007";#N/A,#N/A,FALSE,"Oct2007"}</definedName>
    <definedName name="wrn.2007._4_2_1" localSheetId="14">{#N/A,#N/A,FALSE,"Jan2007";#N/A,#N/A,FALSE,"Feb2007";#N/A,#N/A,FALSE,"Mar2007";#N/A,#N/A,FALSE,"Apr2007";#N/A,#N/A,FALSE,"May2007";#N/A,#N/A,FALSE,"Jun2007";#N/A,#N/A,FALSE,"Jul2007";#N/A,#N/A,FALSE,"Aug2007";#N/A,#N/A,FALSE,"Sept2007";#N/A,#N/A,FALSE,"Oct2007"}</definedName>
    <definedName name="wrn.2007._4_2_1">{#N/A,#N/A,FALSE,"Jan2007";#N/A,#N/A,FALSE,"Feb2007";#N/A,#N/A,FALSE,"Mar2007";#N/A,#N/A,FALSE,"Apr2007";#N/A,#N/A,FALSE,"May2007";#N/A,#N/A,FALSE,"Jun2007";#N/A,#N/A,FALSE,"Jul2007";#N/A,#N/A,FALSE,"Aug2007";#N/A,#N/A,FALSE,"Sept2007";#N/A,#N/A,FALSE,"Oct2007"}</definedName>
    <definedName name="wrn.2007._4_3" localSheetId="14">{#N/A,#N/A,FALSE,"Jan2007";#N/A,#N/A,FALSE,"Feb2007";#N/A,#N/A,FALSE,"Mar2007";#N/A,#N/A,FALSE,"Apr2007";#N/A,#N/A,FALSE,"May2007";#N/A,#N/A,FALSE,"Jun2007";#N/A,#N/A,FALSE,"Jul2007";#N/A,#N/A,FALSE,"Aug2007";#N/A,#N/A,FALSE,"Sept2007";#N/A,#N/A,FALSE,"Oct2007"}</definedName>
    <definedName name="wrn.2007._4_3">{#N/A,#N/A,FALSE,"Jan2007";#N/A,#N/A,FALSE,"Feb2007";#N/A,#N/A,FALSE,"Mar2007";#N/A,#N/A,FALSE,"Apr2007";#N/A,#N/A,FALSE,"May2007";#N/A,#N/A,FALSE,"Jun2007";#N/A,#N/A,FALSE,"Jul2007";#N/A,#N/A,FALSE,"Aug2007";#N/A,#N/A,FALSE,"Sept2007";#N/A,#N/A,FALSE,"Oct2007"}</definedName>
    <definedName name="wrn.2007._4_3_1" localSheetId="14">{#N/A,#N/A,FALSE,"Jan2007";#N/A,#N/A,FALSE,"Feb2007";#N/A,#N/A,FALSE,"Mar2007";#N/A,#N/A,FALSE,"Apr2007";#N/A,#N/A,FALSE,"May2007";#N/A,#N/A,FALSE,"Jun2007";#N/A,#N/A,FALSE,"Jul2007";#N/A,#N/A,FALSE,"Aug2007";#N/A,#N/A,FALSE,"Sept2007";#N/A,#N/A,FALSE,"Oct2007"}</definedName>
    <definedName name="wrn.2007._4_3_1">{#N/A,#N/A,FALSE,"Jan2007";#N/A,#N/A,FALSE,"Feb2007";#N/A,#N/A,FALSE,"Mar2007";#N/A,#N/A,FALSE,"Apr2007";#N/A,#N/A,FALSE,"May2007";#N/A,#N/A,FALSE,"Jun2007";#N/A,#N/A,FALSE,"Jul2007";#N/A,#N/A,FALSE,"Aug2007";#N/A,#N/A,FALSE,"Sept2007";#N/A,#N/A,FALSE,"Oct2007"}</definedName>
    <definedName name="wrn.2007._4_4" localSheetId="14">{#N/A,#N/A,FALSE,"Jan2007";#N/A,#N/A,FALSE,"Feb2007";#N/A,#N/A,FALSE,"Mar2007";#N/A,#N/A,FALSE,"Apr2007";#N/A,#N/A,FALSE,"May2007";#N/A,#N/A,FALSE,"Jun2007";#N/A,#N/A,FALSE,"Jul2007";#N/A,#N/A,FALSE,"Aug2007";#N/A,#N/A,FALSE,"Sept2007";#N/A,#N/A,FALSE,"Oct2007"}</definedName>
    <definedName name="wrn.2007._4_4">{#N/A,#N/A,FALSE,"Jan2007";#N/A,#N/A,FALSE,"Feb2007";#N/A,#N/A,FALSE,"Mar2007";#N/A,#N/A,FALSE,"Apr2007";#N/A,#N/A,FALSE,"May2007";#N/A,#N/A,FALSE,"Jun2007";#N/A,#N/A,FALSE,"Jul2007";#N/A,#N/A,FALSE,"Aug2007";#N/A,#N/A,FALSE,"Sept2007";#N/A,#N/A,FALSE,"Oct2007"}</definedName>
    <definedName name="wrn.2007._4_4_1" localSheetId="14">{#N/A,#N/A,FALSE,"Jan2007";#N/A,#N/A,FALSE,"Feb2007";#N/A,#N/A,FALSE,"Mar2007";#N/A,#N/A,FALSE,"Apr2007";#N/A,#N/A,FALSE,"May2007";#N/A,#N/A,FALSE,"Jun2007";#N/A,#N/A,FALSE,"Jul2007";#N/A,#N/A,FALSE,"Aug2007";#N/A,#N/A,FALSE,"Sept2007";#N/A,#N/A,FALSE,"Oct2007"}</definedName>
    <definedName name="wrn.2007._4_4_1">{#N/A,#N/A,FALSE,"Jan2007";#N/A,#N/A,FALSE,"Feb2007";#N/A,#N/A,FALSE,"Mar2007";#N/A,#N/A,FALSE,"Apr2007";#N/A,#N/A,FALSE,"May2007";#N/A,#N/A,FALSE,"Jun2007";#N/A,#N/A,FALSE,"Jul2007";#N/A,#N/A,FALSE,"Aug2007";#N/A,#N/A,FALSE,"Sept2007";#N/A,#N/A,FALSE,"Oct2007"}</definedName>
    <definedName name="wrn.2007._4_5" localSheetId="14">{#N/A,#N/A,FALSE,"Jan2007";#N/A,#N/A,FALSE,"Feb2007";#N/A,#N/A,FALSE,"Mar2007";#N/A,#N/A,FALSE,"Apr2007";#N/A,#N/A,FALSE,"May2007";#N/A,#N/A,FALSE,"Jun2007";#N/A,#N/A,FALSE,"Jul2007";#N/A,#N/A,FALSE,"Aug2007";#N/A,#N/A,FALSE,"Sept2007";#N/A,#N/A,FALSE,"Oct2007"}</definedName>
    <definedName name="wrn.2007._4_5">{#N/A,#N/A,FALSE,"Jan2007";#N/A,#N/A,FALSE,"Feb2007";#N/A,#N/A,FALSE,"Mar2007";#N/A,#N/A,FALSE,"Apr2007";#N/A,#N/A,FALSE,"May2007";#N/A,#N/A,FALSE,"Jun2007";#N/A,#N/A,FALSE,"Jul2007";#N/A,#N/A,FALSE,"Aug2007";#N/A,#N/A,FALSE,"Sept2007";#N/A,#N/A,FALSE,"Oct2007"}</definedName>
    <definedName name="wrn.2007._5" localSheetId="14">{#N/A,#N/A,FALSE,"Jan2007";#N/A,#N/A,FALSE,"Feb2007";#N/A,#N/A,FALSE,"Mar2007";#N/A,#N/A,FALSE,"Apr2007";#N/A,#N/A,FALSE,"May2007";#N/A,#N/A,FALSE,"Jun2007";#N/A,#N/A,FALSE,"Jul2007";#N/A,#N/A,FALSE,"Aug2007";#N/A,#N/A,FALSE,"Sept2007";#N/A,#N/A,FALSE,"Oct2007"}</definedName>
    <definedName name="wrn.2007._5">{#N/A,#N/A,FALSE,"Jan2007";#N/A,#N/A,FALSE,"Feb2007";#N/A,#N/A,FALSE,"Mar2007";#N/A,#N/A,FALSE,"Apr2007";#N/A,#N/A,FALSE,"May2007";#N/A,#N/A,FALSE,"Jun2007";#N/A,#N/A,FALSE,"Jul2007";#N/A,#N/A,FALSE,"Aug2007";#N/A,#N/A,FALSE,"Sept2007";#N/A,#N/A,FALSE,"Oct2007"}</definedName>
    <definedName name="wrn.2007._5_1" localSheetId="14">{#N/A,#N/A,FALSE,"Jan2007";#N/A,#N/A,FALSE,"Feb2007";#N/A,#N/A,FALSE,"Mar2007";#N/A,#N/A,FALSE,"Apr2007";#N/A,#N/A,FALSE,"May2007";#N/A,#N/A,FALSE,"Jun2007";#N/A,#N/A,FALSE,"Jul2007";#N/A,#N/A,FALSE,"Aug2007";#N/A,#N/A,FALSE,"Sept2007";#N/A,#N/A,FALSE,"Oct2007"}</definedName>
    <definedName name="wrn.2007._5_1">{#N/A,#N/A,FALSE,"Jan2007";#N/A,#N/A,FALSE,"Feb2007";#N/A,#N/A,FALSE,"Mar2007";#N/A,#N/A,FALSE,"Apr2007";#N/A,#N/A,FALSE,"May2007";#N/A,#N/A,FALSE,"Jun2007";#N/A,#N/A,FALSE,"Jul2007";#N/A,#N/A,FALSE,"Aug2007";#N/A,#N/A,FALSE,"Sept2007";#N/A,#N/A,FALSE,"Oct2007"}</definedName>
    <definedName name="wrn.2007._5_1_1" localSheetId="14">{#N/A,#N/A,FALSE,"Jan2007";#N/A,#N/A,FALSE,"Feb2007";#N/A,#N/A,FALSE,"Mar2007";#N/A,#N/A,FALSE,"Apr2007";#N/A,#N/A,FALSE,"May2007";#N/A,#N/A,FALSE,"Jun2007";#N/A,#N/A,FALSE,"Jul2007";#N/A,#N/A,FALSE,"Aug2007";#N/A,#N/A,FALSE,"Sept2007";#N/A,#N/A,FALSE,"Oct2007"}</definedName>
    <definedName name="wrn.2007._5_1_1">{#N/A,#N/A,FALSE,"Jan2007";#N/A,#N/A,FALSE,"Feb2007";#N/A,#N/A,FALSE,"Mar2007";#N/A,#N/A,FALSE,"Apr2007";#N/A,#N/A,FALSE,"May2007";#N/A,#N/A,FALSE,"Jun2007";#N/A,#N/A,FALSE,"Jul2007";#N/A,#N/A,FALSE,"Aug2007";#N/A,#N/A,FALSE,"Sept2007";#N/A,#N/A,FALSE,"Oct2007"}</definedName>
    <definedName name="wrn.2007._5_1_1_1" localSheetId="14">{#N/A,#N/A,FALSE,"Jan2007";#N/A,#N/A,FALSE,"Feb2007";#N/A,#N/A,FALSE,"Mar2007";#N/A,#N/A,FALSE,"Apr2007";#N/A,#N/A,FALSE,"May2007";#N/A,#N/A,FALSE,"Jun2007";#N/A,#N/A,FALSE,"Jul2007";#N/A,#N/A,FALSE,"Aug2007";#N/A,#N/A,FALSE,"Sept2007";#N/A,#N/A,FALSE,"Oct2007"}</definedName>
    <definedName name="wrn.2007._5_1_1_1">{#N/A,#N/A,FALSE,"Jan2007";#N/A,#N/A,FALSE,"Feb2007";#N/A,#N/A,FALSE,"Mar2007";#N/A,#N/A,FALSE,"Apr2007";#N/A,#N/A,FALSE,"May2007";#N/A,#N/A,FALSE,"Jun2007";#N/A,#N/A,FALSE,"Jul2007";#N/A,#N/A,FALSE,"Aug2007";#N/A,#N/A,FALSE,"Sept2007";#N/A,#N/A,FALSE,"Oct2007"}</definedName>
    <definedName name="wrn.2007._5_1_2" localSheetId="14">{#N/A,#N/A,FALSE,"Jan2007";#N/A,#N/A,FALSE,"Feb2007";#N/A,#N/A,FALSE,"Mar2007";#N/A,#N/A,FALSE,"Apr2007";#N/A,#N/A,FALSE,"May2007";#N/A,#N/A,FALSE,"Jun2007";#N/A,#N/A,FALSE,"Jul2007";#N/A,#N/A,FALSE,"Aug2007";#N/A,#N/A,FALSE,"Sept2007";#N/A,#N/A,FALSE,"Oct2007"}</definedName>
    <definedName name="wrn.2007._5_1_2">{#N/A,#N/A,FALSE,"Jan2007";#N/A,#N/A,FALSE,"Feb2007";#N/A,#N/A,FALSE,"Mar2007";#N/A,#N/A,FALSE,"Apr2007";#N/A,#N/A,FALSE,"May2007";#N/A,#N/A,FALSE,"Jun2007";#N/A,#N/A,FALSE,"Jul2007";#N/A,#N/A,FALSE,"Aug2007";#N/A,#N/A,FALSE,"Sept2007";#N/A,#N/A,FALSE,"Oct2007"}</definedName>
    <definedName name="wrn.2007._5_2" localSheetId="14">{#N/A,#N/A,FALSE,"Jan2007";#N/A,#N/A,FALSE,"Feb2007";#N/A,#N/A,FALSE,"Mar2007";#N/A,#N/A,FALSE,"Apr2007";#N/A,#N/A,FALSE,"May2007";#N/A,#N/A,FALSE,"Jun2007";#N/A,#N/A,FALSE,"Jul2007";#N/A,#N/A,FALSE,"Aug2007";#N/A,#N/A,FALSE,"Sept2007";#N/A,#N/A,FALSE,"Oct2007"}</definedName>
    <definedName name="wrn.2007._5_2">{#N/A,#N/A,FALSE,"Jan2007";#N/A,#N/A,FALSE,"Feb2007";#N/A,#N/A,FALSE,"Mar2007";#N/A,#N/A,FALSE,"Apr2007";#N/A,#N/A,FALSE,"May2007";#N/A,#N/A,FALSE,"Jun2007";#N/A,#N/A,FALSE,"Jul2007";#N/A,#N/A,FALSE,"Aug2007";#N/A,#N/A,FALSE,"Sept2007";#N/A,#N/A,FALSE,"Oct2007"}</definedName>
    <definedName name="wrn.2007._5_2_1" localSheetId="14">{#N/A,#N/A,FALSE,"Jan2007";#N/A,#N/A,FALSE,"Feb2007";#N/A,#N/A,FALSE,"Mar2007";#N/A,#N/A,FALSE,"Apr2007";#N/A,#N/A,FALSE,"May2007";#N/A,#N/A,FALSE,"Jun2007";#N/A,#N/A,FALSE,"Jul2007";#N/A,#N/A,FALSE,"Aug2007";#N/A,#N/A,FALSE,"Sept2007";#N/A,#N/A,FALSE,"Oct2007"}</definedName>
    <definedName name="wrn.2007._5_2_1">{#N/A,#N/A,FALSE,"Jan2007";#N/A,#N/A,FALSE,"Feb2007";#N/A,#N/A,FALSE,"Mar2007";#N/A,#N/A,FALSE,"Apr2007";#N/A,#N/A,FALSE,"May2007";#N/A,#N/A,FALSE,"Jun2007";#N/A,#N/A,FALSE,"Jul2007";#N/A,#N/A,FALSE,"Aug2007";#N/A,#N/A,FALSE,"Sept2007";#N/A,#N/A,FALSE,"Oct2007"}</definedName>
    <definedName name="wrn.2007._5_3" localSheetId="14">{#N/A,#N/A,FALSE,"Jan2007";#N/A,#N/A,FALSE,"Feb2007";#N/A,#N/A,FALSE,"Mar2007";#N/A,#N/A,FALSE,"Apr2007";#N/A,#N/A,FALSE,"May2007";#N/A,#N/A,FALSE,"Jun2007";#N/A,#N/A,FALSE,"Jul2007";#N/A,#N/A,FALSE,"Aug2007";#N/A,#N/A,FALSE,"Sept2007";#N/A,#N/A,FALSE,"Oct2007"}</definedName>
    <definedName name="wrn.2007._5_3">{#N/A,#N/A,FALSE,"Jan2007";#N/A,#N/A,FALSE,"Feb2007";#N/A,#N/A,FALSE,"Mar2007";#N/A,#N/A,FALSE,"Apr2007";#N/A,#N/A,FALSE,"May2007";#N/A,#N/A,FALSE,"Jun2007";#N/A,#N/A,FALSE,"Jul2007";#N/A,#N/A,FALSE,"Aug2007";#N/A,#N/A,FALSE,"Sept2007";#N/A,#N/A,FALSE,"Oct2007"}</definedName>
    <definedName name="wrn.2007._5_3_1" localSheetId="14">{#N/A,#N/A,FALSE,"Jan2007";#N/A,#N/A,FALSE,"Feb2007";#N/A,#N/A,FALSE,"Mar2007";#N/A,#N/A,FALSE,"Apr2007";#N/A,#N/A,FALSE,"May2007";#N/A,#N/A,FALSE,"Jun2007";#N/A,#N/A,FALSE,"Jul2007";#N/A,#N/A,FALSE,"Aug2007";#N/A,#N/A,FALSE,"Sept2007";#N/A,#N/A,FALSE,"Oct2007"}</definedName>
    <definedName name="wrn.2007._5_3_1">{#N/A,#N/A,FALSE,"Jan2007";#N/A,#N/A,FALSE,"Feb2007";#N/A,#N/A,FALSE,"Mar2007";#N/A,#N/A,FALSE,"Apr2007";#N/A,#N/A,FALSE,"May2007";#N/A,#N/A,FALSE,"Jun2007";#N/A,#N/A,FALSE,"Jul2007";#N/A,#N/A,FALSE,"Aug2007";#N/A,#N/A,FALSE,"Sept2007";#N/A,#N/A,FALSE,"Oct2007"}</definedName>
    <definedName name="wrn.2007._5_4" localSheetId="14">{#N/A,#N/A,FALSE,"Jan2007";#N/A,#N/A,FALSE,"Feb2007";#N/A,#N/A,FALSE,"Mar2007";#N/A,#N/A,FALSE,"Apr2007";#N/A,#N/A,FALSE,"May2007";#N/A,#N/A,FALSE,"Jun2007";#N/A,#N/A,FALSE,"Jul2007";#N/A,#N/A,FALSE,"Aug2007";#N/A,#N/A,FALSE,"Sept2007";#N/A,#N/A,FALSE,"Oct2007"}</definedName>
    <definedName name="wrn.2007._5_4">{#N/A,#N/A,FALSE,"Jan2007";#N/A,#N/A,FALSE,"Feb2007";#N/A,#N/A,FALSE,"Mar2007";#N/A,#N/A,FALSE,"Apr2007";#N/A,#N/A,FALSE,"May2007";#N/A,#N/A,FALSE,"Jun2007";#N/A,#N/A,FALSE,"Jul2007";#N/A,#N/A,FALSE,"Aug2007";#N/A,#N/A,FALSE,"Sept2007";#N/A,#N/A,FALSE,"Oct2007"}</definedName>
    <definedName name="wrn.2007._5_4_1" localSheetId="14">{#N/A,#N/A,FALSE,"Jan2007";#N/A,#N/A,FALSE,"Feb2007";#N/A,#N/A,FALSE,"Mar2007";#N/A,#N/A,FALSE,"Apr2007";#N/A,#N/A,FALSE,"May2007";#N/A,#N/A,FALSE,"Jun2007";#N/A,#N/A,FALSE,"Jul2007";#N/A,#N/A,FALSE,"Aug2007";#N/A,#N/A,FALSE,"Sept2007";#N/A,#N/A,FALSE,"Oct2007"}</definedName>
    <definedName name="wrn.2007._5_4_1">{#N/A,#N/A,FALSE,"Jan2007";#N/A,#N/A,FALSE,"Feb2007";#N/A,#N/A,FALSE,"Mar2007";#N/A,#N/A,FALSE,"Apr2007";#N/A,#N/A,FALSE,"May2007";#N/A,#N/A,FALSE,"Jun2007";#N/A,#N/A,FALSE,"Jul2007";#N/A,#N/A,FALSE,"Aug2007";#N/A,#N/A,FALSE,"Sept2007";#N/A,#N/A,FALSE,"Oct2007"}</definedName>
    <definedName name="wrn.2007._5_5" localSheetId="14">{#N/A,#N/A,FALSE,"Jan2007";#N/A,#N/A,FALSE,"Feb2007";#N/A,#N/A,FALSE,"Mar2007";#N/A,#N/A,FALSE,"Apr2007";#N/A,#N/A,FALSE,"May2007";#N/A,#N/A,FALSE,"Jun2007";#N/A,#N/A,FALSE,"Jul2007";#N/A,#N/A,FALSE,"Aug2007";#N/A,#N/A,FALSE,"Sept2007";#N/A,#N/A,FALSE,"Oct2007"}</definedName>
    <definedName name="wrn.2007._5_5">{#N/A,#N/A,FALSE,"Jan2007";#N/A,#N/A,FALSE,"Feb2007";#N/A,#N/A,FALSE,"Mar2007";#N/A,#N/A,FALSE,"Apr2007";#N/A,#N/A,FALSE,"May2007";#N/A,#N/A,FALSE,"Jun2007";#N/A,#N/A,FALSE,"Jul2007";#N/A,#N/A,FALSE,"Aug2007";#N/A,#N/A,FALSE,"Sept2007";#N/A,#N/A,FALSE,"Oct2007"}</definedName>
    <definedName name="WRN.2007A." localSheetId="14">{#N/A,#N/A,FALSE,"Jan2007";#N/A,#N/A,FALSE,"Feb2007";#N/A,#N/A,FALSE,"Mar2007";#N/A,#N/A,FALSE,"Apr2007";#N/A,#N/A,FALSE,"May2007";#N/A,#N/A,FALSE,"Jun2007";#N/A,#N/A,FALSE,"Jul2007";#N/A,#N/A,FALSE,"Aug2007";#N/A,#N/A,FALSE,"Sept2007";#N/A,#N/A,FALSE,"Oct2007"}</definedName>
    <definedName name="WRN.2007A.">{#N/A,#N/A,FALSE,"Jan2007";#N/A,#N/A,FALSE,"Feb2007";#N/A,#N/A,FALSE,"Mar2007";#N/A,#N/A,FALSE,"Apr2007";#N/A,#N/A,FALSE,"May2007";#N/A,#N/A,FALSE,"Jun2007";#N/A,#N/A,FALSE,"Jul2007";#N/A,#N/A,FALSE,"Aug2007";#N/A,#N/A,FALSE,"Sept2007";#N/A,#N/A,FALSE,"Oct2007"}</definedName>
    <definedName name="wrn.3._.97._.Book." localSheetId="14">{"print",#N/A,FALSE,"03-31-97 Book"}</definedName>
    <definedName name="wrn.3._.97._.Book.">{"print",#N/A,FALSE,"03-31-97 Book"}</definedName>
    <definedName name="wrn.5._.Year._.List." localSheetId="14">{#N/A,#N/A,TRUE,"TOTALS";#N/A,#N/A,TRUE,"BULK POWER";#N/A,#N/A,TRUE,"SUSQUEHANNA REGION";#N/A,#N/A,TRUE,"NE REGION - SCRANTON AREA";#N/A,#N/A,TRUE,"NE REGION - HONESDALE AREA";#N/A,#N/A,TRUE,"NE REGION - HAZ_WB AREA";#N/A,#N/A,TRUE,"LEHIGH REGION";#N/A,#N/A,TRUE,"HARRISBURG REGION";#N/A,#N/A,TRUE,"LANCASTER REGION";#N/A,#N/A,TRUE,"REGIONAL POOL ITEMS";#N/A,#N/A,TRUE,"AREA POOLS ITEMS";#N/A,#N/A,TRUE,"AREA SUPPLY BLANKET ITEMS";#N/A,#N/A,TRUE,"SCADA BUDGET ITEMS"}</definedName>
    <definedName name="wrn.5._.Year._.List.">{#N/A,#N/A,TRUE,"TOTALS";#N/A,#N/A,TRUE,"BULK POWER";#N/A,#N/A,TRUE,"SUSQUEHANNA REGION";#N/A,#N/A,TRUE,"NE REGION - SCRANTON AREA";#N/A,#N/A,TRUE,"NE REGION - HONESDALE AREA";#N/A,#N/A,TRUE,"NE REGION - HAZ_WB AREA";#N/A,#N/A,TRUE,"LEHIGH REGION";#N/A,#N/A,TRUE,"HARRISBURG REGION";#N/A,#N/A,TRUE,"LANCASTER REGION";#N/A,#N/A,TRUE,"REGIONAL POOL ITEMS";#N/A,#N/A,TRUE,"AREA POOLS ITEMS";#N/A,#N/A,TRUE,"AREA SUPPLY BLANKET ITEMS";#N/A,#N/A,TRUE,"SCADA BUDGET ITEMS"}</definedName>
    <definedName name="wrn.5._.Year._.List._1" localSheetId="14">{#N/A,#N/A,TRUE,"TOTALS";#N/A,#N/A,TRUE,"BULK POWER";#N/A,#N/A,TRUE,"SUSQUEHANNA REGION";#N/A,#N/A,TRUE,"NE REGION - SCRANTON AREA";#N/A,#N/A,TRUE,"NE REGION - HONESDALE AREA";#N/A,#N/A,TRUE,"NE REGION - HAZ_WB AREA";#N/A,#N/A,TRUE,"LEHIGH REGION";#N/A,#N/A,TRUE,"HARRISBURG REGION";#N/A,#N/A,TRUE,"LANCASTER REGION";#N/A,#N/A,TRUE,"REGIONAL POOL ITEMS";#N/A,#N/A,TRUE,"AREA POOLS ITEMS";#N/A,#N/A,TRUE,"AREA SUPPLY BLANKET ITEMS";#N/A,#N/A,TRUE,"SCADA BUDGET ITEMS"}</definedName>
    <definedName name="wrn.5._.Year._.List._1">{#N/A,#N/A,TRUE,"TOTALS";#N/A,#N/A,TRUE,"BULK POWER";#N/A,#N/A,TRUE,"SUSQUEHANNA REGION";#N/A,#N/A,TRUE,"NE REGION - SCRANTON AREA";#N/A,#N/A,TRUE,"NE REGION - HONESDALE AREA";#N/A,#N/A,TRUE,"NE REGION - HAZ_WB AREA";#N/A,#N/A,TRUE,"LEHIGH REGION";#N/A,#N/A,TRUE,"HARRISBURG REGION";#N/A,#N/A,TRUE,"LANCASTER REGION";#N/A,#N/A,TRUE,"REGIONAL POOL ITEMS";#N/A,#N/A,TRUE,"AREA POOLS ITEMS";#N/A,#N/A,TRUE,"AREA SUPPLY BLANKET ITEMS";#N/A,#N/A,TRUE,"SCADA BUDGET ITEMS"}</definedName>
    <definedName name="wrn.5._.Year._.List._1_1" localSheetId="14">{#N/A,#N/A,TRUE,"TOTALS";#N/A,#N/A,TRUE,"BULK POWER";#N/A,#N/A,TRUE,"SUSQUEHANNA REGION";#N/A,#N/A,TRUE,"NE REGION - SCRANTON AREA";#N/A,#N/A,TRUE,"NE REGION - HONESDALE AREA";#N/A,#N/A,TRUE,"NE REGION - HAZ_WB AREA";#N/A,#N/A,TRUE,"LEHIGH REGION";#N/A,#N/A,TRUE,"HARRISBURG REGION";#N/A,#N/A,TRUE,"LANCASTER REGION";#N/A,#N/A,TRUE,"REGIONAL POOL ITEMS";#N/A,#N/A,TRUE,"AREA POOLS ITEMS";#N/A,#N/A,TRUE,"AREA SUPPLY BLANKET ITEMS";#N/A,#N/A,TRUE,"SCADA BUDGET ITEMS"}</definedName>
    <definedName name="wrn.5._.Year._.List._1_1">{#N/A,#N/A,TRUE,"TOTALS";#N/A,#N/A,TRUE,"BULK POWER";#N/A,#N/A,TRUE,"SUSQUEHANNA REGION";#N/A,#N/A,TRUE,"NE REGION - SCRANTON AREA";#N/A,#N/A,TRUE,"NE REGION - HONESDALE AREA";#N/A,#N/A,TRUE,"NE REGION - HAZ_WB AREA";#N/A,#N/A,TRUE,"LEHIGH REGION";#N/A,#N/A,TRUE,"HARRISBURG REGION";#N/A,#N/A,TRUE,"LANCASTER REGION";#N/A,#N/A,TRUE,"REGIONAL POOL ITEMS";#N/A,#N/A,TRUE,"AREA POOLS ITEMS";#N/A,#N/A,TRUE,"AREA SUPPLY BLANKET ITEMS";#N/A,#N/A,TRUE,"SCADA BUDGET ITEMS"}</definedName>
    <definedName name="wrn.5._.Year._.List._2" localSheetId="14">{#N/A,#N/A,TRUE,"TOTALS";#N/A,#N/A,TRUE,"BULK POWER";#N/A,#N/A,TRUE,"SUSQUEHANNA REGION";#N/A,#N/A,TRUE,"NE REGION - SCRANTON AREA";#N/A,#N/A,TRUE,"NE REGION - HONESDALE AREA";#N/A,#N/A,TRUE,"NE REGION - HAZ_WB AREA";#N/A,#N/A,TRUE,"LEHIGH REGION";#N/A,#N/A,TRUE,"HARRISBURG REGION";#N/A,#N/A,TRUE,"LANCASTER REGION";#N/A,#N/A,TRUE,"REGIONAL POOL ITEMS";#N/A,#N/A,TRUE,"AREA POOLS ITEMS";#N/A,#N/A,TRUE,"AREA SUPPLY BLANKET ITEMS";#N/A,#N/A,TRUE,"SCADA BUDGET ITEMS"}</definedName>
    <definedName name="wrn.5._.Year._.List._2">{#N/A,#N/A,TRUE,"TOTALS";#N/A,#N/A,TRUE,"BULK POWER";#N/A,#N/A,TRUE,"SUSQUEHANNA REGION";#N/A,#N/A,TRUE,"NE REGION - SCRANTON AREA";#N/A,#N/A,TRUE,"NE REGION - HONESDALE AREA";#N/A,#N/A,TRUE,"NE REGION - HAZ_WB AREA";#N/A,#N/A,TRUE,"LEHIGH REGION";#N/A,#N/A,TRUE,"HARRISBURG REGION";#N/A,#N/A,TRUE,"LANCASTER REGION";#N/A,#N/A,TRUE,"REGIONAL POOL ITEMS";#N/A,#N/A,TRUE,"AREA POOLS ITEMS";#N/A,#N/A,TRUE,"AREA SUPPLY BLANKET ITEMS";#N/A,#N/A,TRUE,"SCADA BUDGET ITEMS"}</definedName>
    <definedName name="wrn.5._.Yrs." localSheetId="14">{"Consol 5 yrs",#N/A,FALSE,"Consolidated Report";"ONR 5 Yrs",#N/A,FALSE,"ONR Report";"RECO 5 Yrs",#N/A,FALSE,"RECO Report";"Pike 5 Yrs",#N/A,FALSE,"Pike Report"}</definedName>
    <definedName name="wrn.5._.Yrs.">{"Consol 5 yrs",#N/A,FALSE,"Consolidated Report";"ONR 5 Yrs",#N/A,FALSE,"ONR Report";"RECO 5 Yrs",#N/A,FALSE,"RECO Report";"Pike 5 Yrs",#N/A,FALSE,"Pike Report"}</definedName>
    <definedName name="wrn.722." localSheetId="14">{#N/A,#N/A,FALSE,"CURRENT"}</definedName>
    <definedName name="wrn.722.">{#N/A,#N/A,FALSE,"CURRENT"}</definedName>
    <definedName name="wrn.Account._.Analysis." localSheetId="14">{#N/A,#N/A,FALSE,"June"}</definedName>
    <definedName name="wrn.Account._.Analysis.">{#N/A,#N/A,FALSE,"June"}</definedName>
    <definedName name="wrn.Aging._.and._.Trend._.Analysis." localSheetId="14">{#N/A,#N/A,FALSE,"Aging Summary";#N/A,#N/A,FALSE,"Ratio Analysis";#N/A,#N/A,FALSE,"Test 120 Day Accts";#N/A,#N/A,FALSE,"Tickmarks"}</definedName>
    <definedName name="wrn.Aging._.and._.Trend._.Analysis.">{#N/A,#N/A,FALSE,"Aging Summary";#N/A,#N/A,FALSE,"Ratio Analysis";#N/A,#N/A,FALSE,"Test 120 Day Accts";#N/A,#N/A,FALSE,"Tickmarks"}</definedName>
    <definedName name="wrn.AGT." localSheetId="14">{"AGT",#N/A,FALSE,"Revenue"}</definedName>
    <definedName name="wrn.AGT.">{"AGT",#N/A,FALSE,"Revenue"}</definedName>
    <definedName name="wrn.All._.Sheets." localSheetId="14">{#N/A,#N/A,FALSE,"Totals";#N/A,#N/A,FALSE,"First-Of-Month";#N/A,#N/A,FALSE,"March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wrn.All._.Sheets.">{#N/A,#N/A,FALSE,"Totals";#N/A,#N/A,FALSE,"First-Of-Month";#N/A,#N/A,FALSE,"March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wrn.All._.Sheets._1" localSheetId="14">{#N/A,#N/A,FALSE,"Totals";#N/A,#N/A,FALSE,"First-Of-Month";#N/A,#N/A,FALSE,"March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wrn.All._.Sheets._1">{#N/A,#N/A,FALSE,"Totals";#N/A,#N/A,FALSE,"First-Of-Month";#N/A,#N/A,FALSE,"March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wrn.All._.Sheets._1_1" localSheetId="14">{#N/A,#N/A,FALSE,"Totals";#N/A,#N/A,FALSE,"First-Of-Month";#N/A,#N/A,FALSE,"March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wrn.All._.Sheets._1_1">{#N/A,#N/A,FALSE,"Totals";#N/A,#N/A,FALSE,"First-Of-Month";#N/A,#N/A,FALSE,"March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wrn.All._.Sheets._1_1_1" localSheetId="14">{#N/A,#N/A,FALSE,"Totals";#N/A,#N/A,FALSE,"First-Of-Month";#N/A,#N/A,FALSE,"March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wrn.All._.Sheets._1_1_1">{#N/A,#N/A,FALSE,"Totals";#N/A,#N/A,FALSE,"First-Of-Month";#N/A,#N/A,FALSE,"March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wrn.All._.Sheets._1_1_1_1" localSheetId="14">{#N/A,#N/A,FALSE,"Totals";#N/A,#N/A,FALSE,"First-Of-Month";#N/A,#N/A,FALSE,"March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wrn.All._.Sheets._1_1_1_1">{#N/A,#N/A,FALSE,"Totals";#N/A,#N/A,FALSE,"First-Of-Month";#N/A,#N/A,FALSE,"March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wrn.All._.Sheets._1_1_1_1_1" localSheetId="14">{#N/A,#N/A,FALSE,"Totals";#N/A,#N/A,FALSE,"First-Of-Month";#N/A,#N/A,FALSE,"March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wrn.All._.Sheets._1_1_1_1_1">{#N/A,#N/A,FALSE,"Totals";#N/A,#N/A,FALSE,"First-Of-Month";#N/A,#N/A,FALSE,"March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wrn.All._.Sheets._1_1_1_2" localSheetId="14">{#N/A,#N/A,FALSE,"Totals";#N/A,#N/A,FALSE,"First-Of-Month";#N/A,#N/A,FALSE,"March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wrn.All._.Sheets._1_1_1_2">{#N/A,#N/A,FALSE,"Totals";#N/A,#N/A,FALSE,"First-Of-Month";#N/A,#N/A,FALSE,"March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wrn.All._.Sheets._1_1_2" localSheetId="14">{#N/A,#N/A,FALSE,"Totals";#N/A,#N/A,FALSE,"First-Of-Month";#N/A,#N/A,FALSE,"March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wrn.All._.Sheets._1_1_2">{#N/A,#N/A,FALSE,"Totals";#N/A,#N/A,FALSE,"First-Of-Month";#N/A,#N/A,FALSE,"March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wrn.All._.Sheets._1_1_2_1" localSheetId="14">{#N/A,#N/A,FALSE,"Totals";#N/A,#N/A,FALSE,"First-Of-Month";#N/A,#N/A,FALSE,"March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wrn.All._.Sheets._1_1_2_1">{#N/A,#N/A,FALSE,"Totals";#N/A,#N/A,FALSE,"First-Of-Month";#N/A,#N/A,FALSE,"March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wrn.All._.Sheets._1_1_3" localSheetId="14">{#N/A,#N/A,FALSE,"Totals";#N/A,#N/A,FALSE,"First-Of-Month";#N/A,#N/A,FALSE,"March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wrn.All._.Sheets._1_1_3">{#N/A,#N/A,FALSE,"Totals";#N/A,#N/A,FALSE,"First-Of-Month";#N/A,#N/A,FALSE,"March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wrn.All._.Sheets._1_1_3_1" localSheetId="14">{#N/A,#N/A,FALSE,"Totals";#N/A,#N/A,FALSE,"First-Of-Month";#N/A,#N/A,FALSE,"March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wrn.All._.Sheets._1_1_3_1">{#N/A,#N/A,FALSE,"Totals";#N/A,#N/A,FALSE,"First-Of-Month";#N/A,#N/A,FALSE,"March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wrn.All._.Sheets._1_1_4" localSheetId="14">{#N/A,#N/A,FALSE,"Totals";#N/A,#N/A,FALSE,"First-Of-Month";#N/A,#N/A,FALSE,"March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wrn.All._.Sheets._1_1_4">{#N/A,#N/A,FALSE,"Totals";#N/A,#N/A,FALSE,"First-Of-Month";#N/A,#N/A,FALSE,"March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wrn.All._.Sheets._1_1_4_1" localSheetId="14">{#N/A,#N/A,FALSE,"Totals";#N/A,#N/A,FALSE,"First-Of-Month";#N/A,#N/A,FALSE,"March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wrn.All._.Sheets._1_1_4_1">{#N/A,#N/A,FALSE,"Totals";#N/A,#N/A,FALSE,"First-Of-Month";#N/A,#N/A,FALSE,"March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wrn.All._.Sheets._1_1_5" localSheetId="14">{#N/A,#N/A,FALSE,"Totals";#N/A,#N/A,FALSE,"First-Of-Month";#N/A,#N/A,FALSE,"March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wrn.All._.Sheets._1_1_5">{#N/A,#N/A,FALSE,"Totals";#N/A,#N/A,FALSE,"First-Of-Month";#N/A,#N/A,FALSE,"March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wrn.All._.Sheets._1_2" localSheetId="14">{#N/A,#N/A,FALSE,"Totals";#N/A,#N/A,FALSE,"First-Of-Month";#N/A,#N/A,FALSE,"March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wrn.All._.Sheets._1_2">{#N/A,#N/A,FALSE,"Totals";#N/A,#N/A,FALSE,"First-Of-Month";#N/A,#N/A,FALSE,"March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wrn.All._.Sheets._1_2_1" localSheetId="14">{#N/A,#N/A,FALSE,"Totals";#N/A,#N/A,FALSE,"First-Of-Month";#N/A,#N/A,FALSE,"March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wrn.All._.Sheets._1_2_1">{#N/A,#N/A,FALSE,"Totals";#N/A,#N/A,FALSE,"First-Of-Month";#N/A,#N/A,FALSE,"March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wrn.All._.Sheets._1_2_1_1" localSheetId="14">{#N/A,#N/A,FALSE,"Totals";#N/A,#N/A,FALSE,"First-Of-Month";#N/A,#N/A,FALSE,"March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wrn.All._.Sheets._1_2_1_1">{#N/A,#N/A,FALSE,"Totals";#N/A,#N/A,FALSE,"First-Of-Month";#N/A,#N/A,FALSE,"March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wrn.All._.Sheets._1_2_1_1_1" localSheetId="14">{#N/A,#N/A,FALSE,"Totals";#N/A,#N/A,FALSE,"First-Of-Month";#N/A,#N/A,FALSE,"March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wrn.All._.Sheets._1_2_1_1_1">{#N/A,#N/A,FALSE,"Totals";#N/A,#N/A,FALSE,"First-Of-Month";#N/A,#N/A,FALSE,"March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wrn.All._.Sheets._1_2_1_2" localSheetId="14">{#N/A,#N/A,FALSE,"Totals";#N/A,#N/A,FALSE,"First-Of-Month";#N/A,#N/A,FALSE,"March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wrn.All._.Sheets._1_2_1_2">{#N/A,#N/A,FALSE,"Totals";#N/A,#N/A,FALSE,"First-Of-Month";#N/A,#N/A,FALSE,"March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wrn.All._.Sheets._1_2_2" localSheetId="14">{#N/A,#N/A,FALSE,"Totals";#N/A,#N/A,FALSE,"First-Of-Month";#N/A,#N/A,FALSE,"March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wrn.All._.Sheets._1_2_2">{#N/A,#N/A,FALSE,"Totals";#N/A,#N/A,FALSE,"First-Of-Month";#N/A,#N/A,FALSE,"March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wrn.All._.Sheets._1_2_2_1" localSheetId="14">{#N/A,#N/A,FALSE,"Totals";#N/A,#N/A,FALSE,"First-Of-Month";#N/A,#N/A,FALSE,"March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wrn.All._.Sheets._1_2_2_1">{#N/A,#N/A,FALSE,"Totals";#N/A,#N/A,FALSE,"First-Of-Month";#N/A,#N/A,FALSE,"March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wrn.All._.Sheets._1_2_3" localSheetId="14">{#N/A,#N/A,FALSE,"Totals";#N/A,#N/A,FALSE,"First-Of-Month";#N/A,#N/A,FALSE,"March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wrn.All._.Sheets._1_2_3">{#N/A,#N/A,FALSE,"Totals";#N/A,#N/A,FALSE,"First-Of-Month";#N/A,#N/A,FALSE,"March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wrn.All._.Sheets._1_2_3_1" localSheetId="14">{#N/A,#N/A,FALSE,"Totals";#N/A,#N/A,FALSE,"First-Of-Month";#N/A,#N/A,FALSE,"March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wrn.All._.Sheets._1_2_3_1">{#N/A,#N/A,FALSE,"Totals";#N/A,#N/A,FALSE,"First-Of-Month";#N/A,#N/A,FALSE,"March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wrn.All._.Sheets._1_2_4" localSheetId="14">{#N/A,#N/A,FALSE,"Totals";#N/A,#N/A,FALSE,"First-Of-Month";#N/A,#N/A,FALSE,"March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wrn.All._.Sheets._1_2_4">{#N/A,#N/A,FALSE,"Totals";#N/A,#N/A,FALSE,"First-Of-Month";#N/A,#N/A,FALSE,"March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wrn.All._.Sheets._1_2_4_1" localSheetId="14">{#N/A,#N/A,FALSE,"Totals";#N/A,#N/A,FALSE,"First-Of-Month";#N/A,#N/A,FALSE,"March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wrn.All._.Sheets._1_2_4_1">{#N/A,#N/A,FALSE,"Totals";#N/A,#N/A,FALSE,"First-Of-Month";#N/A,#N/A,FALSE,"March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wrn.All._.Sheets._1_2_5" localSheetId="14">{#N/A,#N/A,FALSE,"Totals";#N/A,#N/A,FALSE,"First-Of-Month";#N/A,#N/A,FALSE,"March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wrn.All._.Sheets._1_2_5">{#N/A,#N/A,FALSE,"Totals";#N/A,#N/A,FALSE,"First-Of-Month";#N/A,#N/A,FALSE,"March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wrn.All._.Sheets._1_3" localSheetId="14">{#N/A,#N/A,FALSE,"Totals";#N/A,#N/A,FALSE,"First-Of-Month";#N/A,#N/A,FALSE,"March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wrn.All._.Sheets._1_3">{#N/A,#N/A,FALSE,"Totals";#N/A,#N/A,FALSE,"First-Of-Month";#N/A,#N/A,FALSE,"March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wrn.All._.Sheets._1_3_1" localSheetId="14">{#N/A,#N/A,FALSE,"Totals";#N/A,#N/A,FALSE,"First-Of-Month";#N/A,#N/A,FALSE,"March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wrn.All._.Sheets._1_3_1">{#N/A,#N/A,FALSE,"Totals";#N/A,#N/A,FALSE,"First-Of-Month";#N/A,#N/A,FALSE,"March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wrn.All._.Sheets._1_3_1_1" localSheetId="14">{#N/A,#N/A,FALSE,"Totals";#N/A,#N/A,FALSE,"First-Of-Month";#N/A,#N/A,FALSE,"March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wrn.All._.Sheets._1_3_1_1">{#N/A,#N/A,FALSE,"Totals";#N/A,#N/A,FALSE,"First-Of-Month";#N/A,#N/A,FALSE,"March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wrn.All._.Sheets._1_3_1_1_1" localSheetId="14">{#N/A,#N/A,FALSE,"Totals";#N/A,#N/A,FALSE,"First-Of-Month";#N/A,#N/A,FALSE,"March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wrn.All._.Sheets._1_3_1_1_1">{#N/A,#N/A,FALSE,"Totals";#N/A,#N/A,FALSE,"First-Of-Month";#N/A,#N/A,FALSE,"March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wrn.All._.Sheets._1_3_1_2" localSheetId="14">{#N/A,#N/A,FALSE,"Totals";#N/A,#N/A,FALSE,"First-Of-Month";#N/A,#N/A,FALSE,"March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wrn.All._.Sheets._1_3_1_2">{#N/A,#N/A,FALSE,"Totals";#N/A,#N/A,FALSE,"First-Of-Month";#N/A,#N/A,FALSE,"March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wrn.All._.Sheets._1_3_2" localSheetId="14">{#N/A,#N/A,FALSE,"Totals";#N/A,#N/A,FALSE,"First-Of-Month";#N/A,#N/A,FALSE,"March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wrn.All._.Sheets._1_3_2">{#N/A,#N/A,FALSE,"Totals";#N/A,#N/A,FALSE,"First-Of-Month";#N/A,#N/A,FALSE,"March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wrn.All._.Sheets._1_3_2_1" localSheetId="14">{#N/A,#N/A,FALSE,"Totals";#N/A,#N/A,FALSE,"First-Of-Month";#N/A,#N/A,FALSE,"March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wrn.All._.Sheets._1_3_2_1">{#N/A,#N/A,FALSE,"Totals";#N/A,#N/A,FALSE,"First-Of-Month";#N/A,#N/A,FALSE,"March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wrn.All._.Sheets._1_3_3" localSheetId="14">{#N/A,#N/A,FALSE,"Totals";#N/A,#N/A,FALSE,"First-Of-Month";#N/A,#N/A,FALSE,"March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wrn.All._.Sheets._1_3_3">{#N/A,#N/A,FALSE,"Totals";#N/A,#N/A,FALSE,"First-Of-Month";#N/A,#N/A,FALSE,"March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wrn.All._.Sheets._1_3_3_1" localSheetId="14">{#N/A,#N/A,FALSE,"Totals";#N/A,#N/A,FALSE,"First-Of-Month";#N/A,#N/A,FALSE,"March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wrn.All._.Sheets._1_3_3_1">{#N/A,#N/A,FALSE,"Totals";#N/A,#N/A,FALSE,"First-Of-Month";#N/A,#N/A,FALSE,"March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wrn.All._.Sheets._1_3_4" localSheetId="14">{#N/A,#N/A,FALSE,"Totals";#N/A,#N/A,FALSE,"First-Of-Month";#N/A,#N/A,FALSE,"March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wrn.All._.Sheets._1_3_4">{#N/A,#N/A,FALSE,"Totals";#N/A,#N/A,FALSE,"First-Of-Month";#N/A,#N/A,FALSE,"March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wrn.All._.Sheets._1_3_4_1" localSheetId="14">{#N/A,#N/A,FALSE,"Totals";#N/A,#N/A,FALSE,"First-Of-Month";#N/A,#N/A,FALSE,"March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wrn.All._.Sheets._1_3_4_1">{#N/A,#N/A,FALSE,"Totals";#N/A,#N/A,FALSE,"First-Of-Month";#N/A,#N/A,FALSE,"March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wrn.All._.Sheets._1_3_5" localSheetId="14">{#N/A,#N/A,FALSE,"Totals";#N/A,#N/A,FALSE,"First-Of-Month";#N/A,#N/A,FALSE,"March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wrn.All._.Sheets._1_3_5">{#N/A,#N/A,FALSE,"Totals";#N/A,#N/A,FALSE,"First-Of-Month";#N/A,#N/A,FALSE,"March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wrn.All._.Sheets._1_4" localSheetId="14">{#N/A,#N/A,FALSE,"Totals";#N/A,#N/A,FALSE,"First-Of-Month";#N/A,#N/A,FALSE,"March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wrn.All._.Sheets._1_4">{#N/A,#N/A,FALSE,"Totals";#N/A,#N/A,FALSE,"First-Of-Month";#N/A,#N/A,FALSE,"March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wrn.All._.Sheets._1_4_1" localSheetId="14">{#N/A,#N/A,FALSE,"Totals";#N/A,#N/A,FALSE,"First-Of-Month";#N/A,#N/A,FALSE,"March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wrn.All._.Sheets._1_4_1">{#N/A,#N/A,FALSE,"Totals";#N/A,#N/A,FALSE,"First-Of-Month";#N/A,#N/A,FALSE,"March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wrn.All._.Sheets._1_4_1_1" localSheetId="14">{#N/A,#N/A,FALSE,"Totals";#N/A,#N/A,FALSE,"First-Of-Month";#N/A,#N/A,FALSE,"March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wrn.All._.Sheets._1_4_1_1">{#N/A,#N/A,FALSE,"Totals";#N/A,#N/A,FALSE,"First-Of-Month";#N/A,#N/A,FALSE,"March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wrn.All._.Sheets._1_4_1_1_1" localSheetId="14">{#N/A,#N/A,FALSE,"Totals";#N/A,#N/A,FALSE,"First-Of-Month";#N/A,#N/A,FALSE,"March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wrn.All._.Sheets._1_4_1_1_1">{#N/A,#N/A,FALSE,"Totals";#N/A,#N/A,FALSE,"First-Of-Month";#N/A,#N/A,FALSE,"March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wrn.All._.Sheets._1_4_1_2" localSheetId="14">{#N/A,#N/A,FALSE,"Totals";#N/A,#N/A,FALSE,"First-Of-Month";#N/A,#N/A,FALSE,"March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wrn.All._.Sheets._1_4_1_2">{#N/A,#N/A,FALSE,"Totals";#N/A,#N/A,FALSE,"First-Of-Month";#N/A,#N/A,FALSE,"March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wrn.All._.Sheets._1_4_2" localSheetId="14">{#N/A,#N/A,FALSE,"Totals";#N/A,#N/A,FALSE,"First-Of-Month";#N/A,#N/A,FALSE,"March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wrn.All._.Sheets._1_4_2">{#N/A,#N/A,FALSE,"Totals";#N/A,#N/A,FALSE,"First-Of-Month";#N/A,#N/A,FALSE,"March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wrn.All._.Sheets._1_4_2_1" localSheetId="14">{#N/A,#N/A,FALSE,"Totals";#N/A,#N/A,FALSE,"First-Of-Month";#N/A,#N/A,FALSE,"March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wrn.All._.Sheets._1_4_2_1">{#N/A,#N/A,FALSE,"Totals";#N/A,#N/A,FALSE,"First-Of-Month";#N/A,#N/A,FALSE,"March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wrn.All._.Sheets._1_4_3" localSheetId="14">{#N/A,#N/A,FALSE,"Totals";#N/A,#N/A,FALSE,"First-Of-Month";#N/A,#N/A,FALSE,"March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wrn.All._.Sheets._1_4_3">{#N/A,#N/A,FALSE,"Totals";#N/A,#N/A,FALSE,"First-Of-Month";#N/A,#N/A,FALSE,"March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wrn.All._.Sheets._1_4_3_1" localSheetId="14">{#N/A,#N/A,FALSE,"Totals";#N/A,#N/A,FALSE,"First-Of-Month";#N/A,#N/A,FALSE,"March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wrn.All._.Sheets._1_4_3_1">{#N/A,#N/A,FALSE,"Totals";#N/A,#N/A,FALSE,"First-Of-Month";#N/A,#N/A,FALSE,"March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wrn.All._.Sheets._1_4_4" localSheetId="14">{#N/A,#N/A,FALSE,"Totals";#N/A,#N/A,FALSE,"First-Of-Month";#N/A,#N/A,FALSE,"March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wrn.All._.Sheets._1_4_4">{#N/A,#N/A,FALSE,"Totals";#N/A,#N/A,FALSE,"First-Of-Month";#N/A,#N/A,FALSE,"March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wrn.All._.Sheets._1_4_4_1" localSheetId="14">{#N/A,#N/A,FALSE,"Totals";#N/A,#N/A,FALSE,"First-Of-Month";#N/A,#N/A,FALSE,"March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wrn.All._.Sheets._1_4_4_1">{#N/A,#N/A,FALSE,"Totals";#N/A,#N/A,FALSE,"First-Of-Month";#N/A,#N/A,FALSE,"March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wrn.All._.Sheets._1_4_5" localSheetId="14">{#N/A,#N/A,FALSE,"Totals";#N/A,#N/A,FALSE,"First-Of-Month";#N/A,#N/A,FALSE,"March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wrn.All._.Sheets._1_4_5">{#N/A,#N/A,FALSE,"Totals";#N/A,#N/A,FALSE,"First-Of-Month";#N/A,#N/A,FALSE,"March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wrn.All._.Sheets._1_5" localSheetId="14">{#N/A,#N/A,FALSE,"Totals";#N/A,#N/A,FALSE,"First-Of-Month";#N/A,#N/A,FALSE,"March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wrn.All._.Sheets._1_5">{#N/A,#N/A,FALSE,"Totals";#N/A,#N/A,FALSE,"First-Of-Month";#N/A,#N/A,FALSE,"March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wrn.All._.Sheets._1_5_1" localSheetId="14">{#N/A,#N/A,FALSE,"Totals";#N/A,#N/A,FALSE,"First-Of-Month";#N/A,#N/A,FALSE,"March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wrn.All._.Sheets._1_5_1">{#N/A,#N/A,FALSE,"Totals";#N/A,#N/A,FALSE,"First-Of-Month";#N/A,#N/A,FALSE,"March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wrn.All._.Sheets._1_5_1_1" localSheetId="14">{#N/A,#N/A,FALSE,"Totals";#N/A,#N/A,FALSE,"First-Of-Month";#N/A,#N/A,FALSE,"March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wrn.All._.Sheets._1_5_1_1">{#N/A,#N/A,FALSE,"Totals";#N/A,#N/A,FALSE,"First-Of-Month";#N/A,#N/A,FALSE,"March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wrn.All._.Sheets._1_5_1_1_1" localSheetId="14">{#N/A,#N/A,FALSE,"Totals";#N/A,#N/A,FALSE,"First-Of-Month";#N/A,#N/A,FALSE,"March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wrn.All._.Sheets._1_5_1_1_1">{#N/A,#N/A,FALSE,"Totals";#N/A,#N/A,FALSE,"First-Of-Month";#N/A,#N/A,FALSE,"March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wrn.All._.Sheets._1_5_1_2" localSheetId="14">{#N/A,#N/A,FALSE,"Totals";#N/A,#N/A,FALSE,"First-Of-Month";#N/A,#N/A,FALSE,"March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wrn.All._.Sheets._1_5_1_2">{#N/A,#N/A,FALSE,"Totals";#N/A,#N/A,FALSE,"First-Of-Month";#N/A,#N/A,FALSE,"March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wrn.All._.Sheets._1_5_2" localSheetId="14">{#N/A,#N/A,FALSE,"Totals";#N/A,#N/A,FALSE,"First-Of-Month";#N/A,#N/A,FALSE,"March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wrn.All._.Sheets._1_5_2">{#N/A,#N/A,FALSE,"Totals";#N/A,#N/A,FALSE,"First-Of-Month";#N/A,#N/A,FALSE,"March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wrn.All._.Sheets._1_5_2_1" localSheetId="14">{#N/A,#N/A,FALSE,"Totals";#N/A,#N/A,FALSE,"First-Of-Month";#N/A,#N/A,FALSE,"March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wrn.All._.Sheets._1_5_2_1">{#N/A,#N/A,FALSE,"Totals";#N/A,#N/A,FALSE,"First-Of-Month";#N/A,#N/A,FALSE,"March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wrn.All._.Sheets._1_5_3" localSheetId="14">{#N/A,#N/A,FALSE,"Totals";#N/A,#N/A,FALSE,"First-Of-Month";#N/A,#N/A,FALSE,"March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wrn.All._.Sheets._1_5_3">{#N/A,#N/A,FALSE,"Totals";#N/A,#N/A,FALSE,"First-Of-Month";#N/A,#N/A,FALSE,"March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wrn.All._.Sheets._1_5_3_1" localSheetId="14">{#N/A,#N/A,FALSE,"Totals";#N/A,#N/A,FALSE,"First-Of-Month";#N/A,#N/A,FALSE,"March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wrn.All._.Sheets._1_5_3_1">{#N/A,#N/A,FALSE,"Totals";#N/A,#N/A,FALSE,"First-Of-Month";#N/A,#N/A,FALSE,"March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wrn.All._.Sheets._1_5_4" localSheetId="14">{#N/A,#N/A,FALSE,"Totals";#N/A,#N/A,FALSE,"First-Of-Month";#N/A,#N/A,FALSE,"March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wrn.All._.Sheets._1_5_4">{#N/A,#N/A,FALSE,"Totals";#N/A,#N/A,FALSE,"First-Of-Month";#N/A,#N/A,FALSE,"March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wrn.All._.Sheets._1_5_4_1" localSheetId="14">{#N/A,#N/A,FALSE,"Totals";#N/A,#N/A,FALSE,"First-Of-Month";#N/A,#N/A,FALSE,"March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wrn.All._.Sheets._1_5_4_1">{#N/A,#N/A,FALSE,"Totals";#N/A,#N/A,FALSE,"First-Of-Month";#N/A,#N/A,FALSE,"March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wrn.All._.Sheets._1_5_5" localSheetId="14">{#N/A,#N/A,FALSE,"Totals";#N/A,#N/A,FALSE,"First-Of-Month";#N/A,#N/A,FALSE,"March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wrn.All._.Sheets._1_5_5">{#N/A,#N/A,FALSE,"Totals";#N/A,#N/A,FALSE,"First-Of-Month";#N/A,#N/A,FALSE,"March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wrn.All._.Sheets._2" localSheetId="14">{#N/A,#N/A,FALSE,"Totals";#N/A,#N/A,FALSE,"First-Of-Month";#N/A,#N/A,FALSE,"March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wrn.All._.Sheets._2">{#N/A,#N/A,FALSE,"Totals";#N/A,#N/A,FALSE,"First-Of-Month";#N/A,#N/A,FALSE,"March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wrn.All._.Sheets._2_1" localSheetId="14">{#N/A,#N/A,FALSE,"Totals";#N/A,#N/A,FALSE,"First-Of-Month";#N/A,#N/A,FALSE,"March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wrn.All._.Sheets._2_1">{#N/A,#N/A,FALSE,"Totals";#N/A,#N/A,FALSE,"First-Of-Month";#N/A,#N/A,FALSE,"March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wrn.All._.Sheets._2_1_1" localSheetId="14">{#N/A,#N/A,FALSE,"Totals";#N/A,#N/A,FALSE,"First-Of-Month";#N/A,#N/A,FALSE,"March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wrn.All._.Sheets._2_1_1">{#N/A,#N/A,FALSE,"Totals";#N/A,#N/A,FALSE,"First-Of-Month";#N/A,#N/A,FALSE,"March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wrn.All._.Sheets._2_1_1_1" localSheetId="14">{#N/A,#N/A,FALSE,"Totals";#N/A,#N/A,FALSE,"First-Of-Month";#N/A,#N/A,FALSE,"March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wrn.All._.Sheets._2_1_1_1">{#N/A,#N/A,FALSE,"Totals";#N/A,#N/A,FALSE,"First-Of-Month";#N/A,#N/A,FALSE,"March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wrn.All._.Sheets._2_1_2" localSheetId="14">{#N/A,#N/A,FALSE,"Totals";#N/A,#N/A,FALSE,"First-Of-Month";#N/A,#N/A,FALSE,"March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wrn.All._.Sheets._2_1_2">{#N/A,#N/A,FALSE,"Totals";#N/A,#N/A,FALSE,"First-Of-Month";#N/A,#N/A,FALSE,"March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wrn.All._.Sheets._2_2" localSheetId="14">{#N/A,#N/A,FALSE,"Totals";#N/A,#N/A,FALSE,"First-Of-Month";#N/A,#N/A,FALSE,"March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wrn.All._.Sheets._2_2">{#N/A,#N/A,FALSE,"Totals";#N/A,#N/A,FALSE,"First-Of-Month";#N/A,#N/A,FALSE,"March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wrn.All._.Sheets._2_2_1" localSheetId="14">{#N/A,#N/A,FALSE,"Totals";#N/A,#N/A,FALSE,"First-Of-Month";#N/A,#N/A,FALSE,"March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wrn.All._.Sheets._2_2_1">{#N/A,#N/A,FALSE,"Totals";#N/A,#N/A,FALSE,"First-Of-Month";#N/A,#N/A,FALSE,"March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wrn.All._.Sheets._2_3" localSheetId="14">{#N/A,#N/A,FALSE,"Totals";#N/A,#N/A,FALSE,"First-Of-Month";#N/A,#N/A,FALSE,"March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wrn.All._.Sheets._2_3">{#N/A,#N/A,FALSE,"Totals";#N/A,#N/A,FALSE,"First-Of-Month";#N/A,#N/A,FALSE,"March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wrn.All._.Sheets._2_3_1" localSheetId="14">{#N/A,#N/A,FALSE,"Totals";#N/A,#N/A,FALSE,"First-Of-Month";#N/A,#N/A,FALSE,"March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wrn.All._.Sheets._2_3_1">{#N/A,#N/A,FALSE,"Totals";#N/A,#N/A,FALSE,"First-Of-Month";#N/A,#N/A,FALSE,"March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wrn.All._.Sheets._2_4" localSheetId="14">{#N/A,#N/A,FALSE,"Totals";#N/A,#N/A,FALSE,"First-Of-Month";#N/A,#N/A,FALSE,"March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wrn.All._.Sheets._2_4">{#N/A,#N/A,FALSE,"Totals";#N/A,#N/A,FALSE,"First-Of-Month";#N/A,#N/A,FALSE,"March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wrn.All._.Sheets._2_4_1" localSheetId="14">{#N/A,#N/A,FALSE,"Totals";#N/A,#N/A,FALSE,"First-Of-Month";#N/A,#N/A,FALSE,"March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wrn.All._.Sheets._2_4_1">{#N/A,#N/A,FALSE,"Totals";#N/A,#N/A,FALSE,"First-Of-Month";#N/A,#N/A,FALSE,"March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wrn.All._.Sheets._2_5" localSheetId="14">{#N/A,#N/A,FALSE,"Totals";#N/A,#N/A,FALSE,"First-Of-Month";#N/A,#N/A,FALSE,"March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wrn.All._.Sheets._2_5">{#N/A,#N/A,FALSE,"Totals";#N/A,#N/A,FALSE,"First-Of-Month";#N/A,#N/A,FALSE,"March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wrn.All._.Sheets._3" localSheetId="14">{#N/A,#N/A,FALSE,"Totals";#N/A,#N/A,FALSE,"First-Of-Month";#N/A,#N/A,FALSE,"March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wrn.All._.Sheets._3">{#N/A,#N/A,FALSE,"Totals";#N/A,#N/A,FALSE,"First-Of-Month";#N/A,#N/A,FALSE,"March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wrn.All._.Sheets._3_1" localSheetId="14">{#N/A,#N/A,FALSE,"Totals";#N/A,#N/A,FALSE,"First-Of-Month";#N/A,#N/A,FALSE,"March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wrn.All._.Sheets._3_1">{#N/A,#N/A,FALSE,"Totals";#N/A,#N/A,FALSE,"First-Of-Month";#N/A,#N/A,FALSE,"March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wrn.All._.Sheets._3_1_1" localSheetId="14">{#N/A,#N/A,FALSE,"Totals";#N/A,#N/A,FALSE,"First-Of-Month";#N/A,#N/A,FALSE,"March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wrn.All._.Sheets._3_1_1">{#N/A,#N/A,FALSE,"Totals";#N/A,#N/A,FALSE,"First-Of-Month";#N/A,#N/A,FALSE,"March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wrn.All._.Sheets._3_1_1_1" localSheetId="14">{#N/A,#N/A,FALSE,"Totals";#N/A,#N/A,FALSE,"First-Of-Month";#N/A,#N/A,FALSE,"March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wrn.All._.Sheets._3_1_1_1">{#N/A,#N/A,FALSE,"Totals";#N/A,#N/A,FALSE,"First-Of-Month";#N/A,#N/A,FALSE,"March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wrn.All._.Sheets._3_1_2" localSheetId="14">{#N/A,#N/A,FALSE,"Totals";#N/A,#N/A,FALSE,"First-Of-Month";#N/A,#N/A,FALSE,"March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wrn.All._.Sheets._3_1_2">{#N/A,#N/A,FALSE,"Totals";#N/A,#N/A,FALSE,"First-Of-Month";#N/A,#N/A,FALSE,"March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wrn.All._.Sheets._3_2" localSheetId="14">{#N/A,#N/A,FALSE,"Totals";#N/A,#N/A,FALSE,"First-Of-Month";#N/A,#N/A,FALSE,"March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wrn.All._.Sheets._3_2">{#N/A,#N/A,FALSE,"Totals";#N/A,#N/A,FALSE,"First-Of-Month";#N/A,#N/A,FALSE,"March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wrn.All._.Sheets._3_2_1" localSheetId="14">{#N/A,#N/A,FALSE,"Totals";#N/A,#N/A,FALSE,"First-Of-Month";#N/A,#N/A,FALSE,"March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wrn.All._.Sheets._3_2_1">{#N/A,#N/A,FALSE,"Totals";#N/A,#N/A,FALSE,"First-Of-Month";#N/A,#N/A,FALSE,"March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wrn.All._.Sheets._3_3" localSheetId="14">{#N/A,#N/A,FALSE,"Totals";#N/A,#N/A,FALSE,"First-Of-Month";#N/A,#N/A,FALSE,"March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wrn.All._.Sheets._3_3">{#N/A,#N/A,FALSE,"Totals";#N/A,#N/A,FALSE,"First-Of-Month";#N/A,#N/A,FALSE,"March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wrn.All._.Sheets._3_3_1" localSheetId="14">{#N/A,#N/A,FALSE,"Totals";#N/A,#N/A,FALSE,"First-Of-Month";#N/A,#N/A,FALSE,"March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wrn.All._.Sheets._3_3_1">{#N/A,#N/A,FALSE,"Totals";#N/A,#N/A,FALSE,"First-Of-Month";#N/A,#N/A,FALSE,"March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wrn.All._.Sheets._3_4" localSheetId="14">{#N/A,#N/A,FALSE,"Totals";#N/A,#N/A,FALSE,"First-Of-Month";#N/A,#N/A,FALSE,"March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wrn.All._.Sheets._3_4">{#N/A,#N/A,FALSE,"Totals";#N/A,#N/A,FALSE,"First-Of-Month";#N/A,#N/A,FALSE,"March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wrn.All._.Sheets._3_4_1" localSheetId="14">{#N/A,#N/A,FALSE,"Totals";#N/A,#N/A,FALSE,"First-Of-Month";#N/A,#N/A,FALSE,"March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wrn.All._.Sheets._3_4_1">{#N/A,#N/A,FALSE,"Totals";#N/A,#N/A,FALSE,"First-Of-Month";#N/A,#N/A,FALSE,"March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wrn.All._.Sheets._3_5" localSheetId="14">{#N/A,#N/A,FALSE,"Totals";#N/A,#N/A,FALSE,"First-Of-Month";#N/A,#N/A,FALSE,"March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wrn.All._.Sheets._3_5">{#N/A,#N/A,FALSE,"Totals";#N/A,#N/A,FALSE,"First-Of-Month";#N/A,#N/A,FALSE,"March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wrn.All._.Sheets._4" localSheetId="14">{#N/A,#N/A,FALSE,"Totals";#N/A,#N/A,FALSE,"First-Of-Month";#N/A,#N/A,FALSE,"March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wrn.All._.Sheets._4">{#N/A,#N/A,FALSE,"Totals";#N/A,#N/A,FALSE,"First-Of-Month";#N/A,#N/A,FALSE,"March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wrn.All._.Sheets._4_1" localSheetId="14">{#N/A,#N/A,FALSE,"Totals";#N/A,#N/A,FALSE,"First-Of-Month";#N/A,#N/A,FALSE,"March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wrn.All._.Sheets._4_1">{#N/A,#N/A,FALSE,"Totals";#N/A,#N/A,FALSE,"First-Of-Month";#N/A,#N/A,FALSE,"March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wrn.All._.Sheets._4_1_1" localSheetId="14">{#N/A,#N/A,FALSE,"Totals";#N/A,#N/A,FALSE,"First-Of-Month";#N/A,#N/A,FALSE,"March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wrn.All._.Sheets._4_1_1">{#N/A,#N/A,FALSE,"Totals";#N/A,#N/A,FALSE,"First-Of-Month";#N/A,#N/A,FALSE,"March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wrn.All._.Sheets._4_1_1_1" localSheetId="14">{#N/A,#N/A,FALSE,"Totals";#N/A,#N/A,FALSE,"First-Of-Month";#N/A,#N/A,FALSE,"March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wrn.All._.Sheets._4_1_1_1">{#N/A,#N/A,FALSE,"Totals";#N/A,#N/A,FALSE,"First-Of-Month";#N/A,#N/A,FALSE,"March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wrn.All._.Sheets._4_1_2" localSheetId="14">{#N/A,#N/A,FALSE,"Totals";#N/A,#N/A,FALSE,"First-Of-Month";#N/A,#N/A,FALSE,"March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wrn.All._.Sheets._4_1_2">{#N/A,#N/A,FALSE,"Totals";#N/A,#N/A,FALSE,"First-Of-Month";#N/A,#N/A,FALSE,"March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wrn.All._.Sheets._4_2" localSheetId="14">{#N/A,#N/A,FALSE,"Totals";#N/A,#N/A,FALSE,"First-Of-Month";#N/A,#N/A,FALSE,"March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wrn.All._.Sheets._4_2">{#N/A,#N/A,FALSE,"Totals";#N/A,#N/A,FALSE,"First-Of-Month";#N/A,#N/A,FALSE,"March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wrn.All._.Sheets._4_2_1" localSheetId="14">{#N/A,#N/A,FALSE,"Totals";#N/A,#N/A,FALSE,"First-Of-Month";#N/A,#N/A,FALSE,"March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wrn.All._.Sheets._4_2_1">{#N/A,#N/A,FALSE,"Totals";#N/A,#N/A,FALSE,"First-Of-Month";#N/A,#N/A,FALSE,"March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wrn.All._.Sheets._4_3" localSheetId="14">{#N/A,#N/A,FALSE,"Totals";#N/A,#N/A,FALSE,"First-Of-Month";#N/A,#N/A,FALSE,"March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wrn.All._.Sheets._4_3">{#N/A,#N/A,FALSE,"Totals";#N/A,#N/A,FALSE,"First-Of-Month";#N/A,#N/A,FALSE,"March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wrn.All._.Sheets._4_3_1" localSheetId="14">{#N/A,#N/A,FALSE,"Totals";#N/A,#N/A,FALSE,"First-Of-Month";#N/A,#N/A,FALSE,"March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wrn.All._.Sheets._4_3_1">{#N/A,#N/A,FALSE,"Totals";#N/A,#N/A,FALSE,"First-Of-Month";#N/A,#N/A,FALSE,"March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wrn.All._.Sheets._4_4" localSheetId="14">{#N/A,#N/A,FALSE,"Totals";#N/A,#N/A,FALSE,"First-Of-Month";#N/A,#N/A,FALSE,"March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wrn.All._.Sheets._4_4">{#N/A,#N/A,FALSE,"Totals";#N/A,#N/A,FALSE,"First-Of-Month";#N/A,#N/A,FALSE,"March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wrn.All._.Sheets._4_4_1" localSheetId="14">{#N/A,#N/A,FALSE,"Totals";#N/A,#N/A,FALSE,"First-Of-Month";#N/A,#N/A,FALSE,"March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wrn.All._.Sheets._4_4_1">{#N/A,#N/A,FALSE,"Totals";#N/A,#N/A,FALSE,"First-Of-Month";#N/A,#N/A,FALSE,"March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wrn.All._.Sheets._4_5" localSheetId="14">{#N/A,#N/A,FALSE,"Totals";#N/A,#N/A,FALSE,"First-Of-Month";#N/A,#N/A,FALSE,"March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wrn.All._.Sheets._4_5">{#N/A,#N/A,FALSE,"Totals";#N/A,#N/A,FALSE,"First-Of-Month";#N/A,#N/A,FALSE,"March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wrn.All._.Sheets._5" localSheetId="14">{#N/A,#N/A,FALSE,"Totals";#N/A,#N/A,FALSE,"First-Of-Month";#N/A,#N/A,FALSE,"March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wrn.All._.Sheets._5">{#N/A,#N/A,FALSE,"Totals";#N/A,#N/A,FALSE,"First-Of-Month";#N/A,#N/A,FALSE,"March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wrn.All._.Sheets._5_1" localSheetId="14">{#N/A,#N/A,FALSE,"Totals";#N/A,#N/A,FALSE,"First-Of-Month";#N/A,#N/A,FALSE,"March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wrn.All._.Sheets._5_1">{#N/A,#N/A,FALSE,"Totals";#N/A,#N/A,FALSE,"First-Of-Month";#N/A,#N/A,FALSE,"March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wrn.All._.Sheets._5_1_1" localSheetId="14">{#N/A,#N/A,FALSE,"Totals";#N/A,#N/A,FALSE,"First-Of-Month";#N/A,#N/A,FALSE,"March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wrn.All._.Sheets._5_1_1">{#N/A,#N/A,FALSE,"Totals";#N/A,#N/A,FALSE,"First-Of-Month";#N/A,#N/A,FALSE,"March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wrn.All._.Sheets._5_1_1_1" localSheetId="14">{#N/A,#N/A,FALSE,"Totals";#N/A,#N/A,FALSE,"First-Of-Month";#N/A,#N/A,FALSE,"March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wrn.All._.Sheets._5_1_1_1">{#N/A,#N/A,FALSE,"Totals";#N/A,#N/A,FALSE,"First-Of-Month";#N/A,#N/A,FALSE,"March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wrn.All._.Sheets._5_1_2" localSheetId="14">{#N/A,#N/A,FALSE,"Totals";#N/A,#N/A,FALSE,"First-Of-Month";#N/A,#N/A,FALSE,"March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wrn.All._.Sheets._5_1_2">{#N/A,#N/A,FALSE,"Totals";#N/A,#N/A,FALSE,"First-Of-Month";#N/A,#N/A,FALSE,"March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wrn.All._.Sheets._5_2" localSheetId="14">{#N/A,#N/A,FALSE,"Totals";#N/A,#N/A,FALSE,"First-Of-Month";#N/A,#N/A,FALSE,"March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wrn.All._.Sheets._5_2">{#N/A,#N/A,FALSE,"Totals";#N/A,#N/A,FALSE,"First-Of-Month";#N/A,#N/A,FALSE,"March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wrn.All._.Sheets._5_2_1" localSheetId="14">{#N/A,#N/A,FALSE,"Totals";#N/A,#N/A,FALSE,"First-Of-Month";#N/A,#N/A,FALSE,"March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wrn.All._.Sheets._5_2_1">{#N/A,#N/A,FALSE,"Totals";#N/A,#N/A,FALSE,"First-Of-Month";#N/A,#N/A,FALSE,"March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wrn.All._.Sheets._5_3" localSheetId="14">{#N/A,#N/A,FALSE,"Totals";#N/A,#N/A,FALSE,"First-Of-Month";#N/A,#N/A,FALSE,"March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wrn.All._.Sheets._5_3">{#N/A,#N/A,FALSE,"Totals";#N/A,#N/A,FALSE,"First-Of-Month";#N/A,#N/A,FALSE,"March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wrn.All._.Sheets._5_3_1" localSheetId="14">{#N/A,#N/A,FALSE,"Totals";#N/A,#N/A,FALSE,"First-Of-Month";#N/A,#N/A,FALSE,"March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wrn.All._.Sheets._5_3_1">{#N/A,#N/A,FALSE,"Totals";#N/A,#N/A,FALSE,"First-Of-Month";#N/A,#N/A,FALSE,"March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wrn.All._.Sheets._5_4" localSheetId="14">{#N/A,#N/A,FALSE,"Totals";#N/A,#N/A,FALSE,"First-Of-Month";#N/A,#N/A,FALSE,"March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wrn.All._.Sheets._5_4">{#N/A,#N/A,FALSE,"Totals";#N/A,#N/A,FALSE,"First-Of-Month";#N/A,#N/A,FALSE,"March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wrn.All._.Sheets._5_4_1" localSheetId="14">{#N/A,#N/A,FALSE,"Totals";#N/A,#N/A,FALSE,"First-Of-Month";#N/A,#N/A,FALSE,"March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wrn.All._.Sheets._5_4_1">{#N/A,#N/A,FALSE,"Totals";#N/A,#N/A,FALSE,"First-Of-Month";#N/A,#N/A,FALSE,"March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wrn.All._.Sheets._5_5" localSheetId="14">{#N/A,#N/A,FALSE,"Totals";#N/A,#N/A,FALSE,"First-Of-Month";#N/A,#N/A,FALSE,"March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wrn.All._.Sheets._5_5">{#N/A,#N/A,FALSE,"Totals";#N/A,#N/A,FALSE,"First-Of-Month";#N/A,#N/A,FALSE,"March 1-2";#N/A,#N/A,FALSE,"March 3";#N/A,#N/A,FALSE,"March 4";#N/A,#N/A,FALSE,"March 5";#N/A,#N/A,FALSE,"March 6";#N/A,#N/A,FALSE,"March 7-9";#N/A,#N/A,FALSE,"March 10";#N/A,#N/A,FALSE,"March 11";#N/A,#N/A,FALSE,"March 12";#N/A,#N/A,FALSE,"March 13";#N/A,#N/A,FALSE,"March 14-16";#N/A,#N/A,FALSE,"March 17";#N/A,#N/A,FALSE,"March 18";#N/A,#N/A,FALSE,"March 19";#N/A,#N/A,FALSE,"March 20";#N/A,#N/A,FALSE,"March 21-23";#N/A,#N/A,FALSE,"March 24"}</definedName>
    <definedName name="wrn.allowrates." localSheetId="14">{"rates",#N/A,FALSE,"COSSUM"}</definedName>
    <definedName name="wrn.allowrates.">{"rates",#N/A,FALSE,"COSSUM"}</definedName>
    <definedName name="wrn.Amort._.History." localSheetId="14">{"Capitalized Costs",#N/A,FALSE,"Goodwill&amp;Cap Costs";"Goodwill",#N/A,FALSE,"Goodwill&amp;Cap Costs"}</definedName>
    <definedName name="wrn.Amort._.History.">{"Capitalized Costs",#N/A,FALSE,"Goodwill&amp;Cap Costs";"Goodwill",#N/A,FALSE,"Goodwill&amp;Cap Costs"}</definedName>
    <definedName name="wrn.Amort._.HistoryNew." localSheetId="14">{"Capitalized Costs",#N/A,FALSE,"Goodwill&amp;Cap Costs";"Goodwill",#N/A,FALSE,"Goodwill&amp;Cap Costs"}</definedName>
    <definedName name="wrn.Amort._.HistoryNew.">{"Capitalized Costs",#N/A,FALSE,"Goodwill&amp;Cap Costs";"Goodwill",#N/A,FALSE,"Goodwill&amp;Cap Costs"}</definedName>
    <definedName name="wrn.Annual." localSheetId="14">{"Consol Annual",#N/A,FALSE,"Consolidated Report";"O&amp;R Annual",#N/A,FALSE,"Consolidated Report";"RE Annual",#N/A,FALSE,"Consolidated Report";"PK Annual",#N/A,FALSE,"Consolidated Report"}</definedName>
    <definedName name="wrn.Annual.">{"Consol Annual",#N/A,FALSE,"Consolidated Report";"O&amp;R Annual",#N/A,FALSE,"Consolidated Report";"RE Annual",#N/A,FALSE,"Consolidated Report";"PK Annual",#N/A,FALSE,"Consolidated Report"}</definedName>
    <definedName name="wrn.Annual._.Del._.Rev." localSheetId="14">{"Consol Del Rev Annual",#N/A,FALSE,"Del Rev Summary";"O&amp;R Del Rev Annual",#N/A,FALSE,"Del Rev Summary";"RE Del Rev Annual",#N/A,FALSE,"Del Rev Summary";"PK Del Rev Annual",#N/A,FALSE,"Del Rev Summary";"O&amp;R Billed Del Rev Annual",#N/A,FALSE,"Del Rev Summary";"O&amp;R Unbilled Del Rev Annual",#N/A,FALSE,"Del Rev Summary";"RE Billed Del Rev Annual",#N/A,FALSE,"Del Rev Summary";"RE Unbilled Del Rev Annual",#N/A,FALSE,"Del Rev Summary";"PK Billed Del Rev Annual",#N/A,FALSE,"Pike Billed Rev";"PK Unbilled Del Rev Annual",#N/A,FALSE,"Del Rev Summary"}</definedName>
    <definedName name="wrn.Annual._.Del._.Rev.">{"Consol Del Rev Annual",#N/A,FALSE,"Del Rev Summary";"O&amp;R Del Rev Annual",#N/A,FALSE,"Del Rev Summary";"RE Del Rev Annual",#N/A,FALSE,"Del Rev Summary";"PK Del Rev Annual",#N/A,FALSE,"Del Rev Summary";"O&amp;R Billed Del Rev Annual",#N/A,FALSE,"Del Rev Summary";"O&amp;R Unbilled Del Rev Annual",#N/A,FALSE,"Del Rev Summary";"RE Billed Del Rev Annual",#N/A,FALSE,"Del Rev Summary";"RE Unbilled Del Rev Annual",#N/A,FALSE,"Del Rev Summary";"PK Billed Del Rev Annual",#N/A,FALSE,"Pike Billed Rev";"PK Unbilled Del Rev Annual",#N/A,FALSE,"Del Rev Summary"}</definedName>
    <definedName name="wrn.Annual._.Del._.Sales." localSheetId="14">{"Consol Del Sales Annual",#N/A,FALSE,"Del Rev Summary";"O&amp;R Del Sales Annual",#N/A,FALSE,"Del Rev Summary";"RE Del Sales Annual",#N/A,FALSE,"Del Rev Summary";"PK Del Sales Annual",#N/A,FALSE,"Del Rev Summary";"O&amp;R Billed Del Sales Annual",#N/A,FALSE,"Del Rev Summary";"O&amp;R Unbilled Del Sales Annual",#N/A,FALSE,"Del Rev Summary";"RE Billed Del Sales Annual",#N/A,FALSE,"Del Rev Summary";"RE Unbilled Del Sales Annual",#N/A,FALSE,"Del Rev Summary";"PK Billed Del Sales Annual",#N/A,FALSE,"Del Rev Summary";"PK Unbilled Del Sales Annual",#N/A,FALSE,"Del Rev Summary"}</definedName>
    <definedName name="wrn.Annual._.Del._.Sales.">{"Consol Del Sales Annual",#N/A,FALSE,"Del Rev Summary";"O&amp;R Del Sales Annual",#N/A,FALSE,"Del Rev Summary";"RE Del Sales Annual",#N/A,FALSE,"Del Rev Summary";"PK Del Sales Annual",#N/A,FALSE,"Del Rev Summary";"O&amp;R Billed Del Sales Annual",#N/A,FALSE,"Del Rev Summary";"O&amp;R Unbilled Del Sales Annual",#N/A,FALSE,"Del Rev Summary";"RE Billed Del Sales Annual",#N/A,FALSE,"Del Rev Summary";"RE Unbilled Del Sales Annual",#N/A,FALSE,"Del Rev Summary";"PK Billed Del Sales Annual",#N/A,FALSE,"Del Rev Summary";"PK Unbilled Del Sales Annual",#N/A,FALSE,"Del Rev Summary"}</definedName>
    <definedName name="wrn.Annual._.Rate._.Years." localSheetId="14">{"OE Rate Years",#N/A,FALSE,"O&amp;R";"OG Rate Years",#N/A,FALSE,"O&amp;R";"RE Rate Years",#N/A,FALSE,"O&amp;R";"PE Rate Years",#N/A,FALSE,"O&amp;R";"PG Rate Years",#N/A,FALSE,"O&amp;R"}</definedName>
    <definedName name="wrn.Annual._.Rate._.Years.">{"OE Rate Years",#N/A,FALSE,"O&amp;R";"OG Rate Years",#N/A,FALSE,"O&amp;R";"RE Rate Years",#N/A,FALSE,"O&amp;R";"PE Rate Years",#N/A,FALSE,"O&amp;R";"PG Rate Years",#N/A,FALSE,"O&amp;R"}</definedName>
    <definedName name="wrn.Apr._.2003." localSheetId="14">{"Apr Actual Margin Calc",#N/A,FALSE,"Apr";"Apr Gas Gross Mar Act vs Budget",#N/A,FALSE,"Apr";"Apr Budget vs Normalized Var",#N/A,FALSE,"Apr";"Apr Budget vs Actual Var",#N/A,FALSE,"Apr";"Apr Budget Breakdown",#N/A,FALSE,"Apr";"Apr Variance anal by comp1",#N/A,FALSE,"Apr";"Apr var analy by comp2",#N/A,FALSE,"Apr";"Apr weath norm revenue margin",#N/A,FALSE,"Apr";"Apr budget vs norm margin var",#N/A,FALSE,"Apr";"Apr Act vs Act Margin Var",#N/A,FALSE,"Apr";"Apr norm vs norm var",#N/A,FALSE,"Apr";"Apr Gas Gross Mar Act vs Act",#N/A,FALSE,"Apr";"Apr Therm comparison",#N/A,FALSE,"Apr";"Apr Therms",#N/A,FALSE,"Apr"}</definedName>
    <definedName name="wrn.Apr._.2003.">{"Apr Actual Margin Calc",#N/A,FALSE,"Apr";"Apr Gas Gross Mar Act vs Budget",#N/A,FALSE,"Apr";"Apr Budget vs Normalized Var",#N/A,FALSE,"Apr";"Apr Budget vs Actual Var",#N/A,FALSE,"Apr";"Apr Budget Breakdown",#N/A,FALSE,"Apr";"Apr Variance anal by comp1",#N/A,FALSE,"Apr";"Apr var analy by comp2",#N/A,FALSE,"Apr";"Apr weath norm revenue margin",#N/A,FALSE,"Apr";"Apr budget vs norm margin var",#N/A,FALSE,"Apr";"Apr Act vs Act Margin Var",#N/A,FALSE,"Apr";"Apr norm vs norm var",#N/A,FALSE,"Apr";"Apr Gas Gross Mar Act vs Act",#N/A,FALSE,"Apr";"Apr Therm comparison",#N/A,FALSE,"Apr";"Apr Therms",#N/A,FALSE,"Apr"}</definedName>
    <definedName name="wrn.April._.2003._.Report." localSheetId="14">{"Apr Gas Gross Mar Act vs Budget",#N/A,TRUE,"Apr";"Apr Gas Gross Mar Act vs Act",#N/A,TRUE,"Apr";"Apr Therm comparison",#N/A,TRUE,"Apr";"Apr Actual Margin Calc",#N/A,TRUE,"Apr";"Apr Budget vs Normalized Var",#N/A,TRUE,"Apr";"apr bud vs act margin var",#N/A,TRUE,"Apr";"Apr Budget Breakdown",#N/A,TRUE,"Apr";"Apr Variance anal by comp1",#N/A,TRUE,"Apr";"Apr var analy by comp2",#N/A,TRUE,"Apr";"Apr Act vs Act Margin Var",#N/A,TRUE,"Apr";"Apr norm vs norm var",#N/A,TRUE,"Apr"}</definedName>
    <definedName name="wrn.April._.2003._.Report.">{"Apr Gas Gross Mar Act vs Budget",#N/A,TRUE,"Apr";"Apr Gas Gross Mar Act vs Act",#N/A,TRUE,"Apr";"Apr Therm comparison",#N/A,TRUE,"Apr";"Apr Actual Margin Calc",#N/A,TRUE,"Apr";"Apr Budget vs Normalized Var",#N/A,TRUE,"Apr";"apr bud vs act margin var",#N/A,TRUE,"Apr";"Apr Budget Breakdown",#N/A,TRUE,"Apr";"Apr Variance anal by comp1",#N/A,TRUE,"Apr";"Apr var analy by comp2",#N/A,TRUE,"Apr";"Apr Act vs Act Margin Var",#N/A,TRUE,"Apr";"Apr norm vs norm var",#N/A,TRUE,"Apr"}</definedName>
    <definedName name="wrn.August._.1._.2003._.Rate._.Change." localSheetId="14">{"JFJ-1",#N/A,FALSE,"JFJ-1 Deferral Recovery Rate";"JFJ-2",#N/A,FALSE,"JFJ-2 NNC Rates";"JFJ-3",#N/A,FALSE,"JFJ-3 MTC Rate";"JFJ-4",#N/A,FALSE,"JFJ-4 CEP Rate";"JFJ-5",#N/A,FALSE,"JFJ-5 USF Rate";"JFJ-6",#N/A,FALSE,"JFJ-6 CRA Rate";"JFJ-7",#N/A,FALSE,"JFJ-7 2003 Rate Impact Summary";"JFJ-8",#N/A,FALSE,"ACE 25 Year Sales Forecast"}</definedName>
    <definedName name="wrn.August._.1._.2003._.Rate._.Change.">{"JFJ-1",#N/A,FALSE,"JFJ-1 Deferral Recovery Rate";"JFJ-2",#N/A,FALSE,"JFJ-2 NNC Rates";"JFJ-3",#N/A,FALSE,"JFJ-3 MTC Rate";"JFJ-4",#N/A,FALSE,"JFJ-4 CEP Rate";"JFJ-5",#N/A,FALSE,"JFJ-5 USF Rate";"JFJ-6",#N/A,FALSE,"JFJ-6 CRA Rate";"JFJ-7",#N/A,FALSE,"JFJ-7 2003 Rate Impact Summary";"JFJ-8",#N/A,FALSE,"ACE 25 Year Sales Forecast"}</definedName>
    <definedName name="wrn.August._.2003." localSheetId="14">{"Aug Gas Gross Margin Act vs Act",#N/A,FALSE,"Aug";"Aug Gas Gross Margin Act vs Budget",#N/A,FALSE,"Aug";"Aug Norm vs Norm var anal",#N/A,FALSE,"Aug";"Aug Act vs Act Var",#N/A,FALSE,"Aug";"Aug Budget vs Nor",#N/A,FALSE,"Aug";"Aug Act Margin Var WNA",#N/A,FALSE,"Aug";"Aug WNA Margin",#N/A,FALSE,"Aug";"Aug Var anal part 2",#N/A,FALSE,"Aug";"Aug Var by component",#N/A,FALSE,"Aug";"Aug Budget Breakdown",#N/A,FALSE,"Aug";"Aug Act Margin Calc",#N/A,FALSE,"Aug";"Aug GG Act vs Act",#N/A,FALSE,"Aug";"Aug GG Act vs Budget",#N/A,FALSE,"Aug"}</definedName>
    <definedName name="wrn.August._.2003.">{"Aug Gas Gross Margin Act vs Act",#N/A,FALSE,"Aug";"Aug Gas Gross Margin Act vs Budget",#N/A,FALSE,"Aug";"Aug Norm vs Norm var anal",#N/A,FALSE,"Aug";"Aug Act vs Act Var",#N/A,FALSE,"Aug";"Aug Budget vs Nor",#N/A,FALSE,"Aug";"Aug Act Margin Var WNA",#N/A,FALSE,"Aug";"Aug WNA Margin",#N/A,FALSE,"Aug";"Aug Var anal part 2",#N/A,FALSE,"Aug";"Aug Var by component",#N/A,FALSE,"Aug";"Aug Budget Breakdown",#N/A,FALSE,"Aug";"Aug Act Margin Calc",#N/A,FALSE,"Aug";"Aug GG Act vs Act",#N/A,FALSE,"Aug";"Aug GG Act vs Budget",#N/A,FALSE,"Aug"}</definedName>
    <definedName name="wrn.Basic." localSheetId="14">{#N/A,#N/A,FALSE,"O&amp;M by processes";#N/A,#N/A,FALSE,"Elec Act vs Bud";#N/A,#N/A,FALSE,"G&amp;A";#N/A,#N/A,FALSE,"BGS";#N/A,#N/A,FALSE,"Res Cost"}</definedName>
    <definedName name="wrn.Basic.">{#N/A,#N/A,FALSE,"O&amp;M by processes";#N/A,#N/A,FALSE,"Elec Act vs Bud";#N/A,#N/A,FALSE,"G&amp;A";#N/A,#N/A,FALSE,"BGS";#N/A,#N/A,FALSE,"Res Cost"}</definedName>
    <definedName name="wrn.Bill._.Comparisions." localSheetId="14">{"Page 1",#N/A,FALSE,"SC1";"Page 2",#N/A,FALSE,"SC1";"Page 3",#N/A,FALSE,"SC1";"Page 4",#N/A,FALSE,"SC1";"Page 5",#N/A,FALSE,"SC2 Pri";"Page 6",#N/A,FALSE,"SC2 Pri";"Page 7",#N/A,FALSE,"SC5";"Page 8",#N/A,FALSE,"SC7";"Page 9",#N/A,FALSE,"SC7";"Page 10",#N/A,FALSE,"SC7"}</definedName>
    <definedName name="wrn.Bill._.Comparisions.">{"Page 1",#N/A,FALSE,"SC1";"Page 2",#N/A,FALSE,"SC1";"Page 3",#N/A,FALSE,"SC1";"Page 4",#N/A,FALSE,"SC1";"Page 5",#N/A,FALSE,"SC2 Pri";"Page 6",#N/A,FALSE,"SC2 Pri";"Page 7",#N/A,FALSE,"SC5";"Page 8",#N/A,FALSE,"SC7";"Page 9",#N/A,FALSE,"SC7";"Page 10",#N/A,FALSE,"SC7"}</definedName>
    <definedName name="wrn.Book." localSheetId="14">{"EVA",#N/A,FALSE,"SMT2";#N/A,#N/A,FALSE,"Summary";#N/A,#N/A,FALSE,"Graphs";#N/A,#N/A,FALSE,"4 Panel"}</definedName>
    <definedName name="wrn.Book.">{"EVA",#N/A,FALSE,"SMT2";#N/A,#N/A,FALSE,"Summary";#N/A,#N/A,FALSE,"Graphs";#N/A,#N/A,FALSE,"4 Panel"}</definedName>
    <definedName name="wrn.Calcs." localSheetId="14">{#N/A,#N/A,FALSE,"Distribution";#N/A,#N/A,FALSE,"Transmission";#N/A,#N/A,FALSE,"Transmission_NoShop";#N/A,#N/A,FALSE,"Energy_Capacity";#N/A,#N/A,FALSE,"Energy_Capacity_NoShop";#N/A,#N/A,FALSE,"CTC";#N/A,#N/A,FALSE,"ITC"}</definedName>
    <definedName name="wrn.Calcs.">{#N/A,#N/A,FALSE,"Distribution";#N/A,#N/A,FALSE,"Transmission";#N/A,#N/A,FALSE,"Transmission_NoShop";#N/A,#N/A,FALSE,"Energy_Capacity";#N/A,#N/A,FALSE,"Energy_Capacity_NoShop";#N/A,#N/A,FALSE,"CTC";#N/A,#N/A,FALSE,"ITC"}</definedName>
    <definedName name="wrn.CapersPlotter." localSheetId="14">{#N/A,#N/A,FALSE,"DI 2 YEAR MASTER SCHEDULE"}</definedName>
    <definedName name="wrn.CapersPlotter.">{#N/A,#N/A,FALSE,"DI 2 YEAR MASTER SCHEDULE"}</definedName>
    <definedName name="wrn.Cash._.Products." localSheetId="14">{"Cash - Products",#N/A,FALSE,"SUB BS Flux"}</definedName>
    <definedName name="wrn.Cash._.Products.">{"Cash - Products",#N/A,FALSE,"SUB BS Flux"}</definedName>
    <definedName name="wrn.ChartSet." localSheetId="14">{#N/A,#N/A,FALSE,"Elec Deliv";#N/A,#N/A,FALSE,"Atlantic Pie";#N/A,#N/A,FALSE,"Bay Pie";#N/A,#N/A,FALSE,"New Castle Pie";#N/A,#N/A,FALSE,"Transmission Pie"}</definedName>
    <definedName name="wrn.ChartSet.">{#N/A,#N/A,FALSE,"Elec Deliv";#N/A,#N/A,FALSE,"Atlantic Pie";#N/A,#N/A,FALSE,"Bay Pie";#N/A,#N/A,FALSE,"New Castle Pie";#N/A,#N/A,FALSE,"Transmission Pie"}</definedName>
    <definedName name="wrn.Client._.Deliverable._.Jen" localSheetId="14">{#N/A,#N/A,FALSE,"OIT ee contribs 00";#N/A,#N/A,FALSE,"OITeecontribs-DentalVision";#N/A,#N/A,FALSE,"OIT-pc01";#N/A,#N/A,FALSE,"pc-dent&amp;vision01";#N/A,#N/A,FALSE,"OIT-tc01";#N/A,#N/A,FALSE,"tc-dent&amp;vision01"}</definedName>
    <definedName name="wrn.Client._.Deliverable._.Jen">{#N/A,#N/A,FALSE,"OIT ee contribs 00";#N/A,#N/A,FALSE,"OITeecontribs-DentalVision";#N/A,#N/A,FALSE,"OIT-pc01";#N/A,#N/A,FALSE,"pc-dent&amp;vision01";#N/A,#N/A,FALSE,"OIT-tc01";#N/A,#N/A,FALSE,"tc-dent&amp;vision01"}</definedName>
    <definedName name="wrn.Client._.Deliverable._.Scenario._.1." localSheetId="14">{#N/A,#N/A,FALSE,"OIT ee contribs 00";#N/A,#N/A,FALSE,"OITeecontribs-DentalVision";#N/A,#N/A,FALSE,"OIT-pc01";#N/A,#N/A,FALSE,"pc-dent&amp;vision01";#N/A,#N/A,FALSE,"OIT-tc01";#N/A,#N/A,FALSE,"tc-dent&amp;vision01"}</definedName>
    <definedName name="wrn.Client._.Deliverable._.Scenario._.1.">{#N/A,#N/A,FALSE,"OIT ee contribs 00";#N/A,#N/A,FALSE,"OITeecontribs-DentalVision";#N/A,#N/A,FALSE,"OIT-pc01";#N/A,#N/A,FALSE,"pc-dent&amp;vision01";#N/A,#N/A,FALSE,"OIT-tc01";#N/A,#N/A,FALSE,"tc-dent&amp;vision01"}</definedName>
    <definedName name="wrn.Client._.Deliverable._.Scenario._.2." localSheetId="14">{#N/A,#N/A,FALSE,"OIT ee contribs 00";#N/A,#N/A,FALSE,"OITeecontribs-DentalVision";#N/A,#N/A,FALSE,"OIT-pc01";#N/A,#N/A,FALSE,"pc-dent&amp;vision01";#N/A,#N/A,FALSE,"OIT-tc01";#N/A,#N/A,FALSE,"tc-dent&amp;vision01"}</definedName>
    <definedName name="wrn.Client._.Deliverable._.Scenario._.2.">{#N/A,#N/A,FALSE,"OIT ee contribs 00";#N/A,#N/A,FALSE,"OITeecontribs-DentalVision";#N/A,#N/A,FALSE,"OIT-pc01";#N/A,#N/A,FALSE,"pc-dent&amp;vision01";#N/A,#N/A,FALSE,"OIT-tc01";#N/A,#N/A,FALSE,"tc-dent&amp;vision01"}</definedName>
    <definedName name="wrn.Client._.Deliverables._.Baseline." localSheetId="14">{#N/A,#N/A,FALSE,"OIT ee contribs 00";#N/A,#N/A,FALSE,"OITeecontribs-DentalVision";#N/A,#N/A,FALSE,"OIT-pc00";#N/A,#N/A,FALSE,"OIT-pc01";#N/A,#N/A,FALSE,"pc-dent&amp;vision00";#N/A,#N/A,FALSE,"pc-dent&amp;vision01";#N/A,#N/A,FALSE,"OIT-tc00";#N/A,#N/A,FALSE,"OIT-tc01";#N/A,#N/A,FALSE,"tc-dent&amp;vision00";#N/A,#N/A,FALSE,"tc-dent&amp;vision01"}</definedName>
    <definedName name="wrn.Client._.Deliverables._.Baseline.">{#N/A,#N/A,FALSE,"OIT ee contribs 00";#N/A,#N/A,FALSE,"OITeecontribs-DentalVision";#N/A,#N/A,FALSE,"OIT-pc00";#N/A,#N/A,FALSE,"OIT-pc01";#N/A,#N/A,FALSE,"pc-dent&amp;vision00";#N/A,#N/A,FALSE,"pc-dent&amp;vision01";#N/A,#N/A,FALSE,"OIT-tc00";#N/A,#N/A,FALSE,"OIT-tc01";#N/A,#N/A,FALSE,"tc-dent&amp;vision00";#N/A,#N/A,FALSE,"tc-dent&amp;vision01"}</definedName>
    <definedName name="wrn.Complete." localSheetId="14">{#N/A,#N/A,FALSE,"SMT1";#N/A,#N/A,FALSE,"SMT2";#N/A,#N/A,FALSE,"Summary";#N/A,#N/A,FALSE,"Graphs";#N/A,#N/A,FALSE,"4 Panel"}</definedName>
    <definedName name="wrn.Complete.">{#N/A,#N/A,FALSE,"SMT1";#N/A,#N/A,FALSE,"SMT2";#N/A,#N/A,FALSE,"Summary";#N/A,#N/A,FALSE,"Graphs";#N/A,#N/A,FALSE,"4 Panel"}</definedName>
    <definedName name="wrn.Complete._.Set." localSheetId="14">{#N/A,#N/A,FALSE,"Full";#N/A,#N/A,FALSE,"Half";#N/A,#N/A,FALSE,"Op Expenses";#N/A,#N/A,FALSE,"Cap Charge";#N/A,#N/A,FALSE,"Cost C";#N/A,#N/A,FALSE,"PP&amp;E";#N/A,#N/A,FALSE,"R&amp;D"}</definedName>
    <definedName name="wrn.Complete._.Set.">{#N/A,#N/A,FALSE,"Full";#N/A,#N/A,FALSE,"Half";#N/A,#N/A,FALSE,"Op Expenses";#N/A,#N/A,FALSE,"Cap Charge";#N/A,#N/A,FALSE,"Cost C";#N/A,#N/A,FALSE,"PP&amp;E";#N/A,#N/A,FALSE,"R&amp;D"}</definedName>
    <definedName name="wrn.COS." localSheetId="14">{"detail",#N/A,FALSE,"COSSUM"}</definedName>
    <definedName name="wrn.COS.">{"detail",#N/A,FALSE,"COSSUM"}</definedName>
    <definedName name="wrn.Data._.dump." localSheetId="14">{"Input Data",#N/A,FALSE,"Input";"Income and Cash Flow",#N/A,FALSE,"Calculations"}</definedName>
    <definedName name="wrn.Data._.dump.">{"Input Data",#N/A,FALSE,"Input";"Income and Cash Flow",#N/A,FALSE,"Calculations"}</definedName>
    <definedName name="wrn.Data_Sheets." localSheetId="14">{#N/A,#N/A,FALSE,"KWH";#N/A,#N/A,FALSE,"Source_Data_Values";#N/A,#N/A,FALSE,"Source_Data_Values_NoShopping"}</definedName>
    <definedName name="wrn.Data_Sheets.">{#N/A,#N/A,FALSE,"KWH";#N/A,#N/A,FALSE,"Source_Data_Values";#N/A,#N/A,FALSE,"Source_Data_Values_NoShopping"}</definedName>
    <definedName name="wrn.data0106.pages." localSheetId="14">{#N/A,#N/A,FALSE,"Sheet_1";#N/A,#N/A,FALSE,"Sheet_2";#N/A,#N/A,FALSE,"Sheet_3";#N/A,#N/A,FALSE,"Sheet_4";#N/A,#N/A,FALSE,"Sheet_5";#N/A,#N/A,FALSE,"Sheet_6"}</definedName>
    <definedName name="wrn.data0106.pages.">{#N/A,#N/A,FALSE,"Sheet_1";#N/A,#N/A,FALSE,"Sheet_2";#N/A,#N/A,FALSE,"Sheet_3";#N/A,#N/A,FALSE,"Sheet_4";#N/A,#N/A,FALSE,"Sheet_5";#N/A,#N/A,FALSE,"Sheet_6"}</definedName>
    <definedName name="wrn.Debt._.Expense." localSheetId="14">{"Worksheet",#N/A,FALSE,"Sheet1"}</definedName>
    <definedName name="wrn.Debt._.Expense.">{"Worksheet",#N/A,FALSE,"Sheet1"}</definedName>
    <definedName name="wrn.Dec._.2003." localSheetId="14">{"Dec Therms",#N/A,FALSE,"Dec";"Dec Gas Gross Margin Act vs Act",#N/A,FALSE,"Dec";"Dec Gas Gross Margin Actual vs Budget",#N/A,FALSE,"Dec";"Dec Normalized vs Normalized WNA",#N/A,FALSE,"Dec";"Dec Actual vs Actual WNA",#N/A,FALSE,"Dec";"Dec Budget vs Normalized WNA",#N/A,FALSE,"Dec";"Dec Budget vs Actual WNC",#N/A,FALSE,"Dec";"Dec Weather Normalization",#N/A,FALSE,"Dec";"Dec Variance Analysis Part 2",#N/A,FALSE,"Dec";"Dec Variance analysis part 1",#N/A,FALSE,"Dec";"Dec Budget Breakdown",#N/A,FALSE,"Dec";"Dec Actual Margin Calculation",#N/A,FALSE,"Dec"}</definedName>
    <definedName name="wrn.Dec._.2003.">{"Dec Therms",#N/A,FALSE,"Dec";"Dec Gas Gross Margin Act vs Act",#N/A,FALSE,"Dec";"Dec Gas Gross Margin Actual vs Budget",#N/A,FALSE,"Dec";"Dec Normalized vs Normalized WNA",#N/A,FALSE,"Dec";"Dec Actual vs Actual WNA",#N/A,FALSE,"Dec";"Dec Budget vs Normalized WNA",#N/A,FALSE,"Dec";"Dec Budget vs Actual WNC",#N/A,FALSE,"Dec";"Dec Weather Normalization",#N/A,FALSE,"Dec";"Dec Variance Analysis Part 2",#N/A,FALSE,"Dec";"Dec Variance analysis part 1",#N/A,FALSE,"Dec";"Dec Budget Breakdown",#N/A,FALSE,"Dec";"Dec Actual Margin Calculation",#N/A,FALSE,"Dec"}</definedName>
    <definedName name="wrn.Deferral._.Forecast." localSheetId="14">{"Summary Deferral Forecast",#N/A,FALSE,"Deferral Forecast";"BGS Deferral Forecast",#N/A,FALSE,"BGS Deferral";"NNC Deferral Forecast",#N/A,FALSE,"NNC Deferral";"MTCDeferralForecast",#N/A,FALSE,"MTC Deferral";"SBC Deferral Forecast",#N/A,FALSE,"SBC Deferral"}</definedName>
    <definedName name="wrn.Deferral._.Forecast.">{"Summary Deferral Forecast",#N/A,FALSE,"Deferral Forecast";"BGS Deferral Forecast",#N/A,FALSE,"BGS Deferral";"NNC Deferral Forecast",#N/A,FALSE,"NNC Deferral";"MTCDeferralForecast",#N/A,FALSE,"MTC Deferral";"SBC Deferral Forecast",#N/A,FALSE,"SBC Deferral"}</definedName>
    <definedName name="wrn.Del._.Rev._.Rpt." localSheetId="14">{"Del Rev 5 Yrs",#N/A,FALSE,"Del Rev Summary";"Del Rev  Yr1",#N/A,FALSE,"Del Rev Summary"}</definedName>
    <definedName name="wrn.Del._.Rev._.Rpt.">{"Del Rev 5 Yrs",#N/A,FALSE,"Del Rev Summary";"Del Rev  Yr1",#N/A,FALSE,"Del Rev Summary"}</definedName>
    <definedName name="wrn.Dept_Income_Statement." localSheetId="14">{#N/A,#N/A,FALSE,"Month";#N/A,#N/A,FALSE,"Period";#N/A,#N/A,FALSE,"12 Month";#N/A,#N/A,FALSE,"Quarter"}</definedName>
    <definedName name="wrn.Dept_Income_Statement.">{#N/A,#N/A,FALSE,"Month";#N/A,#N/A,FALSE,"Period";#N/A,#N/A,FALSE,"12 Month";#N/A,#N/A,FALSE,"Quarter"}</definedName>
    <definedName name="wrn.Detail." localSheetId="14">{#N/A,#N/A,FALSE,"O&amp;R Rpt Month";#N/A,#N/A,FALSE,"RECO Rpt Month";#N/A,#N/A,FALSE,"PIKE Rpt Month";#N/A,#N/A,FALSE,"O&amp;R Rpt YTD";#N/A,#N/A,FALSE,"RECO Rpt YTD";#N/A,#N/A,FALSE,"Pike Rpt YTD"}</definedName>
    <definedName name="wrn.Detail.">{#N/A,#N/A,FALSE,"O&amp;R Rpt Month";#N/A,#N/A,FALSE,"RECO Rpt Month";#N/A,#N/A,FALSE,"PIKE Rpt Month";#N/A,#N/A,FALSE,"O&amp;R Rpt YTD";#N/A,#N/A,FALSE,"RECO Rpt YTD";#N/A,#N/A,FALSE,"Pike Rpt YTD"}</definedName>
    <definedName name="wrn.DFR._.IV._.A._.Future._.Revenue." localSheetId="14">{"Page_1A",#N/A,FALSE,"Page 1 A";"Page_1B",#N/A,FALSE,"Page 1 B";"Page_1C",#N/A,FALSE,"Page 1 C";"Page 2",#N/A,FALSE,"Page 2";"Page 3",#N/A,FALSE,"Page 3";"Page 4",#N/A,FALSE,"Page 4";"Page 5",#N/A,FALSE,"Page 5";"Page 6",#N/A,FALSE,"Page 6";"Page 7",#N/A,FALSE,"Page 7";"Page 8",#N/A,FALSE,"Page 8";"Page 9",#N/A,FALSE,"Page 9";"Page 10",#N/A,FALSE,"Page 10";"Page 11",#N/A,FALSE,"Page 11"}</definedName>
    <definedName name="wrn.DFR._.IV._.A._.Future._.Revenue.">{"Page_1A",#N/A,FALSE,"Page 1 A";"Page_1B",#N/A,FALSE,"Page 1 B";"Page_1C",#N/A,FALSE,"Page 1 C";"Page 2",#N/A,FALSE,"Page 2";"Page 3",#N/A,FALSE,"Page 3";"Page 4",#N/A,FALSE,"Page 4";"Page 5",#N/A,FALSE,"Page 5";"Page 6",#N/A,FALSE,"Page 6";"Page 7",#N/A,FALSE,"Page 7";"Page 8",#N/A,FALSE,"Page 8";"Page 9",#N/A,FALSE,"Page 9";"Page 10",#N/A,FALSE,"Page 10";"Page 11",#N/A,FALSE,"Page 11"}</definedName>
    <definedName name="wrn.ECR." localSheetId="14">{#N/A,#N/A,FALSE,"schA"}</definedName>
    <definedName name="wrn.ECR.">{#N/A,#N/A,FALSE,"schA"}</definedName>
    <definedName name="wrn.ECR._1" localSheetId="14">{#N/A,#N/A,FALSE,"schA"}</definedName>
    <definedName name="wrn.ECR._1">{#N/A,#N/A,FALSE,"schA"}</definedName>
    <definedName name="wrn.ECR._1_1" localSheetId="14">{#N/A,#N/A,FALSE,"schA"}</definedName>
    <definedName name="wrn.ECR._1_1">{#N/A,#N/A,FALSE,"schA"}</definedName>
    <definedName name="wrn.ECR._2" localSheetId="14">{#N/A,#N/A,FALSE,"schA"}</definedName>
    <definedName name="wrn.ECR._2">{#N/A,#N/A,FALSE,"schA"}</definedName>
    <definedName name="wrn.Edutainment._.Priority._.List." localSheetId="14">{#N/A,#N/A,FALSE,"DI 2 YEAR MASTER SCHEDULE"}</definedName>
    <definedName name="wrn.Edutainment._.Priority._.List.">{#N/A,#N/A,FALSE,"DI 2 YEAR MASTER SCHEDULE"}</definedName>
    <definedName name="wrn.EUA._.Detailed._.Report." localSheetId="14">{"EUA Summary",#N/A,FALSE,"EUA Billing";"EUA Details",#N/A,FALSE,"EUA Billing"}</definedName>
    <definedName name="wrn.EUA._.Detailed._.Report.">{"EUA Summary",#N/A,FALSE,"EUA Billing";"EUA Details",#N/A,FALSE,"EUA Billing"}</definedName>
    <definedName name="wrn.EUA._.Station._.Service._.Tie._.Report." localSheetId="14">{"EUA Station Service",#N/A,FALSE,"EUA Virtual"}</definedName>
    <definedName name="wrn.EUA._.Station._.Service._.Tie._.Report.">{"EUA Station Service",#N/A,FALSE,"EUA Virtual"}</definedName>
    <definedName name="wrn.Executive._.Reports." localSheetId="14">{#N/A,#N/A,FALSE,"Year";#N/A,#N/A,FALSE,"Client Savings";#N/A,#N/A,FALSE,"Staged Delivery by Hour";#N/A,#N/A,FALSE,"Hourly Rate By Activity";#N/A,#N/A,FALSE,"Hourly Rate By Custom Resource";#N/A,#N/A,FALSE,"Line of Business Review";#N/A,#N/A,FALSE,"Financials By Custom Resource";#N/A,#N/A,FALSE,"Assumptions";#N/A,#N/A,FALSE,"Sensitivity Analysis";#N/A,#N/A,FALSE,"Financing By Year";#N/A,#N/A,FALSE,"Billings";#N/A,#N/A,FALSE,"Overall Staffing Review"}</definedName>
    <definedName name="wrn.Executive._.Reports.">{#N/A,#N/A,FALSE,"Year";#N/A,#N/A,FALSE,"Client Savings";#N/A,#N/A,FALSE,"Staged Delivery by Hour";#N/A,#N/A,FALSE,"Hourly Rate By Activity";#N/A,#N/A,FALSE,"Hourly Rate By Custom Resource";#N/A,#N/A,FALSE,"Line of Business Review";#N/A,#N/A,FALSE,"Financials By Custom Resource";#N/A,#N/A,FALSE,"Assumptions";#N/A,#N/A,FALSE,"Sensitivity Analysis";#N/A,#N/A,FALSE,"Financing By Year";#N/A,#N/A,FALSE,"Billings";#N/A,#N/A,FALSE,"Overall Staffing Review"}</definedName>
    <definedName name="wrn.Explanations." localSheetId="14">{"exp SC1",#N/A,FALSE,"Mar";"exp SC2",#N/A,FALSE,"Mar";"exp SC2MB",#N/A,FALSE,"Mar";"exp SC1MB",#N/A,FALSE,"Mar";"exp roll up for tables",#N/A,FALSE,"Mar"}</definedName>
    <definedName name="wrn.Explanations.">{"exp SC1",#N/A,FALSE,"Mar";"exp SC2",#N/A,FALSE,"Mar";"exp SC2MB",#N/A,FALSE,"Mar";"exp SC1MB",#N/A,FALSE,"Mar";"exp roll up for tables",#N/A,FALSE,"Mar"}</definedName>
    <definedName name="wrn.Feb._.all._.sheets." localSheetId="14">{"FEB 03 Budget Breakdown",#N/A,FALSE,"Feb";"FEB 03 Actual Margin Calculation",#N/A,FALSE,"Feb";"FEB 03 Variance Analysis by Component",#N/A,FALSE,"Feb";"FEB 03 Variance Analysis part 2 by component",#N/A,FALSE,"Feb";"FEB 03 Weather Normalized Revenue Margin",#N/A,FALSE,"Feb";"FEB 03 Budget vs Actual Margin Variance",#N/A,FALSE,"Feb";"FEB 03 Budget vs Normalized Margin Variance",#N/A,FALSE,"Feb";"FEB 03 Actual vs Actual Margin Variance",#N/A,FALSE,"Feb";"FEB 03 Normalized vs Normalized Margin Variance",#N/A,FALSE,"Feb";"FEB 03 Gas Gross Margin Actuals vs Budget",#N/A,FALSE,"Feb";"FEB 03 Gas Gross Margin Actual vs Actual",#N/A,FALSE,"Feb"}</definedName>
    <definedName name="wrn.Feb._.all._.sheets.">{"FEB 03 Budget Breakdown",#N/A,FALSE,"Feb";"FEB 03 Actual Margin Calculation",#N/A,FALSE,"Feb";"FEB 03 Variance Analysis by Component",#N/A,FALSE,"Feb";"FEB 03 Variance Analysis part 2 by component",#N/A,FALSE,"Feb";"FEB 03 Weather Normalized Revenue Margin",#N/A,FALSE,"Feb";"FEB 03 Budget vs Actual Margin Variance",#N/A,FALSE,"Feb";"FEB 03 Budget vs Normalized Margin Variance",#N/A,FALSE,"Feb";"FEB 03 Actual vs Actual Margin Variance",#N/A,FALSE,"Feb";"FEB 03 Normalized vs Normalized Margin Variance",#N/A,FALSE,"Feb";"FEB 03 Gas Gross Margin Actuals vs Budget",#N/A,FALSE,"Feb";"FEB 03 Gas Gross Margin Actual vs Actual",#N/A,FALSE,"Feb"}</definedName>
    <definedName name="wrn.Feb._.Package." localSheetId="14">{"FEB 03 Gas Gross Margin Actuals vs Budget",#N/A,FALSE,"Feb";"FEB 03 Gas Gross Margin Actual vs Actual",#N/A,FALSE,"Feb";"FEB 03 Actual Margin Calculation",#N/A,FALSE,"Feb";"FEB 03 Variance Analysis by Component",#N/A,FALSE,"Feb";"FEB 03 Variance Analysis part 2 by component",#N/A,FALSE,"Feb";"FEB 03 Budget vs Actual Margin Variance",#N/A,FALSE,"Feb";"FEB 03 Budget vs Normalized Margin Variance",#N/A,FALSE,"Feb";"FEB 03 Normalized vs Normalized Margin Variance",#N/A,FALSE,"Feb";"FEB 03 Actual vs Actual Margin Variance",#N/A,FALSE,"Feb";"FEB 03 Weather Normalized Revenue Margin",#N/A,FALSE,"Feb";"FEB 03 Budget Breakdown",#N/A,FALSE,"Feb";"YTD Gas Gross Margin Actual vs Budget",#N/A,FALSE,"Feb";"YTD Gas Gross Margin Actual vs Actual",#N/A,FALSE,"Feb";"YTD Actual Margin Calculaton",#N/A,FALSE,"Feb";"YTD Variance Analysis by Component part 1",#N/A,FALSE,"Feb";"YTD Budget vs Actual Margin Variance",#N/A,FALSE,"Feb";"YTD Budget vs Normalized Margin Variance",#N/A,FALSE,"Feb";"YTD Normalized vs Normalized Margin Variance",#N/A,FALSE,"Feb"}</definedName>
    <definedName name="wrn.Feb._.Package.">{"FEB 03 Gas Gross Margin Actuals vs Budget",#N/A,FALSE,"Feb";"FEB 03 Gas Gross Margin Actual vs Actual",#N/A,FALSE,"Feb";"FEB 03 Actual Margin Calculation",#N/A,FALSE,"Feb";"FEB 03 Variance Analysis by Component",#N/A,FALSE,"Feb";"FEB 03 Variance Analysis part 2 by component",#N/A,FALSE,"Feb";"FEB 03 Budget vs Actual Margin Variance",#N/A,FALSE,"Feb";"FEB 03 Budget vs Normalized Margin Variance",#N/A,FALSE,"Feb";"FEB 03 Normalized vs Normalized Margin Variance",#N/A,FALSE,"Feb";"FEB 03 Actual vs Actual Margin Variance",#N/A,FALSE,"Feb";"FEB 03 Weather Normalized Revenue Margin",#N/A,FALSE,"Feb";"FEB 03 Budget Breakdown",#N/A,FALSE,"Feb";"YTD Gas Gross Margin Actual vs Budget",#N/A,FALSE,"Feb";"YTD Gas Gross Margin Actual vs Actual",#N/A,FALSE,"Feb";"YTD Actual Margin Calculaton",#N/A,FALSE,"Feb";"YTD Variance Analysis by Component part 1",#N/A,FALSE,"Feb";"YTD Budget vs Actual Margin Variance",#N/A,FALSE,"Feb";"YTD Budget vs Normalized Margin Variance",#N/A,FALSE,"Feb";"YTD Normalized vs Normalized Margin Variance",#N/A,FALSE,"Feb"}</definedName>
    <definedName name="wrn.Filing." localSheetId="14">{#N/A,#N/A,FALSE,"Summary";#N/A,#N/A,FALSE,"Unbundled Revenue Summary ";#N/A,#N/A,FALSE,"Unbundled Rev Summary with Tax";"August Rates with Tax",#N/A,FALSE,"Rate Class Detail";"August Revenue with Tax",#N/A,FALSE,"Rate Class Detail";"August Rates wo Tax",#N/A,FALSE,"Rate Class Detail with Tax";"August Revenue wo Tax",#N/A,FALSE,"Rate Class Detail with Tax"}</definedName>
    <definedName name="wrn.Filing.">{#N/A,#N/A,FALSE,"Summary";#N/A,#N/A,FALSE,"Unbundled Revenue Summary ";#N/A,#N/A,FALSE,"Unbundled Rev Summary with Tax";"August Rates with Tax",#N/A,FALSE,"Rate Class Detail";"August Revenue with Tax",#N/A,FALSE,"Rate Class Detail";"August Rates wo Tax",#N/A,FALSE,"Rate Class Detail with Tax";"August Revenue wo Tax",#N/A,FALSE,"Rate Class Detail with Tax"}</definedName>
    <definedName name="wrn.Financials." localSheetId="14">{#N/A,#N/A,FALSE,"Year";#N/A,#N/A,FALSE,"AC Fiscal Year";#N/A,#N/A,FALSE,"Financials By Line of Business";#N/A,#N/A,FALSE,"Line of Business Review";#N/A,#N/A,FALSE,"Activity Review";#N/A,#N/A,FALSE,"Financials By Custom Resource";#N/A,#N/A,FALSE,"Custom Resource Review"}</definedName>
    <definedName name="wrn.Financials.">{#N/A,#N/A,FALSE,"Year";#N/A,#N/A,FALSE,"AC Fiscal Year";#N/A,#N/A,FALSE,"Financials By Line of Business";#N/A,#N/A,FALSE,"Line of Business Review";#N/A,#N/A,FALSE,"Activity Review";#N/A,#N/A,FALSE,"Financials By Custom Resource";#N/A,#N/A,FALSE,"Custom Resource Review"}</definedName>
    <definedName name="wrn.Financials._new" localSheetId="14">{#N/A,#N/A,FALSE,"Year";#N/A,#N/A,FALSE,"AC Fiscal Year";#N/A,#N/A,FALSE,"Financials By Line of Business";#N/A,#N/A,FALSE,"Line of Business Review";#N/A,#N/A,FALSE,"Activity Review";#N/A,#N/A,FALSE,"Financials By Custom Resource";#N/A,#N/A,FALSE,"Custom Resource Review"}</definedName>
    <definedName name="wrn.Financials._new">{#N/A,#N/A,FALSE,"Year";#N/A,#N/A,FALSE,"AC Fiscal Year";#N/A,#N/A,FALSE,"Financials By Line of Business";#N/A,#N/A,FALSE,"Line of Business Review";#N/A,#N/A,FALSE,"Activity Review";#N/A,#N/A,FALSE,"Financials By Custom Resource";#N/A,#N/A,FALSE,"Custom Resource Review"}</definedName>
    <definedName name="wrn.For._.filling._.out._.assessments." localSheetId="14">{"Print Empty Template",#N/A,FALSE,"Input"}</definedName>
    <definedName name="wrn.For._.filling._.out._.assessments.">{"Print Empty Template",#N/A,FALSE,"Input"}</definedName>
    <definedName name="wrn.Full._.Report." localSheetId="1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 localSheetId="1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1" localSheetId="1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1">{"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1_1" localSheetId="1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1_1">{"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1_1_1" localSheetId="1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1_1_1">{"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1_1_1_1" localSheetId="1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1_1_1_1">{"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1_1_1_1_1" localSheetId="1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1_1_1_1_1">{"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1_1_1_1_2" localSheetId="1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1_1_1_1_2">{"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1_1_1_2" localSheetId="1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1_1_1_2">{"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1_1_2" localSheetId="1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1_1_2">{"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1_1_2_1" localSheetId="1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1_1_2_1">{"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1_1_3" localSheetId="1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1_1_3">{"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1_1_3_1" localSheetId="1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1_1_3_1">{"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1_1_4" localSheetId="1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1_1_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1_1_4_1" localSheetId="1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1_1_4_1">{"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1_1_5" localSheetId="1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1_1_5">{"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1_2" localSheetId="1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1_2">{"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1_2_1" localSheetId="1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1_2_1">{"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1_2_1_1" localSheetId="1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1_2_1_1">{"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1_2_1_1_1" localSheetId="1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1_2_1_1_1">{"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1_2_1_2" localSheetId="1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1_2_1_2">{"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1_2_2" localSheetId="1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1_2_2">{"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1_2_2_1" localSheetId="1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1_2_2_1">{"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1_2_3" localSheetId="1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1_2_3">{"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1_2_3_1" localSheetId="1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1_2_3_1">{"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1_2_4" localSheetId="1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1_2_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1_2_4_1" localSheetId="1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1_2_4_1">{"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1_2_5" localSheetId="1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1_2_5">{"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1_3" localSheetId="1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1_3">{"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1_3_1" localSheetId="1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1_3_1">{"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1_3_1_1" localSheetId="1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1_3_1_1">{"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1_3_1_1_1" localSheetId="1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1_3_1_1_1">{"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1_3_1_2" localSheetId="1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1_3_1_2">{"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1_3_2" localSheetId="1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1_3_2">{"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1_3_2_1" localSheetId="1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1_3_2_1">{"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1_3_3" localSheetId="1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1_3_3">{"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1_3_3_1" localSheetId="1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1_3_3_1">{"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1_3_4" localSheetId="1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1_3_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1_3_4_1" localSheetId="1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1_3_4_1">{"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1_3_5" localSheetId="1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1_3_5">{"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1_4" localSheetId="1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1_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1_4_1" localSheetId="1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1_4_1">{"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1_4_1_1" localSheetId="1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1_4_1_1">{"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1_4_1_1_1" localSheetId="1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1_4_1_1_1">{"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1_4_1_2" localSheetId="1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1_4_1_2">{"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1_4_2" localSheetId="1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1_4_2">{"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1_4_2_1" localSheetId="1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1_4_2_1">{"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1_4_3" localSheetId="1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1_4_3">{"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1_4_3_1" localSheetId="1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1_4_3_1">{"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1_4_4" localSheetId="1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1_4_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1_4_4_1" localSheetId="1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1_4_4_1">{"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1_4_5" localSheetId="1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1_4_5">{"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1_5" localSheetId="1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1_5">{"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1_5_1" localSheetId="1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1_5_1">{"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1_5_1_1" localSheetId="1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1_5_1_1">{"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1_5_1_1_1" localSheetId="1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1_5_1_1_1">{"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1_5_1_2" localSheetId="1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1_5_1_2">{"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1_5_2" localSheetId="1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1_5_2">{"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1_5_2_1" localSheetId="1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1_5_2_1">{"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1_5_3" localSheetId="1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1_5_3">{"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1_5_3_1" localSheetId="1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1_5_3_1">{"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1_5_4" localSheetId="1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1_5_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1_5_4_1" localSheetId="1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1_5_4_1">{"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1_5_5" localSheetId="1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1_5_5">{"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2" localSheetId="1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2">{"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2_1" localSheetId="1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2_1">{"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2_1_1" localSheetId="1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2_1_1">{"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2_1_1_1" localSheetId="1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2_1_1_1">{"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2_1_1_1_1" localSheetId="1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2_1_1_1_1">{"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2_1_1_1_2" localSheetId="1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2_1_1_1_2">{"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2_1_1_2" localSheetId="1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2_1_1_2">{"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2_1_2" localSheetId="1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2_1_2">{"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2_1_2_1" localSheetId="1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2_1_2_1">{"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2_1_3" localSheetId="1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2_1_3">{"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2_1_3_1" localSheetId="1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2_1_3_1">{"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2_1_4" localSheetId="1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2_1_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2_1_4_1" localSheetId="1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2_1_4_1">{"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2_1_5" localSheetId="1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2_1_5">{"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2_2" localSheetId="1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2_2">{"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2_2_1" localSheetId="1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2_2_1">{"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2_2_1_1" localSheetId="1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2_2_1_1">{"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2_2_1_1_1" localSheetId="1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2_2_1_1_1">{"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2_2_1_2" localSheetId="1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2_2_1_2">{"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2_2_2" localSheetId="1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2_2_2">{"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2_2_2_1" localSheetId="1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2_2_2_1">{"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2_2_3" localSheetId="1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2_2_3">{"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2_2_3_1" localSheetId="1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2_2_3_1">{"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2_2_4" localSheetId="1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2_2_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2_2_4_1" localSheetId="1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2_2_4_1">{"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2_2_5" localSheetId="1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2_2_5">{"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2_3" localSheetId="1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2_3">{"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2_3_1" localSheetId="1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2_3_1">{"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2_3_1_1" localSheetId="1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2_3_1_1">{"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2_3_1_1_1" localSheetId="1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2_3_1_1_1">{"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2_3_1_2" localSheetId="1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2_3_1_2">{"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2_3_2" localSheetId="1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2_3_2">{"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2_3_2_1" localSheetId="1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2_3_2_1">{"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2_3_3" localSheetId="1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2_3_3">{"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2_3_3_1" localSheetId="1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2_3_3_1">{"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2_3_4" localSheetId="1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2_3_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2_3_4_1" localSheetId="1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2_3_4_1">{"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2_3_5" localSheetId="1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2_3_5">{"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2_4" localSheetId="1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2_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2_4_1" localSheetId="1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2_4_1">{"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2_4_1_1" localSheetId="1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2_4_1_1">{"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2_4_1_1_1" localSheetId="1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2_4_1_1_1">{"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2_4_1_2" localSheetId="1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2_4_1_2">{"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2_4_2" localSheetId="1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2_4_2">{"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2_4_2_1" localSheetId="1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2_4_2_1">{"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2_4_3" localSheetId="1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2_4_3">{"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2_4_3_1" localSheetId="1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2_4_3_1">{"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2_4_4" localSheetId="1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2_4_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2_4_4_1" localSheetId="1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2_4_4_1">{"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2_4_5" localSheetId="1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2_4_5">{"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2_5" localSheetId="1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2_5">{"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2_5_1" localSheetId="1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2_5_1">{"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2_5_1_1" localSheetId="1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2_5_1_1">{"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2_5_1_1_1" localSheetId="1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2_5_1_1_1">{"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2_5_1_2" localSheetId="1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2_5_1_2">{"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2_5_2" localSheetId="1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2_5_2">{"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2_5_2_1" localSheetId="1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2_5_2_1">{"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2_5_3" localSheetId="1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2_5_3">{"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2_5_3_1" localSheetId="1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2_5_3_1">{"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2_5_4" localSheetId="1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2_5_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2_5_4_1" localSheetId="1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2_5_4_1">{"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2_5_5" localSheetId="1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2_5_5">{"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3" localSheetId="1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3">{"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3_1" localSheetId="1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3_1">{"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3_1_1" localSheetId="1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3_1_1">{"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3_1_1_1" localSheetId="1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3_1_1_1">{"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3_1_1_1_1" localSheetId="1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3_1_1_1_1">{"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3_1_1_1_2" localSheetId="1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3_1_1_1_2">{"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3_1_1_2" localSheetId="1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3_1_1_2">{"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3_1_2" localSheetId="1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3_1_2">{"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3_1_2_1" localSheetId="1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3_1_2_1">{"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3_1_3" localSheetId="1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3_1_3">{"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3_1_3_1" localSheetId="1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3_1_3_1">{"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3_1_4" localSheetId="1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3_1_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3_1_4_1" localSheetId="1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3_1_4_1">{"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3_1_5" localSheetId="1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3_1_5">{"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3_2" localSheetId="1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3_2">{"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3_2_1" localSheetId="1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3_2_1">{"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3_2_1_1" localSheetId="1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3_2_1_1">{"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3_2_1_1_1" localSheetId="1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3_2_1_1_1">{"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3_2_1_2" localSheetId="1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3_2_1_2">{"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3_2_2" localSheetId="1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3_2_2">{"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3_2_2_1" localSheetId="1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3_2_2_1">{"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3_2_3" localSheetId="1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3_2_3">{"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3_2_3_1" localSheetId="1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3_2_3_1">{"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3_2_4" localSheetId="1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3_2_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3_2_4_1" localSheetId="1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3_2_4_1">{"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3_2_5" localSheetId="1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3_2_5">{"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3_3" localSheetId="1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3_3">{"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3_3_1" localSheetId="1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3_3_1">{"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3_3_1_1" localSheetId="1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3_3_1_1">{"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3_3_1_1_1" localSheetId="1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3_3_1_1_1">{"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3_3_1_2" localSheetId="1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3_3_1_2">{"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3_3_2" localSheetId="1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3_3_2">{"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3_3_2_1" localSheetId="1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3_3_2_1">{"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3_3_3" localSheetId="1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3_3_3">{"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3_3_3_1" localSheetId="1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3_3_3_1">{"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3_3_4" localSheetId="1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3_3_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3_3_4_1" localSheetId="1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3_3_4_1">{"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3_3_5" localSheetId="1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3_3_5">{"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3_4" localSheetId="1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3_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3_4_1" localSheetId="1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3_4_1">{"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3_4_1_1" localSheetId="1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3_4_1_1">{"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3_4_1_1_1" localSheetId="1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3_4_1_1_1">{"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3_4_1_2" localSheetId="1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3_4_1_2">{"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3_4_2" localSheetId="1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3_4_2">{"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3_4_2_1" localSheetId="1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3_4_2_1">{"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3_4_3" localSheetId="1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3_4_3">{"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3_4_3_1" localSheetId="1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3_4_3_1">{"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3_4_4" localSheetId="1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3_4_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3_4_4_1" localSheetId="1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3_4_4_1">{"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3_4_5" localSheetId="1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3_4_5">{"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3_5" localSheetId="1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3_5">{"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3_5_1" localSheetId="1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3_5_1">{"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3_5_1_1" localSheetId="1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3_5_1_1">{"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3_5_1_1_1" localSheetId="1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3_5_1_1_1">{"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3_5_1_2" localSheetId="1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3_5_1_2">{"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3_5_2" localSheetId="1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3_5_2">{"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3_5_2_1" localSheetId="1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3_5_2_1">{"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3_5_3" localSheetId="1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3_5_3">{"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3_5_3_1" localSheetId="1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3_5_3_1">{"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3_5_4" localSheetId="1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3_5_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3_5_4_1" localSheetId="1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3_5_4_1">{"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3_5_5" localSheetId="1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3_5_5">{"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4" localSheetId="1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4_1" localSheetId="1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4_1">{"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4_1_1" localSheetId="1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4_1_1">{"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4_1_1_1" localSheetId="1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4_1_1_1">{"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4_1_1_1_1" localSheetId="1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4_1_1_1_1">{"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4_1_1_1_2" localSheetId="1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4_1_1_1_2">{"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4_1_1_2" localSheetId="1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4_1_1_2">{"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4_1_2" localSheetId="1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4_1_2">{"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4_1_2_1" localSheetId="1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4_1_2_1">{"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4_1_3" localSheetId="1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4_1_3">{"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4_1_3_1" localSheetId="1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4_1_3_1">{"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4_1_4" localSheetId="1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4_1_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4_1_4_1" localSheetId="1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4_1_4_1">{"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4_1_5" localSheetId="1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4_1_5">{"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4_2" localSheetId="1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4_2">{"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4_2_1" localSheetId="1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4_2_1">{"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4_2_1_1" localSheetId="1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4_2_1_1">{"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4_2_1_1_1" localSheetId="1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4_2_1_1_1">{"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4_2_1_2" localSheetId="1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4_2_1_2">{"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4_2_2" localSheetId="1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4_2_2">{"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4_2_2_1" localSheetId="1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4_2_2_1">{"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4_2_3" localSheetId="1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4_2_3">{"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4_2_3_1" localSheetId="1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4_2_3_1">{"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4_2_4" localSheetId="1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4_2_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4_2_4_1" localSheetId="1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4_2_4_1">{"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4_2_5" localSheetId="1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4_2_5">{"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4_3" localSheetId="1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4_3">{"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4_3_1" localSheetId="1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4_3_1">{"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4_3_1_1" localSheetId="1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4_3_1_1">{"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4_3_1_1_1" localSheetId="1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4_3_1_1_1">{"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4_3_1_2" localSheetId="1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4_3_1_2">{"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4_3_2" localSheetId="1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4_3_2">{"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4_3_2_1" localSheetId="1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4_3_2_1">{"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4_3_3" localSheetId="1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4_3_3">{"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4_3_3_1" localSheetId="1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4_3_3_1">{"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4_3_4" localSheetId="1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4_3_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4_3_4_1" localSheetId="1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4_3_4_1">{"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4_3_5" localSheetId="1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4_3_5">{"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4_4" localSheetId="1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4_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4_4_1" localSheetId="1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4_4_1">{"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4_4_1_1" localSheetId="1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4_4_1_1">{"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4_4_1_1_1" localSheetId="1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4_4_1_1_1">{"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4_4_1_2" localSheetId="1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4_4_1_2">{"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4_4_2" localSheetId="1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4_4_2">{"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4_4_2_1" localSheetId="1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4_4_2_1">{"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4_4_3" localSheetId="1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4_4_3">{"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4_4_3_1" localSheetId="1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4_4_3_1">{"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4_4_4" localSheetId="1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4_4_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4_4_4_1" localSheetId="1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4_4_4_1">{"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4_4_5" localSheetId="1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4_4_5">{"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4_5" localSheetId="1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4_5">{"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4_5_1" localSheetId="1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4_5_1">{"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4_5_1_1" localSheetId="1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4_5_1_1">{"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4_5_1_1_1" localSheetId="1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4_5_1_1_1">{"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4_5_1_2" localSheetId="1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4_5_1_2">{"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4_5_2" localSheetId="1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4_5_2">{"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4_5_2_1" localSheetId="1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4_5_2_1">{"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4_5_3" localSheetId="1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4_5_3">{"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4_5_3_1" localSheetId="1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4_5_3_1">{"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4_5_4" localSheetId="1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4_5_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4_5_4_1" localSheetId="1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4_5_4_1">{"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4_5_5" localSheetId="1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4_5_5">{"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5" localSheetId="1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5">{"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5_1" localSheetId="1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5_1">{"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5_1_1" localSheetId="1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5_1_1">{"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5_1_1_1" localSheetId="1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5_1_1_1">{"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5_1_1_1_1" localSheetId="1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5_1_1_1_1">{"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5_1_1_1_2" localSheetId="1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5_1_1_1_2">{"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5_1_1_2" localSheetId="1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5_1_1_2">{"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5_1_2" localSheetId="1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5_1_2">{"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5_1_2_1" localSheetId="1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5_1_2_1">{"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5_1_3" localSheetId="1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5_1_3">{"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5_1_3_1" localSheetId="1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5_1_3_1">{"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5_1_4" localSheetId="1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5_1_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5_1_4_1" localSheetId="1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5_1_4_1">{"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5_1_5" localSheetId="1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5_1_5">{"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5_2" localSheetId="1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5_2">{"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5_2_1" localSheetId="1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5_2_1">{"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5_2_1_1" localSheetId="1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5_2_1_1">{"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5_2_1_1_1" localSheetId="1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5_2_1_1_1">{"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5_2_1_2" localSheetId="1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5_2_1_2">{"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5_2_2" localSheetId="1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5_2_2">{"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5_2_2_1" localSheetId="1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5_2_2_1">{"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5_2_3" localSheetId="1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5_2_3">{"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5_2_3_1" localSheetId="1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5_2_3_1">{"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5_2_4" localSheetId="1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5_2_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5_2_4_1" localSheetId="1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5_2_4_1">{"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5_2_5" localSheetId="1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5_2_5">{"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5_3" localSheetId="1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5_3">{"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5_3_1" localSheetId="1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5_3_1">{"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5_3_1_1" localSheetId="1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5_3_1_1">{"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5_3_1_1_1" localSheetId="1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5_3_1_1_1">{"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5_3_1_2" localSheetId="1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5_3_1_2">{"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5_3_2" localSheetId="1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5_3_2">{"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5_3_2_1" localSheetId="1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5_3_2_1">{"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5_3_3" localSheetId="1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5_3_3">{"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5_3_3_1" localSheetId="1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5_3_3_1">{"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5_3_4" localSheetId="1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5_3_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5_3_4_1" localSheetId="1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5_3_4_1">{"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5_3_5" localSheetId="1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5_3_5">{"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5_4" localSheetId="1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5_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5_4_1" localSheetId="1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5_4_1">{"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5_4_1_1" localSheetId="1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5_4_1_1">{"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5_4_1_1_1" localSheetId="1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5_4_1_1_1">{"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5_4_1_2" localSheetId="1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5_4_1_2">{"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5_4_2" localSheetId="1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5_4_2">{"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5_4_2_1" localSheetId="1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5_4_2_1">{"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5_4_3" localSheetId="1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5_4_3">{"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5_4_3_1" localSheetId="1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5_4_3_1">{"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5_4_4" localSheetId="1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5_4_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5_4_4_1" localSheetId="1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5_4_4_1">{"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5_4_5" localSheetId="1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5_4_5">{"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5_5" localSheetId="1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5_5">{"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5_5_1" localSheetId="1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5_5_1">{"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5_5_1_1" localSheetId="1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5_5_1_1">{"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5_5_1_1_1" localSheetId="1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5_5_1_1_1">{"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5_5_1_2" localSheetId="1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5_5_1_2">{"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5_5_2" localSheetId="1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5_5_2">{"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5_5_2_1" localSheetId="1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5_5_2_1">{"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5_5_3" localSheetId="1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5_5_3">{"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5_5_3_1" localSheetId="1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5_5_3_1">{"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5_5_4" localSheetId="1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5_5_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5_5_4_1" localSheetId="1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5_5_4_1">{"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5_5_5" localSheetId="1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1_5_5_5">{"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2" localSheetId="1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2">{"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2_1" localSheetId="1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2_1">{"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2_1_1" localSheetId="1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2_1_1">{"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2_1_1_1" localSheetId="1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2_1_1_1">{"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2_1_1_1_1" localSheetId="1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2_1_1_1_1">{"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2_1_1_1_2" localSheetId="1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2_1_1_1_2">{"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2_1_1_2" localSheetId="1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2_1_1_2">{"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2_1_2" localSheetId="1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2_1_2">{"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2_1_2_1" localSheetId="1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2_1_2_1">{"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2_1_3" localSheetId="1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2_1_3">{"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2_1_3_1" localSheetId="1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2_1_3_1">{"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2_1_4" localSheetId="1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2_1_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2_1_4_1" localSheetId="1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2_1_4_1">{"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2_1_5" localSheetId="1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2_1_5">{"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2_2" localSheetId="1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2_2">{"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2_2_1" localSheetId="1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2_2_1">{"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2_2_1_1" localSheetId="1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2_2_1_1">{"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2_2_1_1_1" localSheetId="1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2_2_1_1_1">{"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2_2_1_2" localSheetId="1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2_2_1_2">{"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2_2_2" localSheetId="1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2_2_2">{"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2_2_2_1" localSheetId="1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2_2_2_1">{"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2_2_3" localSheetId="1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2_2_3">{"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2_2_3_1" localSheetId="1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2_2_3_1">{"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2_2_4" localSheetId="1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2_2_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2_2_4_1" localSheetId="1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2_2_4_1">{"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2_2_5" localSheetId="1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2_2_5">{"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2_3" localSheetId="1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2_3">{"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2_3_1" localSheetId="1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2_3_1">{"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2_3_1_1" localSheetId="1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2_3_1_1">{"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2_3_1_1_1" localSheetId="1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2_3_1_1_1">{"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2_3_1_2" localSheetId="1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2_3_1_2">{"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2_3_2" localSheetId="1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2_3_2">{"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2_3_2_1" localSheetId="1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2_3_2_1">{"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2_3_3" localSheetId="1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2_3_3">{"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2_3_3_1" localSheetId="1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2_3_3_1">{"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2_3_4" localSheetId="1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2_3_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2_3_4_1" localSheetId="1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2_3_4_1">{"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2_3_5" localSheetId="1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2_3_5">{"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2_4" localSheetId="1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2_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2_4_1" localSheetId="1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2_4_1">{"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2_4_1_1" localSheetId="1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2_4_1_1">{"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2_4_1_1_1" localSheetId="1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2_4_1_1_1">{"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2_4_1_2" localSheetId="1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2_4_1_2">{"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2_4_2" localSheetId="1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2_4_2">{"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2_4_2_1" localSheetId="1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2_4_2_1">{"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2_4_3" localSheetId="1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2_4_3">{"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2_4_3_1" localSheetId="1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2_4_3_1">{"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2_4_4" localSheetId="1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2_4_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2_4_4_1" localSheetId="1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2_4_4_1">{"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2_4_5" localSheetId="1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2_4_5">{"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2_5" localSheetId="1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2_5">{"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2_5_1" localSheetId="1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2_5_1">{"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2_5_1_1" localSheetId="1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2_5_1_1">{"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2_5_1_1_1" localSheetId="1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2_5_1_1_1">{"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2_5_1_2" localSheetId="1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2_5_1_2">{"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2_5_2" localSheetId="1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2_5_2">{"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2_5_2_1" localSheetId="1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2_5_2_1">{"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2_5_3" localSheetId="1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2_5_3">{"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2_5_3_1" localSheetId="1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2_5_3_1">{"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2_5_4" localSheetId="1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2_5_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2_5_4_1" localSheetId="1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2_5_4_1">{"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2_5_5" localSheetId="1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2_5_5">{"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3" localSheetId="1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3">{"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3_1" localSheetId="1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3_1">{"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3_1_1" localSheetId="1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3_1_1">{"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3_1_1_1" localSheetId="1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3_1_1_1">{"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3_1_1_1_1" localSheetId="1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3_1_1_1_1">{"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3_1_1_1_2" localSheetId="1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3_1_1_1_2">{"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3_1_1_2" localSheetId="1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3_1_1_2">{"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3_1_2" localSheetId="1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3_1_2">{"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3_1_2_1" localSheetId="1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3_1_2_1">{"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3_1_3" localSheetId="1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3_1_3">{"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3_1_3_1" localSheetId="1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3_1_3_1">{"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3_1_4" localSheetId="1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3_1_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3_1_4_1" localSheetId="1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3_1_4_1">{"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3_1_5" localSheetId="1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3_1_5">{"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3_2" localSheetId="1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3_2">{"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3_2_1" localSheetId="1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3_2_1">{"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3_2_1_1" localSheetId="1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3_2_1_1">{"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3_2_1_1_1" localSheetId="1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3_2_1_1_1">{"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3_2_1_2" localSheetId="1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3_2_1_2">{"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3_2_2" localSheetId="1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3_2_2">{"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3_2_2_1" localSheetId="1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3_2_2_1">{"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3_2_3" localSheetId="1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3_2_3">{"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3_2_3_1" localSheetId="1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3_2_3_1">{"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3_2_4" localSheetId="1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3_2_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3_2_4_1" localSheetId="1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3_2_4_1">{"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3_2_5" localSheetId="1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3_2_5">{"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3_3" localSheetId="1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3_3">{"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3_3_1" localSheetId="1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3_3_1">{"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3_3_1_1" localSheetId="1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3_3_1_1">{"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3_3_1_1_1" localSheetId="1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3_3_1_1_1">{"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3_3_1_2" localSheetId="1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3_3_1_2">{"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3_3_2" localSheetId="1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3_3_2">{"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3_3_2_1" localSheetId="1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3_3_2_1">{"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3_3_3" localSheetId="1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3_3_3">{"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3_3_3_1" localSheetId="1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3_3_3_1">{"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3_3_4" localSheetId="1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3_3_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3_3_4_1" localSheetId="1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3_3_4_1">{"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3_3_5" localSheetId="1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3_3_5">{"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3_4" localSheetId="1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3_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3_4_1" localSheetId="1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3_4_1">{"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3_4_1_1" localSheetId="1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3_4_1_1">{"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3_4_1_1_1" localSheetId="1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3_4_1_1_1">{"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3_4_1_2" localSheetId="1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3_4_1_2">{"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3_4_2" localSheetId="1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3_4_2">{"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3_4_2_1" localSheetId="1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3_4_2_1">{"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3_4_3" localSheetId="1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3_4_3">{"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3_4_3_1" localSheetId="1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3_4_3_1">{"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3_4_4" localSheetId="1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3_4_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3_4_4_1" localSheetId="1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3_4_4_1">{"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3_4_5" localSheetId="1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3_4_5">{"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3_5" localSheetId="1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3_5">{"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3_5_1" localSheetId="1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3_5_1">{"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3_5_1_1" localSheetId="1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3_5_1_1">{"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3_5_1_1_1" localSheetId="1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3_5_1_1_1">{"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3_5_1_2" localSheetId="1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3_5_1_2">{"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3_5_2" localSheetId="1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3_5_2">{"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3_5_2_1" localSheetId="1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3_5_2_1">{"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3_5_3" localSheetId="1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3_5_3">{"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3_5_3_1" localSheetId="1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3_5_3_1">{"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3_5_4" localSheetId="1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3_5_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3_5_4_1" localSheetId="1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3_5_4_1">{"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3_5_5" localSheetId="1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3_5_5">{"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4" localSheetId="1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4_1" localSheetId="1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4_1">{"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4_1_1" localSheetId="1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4_1_1">{"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4_1_1_1" localSheetId="1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4_1_1_1">{"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4_1_1_1_1" localSheetId="1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4_1_1_1_1">{"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4_1_1_1_2" localSheetId="1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4_1_1_1_2">{"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4_1_1_2" localSheetId="1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4_1_1_2">{"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4_1_2" localSheetId="1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4_1_2">{"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4_1_2_1" localSheetId="1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4_1_2_1">{"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4_1_3" localSheetId="1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4_1_3">{"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4_1_3_1" localSheetId="1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4_1_3_1">{"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4_1_4" localSheetId="1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4_1_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4_1_4_1" localSheetId="1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4_1_4_1">{"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4_1_5" localSheetId="1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4_1_5">{"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4_2" localSheetId="1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4_2">{"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4_2_1" localSheetId="1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4_2_1">{"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4_2_1_1" localSheetId="1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4_2_1_1">{"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4_2_1_1_1" localSheetId="1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4_2_1_1_1">{"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4_2_1_2" localSheetId="1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4_2_1_2">{"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4_2_2" localSheetId="1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4_2_2">{"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4_2_2_1" localSheetId="1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4_2_2_1">{"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4_2_3" localSheetId="1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4_2_3">{"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4_2_3_1" localSheetId="1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4_2_3_1">{"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4_2_4" localSheetId="1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4_2_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4_2_4_1" localSheetId="1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4_2_4_1">{"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4_2_5" localSheetId="1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4_2_5">{"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4_3" localSheetId="1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4_3">{"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4_3_1" localSheetId="1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4_3_1">{"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4_3_1_1" localSheetId="1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4_3_1_1">{"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4_3_1_1_1" localSheetId="1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4_3_1_1_1">{"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4_3_1_2" localSheetId="1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4_3_1_2">{"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4_3_2" localSheetId="1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4_3_2">{"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4_3_2_1" localSheetId="1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4_3_2_1">{"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4_3_3" localSheetId="1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4_3_3">{"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4_3_3_1" localSheetId="1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4_3_3_1">{"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4_3_4" localSheetId="1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4_3_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4_3_4_1" localSheetId="1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4_3_4_1">{"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4_3_5" localSheetId="1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4_3_5">{"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4_4" localSheetId="1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4_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4_4_1" localSheetId="1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4_4_1">{"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4_4_1_1" localSheetId="1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4_4_1_1">{"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4_4_1_1_1" localSheetId="1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4_4_1_1_1">{"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4_4_1_2" localSheetId="1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4_4_1_2">{"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4_4_2" localSheetId="1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4_4_2">{"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4_4_2_1" localSheetId="1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4_4_2_1">{"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4_4_3" localSheetId="1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4_4_3">{"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4_4_3_1" localSheetId="1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4_4_3_1">{"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4_4_4" localSheetId="1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4_4_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4_4_4_1" localSheetId="1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4_4_4_1">{"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4_4_5" localSheetId="1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4_4_5">{"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4_5" localSheetId="1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4_5">{"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4_5_1" localSheetId="1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4_5_1">{"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4_5_1_1" localSheetId="1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4_5_1_1">{"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4_5_1_1_1" localSheetId="1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4_5_1_1_1">{"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4_5_1_2" localSheetId="1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4_5_1_2">{"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4_5_2" localSheetId="1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4_5_2">{"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4_5_2_1" localSheetId="1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4_5_2_1">{"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4_5_3" localSheetId="1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4_5_3">{"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4_5_3_1" localSheetId="1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4_5_3_1">{"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4_5_4" localSheetId="1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4_5_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4_5_4_1" localSheetId="1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4_5_4_1">{"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4_5_5" localSheetId="1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4_5_5">{"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5" localSheetId="1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5">{"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5_1" localSheetId="1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5_1">{"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5_1_1" localSheetId="1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5_1_1">{"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5_1_1_1" localSheetId="1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5_1_1_1">{"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5_1_1_1_1" localSheetId="1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5_1_1_1_1">{"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5_1_1_1_2" localSheetId="1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5_1_1_1_2">{"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5_1_1_2" localSheetId="1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5_1_1_2">{"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5_1_2" localSheetId="1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5_1_2">{"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5_1_2_1" localSheetId="1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5_1_2_1">{"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5_1_3" localSheetId="1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5_1_3">{"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5_1_3_1" localSheetId="1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5_1_3_1">{"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5_1_4" localSheetId="1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5_1_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5_1_4_1" localSheetId="1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5_1_4_1">{"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5_1_5" localSheetId="1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5_1_5">{"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5_2" localSheetId="1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5_2">{"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5_2_1" localSheetId="1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5_2_1">{"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5_2_1_1" localSheetId="1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5_2_1_1">{"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5_2_1_1_1" localSheetId="1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5_2_1_1_1">{"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5_2_1_2" localSheetId="1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5_2_1_2">{"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5_2_2" localSheetId="1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5_2_2">{"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5_2_2_1" localSheetId="1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5_2_2_1">{"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5_2_3" localSheetId="1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5_2_3">{"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5_2_3_1" localSheetId="1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5_2_3_1">{"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5_2_4" localSheetId="1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5_2_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5_2_4_1" localSheetId="1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5_2_4_1">{"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5_2_5" localSheetId="1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5_2_5">{"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5_3" localSheetId="1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5_3">{"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5_3_1" localSheetId="1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5_3_1">{"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5_3_1_1" localSheetId="1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5_3_1_1">{"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5_3_1_1_1" localSheetId="1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5_3_1_1_1">{"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5_3_1_2" localSheetId="1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5_3_1_2">{"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5_3_2" localSheetId="1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5_3_2">{"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5_3_2_1" localSheetId="1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5_3_2_1">{"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5_3_3" localSheetId="1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5_3_3">{"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5_3_3_1" localSheetId="1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5_3_3_1">{"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5_3_4" localSheetId="1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5_3_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5_3_4_1" localSheetId="1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5_3_4_1">{"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5_3_5" localSheetId="1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5_3_5">{"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5_4" localSheetId="1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5_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5_4_1" localSheetId="1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5_4_1">{"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5_4_1_1" localSheetId="1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5_4_1_1">{"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5_4_1_1_1" localSheetId="1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5_4_1_1_1">{"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5_4_1_2" localSheetId="1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5_4_1_2">{"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5_4_2" localSheetId="1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5_4_2">{"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5_4_2_1" localSheetId="1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5_4_2_1">{"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5_4_3" localSheetId="1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5_4_3">{"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5_4_3_1" localSheetId="1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5_4_3_1">{"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5_4_4" localSheetId="1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5_4_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5_4_4_1" localSheetId="1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5_4_4_1">{"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5_4_5" localSheetId="1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5_4_5">{"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5_5" localSheetId="1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5_5">{"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5_5_1" localSheetId="1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5_5_1">{"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5_5_1_1" localSheetId="1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5_5_1_1">{"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5_5_1_1_1" localSheetId="1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5_5_1_1_1">{"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5_5_1_2" localSheetId="1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5_5_1_2">{"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5_5_2" localSheetId="1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5_5_2">{"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5_5_2_1" localSheetId="1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5_5_2_1">{"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5_5_3" localSheetId="1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5_5_3">{"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5_5_3_1" localSheetId="1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5_5_3_1">{"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5_5_4" localSheetId="1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5_5_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5_5_4_1" localSheetId="1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5_5_4_1">{"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5_5_5" localSheetId="14">{"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Full._.Report._5_5_5">{"Page1",#N/A,FALSE,"pg1";"Page2",#N/A,FALSE,"pg2";"Page3",#N/A,FALSE,"pg3";"Page4",#N/A,FALSE,"PL";"Page5",#N/A,FALSE,"BS";"Page6",#N/A,FALSE,"CF";"Page7",#N/A,FALSE,"pg7";"Page8",#N/A,FALSE,"pg8";"Page9",#N/A,FALSE,"pg9";"Page10",#N/A,FALSE,"pg10";"Page11",#N/A,FALSE,"pg11";"Page12",#N/A,FALSE,"pg12";"Page13",#N/A,FALSE,"pg13";"Page14",#N/A,FALSE,"pg14";"Page15",#N/A,FALSE,"pg15";"Page16",#N/A,FALSE,"pg16";"Page17",#N/A,FALSE,"pg17";"Page18",#N/A,FALSE,"pg18";"Page19",#N/A,FALSE,"pg19";"Page20",#N/A,FALSE,"pg20";"Page21",#N/A,FALSE,"pg21";"Page22",#N/A,FALSE,"pg22";"Page23",#N/A,FALSE,"pg23";"Page24",#N/A,FALSE,"pg24";"Page25",#N/A,FALSE,"pg25";"Page26",#N/A,FALSE,"pg26";"Page27",#N/A,FALSE,"pg27";"Page28",#N/A,FALSE,"pg28"}</definedName>
    <definedName name="wrn.GAC._.PRINT._.OUT." localSheetId="14">{#N/A,#N/A,FALSE,"JE051 PAGE 1 OF 3";#N/A,#N/A,FALSE,"JE051 PAGE 2 OF 3";#N/A,#N/A,FALSE,"JE051 PAGE 3 OF 3"}</definedName>
    <definedName name="wrn.GAC._.PRINT._.OUT.">{#N/A,#N/A,FALSE,"JE051 PAGE 1 OF 3";#N/A,#N/A,FALSE,"JE051 PAGE 2 OF 3";#N/A,#N/A,FALSE,"JE051 PAGE 3 OF 3"}</definedName>
    <definedName name="wrn.GAC._.RECO." localSheetId="14">{#N/A,#N/A,FALSE,"EST TRANS ";#N/A,#N/A,FALSE,"PIPELINE REF";#N/A,#N/A,FALSE,"GAC COST REC";#N/A,#N/A,FALSE,"INT ON PIPELINE";#N/A,#N/A,FALSE,"PIPELINE REF";#N/A,#N/A,FALSE,"Monthly Imbalan";#N/A,#N/A,FALSE,"PRORATED T.A.C.";#N/A,#N/A,FALSE,"TRAN REF SUR";#N/A,#N/A,FALSE,"INTERRUPTIBLE";#N/A,#N/A,FALSE,"PRIOR  TRANS";#N/A,#N/A,FALSE,"EST TRANS "}</definedName>
    <definedName name="wrn.GAC._.RECO.">{#N/A,#N/A,FALSE,"EST TRANS ";#N/A,#N/A,FALSE,"PIPELINE REF";#N/A,#N/A,FALSE,"GAC COST REC";#N/A,#N/A,FALSE,"INT ON PIPELINE";#N/A,#N/A,FALSE,"PIPELINE REF";#N/A,#N/A,FALSE,"Monthly Imbalan";#N/A,#N/A,FALSE,"PRORATED T.A.C.";#N/A,#N/A,FALSE,"TRAN REF SUR";#N/A,#N/A,FALSE,"INTERRUPTIBLE";#N/A,#N/A,FALSE,"PRIOR  TRANS";#N/A,#N/A,FALSE,"EST TRANS "}</definedName>
    <definedName name="wrn.GAC._.RECO._1" localSheetId="14">{#N/A,#N/A,FALSE,"EST TRANS ";#N/A,#N/A,FALSE,"PIPELINE REF";#N/A,#N/A,FALSE,"GAC COST REC";#N/A,#N/A,FALSE,"INT ON PIPELINE";#N/A,#N/A,FALSE,"PIPELINE REF";#N/A,#N/A,FALSE,"Monthly Imbalan";#N/A,#N/A,FALSE,"PRORATED T.A.C.";#N/A,#N/A,FALSE,"TRAN REF SUR";#N/A,#N/A,FALSE,"INTERRUPTIBLE";#N/A,#N/A,FALSE,"PRIOR  TRANS";#N/A,#N/A,FALSE,"EST TRANS "}</definedName>
    <definedName name="wrn.GAC._.RECO._1">{#N/A,#N/A,FALSE,"EST TRANS ";#N/A,#N/A,FALSE,"PIPELINE REF";#N/A,#N/A,FALSE,"GAC COST REC";#N/A,#N/A,FALSE,"INT ON PIPELINE";#N/A,#N/A,FALSE,"PIPELINE REF";#N/A,#N/A,FALSE,"Monthly Imbalan";#N/A,#N/A,FALSE,"PRORATED T.A.C.";#N/A,#N/A,FALSE,"TRAN REF SUR";#N/A,#N/A,FALSE,"INTERRUPTIBLE";#N/A,#N/A,FALSE,"PRIOR  TRANS";#N/A,#N/A,FALSE,"EST TRANS "}</definedName>
    <definedName name="wrn.GAC._.RECO._1_2" localSheetId="14">{#N/A,#N/A,FALSE,"EST TRANS ";#N/A,#N/A,FALSE,"PIPELINE REF";#N/A,#N/A,FALSE,"GAC COST REC";#N/A,#N/A,FALSE,"INT ON PIPELINE";#N/A,#N/A,FALSE,"PIPELINE REF";#N/A,#N/A,FALSE,"Monthly Imbalan";#N/A,#N/A,FALSE,"PRORATED T.A.C.";#N/A,#N/A,FALSE,"TRAN REF SUR";#N/A,#N/A,FALSE,"INTERRUPTIBLE";#N/A,#N/A,FALSE,"PRIOR  TRANS";#N/A,#N/A,FALSE,"EST TRANS "}</definedName>
    <definedName name="wrn.GAC._.RECO._1_2">{#N/A,#N/A,FALSE,"EST TRANS ";#N/A,#N/A,FALSE,"PIPELINE REF";#N/A,#N/A,FALSE,"GAC COST REC";#N/A,#N/A,FALSE,"INT ON PIPELINE";#N/A,#N/A,FALSE,"PIPELINE REF";#N/A,#N/A,FALSE,"Monthly Imbalan";#N/A,#N/A,FALSE,"PRORATED T.A.C.";#N/A,#N/A,FALSE,"TRAN REF SUR";#N/A,#N/A,FALSE,"INTERRUPTIBLE";#N/A,#N/A,FALSE,"PRIOR  TRANS";#N/A,#N/A,FALSE,"EST TRANS "}</definedName>
    <definedName name="wrn.GAC._.RECO._1_2_1" localSheetId="14">{#N/A,#N/A,FALSE,"EST TRANS ";#N/A,#N/A,FALSE,"PIPELINE REF";#N/A,#N/A,FALSE,"GAC COST REC";#N/A,#N/A,FALSE,"INT ON PIPELINE";#N/A,#N/A,FALSE,"PIPELINE REF";#N/A,#N/A,FALSE,"Monthly Imbalan";#N/A,#N/A,FALSE,"PRORATED T.A.C.";#N/A,#N/A,FALSE,"TRAN REF SUR";#N/A,#N/A,FALSE,"INTERRUPTIBLE";#N/A,#N/A,FALSE,"PRIOR  TRANS";#N/A,#N/A,FALSE,"EST TRANS "}</definedName>
    <definedName name="wrn.GAC._.RECO._1_2_1">{#N/A,#N/A,FALSE,"EST TRANS ";#N/A,#N/A,FALSE,"PIPELINE REF";#N/A,#N/A,FALSE,"GAC COST REC";#N/A,#N/A,FALSE,"INT ON PIPELINE";#N/A,#N/A,FALSE,"PIPELINE REF";#N/A,#N/A,FALSE,"Monthly Imbalan";#N/A,#N/A,FALSE,"PRORATED T.A.C.";#N/A,#N/A,FALSE,"TRAN REF SUR";#N/A,#N/A,FALSE,"INTERRUPTIBLE";#N/A,#N/A,FALSE,"PRIOR  TRANS";#N/A,#N/A,FALSE,"EST TRANS "}</definedName>
    <definedName name="wrn.GAC._.RECO._2" localSheetId="14">{#N/A,#N/A,FALSE,"EST TRANS ";#N/A,#N/A,FALSE,"PIPELINE REF";#N/A,#N/A,FALSE,"GAC COST REC";#N/A,#N/A,FALSE,"INT ON PIPELINE";#N/A,#N/A,FALSE,"PIPELINE REF";#N/A,#N/A,FALSE,"Monthly Imbalan";#N/A,#N/A,FALSE,"PRORATED T.A.C.";#N/A,#N/A,FALSE,"TRAN REF SUR";#N/A,#N/A,FALSE,"INTERRUPTIBLE";#N/A,#N/A,FALSE,"PRIOR  TRANS";#N/A,#N/A,FALSE,"EST TRANS "}</definedName>
    <definedName name="wrn.GAC._.RECO._2">{#N/A,#N/A,FALSE,"EST TRANS ";#N/A,#N/A,FALSE,"PIPELINE REF";#N/A,#N/A,FALSE,"GAC COST REC";#N/A,#N/A,FALSE,"INT ON PIPELINE";#N/A,#N/A,FALSE,"PIPELINE REF";#N/A,#N/A,FALSE,"Monthly Imbalan";#N/A,#N/A,FALSE,"PRORATED T.A.C.";#N/A,#N/A,FALSE,"TRAN REF SUR";#N/A,#N/A,FALSE,"INTERRUPTIBLE";#N/A,#N/A,FALSE,"PRIOR  TRANS";#N/A,#N/A,FALSE,"EST TRANS "}</definedName>
    <definedName name="wrn.GAC._.RECO._2_1" localSheetId="14">{#N/A,#N/A,FALSE,"EST TRANS ";#N/A,#N/A,FALSE,"PIPELINE REF";#N/A,#N/A,FALSE,"GAC COST REC";#N/A,#N/A,FALSE,"INT ON PIPELINE";#N/A,#N/A,FALSE,"PIPELINE REF";#N/A,#N/A,FALSE,"Monthly Imbalan";#N/A,#N/A,FALSE,"PRORATED T.A.C.";#N/A,#N/A,FALSE,"TRAN REF SUR";#N/A,#N/A,FALSE,"INTERRUPTIBLE";#N/A,#N/A,FALSE,"PRIOR  TRANS";#N/A,#N/A,FALSE,"EST TRANS "}</definedName>
    <definedName name="wrn.GAC._.RECO._2_1">{#N/A,#N/A,FALSE,"EST TRANS ";#N/A,#N/A,FALSE,"PIPELINE REF";#N/A,#N/A,FALSE,"GAC COST REC";#N/A,#N/A,FALSE,"INT ON PIPELINE";#N/A,#N/A,FALSE,"PIPELINE REF";#N/A,#N/A,FALSE,"Monthly Imbalan";#N/A,#N/A,FALSE,"PRORATED T.A.C.";#N/A,#N/A,FALSE,"TRAN REF SUR";#N/A,#N/A,FALSE,"INTERRUPTIBLE";#N/A,#N/A,FALSE,"PRIOR  TRANS";#N/A,#N/A,FALSE,"EST TRANS "}</definedName>
    <definedName name="wrn.GAC._.RECO._2_1_1" localSheetId="14">{#N/A,#N/A,FALSE,"EST TRANS ";#N/A,#N/A,FALSE,"PIPELINE REF";#N/A,#N/A,FALSE,"GAC COST REC";#N/A,#N/A,FALSE,"INT ON PIPELINE";#N/A,#N/A,FALSE,"PIPELINE REF";#N/A,#N/A,FALSE,"Monthly Imbalan";#N/A,#N/A,FALSE,"PRORATED T.A.C.";#N/A,#N/A,FALSE,"TRAN REF SUR";#N/A,#N/A,FALSE,"INTERRUPTIBLE";#N/A,#N/A,FALSE,"PRIOR  TRANS";#N/A,#N/A,FALSE,"EST TRANS "}</definedName>
    <definedName name="wrn.GAC._.RECO._2_1_1">{#N/A,#N/A,FALSE,"EST TRANS ";#N/A,#N/A,FALSE,"PIPELINE REF";#N/A,#N/A,FALSE,"GAC COST REC";#N/A,#N/A,FALSE,"INT ON PIPELINE";#N/A,#N/A,FALSE,"PIPELINE REF";#N/A,#N/A,FALSE,"Monthly Imbalan";#N/A,#N/A,FALSE,"PRORATED T.A.C.";#N/A,#N/A,FALSE,"TRAN REF SUR";#N/A,#N/A,FALSE,"INTERRUPTIBLE";#N/A,#N/A,FALSE,"PRIOR  TRANS";#N/A,#N/A,FALSE,"EST TRANS "}</definedName>
    <definedName name="wrn.GAC._.RECO._2_1_1_1" localSheetId="14">{#N/A,#N/A,FALSE,"EST TRANS ";#N/A,#N/A,FALSE,"PIPELINE REF";#N/A,#N/A,FALSE,"GAC COST REC";#N/A,#N/A,FALSE,"INT ON PIPELINE";#N/A,#N/A,FALSE,"PIPELINE REF";#N/A,#N/A,FALSE,"Monthly Imbalan";#N/A,#N/A,FALSE,"PRORATED T.A.C.";#N/A,#N/A,FALSE,"TRAN REF SUR";#N/A,#N/A,FALSE,"INTERRUPTIBLE";#N/A,#N/A,FALSE,"PRIOR  TRANS";#N/A,#N/A,FALSE,"EST TRANS "}</definedName>
    <definedName name="wrn.GAC._.RECO._2_1_1_1">{#N/A,#N/A,FALSE,"EST TRANS ";#N/A,#N/A,FALSE,"PIPELINE REF";#N/A,#N/A,FALSE,"GAC COST REC";#N/A,#N/A,FALSE,"INT ON PIPELINE";#N/A,#N/A,FALSE,"PIPELINE REF";#N/A,#N/A,FALSE,"Monthly Imbalan";#N/A,#N/A,FALSE,"PRORATED T.A.C.";#N/A,#N/A,FALSE,"TRAN REF SUR";#N/A,#N/A,FALSE,"INTERRUPTIBLE";#N/A,#N/A,FALSE,"PRIOR  TRANS";#N/A,#N/A,FALSE,"EST TRANS "}</definedName>
    <definedName name="wrn.GAC._.RECO._2_1_2" localSheetId="14">{#N/A,#N/A,FALSE,"EST TRANS ";#N/A,#N/A,FALSE,"PIPELINE REF";#N/A,#N/A,FALSE,"GAC COST REC";#N/A,#N/A,FALSE,"INT ON PIPELINE";#N/A,#N/A,FALSE,"PIPELINE REF";#N/A,#N/A,FALSE,"Monthly Imbalan";#N/A,#N/A,FALSE,"PRORATED T.A.C.";#N/A,#N/A,FALSE,"TRAN REF SUR";#N/A,#N/A,FALSE,"INTERRUPTIBLE";#N/A,#N/A,FALSE,"PRIOR  TRANS";#N/A,#N/A,FALSE,"EST TRANS "}</definedName>
    <definedName name="wrn.GAC._.RECO._2_1_2">{#N/A,#N/A,FALSE,"EST TRANS ";#N/A,#N/A,FALSE,"PIPELINE REF";#N/A,#N/A,FALSE,"GAC COST REC";#N/A,#N/A,FALSE,"INT ON PIPELINE";#N/A,#N/A,FALSE,"PIPELINE REF";#N/A,#N/A,FALSE,"Monthly Imbalan";#N/A,#N/A,FALSE,"PRORATED T.A.C.";#N/A,#N/A,FALSE,"TRAN REF SUR";#N/A,#N/A,FALSE,"INTERRUPTIBLE";#N/A,#N/A,FALSE,"PRIOR  TRANS";#N/A,#N/A,FALSE,"EST TRANS "}</definedName>
    <definedName name="wrn.GAC._.RECO._2_2" localSheetId="14">{#N/A,#N/A,FALSE,"EST TRANS ";#N/A,#N/A,FALSE,"PIPELINE REF";#N/A,#N/A,FALSE,"GAC COST REC";#N/A,#N/A,FALSE,"INT ON PIPELINE";#N/A,#N/A,FALSE,"PIPELINE REF";#N/A,#N/A,FALSE,"Monthly Imbalan";#N/A,#N/A,FALSE,"PRORATED T.A.C.";#N/A,#N/A,FALSE,"TRAN REF SUR";#N/A,#N/A,FALSE,"INTERRUPTIBLE";#N/A,#N/A,FALSE,"PRIOR  TRANS";#N/A,#N/A,FALSE,"EST TRANS "}</definedName>
    <definedName name="wrn.GAC._.RECO._2_2">{#N/A,#N/A,FALSE,"EST TRANS ";#N/A,#N/A,FALSE,"PIPELINE REF";#N/A,#N/A,FALSE,"GAC COST REC";#N/A,#N/A,FALSE,"INT ON PIPELINE";#N/A,#N/A,FALSE,"PIPELINE REF";#N/A,#N/A,FALSE,"Monthly Imbalan";#N/A,#N/A,FALSE,"PRORATED T.A.C.";#N/A,#N/A,FALSE,"TRAN REF SUR";#N/A,#N/A,FALSE,"INTERRUPTIBLE";#N/A,#N/A,FALSE,"PRIOR  TRANS";#N/A,#N/A,FALSE,"EST TRANS "}</definedName>
    <definedName name="wrn.GAC._.RECO._2_2_1" localSheetId="14">{#N/A,#N/A,FALSE,"EST TRANS ";#N/A,#N/A,FALSE,"PIPELINE REF";#N/A,#N/A,FALSE,"GAC COST REC";#N/A,#N/A,FALSE,"INT ON PIPELINE";#N/A,#N/A,FALSE,"PIPELINE REF";#N/A,#N/A,FALSE,"Monthly Imbalan";#N/A,#N/A,FALSE,"PRORATED T.A.C.";#N/A,#N/A,FALSE,"TRAN REF SUR";#N/A,#N/A,FALSE,"INTERRUPTIBLE";#N/A,#N/A,FALSE,"PRIOR  TRANS";#N/A,#N/A,FALSE,"EST TRANS "}</definedName>
    <definedName name="wrn.GAC._.RECO._2_2_1">{#N/A,#N/A,FALSE,"EST TRANS ";#N/A,#N/A,FALSE,"PIPELINE REF";#N/A,#N/A,FALSE,"GAC COST REC";#N/A,#N/A,FALSE,"INT ON PIPELINE";#N/A,#N/A,FALSE,"PIPELINE REF";#N/A,#N/A,FALSE,"Monthly Imbalan";#N/A,#N/A,FALSE,"PRORATED T.A.C.";#N/A,#N/A,FALSE,"TRAN REF SUR";#N/A,#N/A,FALSE,"INTERRUPTIBLE";#N/A,#N/A,FALSE,"PRIOR  TRANS";#N/A,#N/A,FALSE,"EST TRANS "}</definedName>
    <definedName name="wrn.GAC._.RECO._2_3" localSheetId="14">{#N/A,#N/A,FALSE,"EST TRANS ";#N/A,#N/A,FALSE,"PIPELINE REF";#N/A,#N/A,FALSE,"GAC COST REC";#N/A,#N/A,FALSE,"INT ON PIPELINE";#N/A,#N/A,FALSE,"PIPELINE REF";#N/A,#N/A,FALSE,"Monthly Imbalan";#N/A,#N/A,FALSE,"PRORATED T.A.C.";#N/A,#N/A,FALSE,"TRAN REF SUR";#N/A,#N/A,FALSE,"INTERRUPTIBLE";#N/A,#N/A,FALSE,"PRIOR  TRANS";#N/A,#N/A,FALSE,"EST TRANS "}</definedName>
    <definedName name="wrn.GAC._.RECO._2_3">{#N/A,#N/A,FALSE,"EST TRANS ";#N/A,#N/A,FALSE,"PIPELINE REF";#N/A,#N/A,FALSE,"GAC COST REC";#N/A,#N/A,FALSE,"INT ON PIPELINE";#N/A,#N/A,FALSE,"PIPELINE REF";#N/A,#N/A,FALSE,"Monthly Imbalan";#N/A,#N/A,FALSE,"PRORATED T.A.C.";#N/A,#N/A,FALSE,"TRAN REF SUR";#N/A,#N/A,FALSE,"INTERRUPTIBLE";#N/A,#N/A,FALSE,"PRIOR  TRANS";#N/A,#N/A,FALSE,"EST TRANS "}</definedName>
    <definedName name="wrn.GAC._.RECO._2_3_1" localSheetId="14">{#N/A,#N/A,FALSE,"EST TRANS ";#N/A,#N/A,FALSE,"PIPELINE REF";#N/A,#N/A,FALSE,"GAC COST REC";#N/A,#N/A,FALSE,"INT ON PIPELINE";#N/A,#N/A,FALSE,"PIPELINE REF";#N/A,#N/A,FALSE,"Monthly Imbalan";#N/A,#N/A,FALSE,"PRORATED T.A.C.";#N/A,#N/A,FALSE,"TRAN REF SUR";#N/A,#N/A,FALSE,"INTERRUPTIBLE";#N/A,#N/A,FALSE,"PRIOR  TRANS";#N/A,#N/A,FALSE,"EST TRANS "}</definedName>
    <definedName name="wrn.GAC._.RECO._2_3_1">{#N/A,#N/A,FALSE,"EST TRANS ";#N/A,#N/A,FALSE,"PIPELINE REF";#N/A,#N/A,FALSE,"GAC COST REC";#N/A,#N/A,FALSE,"INT ON PIPELINE";#N/A,#N/A,FALSE,"PIPELINE REF";#N/A,#N/A,FALSE,"Monthly Imbalan";#N/A,#N/A,FALSE,"PRORATED T.A.C.";#N/A,#N/A,FALSE,"TRAN REF SUR";#N/A,#N/A,FALSE,"INTERRUPTIBLE";#N/A,#N/A,FALSE,"PRIOR  TRANS";#N/A,#N/A,FALSE,"EST TRANS "}</definedName>
    <definedName name="wrn.GAC._.RECO._2_4" localSheetId="14">{#N/A,#N/A,FALSE,"EST TRANS ";#N/A,#N/A,FALSE,"PIPELINE REF";#N/A,#N/A,FALSE,"GAC COST REC";#N/A,#N/A,FALSE,"INT ON PIPELINE";#N/A,#N/A,FALSE,"PIPELINE REF";#N/A,#N/A,FALSE,"Monthly Imbalan";#N/A,#N/A,FALSE,"PRORATED T.A.C.";#N/A,#N/A,FALSE,"TRAN REF SUR";#N/A,#N/A,FALSE,"INTERRUPTIBLE";#N/A,#N/A,FALSE,"PRIOR  TRANS";#N/A,#N/A,FALSE,"EST TRANS "}</definedName>
    <definedName name="wrn.GAC._.RECO._2_4">{#N/A,#N/A,FALSE,"EST TRANS ";#N/A,#N/A,FALSE,"PIPELINE REF";#N/A,#N/A,FALSE,"GAC COST REC";#N/A,#N/A,FALSE,"INT ON PIPELINE";#N/A,#N/A,FALSE,"PIPELINE REF";#N/A,#N/A,FALSE,"Monthly Imbalan";#N/A,#N/A,FALSE,"PRORATED T.A.C.";#N/A,#N/A,FALSE,"TRAN REF SUR";#N/A,#N/A,FALSE,"INTERRUPTIBLE";#N/A,#N/A,FALSE,"PRIOR  TRANS";#N/A,#N/A,FALSE,"EST TRANS "}</definedName>
    <definedName name="wrn.GAC._.RECO._2_4_1" localSheetId="14">{#N/A,#N/A,FALSE,"EST TRANS ";#N/A,#N/A,FALSE,"PIPELINE REF";#N/A,#N/A,FALSE,"GAC COST REC";#N/A,#N/A,FALSE,"INT ON PIPELINE";#N/A,#N/A,FALSE,"PIPELINE REF";#N/A,#N/A,FALSE,"Monthly Imbalan";#N/A,#N/A,FALSE,"PRORATED T.A.C.";#N/A,#N/A,FALSE,"TRAN REF SUR";#N/A,#N/A,FALSE,"INTERRUPTIBLE";#N/A,#N/A,FALSE,"PRIOR  TRANS";#N/A,#N/A,FALSE,"EST TRANS "}</definedName>
    <definedName name="wrn.GAC._.RECO._2_4_1">{#N/A,#N/A,FALSE,"EST TRANS ";#N/A,#N/A,FALSE,"PIPELINE REF";#N/A,#N/A,FALSE,"GAC COST REC";#N/A,#N/A,FALSE,"INT ON PIPELINE";#N/A,#N/A,FALSE,"PIPELINE REF";#N/A,#N/A,FALSE,"Monthly Imbalan";#N/A,#N/A,FALSE,"PRORATED T.A.C.";#N/A,#N/A,FALSE,"TRAN REF SUR";#N/A,#N/A,FALSE,"INTERRUPTIBLE";#N/A,#N/A,FALSE,"PRIOR  TRANS";#N/A,#N/A,FALSE,"EST TRANS "}</definedName>
    <definedName name="wrn.GAC._.RECO._2_5" localSheetId="14">{#N/A,#N/A,FALSE,"EST TRANS ";#N/A,#N/A,FALSE,"PIPELINE REF";#N/A,#N/A,FALSE,"GAC COST REC";#N/A,#N/A,FALSE,"INT ON PIPELINE";#N/A,#N/A,FALSE,"PIPELINE REF";#N/A,#N/A,FALSE,"Monthly Imbalan";#N/A,#N/A,FALSE,"PRORATED T.A.C.";#N/A,#N/A,FALSE,"TRAN REF SUR";#N/A,#N/A,FALSE,"INTERRUPTIBLE";#N/A,#N/A,FALSE,"PRIOR  TRANS";#N/A,#N/A,FALSE,"EST TRANS "}</definedName>
    <definedName name="wrn.GAC._.RECO._2_5">{#N/A,#N/A,FALSE,"EST TRANS ";#N/A,#N/A,FALSE,"PIPELINE REF";#N/A,#N/A,FALSE,"GAC COST REC";#N/A,#N/A,FALSE,"INT ON PIPELINE";#N/A,#N/A,FALSE,"PIPELINE REF";#N/A,#N/A,FALSE,"Monthly Imbalan";#N/A,#N/A,FALSE,"PRORATED T.A.C.";#N/A,#N/A,FALSE,"TRAN REF SUR";#N/A,#N/A,FALSE,"INTERRUPTIBLE";#N/A,#N/A,FALSE,"PRIOR  TRANS";#N/A,#N/A,FALSE,"EST TRANS "}</definedName>
    <definedName name="wrn.GAC._.RECO._3" localSheetId="14">{#N/A,#N/A,FALSE,"EST TRANS ";#N/A,#N/A,FALSE,"PIPELINE REF";#N/A,#N/A,FALSE,"GAC COST REC";#N/A,#N/A,FALSE,"INT ON PIPELINE";#N/A,#N/A,FALSE,"PIPELINE REF";#N/A,#N/A,FALSE,"Monthly Imbalan";#N/A,#N/A,FALSE,"PRORATED T.A.C.";#N/A,#N/A,FALSE,"TRAN REF SUR";#N/A,#N/A,FALSE,"INTERRUPTIBLE";#N/A,#N/A,FALSE,"PRIOR  TRANS";#N/A,#N/A,FALSE,"EST TRANS "}</definedName>
    <definedName name="wrn.GAC._.RECO._3">{#N/A,#N/A,FALSE,"EST TRANS ";#N/A,#N/A,FALSE,"PIPELINE REF";#N/A,#N/A,FALSE,"GAC COST REC";#N/A,#N/A,FALSE,"INT ON PIPELINE";#N/A,#N/A,FALSE,"PIPELINE REF";#N/A,#N/A,FALSE,"Monthly Imbalan";#N/A,#N/A,FALSE,"PRORATED T.A.C.";#N/A,#N/A,FALSE,"TRAN REF SUR";#N/A,#N/A,FALSE,"INTERRUPTIBLE";#N/A,#N/A,FALSE,"PRIOR  TRANS";#N/A,#N/A,FALSE,"EST TRANS "}</definedName>
    <definedName name="wrn.GAC._.RECO._3_1" localSheetId="14">{#N/A,#N/A,FALSE,"EST TRANS ";#N/A,#N/A,FALSE,"PIPELINE REF";#N/A,#N/A,FALSE,"GAC COST REC";#N/A,#N/A,FALSE,"INT ON PIPELINE";#N/A,#N/A,FALSE,"PIPELINE REF";#N/A,#N/A,FALSE,"Monthly Imbalan";#N/A,#N/A,FALSE,"PRORATED T.A.C.";#N/A,#N/A,FALSE,"TRAN REF SUR";#N/A,#N/A,FALSE,"INTERRUPTIBLE";#N/A,#N/A,FALSE,"PRIOR  TRANS";#N/A,#N/A,FALSE,"EST TRANS "}</definedName>
    <definedName name="wrn.GAC._.RECO._3_1">{#N/A,#N/A,FALSE,"EST TRANS ";#N/A,#N/A,FALSE,"PIPELINE REF";#N/A,#N/A,FALSE,"GAC COST REC";#N/A,#N/A,FALSE,"INT ON PIPELINE";#N/A,#N/A,FALSE,"PIPELINE REF";#N/A,#N/A,FALSE,"Monthly Imbalan";#N/A,#N/A,FALSE,"PRORATED T.A.C.";#N/A,#N/A,FALSE,"TRAN REF SUR";#N/A,#N/A,FALSE,"INTERRUPTIBLE";#N/A,#N/A,FALSE,"PRIOR  TRANS";#N/A,#N/A,FALSE,"EST TRANS "}</definedName>
    <definedName name="wrn.GAC._.RECO._3_1_1" localSheetId="14">{#N/A,#N/A,FALSE,"EST TRANS ";#N/A,#N/A,FALSE,"PIPELINE REF";#N/A,#N/A,FALSE,"GAC COST REC";#N/A,#N/A,FALSE,"INT ON PIPELINE";#N/A,#N/A,FALSE,"PIPELINE REF";#N/A,#N/A,FALSE,"Monthly Imbalan";#N/A,#N/A,FALSE,"PRORATED T.A.C.";#N/A,#N/A,FALSE,"TRAN REF SUR";#N/A,#N/A,FALSE,"INTERRUPTIBLE";#N/A,#N/A,FALSE,"PRIOR  TRANS";#N/A,#N/A,FALSE,"EST TRANS "}</definedName>
    <definedName name="wrn.GAC._.RECO._3_1_1">{#N/A,#N/A,FALSE,"EST TRANS ";#N/A,#N/A,FALSE,"PIPELINE REF";#N/A,#N/A,FALSE,"GAC COST REC";#N/A,#N/A,FALSE,"INT ON PIPELINE";#N/A,#N/A,FALSE,"PIPELINE REF";#N/A,#N/A,FALSE,"Monthly Imbalan";#N/A,#N/A,FALSE,"PRORATED T.A.C.";#N/A,#N/A,FALSE,"TRAN REF SUR";#N/A,#N/A,FALSE,"INTERRUPTIBLE";#N/A,#N/A,FALSE,"PRIOR  TRANS";#N/A,#N/A,FALSE,"EST TRANS "}</definedName>
    <definedName name="wrn.GAC._.RECO._3_1_1_1" localSheetId="14">{#N/A,#N/A,FALSE,"EST TRANS ";#N/A,#N/A,FALSE,"PIPELINE REF";#N/A,#N/A,FALSE,"GAC COST REC";#N/A,#N/A,FALSE,"INT ON PIPELINE";#N/A,#N/A,FALSE,"PIPELINE REF";#N/A,#N/A,FALSE,"Monthly Imbalan";#N/A,#N/A,FALSE,"PRORATED T.A.C.";#N/A,#N/A,FALSE,"TRAN REF SUR";#N/A,#N/A,FALSE,"INTERRUPTIBLE";#N/A,#N/A,FALSE,"PRIOR  TRANS";#N/A,#N/A,FALSE,"EST TRANS "}</definedName>
    <definedName name="wrn.GAC._.RECO._3_1_1_1">{#N/A,#N/A,FALSE,"EST TRANS ";#N/A,#N/A,FALSE,"PIPELINE REF";#N/A,#N/A,FALSE,"GAC COST REC";#N/A,#N/A,FALSE,"INT ON PIPELINE";#N/A,#N/A,FALSE,"PIPELINE REF";#N/A,#N/A,FALSE,"Monthly Imbalan";#N/A,#N/A,FALSE,"PRORATED T.A.C.";#N/A,#N/A,FALSE,"TRAN REF SUR";#N/A,#N/A,FALSE,"INTERRUPTIBLE";#N/A,#N/A,FALSE,"PRIOR  TRANS";#N/A,#N/A,FALSE,"EST TRANS "}</definedName>
    <definedName name="wrn.GAC._.RECO._3_1_2" localSheetId="14">{#N/A,#N/A,FALSE,"EST TRANS ";#N/A,#N/A,FALSE,"PIPELINE REF";#N/A,#N/A,FALSE,"GAC COST REC";#N/A,#N/A,FALSE,"INT ON PIPELINE";#N/A,#N/A,FALSE,"PIPELINE REF";#N/A,#N/A,FALSE,"Monthly Imbalan";#N/A,#N/A,FALSE,"PRORATED T.A.C.";#N/A,#N/A,FALSE,"TRAN REF SUR";#N/A,#N/A,FALSE,"INTERRUPTIBLE";#N/A,#N/A,FALSE,"PRIOR  TRANS";#N/A,#N/A,FALSE,"EST TRANS "}</definedName>
    <definedName name="wrn.GAC._.RECO._3_1_2">{#N/A,#N/A,FALSE,"EST TRANS ";#N/A,#N/A,FALSE,"PIPELINE REF";#N/A,#N/A,FALSE,"GAC COST REC";#N/A,#N/A,FALSE,"INT ON PIPELINE";#N/A,#N/A,FALSE,"PIPELINE REF";#N/A,#N/A,FALSE,"Monthly Imbalan";#N/A,#N/A,FALSE,"PRORATED T.A.C.";#N/A,#N/A,FALSE,"TRAN REF SUR";#N/A,#N/A,FALSE,"INTERRUPTIBLE";#N/A,#N/A,FALSE,"PRIOR  TRANS";#N/A,#N/A,FALSE,"EST TRANS "}</definedName>
    <definedName name="wrn.GAC._.RECO._3_2" localSheetId="14">{#N/A,#N/A,FALSE,"EST TRANS ";#N/A,#N/A,FALSE,"PIPELINE REF";#N/A,#N/A,FALSE,"GAC COST REC";#N/A,#N/A,FALSE,"INT ON PIPELINE";#N/A,#N/A,FALSE,"PIPELINE REF";#N/A,#N/A,FALSE,"Monthly Imbalan";#N/A,#N/A,FALSE,"PRORATED T.A.C.";#N/A,#N/A,FALSE,"TRAN REF SUR";#N/A,#N/A,FALSE,"INTERRUPTIBLE";#N/A,#N/A,FALSE,"PRIOR  TRANS";#N/A,#N/A,FALSE,"EST TRANS "}</definedName>
    <definedName name="wrn.GAC._.RECO._3_2">{#N/A,#N/A,FALSE,"EST TRANS ";#N/A,#N/A,FALSE,"PIPELINE REF";#N/A,#N/A,FALSE,"GAC COST REC";#N/A,#N/A,FALSE,"INT ON PIPELINE";#N/A,#N/A,FALSE,"PIPELINE REF";#N/A,#N/A,FALSE,"Monthly Imbalan";#N/A,#N/A,FALSE,"PRORATED T.A.C.";#N/A,#N/A,FALSE,"TRAN REF SUR";#N/A,#N/A,FALSE,"INTERRUPTIBLE";#N/A,#N/A,FALSE,"PRIOR  TRANS";#N/A,#N/A,FALSE,"EST TRANS "}</definedName>
    <definedName name="wrn.GAC._.RECO._3_2_1" localSheetId="14">{#N/A,#N/A,FALSE,"EST TRANS ";#N/A,#N/A,FALSE,"PIPELINE REF";#N/A,#N/A,FALSE,"GAC COST REC";#N/A,#N/A,FALSE,"INT ON PIPELINE";#N/A,#N/A,FALSE,"PIPELINE REF";#N/A,#N/A,FALSE,"Monthly Imbalan";#N/A,#N/A,FALSE,"PRORATED T.A.C.";#N/A,#N/A,FALSE,"TRAN REF SUR";#N/A,#N/A,FALSE,"INTERRUPTIBLE";#N/A,#N/A,FALSE,"PRIOR  TRANS";#N/A,#N/A,FALSE,"EST TRANS "}</definedName>
    <definedName name="wrn.GAC._.RECO._3_2_1">{#N/A,#N/A,FALSE,"EST TRANS ";#N/A,#N/A,FALSE,"PIPELINE REF";#N/A,#N/A,FALSE,"GAC COST REC";#N/A,#N/A,FALSE,"INT ON PIPELINE";#N/A,#N/A,FALSE,"PIPELINE REF";#N/A,#N/A,FALSE,"Monthly Imbalan";#N/A,#N/A,FALSE,"PRORATED T.A.C.";#N/A,#N/A,FALSE,"TRAN REF SUR";#N/A,#N/A,FALSE,"INTERRUPTIBLE";#N/A,#N/A,FALSE,"PRIOR  TRANS";#N/A,#N/A,FALSE,"EST TRANS "}</definedName>
    <definedName name="wrn.GAC._.RECO._3_3" localSheetId="14">{#N/A,#N/A,FALSE,"EST TRANS ";#N/A,#N/A,FALSE,"PIPELINE REF";#N/A,#N/A,FALSE,"GAC COST REC";#N/A,#N/A,FALSE,"INT ON PIPELINE";#N/A,#N/A,FALSE,"PIPELINE REF";#N/A,#N/A,FALSE,"Monthly Imbalan";#N/A,#N/A,FALSE,"PRORATED T.A.C.";#N/A,#N/A,FALSE,"TRAN REF SUR";#N/A,#N/A,FALSE,"INTERRUPTIBLE";#N/A,#N/A,FALSE,"PRIOR  TRANS";#N/A,#N/A,FALSE,"EST TRANS "}</definedName>
    <definedName name="wrn.GAC._.RECO._3_3">{#N/A,#N/A,FALSE,"EST TRANS ";#N/A,#N/A,FALSE,"PIPELINE REF";#N/A,#N/A,FALSE,"GAC COST REC";#N/A,#N/A,FALSE,"INT ON PIPELINE";#N/A,#N/A,FALSE,"PIPELINE REF";#N/A,#N/A,FALSE,"Monthly Imbalan";#N/A,#N/A,FALSE,"PRORATED T.A.C.";#N/A,#N/A,FALSE,"TRAN REF SUR";#N/A,#N/A,FALSE,"INTERRUPTIBLE";#N/A,#N/A,FALSE,"PRIOR  TRANS";#N/A,#N/A,FALSE,"EST TRANS "}</definedName>
    <definedName name="wrn.GAC._.RECO._3_3_1" localSheetId="14">{#N/A,#N/A,FALSE,"EST TRANS ";#N/A,#N/A,FALSE,"PIPELINE REF";#N/A,#N/A,FALSE,"GAC COST REC";#N/A,#N/A,FALSE,"INT ON PIPELINE";#N/A,#N/A,FALSE,"PIPELINE REF";#N/A,#N/A,FALSE,"Monthly Imbalan";#N/A,#N/A,FALSE,"PRORATED T.A.C.";#N/A,#N/A,FALSE,"TRAN REF SUR";#N/A,#N/A,FALSE,"INTERRUPTIBLE";#N/A,#N/A,FALSE,"PRIOR  TRANS";#N/A,#N/A,FALSE,"EST TRANS "}</definedName>
    <definedName name="wrn.GAC._.RECO._3_3_1">{#N/A,#N/A,FALSE,"EST TRANS ";#N/A,#N/A,FALSE,"PIPELINE REF";#N/A,#N/A,FALSE,"GAC COST REC";#N/A,#N/A,FALSE,"INT ON PIPELINE";#N/A,#N/A,FALSE,"PIPELINE REF";#N/A,#N/A,FALSE,"Monthly Imbalan";#N/A,#N/A,FALSE,"PRORATED T.A.C.";#N/A,#N/A,FALSE,"TRAN REF SUR";#N/A,#N/A,FALSE,"INTERRUPTIBLE";#N/A,#N/A,FALSE,"PRIOR  TRANS";#N/A,#N/A,FALSE,"EST TRANS "}</definedName>
    <definedName name="wrn.GAC._.RECO._3_4" localSheetId="14">{#N/A,#N/A,FALSE,"EST TRANS ";#N/A,#N/A,FALSE,"PIPELINE REF";#N/A,#N/A,FALSE,"GAC COST REC";#N/A,#N/A,FALSE,"INT ON PIPELINE";#N/A,#N/A,FALSE,"PIPELINE REF";#N/A,#N/A,FALSE,"Monthly Imbalan";#N/A,#N/A,FALSE,"PRORATED T.A.C.";#N/A,#N/A,FALSE,"TRAN REF SUR";#N/A,#N/A,FALSE,"INTERRUPTIBLE";#N/A,#N/A,FALSE,"PRIOR  TRANS";#N/A,#N/A,FALSE,"EST TRANS "}</definedName>
    <definedName name="wrn.GAC._.RECO._3_4">{#N/A,#N/A,FALSE,"EST TRANS ";#N/A,#N/A,FALSE,"PIPELINE REF";#N/A,#N/A,FALSE,"GAC COST REC";#N/A,#N/A,FALSE,"INT ON PIPELINE";#N/A,#N/A,FALSE,"PIPELINE REF";#N/A,#N/A,FALSE,"Monthly Imbalan";#N/A,#N/A,FALSE,"PRORATED T.A.C.";#N/A,#N/A,FALSE,"TRAN REF SUR";#N/A,#N/A,FALSE,"INTERRUPTIBLE";#N/A,#N/A,FALSE,"PRIOR  TRANS";#N/A,#N/A,FALSE,"EST TRANS "}</definedName>
    <definedName name="wrn.GAC._.RECO._3_4_1" localSheetId="14">{#N/A,#N/A,FALSE,"EST TRANS ";#N/A,#N/A,FALSE,"PIPELINE REF";#N/A,#N/A,FALSE,"GAC COST REC";#N/A,#N/A,FALSE,"INT ON PIPELINE";#N/A,#N/A,FALSE,"PIPELINE REF";#N/A,#N/A,FALSE,"Monthly Imbalan";#N/A,#N/A,FALSE,"PRORATED T.A.C.";#N/A,#N/A,FALSE,"TRAN REF SUR";#N/A,#N/A,FALSE,"INTERRUPTIBLE";#N/A,#N/A,FALSE,"PRIOR  TRANS";#N/A,#N/A,FALSE,"EST TRANS "}</definedName>
    <definedName name="wrn.GAC._.RECO._3_4_1">{#N/A,#N/A,FALSE,"EST TRANS ";#N/A,#N/A,FALSE,"PIPELINE REF";#N/A,#N/A,FALSE,"GAC COST REC";#N/A,#N/A,FALSE,"INT ON PIPELINE";#N/A,#N/A,FALSE,"PIPELINE REF";#N/A,#N/A,FALSE,"Monthly Imbalan";#N/A,#N/A,FALSE,"PRORATED T.A.C.";#N/A,#N/A,FALSE,"TRAN REF SUR";#N/A,#N/A,FALSE,"INTERRUPTIBLE";#N/A,#N/A,FALSE,"PRIOR  TRANS";#N/A,#N/A,FALSE,"EST TRANS "}</definedName>
    <definedName name="wrn.GAC._.RECO._3_5" localSheetId="14">{#N/A,#N/A,FALSE,"EST TRANS ";#N/A,#N/A,FALSE,"PIPELINE REF";#N/A,#N/A,FALSE,"GAC COST REC";#N/A,#N/A,FALSE,"INT ON PIPELINE";#N/A,#N/A,FALSE,"PIPELINE REF";#N/A,#N/A,FALSE,"Monthly Imbalan";#N/A,#N/A,FALSE,"PRORATED T.A.C.";#N/A,#N/A,FALSE,"TRAN REF SUR";#N/A,#N/A,FALSE,"INTERRUPTIBLE";#N/A,#N/A,FALSE,"PRIOR  TRANS";#N/A,#N/A,FALSE,"EST TRANS "}</definedName>
    <definedName name="wrn.GAC._.RECO._3_5">{#N/A,#N/A,FALSE,"EST TRANS ";#N/A,#N/A,FALSE,"PIPELINE REF";#N/A,#N/A,FALSE,"GAC COST REC";#N/A,#N/A,FALSE,"INT ON PIPELINE";#N/A,#N/A,FALSE,"PIPELINE REF";#N/A,#N/A,FALSE,"Monthly Imbalan";#N/A,#N/A,FALSE,"PRORATED T.A.C.";#N/A,#N/A,FALSE,"TRAN REF SUR";#N/A,#N/A,FALSE,"INTERRUPTIBLE";#N/A,#N/A,FALSE,"PRIOR  TRANS";#N/A,#N/A,FALSE,"EST TRANS "}</definedName>
    <definedName name="wrn.GAC._.RECO._4" localSheetId="14">{#N/A,#N/A,FALSE,"EST TRANS ";#N/A,#N/A,FALSE,"PIPELINE REF";#N/A,#N/A,FALSE,"GAC COST REC";#N/A,#N/A,FALSE,"INT ON PIPELINE";#N/A,#N/A,FALSE,"PIPELINE REF";#N/A,#N/A,FALSE,"Monthly Imbalan";#N/A,#N/A,FALSE,"PRORATED T.A.C.";#N/A,#N/A,FALSE,"TRAN REF SUR";#N/A,#N/A,FALSE,"INTERRUPTIBLE";#N/A,#N/A,FALSE,"PRIOR  TRANS";#N/A,#N/A,FALSE,"EST TRANS "}</definedName>
    <definedName name="wrn.GAC._.RECO._4">{#N/A,#N/A,FALSE,"EST TRANS ";#N/A,#N/A,FALSE,"PIPELINE REF";#N/A,#N/A,FALSE,"GAC COST REC";#N/A,#N/A,FALSE,"INT ON PIPELINE";#N/A,#N/A,FALSE,"PIPELINE REF";#N/A,#N/A,FALSE,"Monthly Imbalan";#N/A,#N/A,FALSE,"PRORATED T.A.C.";#N/A,#N/A,FALSE,"TRAN REF SUR";#N/A,#N/A,FALSE,"INTERRUPTIBLE";#N/A,#N/A,FALSE,"PRIOR  TRANS";#N/A,#N/A,FALSE,"EST TRANS "}</definedName>
    <definedName name="wrn.GAC._.RECO._4_1" localSheetId="14">{#N/A,#N/A,FALSE,"EST TRANS ";#N/A,#N/A,FALSE,"PIPELINE REF";#N/A,#N/A,FALSE,"GAC COST REC";#N/A,#N/A,FALSE,"INT ON PIPELINE";#N/A,#N/A,FALSE,"PIPELINE REF";#N/A,#N/A,FALSE,"Monthly Imbalan";#N/A,#N/A,FALSE,"PRORATED T.A.C.";#N/A,#N/A,FALSE,"TRAN REF SUR";#N/A,#N/A,FALSE,"INTERRUPTIBLE";#N/A,#N/A,FALSE,"PRIOR  TRANS";#N/A,#N/A,FALSE,"EST TRANS "}</definedName>
    <definedName name="wrn.GAC._.RECO._4_1">{#N/A,#N/A,FALSE,"EST TRANS ";#N/A,#N/A,FALSE,"PIPELINE REF";#N/A,#N/A,FALSE,"GAC COST REC";#N/A,#N/A,FALSE,"INT ON PIPELINE";#N/A,#N/A,FALSE,"PIPELINE REF";#N/A,#N/A,FALSE,"Monthly Imbalan";#N/A,#N/A,FALSE,"PRORATED T.A.C.";#N/A,#N/A,FALSE,"TRAN REF SUR";#N/A,#N/A,FALSE,"INTERRUPTIBLE";#N/A,#N/A,FALSE,"PRIOR  TRANS";#N/A,#N/A,FALSE,"EST TRANS "}</definedName>
    <definedName name="wrn.GAC._.RECO._4_1_1" localSheetId="14">{#N/A,#N/A,FALSE,"EST TRANS ";#N/A,#N/A,FALSE,"PIPELINE REF";#N/A,#N/A,FALSE,"GAC COST REC";#N/A,#N/A,FALSE,"INT ON PIPELINE";#N/A,#N/A,FALSE,"PIPELINE REF";#N/A,#N/A,FALSE,"Monthly Imbalan";#N/A,#N/A,FALSE,"PRORATED T.A.C.";#N/A,#N/A,FALSE,"TRAN REF SUR";#N/A,#N/A,FALSE,"INTERRUPTIBLE";#N/A,#N/A,FALSE,"PRIOR  TRANS";#N/A,#N/A,FALSE,"EST TRANS "}</definedName>
    <definedName name="wrn.GAC._.RECO._4_1_1">{#N/A,#N/A,FALSE,"EST TRANS ";#N/A,#N/A,FALSE,"PIPELINE REF";#N/A,#N/A,FALSE,"GAC COST REC";#N/A,#N/A,FALSE,"INT ON PIPELINE";#N/A,#N/A,FALSE,"PIPELINE REF";#N/A,#N/A,FALSE,"Monthly Imbalan";#N/A,#N/A,FALSE,"PRORATED T.A.C.";#N/A,#N/A,FALSE,"TRAN REF SUR";#N/A,#N/A,FALSE,"INTERRUPTIBLE";#N/A,#N/A,FALSE,"PRIOR  TRANS";#N/A,#N/A,FALSE,"EST TRANS "}</definedName>
    <definedName name="wrn.GAC._.RECO._4_1_1_1" localSheetId="14">{#N/A,#N/A,FALSE,"EST TRANS ";#N/A,#N/A,FALSE,"PIPELINE REF";#N/A,#N/A,FALSE,"GAC COST REC";#N/A,#N/A,FALSE,"INT ON PIPELINE";#N/A,#N/A,FALSE,"PIPELINE REF";#N/A,#N/A,FALSE,"Monthly Imbalan";#N/A,#N/A,FALSE,"PRORATED T.A.C.";#N/A,#N/A,FALSE,"TRAN REF SUR";#N/A,#N/A,FALSE,"INTERRUPTIBLE";#N/A,#N/A,FALSE,"PRIOR  TRANS";#N/A,#N/A,FALSE,"EST TRANS "}</definedName>
    <definedName name="wrn.GAC._.RECO._4_1_1_1">{#N/A,#N/A,FALSE,"EST TRANS ";#N/A,#N/A,FALSE,"PIPELINE REF";#N/A,#N/A,FALSE,"GAC COST REC";#N/A,#N/A,FALSE,"INT ON PIPELINE";#N/A,#N/A,FALSE,"PIPELINE REF";#N/A,#N/A,FALSE,"Monthly Imbalan";#N/A,#N/A,FALSE,"PRORATED T.A.C.";#N/A,#N/A,FALSE,"TRAN REF SUR";#N/A,#N/A,FALSE,"INTERRUPTIBLE";#N/A,#N/A,FALSE,"PRIOR  TRANS";#N/A,#N/A,FALSE,"EST TRANS "}</definedName>
    <definedName name="wrn.GAC._.RECO._4_1_2" localSheetId="14">{#N/A,#N/A,FALSE,"EST TRANS ";#N/A,#N/A,FALSE,"PIPELINE REF";#N/A,#N/A,FALSE,"GAC COST REC";#N/A,#N/A,FALSE,"INT ON PIPELINE";#N/A,#N/A,FALSE,"PIPELINE REF";#N/A,#N/A,FALSE,"Monthly Imbalan";#N/A,#N/A,FALSE,"PRORATED T.A.C.";#N/A,#N/A,FALSE,"TRAN REF SUR";#N/A,#N/A,FALSE,"INTERRUPTIBLE";#N/A,#N/A,FALSE,"PRIOR  TRANS";#N/A,#N/A,FALSE,"EST TRANS "}</definedName>
    <definedName name="wrn.GAC._.RECO._4_1_2">{#N/A,#N/A,FALSE,"EST TRANS ";#N/A,#N/A,FALSE,"PIPELINE REF";#N/A,#N/A,FALSE,"GAC COST REC";#N/A,#N/A,FALSE,"INT ON PIPELINE";#N/A,#N/A,FALSE,"PIPELINE REF";#N/A,#N/A,FALSE,"Monthly Imbalan";#N/A,#N/A,FALSE,"PRORATED T.A.C.";#N/A,#N/A,FALSE,"TRAN REF SUR";#N/A,#N/A,FALSE,"INTERRUPTIBLE";#N/A,#N/A,FALSE,"PRIOR  TRANS";#N/A,#N/A,FALSE,"EST TRANS "}</definedName>
    <definedName name="wrn.GAC._.RECO._4_2" localSheetId="14">{#N/A,#N/A,FALSE,"EST TRANS ";#N/A,#N/A,FALSE,"PIPELINE REF";#N/A,#N/A,FALSE,"GAC COST REC";#N/A,#N/A,FALSE,"INT ON PIPELINE";#N/A,#N/A,FALSE,"PIPELINE REF";#N/A,#N/A,FALSE,"Monthly Imbalan";#N/A,#N/A,FALSE,"PRORATED T.A.C.";#N/A,#N/A,FALSE,"TRAN REF SUR";#N/A,#N/A,FALSE,"INTERRUPTIBLE";#N/A,#N/A,FALSE,"PRIOR  TRANS";#N/A,#N/A,FALSE,"EST TRANS "}</definedName>
    <definedName name="wrn.GAC._.RECO._4_2">{#N/A,#N/A,FALSE,"EST TRANS ";#N/A,#N/A,FALSE,"PIPELINE REF";#N/A,#N/A,FALSE,"GAC COST REC";#N/A,#N/A,FALSE,"INT ON PIPELINE";#N/A,#N/A,FALSE,"PIPELINE REF";#N/A,#N/A,FALSE,"Monthly Imbalan";#N/A,#N/A,FALSE,"PRORATED T.A.C.";#N/A,#N/A,FALSE,"TRAN REF SUR";#N/A,#N/A,FALSE,"INTERRUPTIBLE";#N/A,#N/A,FALSE,"PRIOR  TRANS";#N/A,#N/A,FALSE,"EST TRANS "}</definedName>
    <definedName name="wrn.GAC._.RECO._4_2_1" localSheetId="14">{#N/A,#N/A,FALSE,"EST TRANS ";#N/A,#N/A,FALSE,"PIPELINE REF";#N/A,#N/A,FALSE,"GAC COST REC";#N/A,#N/A,FALSE,"INT ON PIPELINE";#N/A,#N/A,FALSE,"PIPELINE REF";#N/A,#N/A,FALSE,"Monthly Imbalan";#N/A,#N/A,FALSE,"PRORATED T.A.C.";#N/A,#N/A,FALSE,"TRAN REF SUR";#N/A,#N/A,FALSE,"INTERRUPTIBLE";#N/A,#N/A,FALSE,"PRIOR  TRANS";#N/A,#N/A,FALSE,"EST TRANS "}</definedName>
    <definedName name="wrn.GAC._.RECO._4_2_1">{#N/A,#N/A,FALSE,"EST TRANS ";#N/A,#N/A,FALSE,"PIPELINE REF";#N/A,#N/A,FALSE,"GAC COST REC";#N/A,#N/A,FALSE,"INT ON PIPELINE";#N/A,#N/A,FALSE,"PIPELINE REF";#N/A,#N/A,FALSE,"Monthly Imbalan";#N/A,#N/A,FALSE,"PRORATED T.A.C.";#N/A,#N/A,FALSE,"TRAN REF SUR";#N/A,#N/A,FALSE,"INTERRUPTIBLE";#N/A,#N/A,FALSE,"PRIOR  TRANS";#N/A,#N/A,FALSE,"EST TRANS "}</definedName>
    <definedName name="wrn.GAC._.RECO._4_3" localSheetId="14">{#N/A,#N/A,FALSE,"EST TRANS ";#N/A,#N/A,FALSE,"PIPELINE REF";#N/A,#N/A,FALSE,"GAC COST REC";#N/A,#N/A,FALSE,"INT ON PIPELINE";#N/A,#N/A,FALSE,"PIPELINE REF";#N/A,#N/A,FALSE,"Monthly Imbalan";#N/A,#N/A,FALSE,"PRORATED T.A.C.";#N/A,#N/A,FALSE,"TRAN REF SUR";#N/A,#N/A,FALSE,"INTERRUPTIBLE";#N/A,#N/A,FALSE,"PRIOR  TRANS";#N/A,#N/A,FALSE,"EST TRANS "}</definedName>
    <definedName name="wrn.GAC._.RECO._4_3">{#N/A,#N/A,FALSE,"EST TRANS ";#N/A,#N/A,FALSE,"PIPELINE REF";#N/A,#N/A,FALSE,"GAC COST REC";#N/A,#N/A,FALSE,"INT ON PIPELINE";#N/A,#N/A,FALSE,"PIPELINE REF";#N/A,#N/A,FALSE,"Monthly Imbalan";#N/A,#N/A,FALSE,"PRORATED T.A.C.";#N/A,#N/A,FALSE,"TRAN REF SUR";#N/A,#N/A,FALSE,"INTERRUPTIBLE";#N/A,#N/A,FALSE,"PRIOR  TRANS";#N/A,#N/A,FALSE,"EST TRANS "}</definedName>
    <definedName name="wrn.GAC._.RECO._4_3_1" localSheetId="14">{#N/A,#N/A,FALSE,"EST TRANS ";#N/A,#N/A,FALSE,"PIPELINE REF";#N/A,#N/A,FALSE,"GAC COST REC";#N/A,#N/A,FALSE,"INT ON PIPELINE";#N/A,#N/A,FALSE,"PIPELINE REF";#N/A,#N/A,FALSE,"Monthly Imbalan";#N/A,#N/A,FALSE,"PRORATED T.A.C.";#N/A,#N/A,FALSE,"TRAN REF SUR";#N/A,#N/A,FALSE,"INTERRUPTIBLE";#N/A,#N/A,FALSE,"PRIOR  TRANS";#N/A,#N/A,FALSE,"EST TRANS "}</definedName>
    <definedName name="wrn.GAC._.RECO._4_3_1">{#N/A,#N/A,FALSE,"EST TRANS ";#N/A,#N/A,FALSE,"PIPELINE REF";#N/A,#N/A,FALSE,"GAC COST REC";#N/A,#N/A,FALSE,"INT ON PIPELINE";#N/A,#N/A,FALSE,"PIPELINE REF";#N/A,#N/A,FALSE,"Monthly Imbalan";#N/A,#N/A,FALSE,"PRORATED T.A.C.";#N/A,#N/A,FALSE,"TRAN REF SUR";#N/A,#N/A,FALSE,"INTERRUPTIBLE";#N/A,#N/A,FALSE,"PRIOR  TRANS";#N/A,#N/A,FALSE,"EST TRANS "}</definedName>
    <definedName name="wrn.GAC._.RECO._4_4" localSheetId="14">{#N/A,#N/A,FALSE,"EST TRANS ";#N/A,#N/A,FALSE,"PIPELINE REF";#N/A,#N/A,FALSE,"GAC COST REC";#N/A,#N/A,FALSE,"INT ON PIPELINE";#N/A,#N/A,FALSE,"PIPELINE REF";#N/A,#N/A,FALSE,"Monthly Imbalan";#N/A,#N/A,FALSE,"PRORATED T.A.C.";#N/A,#N/A,FALSE,"TRAN REF SUR";#N/A,#N/A,FALSE,"INTERRUPTIBLE";#N/A,#N/A,FALSE,"PRIOR  TRANS";#N/A,#N/A,FALSE,"EST TRANS "}</definedName>
    <definedName name="wrn.GAC._.RECO._4_4">{#N/A,#N/A,FALSE,"EST TRANS ";#N/A,#N/A,FALSE,"PIPELINE REF";#N/A,#N/A,FALSE,"GAC COST REC";#N/A,#N/A,FALSE,"INT ON PIPELINE";#N/A,#N/A,FALSE,"PIPELINE REF";#N/A,#N/A,FALSE,"Monthly Imbalan";#N/A,#N/A,FALSE,"PRORATED T.A.C.";#N/A,#N/A,FALSE,"TRAN REF SUR";#N/A,#N/A,FALSE,"INTERRUPTIBLE";#N/A,#N/A,FALSE,"PRIOR  TRANS";#N/A,#N/A,FALSE,"EST TRANS "}</definedName>
    <definedName name="wrn.GAC._.RECO._4_4_1" localSheetId="14">{#N/A,#N/A,FALSE,"EST TRANS ";#N/A,#N/A,FALSE,"PIPELINE REF";#N/A,#N/A,FALSE,"GAC COST REC";#N/A,#N/A,FALSE,"INT ON PIPELINE";#N/A,#N/A,FALSE,"PIPELINE REF";#N/A,#N/A,FALSE,"Monthly Imbalan";#N/A,#N/A,FALSE,"PRORATED T.A.C.";#N/A,#N/A,FALSE,"TRAN REF SUR";#N/A,#N/A,FALSE,"INTERRUPTIBLE";#N/A,#N/A,FALSE,"PRIOR  TRANS";#N/A,#N/A,FALSE,"EST TRANS "}</definedName>
    <definedName name="wrn.GAC._.RECO._4_4_1">{#N/A,#N/A,FALSE,"EST TRANS ";#N/A,#N/A,FALSE,"PIPELINE REF";#N/A,#N/A,FALSE,"GAC COST REC";#N/A,#N/A,FALSE,"INT ON PIPELINE";#N/A,#N/A,FALSE,"PIPELINE REF";#N/A,#N/A,FALSE,"Monthly Imbalan";#N/A,#N/A,FALSE,"PRORATED T.A.C.";#N/A,#N/A,FALSE,"TRAN REF SUR";#N/A,#N/A,FALSE,"INTERRUPTIBLE";#N/A,#N/A,FALSE,"PRIOR  TRANS";#N/A,#N/A,FALSE,"EST TRANS "}</definedName>
    <definedName name="wrn.GAC._.RECO._4_5" localSheetId="14">{#N/A,#N/A,FALSE,"EST TRANS ";#N/A,#N/A,FALSE,"PIPELINE REF";#N/A,#N/A,FALSE,"GAC COST REC";#N/A,#N/A,FALSE,"INT ON PIPELINE";#N/A,#N/A,FALSE,"PIPELINE REF";#N/A,#N/A,FALSE,"Monthly Imbalan";#N/A,#N/A,FALSE,"PRORATED T.A.C.";#N/A,#N/A,FALSE,"TRAN REF SUR";#N/A,#N/A,FALSE,"INTERRUPTIBLE";#N/A,#N/A,FALSE,"PRIOR  TRANS";#N/A,#N/A,FALSE,"EST TRANS "}</definedName>
    <definedName name="wrn.GAC._.RECO._4_5">{#N/A,#N/A,FALSE,"EST TRANS ";#N/A,#N/A,FALSE,"PIPELINE REF";#N/A,#N/A,FALSE,"GAC COST REC";#N/A,#N/A,FALSE,"INT ON PIPELINE";#N/A,#N/A,FALSE,"PIPELINE REF";#N/A,#N/A,FALSE,"Monthly Imbalan";#N/A,#N/A,FALSE,"PRORATED T.A.C.";#N/A,#N/A,FALSE,"TRAN REF SUR";#N/A,#N/A,FALSE,"INTERRUPTIBLE";#N/A,#N/A,FALSE,"PRIOR  TRANS";#N/A,#N/A,FALSE,"EST TRANS "}</definedName>
    <definedName name="wrn.GAC._.RECO._5" localSheetId="14">{#N/A,#N/A,FALSE,"EST TRANS ";#N/A,#N/A,FALSE,"PIPELINE REF";#N/A,#N/A,FALSE,"GAC COST REC";#N/A,#N/A,FALSE,"INT ON PIPELINE";#N/A,#N/A,FALSE,"PIPELINE REF";#N/A,#N/A,FALSE,"Monthly Imbalan";#N/A,#N/A,FALSE,"PRORATED T.A.C.";#N/A,#N/A,FALSE,"TRAN REF SUR";#N/A,#N/A,FALSE,"INTERRUPTIBLE";#N/A,#N/A,FALSE,"PRIOR  TRANS";#N/A,#N/A,FALSE,"EST TRANS "}</definedName>
    <definedName name="wrn.GAC._.RECO._5">{#N/A,#N/A,FALSE,"EST TRANS ";#N/A,#N/A,FALSE,"PIPELINE REF";#N/A,#N/A,FALSE,"GAC COST REC";#N/A,#N/A,FALSE,"INT ON PIPELINE";#N/A,#N/A,FALSE,"PIPELINE REF";#N/A,#N/A,FALSE,"Monthly Imbalan";#N/A,#N/A,FALSE,"PRORATED T.A.C.";#N/A,#N/A,FALSE,"TRAN REF SUR";#N/A,#N/A,FALSE,"INTERRUPTIBLE";#N/A,#N/A,FALSE,"PRIOR  TRANS";#N/A,#N/A,FALSE,"EST TRANS "}</definedName>
    <definedName name="wrn.GAC._.RECO._5_1" localSheetId="14">{#N/A,#N/A,FALSE,"EST TRANS ";#N/A,#N/A,FALSE,"PIPELINE REF";#N/A,#N/A,FALSE,"GAC COST REC";#N/A,#N/A,FALSE,"INT ON PIPELINE";#N/A,#N/A,FALSE,"PIPELINE REF";#N/A,#N/A,FALSE,"Monthly Imbalan";#N/A,#N/A,FALSE,"PRORATED T.A.C.";#N/A,#N/A,FALSE,"TRAN REF SUR";#N/A,#N/A,FALSE,"INTERRUPTIBLE";#N/A,#N/A,FALSE,"PRIOR  TRANS";#N/A,#N/A,FALSE,"EST TRANS "}</definedName>
    <definedName name="wrn.GAC._.RECO._5_1">{#N/A,#N/A,FALSE,"EST TRANS ";#N/A,#N/A,FALSE,"PIPELINE REF";#N/A,#N/A,FALSE,"GAC COST REC";#N/A,#N/A,FALSE,"INT ON PIPELINE";#N/A,#N/A,FALSE,"PIPELINE REF";#N/A,#N/A,FALSE,"Monthly Imbalan";#N/A,#N/A,FALSE,"PRORATED T.A.C.";#N/A,#N/A,FALSE,"TRAN REF SUR";#N/A,#N/A,FALSE,"INTERRUPTIBLE";#N/A,#N/A,FALSE,"PRIOR  TRANS";#N/A,#N/A,FALSE,"EST TRANS "}</definedName>
    <definedName name="wrn.GAC._.RECO._5_1_1" localSheetId="14">{#N/A,#N/A,FALSE,"EST TRANS ";#N/A,#N/A,FALSE,"PIPELINE REF";#N/A,#N/A,FALSE,"GAC COST REC";#N/A,#N/A,FALSE,"INT ON PIPELINE";#N/A,#N/A,FALSE,"PIPELINE REF";#N/A,#N/A,FALSE,"Monthly Imbalan";#N/A,#N/A,FALSE,"PRORATED T.A.C.";#N/A,#N/A,FALSE,"TRAN REF SUR";#N/A,#N/A,FALSE,"INTERRUPTIBLE";#N/A,#N/A,FALSE,"PRIOR  TRANS";#N/A,#N/A,FALSE,"EST TRANS "}</definedName>
    <definedName name="wrn.GAC._.RECO._5_1_1">{#N/A,#N/A,FALSE,"EST TRANS ";#N/A,#N/A,FALSE,"PIPELINE REF";#N/A,#N/A,FALSE,"GAC COST REC";#N/A,#N/A,FALSE,"INT ON PIPELINE";#N/A,#N/A,FALSE,"PIPELINE REF";#N/A,#N/A,FALSE,"Monthly Imbalan";#N/A,#N/A,FALSE,"PRORATED T.A.C.";#N/A,#N/A,FALSE,"TRAN REF SUR";#N/A,#N/A,FALSE,"INTERRUPTIBLE";#N/A,#N/A,FALSE,"PRIOR  TRANS";#N/A,#N/A,FALSE,"EST TRANS "}</definedName>
    <definedName name="wrn.GAC._.RECO._5_1_1_1" localSheetId="14">{#N/A,#N/A,FALSE,"EST TRANS ";#N/A,#N/A,FALSE,"PIPELINE REF";#N/A,#N/A,FALSE,"GAC COST REC";#N/A,#N/A,FALSE,"INT ON PIPELINE";#N/A,#N/A,FALSE,"PIPELINE REF";#N/A,#N/A,FALSE,"Monthly Imbalan";#N/A,#N/A,FALSE,"PRORATED T.A.C.";#N/A,#N/A,FALSE,"TRAN REF SUR";#N/A,#N/A,FALSE,"INTERRUPTIBLE";#N/A,#N/A,FALSE,"PRIOR  TRANS";#N/A,#N/A,FALSE,"EST TRANS "}</definedName>
    <definedName name="wrn.GAC._.RECO._5_1_1_1">{#N/A,#N/A,FALSE,"EST TRANS ";#N/A,#N/A,FALSE,"PIPELINE REF";#N/A,#N/A,FALSE,"GAC COST REC";#N/A,#N/A,FALSE,"INT ON PIPELINE";#N/A,#N/A,FALSE,"PIPELINE REF";#N/A,#N/A,FALSE,"Monthly Imbalan";#N/A,#N/A,FALSE,"PRORATED T.A.C.";#N/A,#N/A,FALSE,"TRAN REF SUR";#N/A,#N/A,FALSE,"INTERRUPTIBLE";#N/A,#N/A,FALSE,"PRIOR  TRANS";#N/A,#N/A,FALSE,"EST TRANS "}</definedName>
    <definedName name="wrn.GAC._.RECO._5_1_2" localSheetId="14">{#N/A,#N/A,FALSE,"EST TRANS ";#N/A,#N/A,FALSE,"PIPELINE REF";#N/A,#N/A,FALSE,"GAC COST REC";#N/A,#N/A,FALSE,"INT ON PIPELINE";#N/A,#N/A,FALSE,"PIPELINE REF";#N/A,#N/A,FALSE,"Monthly Imbalan";#N/A,#N/A,FALSE,"PRORATED T.A.C.";#N/A,#N/A,FALSE,"TRAN REF SUR";#N/A,#N/A,FALSE,"INTERRUPTIBLE";#N/A,#N/A,FALSE,"PRIOR  TRANS";#N/A,#N/A,FALSE,"EST TRANS "}</definedName>
    <definedName name="wrn.GAC._.RECO._5_1_2">{#N/A,#N/A,FALSE,"EST TRANS ";#N/A,#N/A,FALSE,"PIPELINE REF";#N/A,#N/A,FALSE,"GAC COST REC";#N/A,#N/A,FALSE,"INT ON PIPELINE";#N/A,#N/A,FALSE,"PIPELINE REF";#N/A,#N/A,FALSE,"Monthly Imbalan";#N/A,#N/A,FALSE,"PRORATED T.A.C.";#N/A,#N/A,FALSE,"TRAN REF SUR";#N/A,#N/A,FALSE,"INTERRUPTIBLE";#N/A,#N/A,FALSE,"PRIOR  TRANS";#N/A,#N/A,FALSE,"EST TRANS "}</definedName>
    <definedName name="wrn.GAC._.RECO._5_2" localSheetId="14">{#N/A,#N/A,FALSE,"EST TRANS ";#N/A,#N/A,FALSE,"PIPELINE REF";#N/A,#N/A,FALSE,"GAC COST REC";#N/A,#N/A,FALSE,"INT ON PIPELINE";#N/A,#N/A,FALSE,"PIPELINE REF";#N/A,#N/A,FALSE,"Monthly Imbalan";#N/A,#N/A,FALSE,"PRORATED T.A.C.";#N/A,#N/A,FALSE,"TRAN REF SUR";#N/A,#N/A,FALSE,"INTERRUPTIBLE";#N/A,#N/A,FALSE,"PRIOR  TRANS";#N/A,#N/A,FALSE,"EST TRANS "}</definedName>
    <definedName name="wrn.GAC._.RECO._5_2">{#N/A,#N/A,FALSE,"EST TRANS ";#N/A,#N/A,FALSE,"PIPELINE REF";#N/A,#N/A,FALSE,"GAC COST REC";#N/A,#N/A,FALSE,"INT ON PIPELINE";#N/A,#N/A,FALSE,"PIPELINE REF";#N/A,#N/A,FALSE,"Monthly Imbalan";#N/A,#N/A,FALSE,"PRORATED T.A.C.";#N/A,#N/A,FALSE,"TRAN REF SUR";#N/A,#N/A,FALSE,"INTERRUPTIBLE";#N/A,#N/A,FALSE,"PRIOR  TRANS";#N/A,#N/A,FALSE,"EST TRANS "}</definedName>
    <definedName name="wrn.GAC._.RECO._5_2_1" localSheetId="14">{#N/A,#N/A,FALSE,"EST TRANS ";#N/A,#N/A,FALSE,"PIPELINE REF";#N/A,#N/A,FALSE,"GAC COST REC";#N/A,#N/A,FALSE,"INT ON PIPELINE";#N/A,#N/A,FALSE,"PIPELINE REF";#N/A,#N/A,FALSE,"Monthly Imbalan";#N/A,#N/A,FALSE,"PRORATED T.A.C.";#N/A,#N/A,FALSE,"TRAN REF SUR";#N/A,#N/A,FALSE,"INTERRUPTIBLE";#N/A,#N/A,FALSE,"PRIOR  TRANS";#N/A,#N/A,FALSE,"EST TRANS "}</definedName>
    <definedName name="wrn.GAC._.RECO._5_2_1">{#N/A,#N/A,FALSE,"EST TRANS ";#N/A,#N/A,FALSE,"PIPELINE REF";#N/A,#N/A,FALSE,"GAC COST REC";#N/A,#N/A,FALSE,"INT ON PIPELINE";#N/A,#N/A,FALSE,"PIPELINE REF";#N/A,#N/A,FALSE,"Monthly Imbalan";#N/A,#N/A,FALSE,"PRORATED T.A.C.";#N/A,#N/A,FALSE,"TRAN REF SUR";#N/A,#N/A,FALSE,"INTERRUPTIBLE";#N/A,#N/A,FALSE,"PRIOR  TRANS";#N/A,#N/A,FALSE,"EST TRANS "}</definedName>
    <definedName name="wrn.GAC._.RECO._5_3" localSheetId="14">{#N/A,#N/A,FALSE,"EST TRANS ";#N/A,#N/A,FALSE,"PIPELINE REF";#N/A,#N/A,FALSE,"GAC COST REC";#N/A,#N/A,FALSE,"INT ON PIPELINE";#N/A,#N/A,FALSE,"PIPELINE REF";#N/A,#N/A,FALSE,"Monthly Imbalan";#N/A,#N/A,FALSE,"PRORATED T.A.C.";#N/A,#N/A,FALSE,"TRAN REF SUR";#N/A,#N/A,FALSE,"INTERRUPTIBLE";#N/A,#N/A,FALSE,"PRIOR  TRANS";#N/A,#N/A,FALSE,"EST TRANS "}</definedName>
    <definedName name="wrn.GAC._.RECO._5_3">{#N/A,#N/A,FALSE,"EST TRANS ";#N/A,#N/A,FALSE,"PIPELINE REF";#N/A,#N/A,FALSE,"GAC COST REC";#N/A,#N/A,FALSE,"INT ON PIPELINE";#N/A,#N/A,FALSE,"PIPELINE REF";#N/A,#N/A,FALSE,"Monthly Imbalan";#N/A,#N/A,FALSE,"PRORATED T.A.C.";#N/A,#N/A,FALSE,"TRAN REF SUR";#N/A,#N/A,FALSE,"INTERRUPTIBLE";#N/A,#N/A,FALSE,"PRIOR  TRANS";#N/A,#N/A,FALSE,"EST TRANS "}</definedName>
    <definedName name="wrn.GAC._.RECO._5_3_1" localSheetId="14">{#N/A,#N/A,FALSE,"EST TRANS ";#N/A,#N/A,FALSE,"PIPELINE REF";#N/A,#N/A,FALSE,"GAC COST REC";#N/A,#N/A,FALSE,"INT ON PIPELINE";#N/A,#N/A,FALSE,"PIPELINE REF";#N/A,#N/A,FALSE,"Monthly Imbalan";#N/A,#N/A,FALSE,"PRORATED T.A.C.";#N/A,#N/A,FALSE,"TRAN REF SUR";#N/A,#N/A,FALSE,"INTERRUPTIBLE";#N/A,#N/A,FALSE,"PRIOR  TRANS";#N/A,#N/A,FALSE,"EST TRANS "}</definedName>
    <definedName name="wrn.GAC._.RECO._5_3_1">{#N/A,#N/A,FALSE,"EST TRANS ";#N/A,#N/A,FALSE,"PIPELINE REF";#N/A,#N/A,FALSE,"GAC COST REC";#N/A,#N/A,FALSE,"INT ON PIPELINE";#N/A,#N/A,FALSE,"PIPELINE REF";#N/A,#N/A,FALSE,"Monthly Imbalan";#N/A,#N/A,FALSE,"PRORATED T.A.C.";#N/A,#N/A,FALSE,"TRAN REF SUR";#N/A,#N/A,FALSE,"INTERRUPTIBLE";#N/A,#N/A,FALSE,"PRIOR  TRANS";#N/A,#N/A,FALSE,"EST TRANS "}</definedName>
    <definedName name="wrn.GAC._.RECO._5_4" localSheetId="14">{#N/A,#N/A,FALSE,"EST TRANS ";#N/A,#N/A,FALSE,"PIPELINE REF";#N/A,#N/A,FALSE,"GAC COST REC";#N/A,#N/A,FALSE,"INT ON PIPELINE";#N/A,#N/A,FALSE,"PIPELINE REF";#N/A,#N/A,FALSE,"Monthly Imbalan";#N/A,#N/A,FALSE,"PRORATED T.A.C.";#N/A,#N/A,FALSE,"TRAN REF SUR";#N/A,#N/A,FALSE,"INTERRUPTIBLE";#N/A,#N/A,FALSE,"PRIOR  TRANS";#N/A,#N/A,FALSE,"EST TRANS "}</definedName>
    <definedName name="wrn.GAC._.RECO._5_4">{#N/A,#N/A,FALSE,"EST TRANS ";#N/A,#N/A,FALSE,"PIPELINE REF";#N/A,#N/A,FALSE,"GAC COST REC";#N/A,#N/A,FALSE,"INT ON PIPELINE";#N/A,#N/A,FALSE,"PIPELINE REF";#N/A,#N/A,FALSE,"Monthly Imbalan";#N/A,#N/A,FALSE,"PRORATED T.A.C.";#N/A,#N/A,FALSE,"TRAN REF SUR";#N/A,#N/A,FALSE,"INTERRUPTIBLE";#N/A,#N/A,FALSE,"PRIOR  TRANS";#N/A,#N/A,FALSE,"EST TRANS "}</definedName>
    <definedName name="wrn.GAC._.RECO._5_4_1" localSheetId="14">{#N/A,#N/A,FALSE,"EST TRANS ";#N/A,#N/A,FALSE,"PIPELINE REF";#N/A,#N/A,FALSE,"GAC COST REC";#N/A,#N/A,FALSE,"INT ON PIPELINE";#N/A,#N/A,FALSE,"PIPELINE REF";#N/A,#N/A,FALSE,"Monthly Imbalan";#N/A,#N/A,FALSE,"PRORATED T.A.C.";#N/A,#N/A,FALSE,"TRAN REF SUR";#N/A,#N/A,FALSE,"INTERRUPTIBLE";#N/A,#N/A,FALSE,"PRIOR  TRANS";#N/A,#N/A,FALSE,"EST TRANS "}</definedName>
    <definedName name="wrn.GAC._.RECO._5_4_1">{#N/A,#N/A,FALSE,"EST TRANS ";#N/A,#N/A,FALSE,"PIPELINE REF";#N/A,#N/A,FALSE,"GAC COST REC";#N/A,#N/A,FALSE,"INT ON PIPELINE";#N/A,#N/A,FALSE,"PIPELINE REF";#N/A,#N/A,FALSE,"Monthly Imbalan";#N/A,#N/A,FALSE,"PRORATED T.A.C.";#N/A,#N/A,FALSE,"TRAN REF SUR";#N/A,#N/A,FALSE,"INTERRUPTIBLE";#N/A,#N/A,FALSE,"PRIOR  TRANS";#N/A,#N/A,FALSE,"EST TRANS "}</definedName>
    <definedName name="wrn.GAC._.RECO._5_5" localSheetId="14">{#N/A,#N/A,FALSE,"EST TRANS ";#N/A,#N/A,FALSE,"PIPELINE REF";#N/A,#N/A,FALSE,"GAC COST REC";#N/A,#N/A,FALSE,"INT ON PIPELINE";#N/A,#N/A,FALSE,"PIPELINE REF";#N/A,#N/A,FALSE,"Monthly Imbalan";#N/A,#N/A,FALSE,"PRORATED T.A.C.";#N/A,#N/A,FALSE,"TRAN REF SUR";#N/A,#N/A,FALSE,"INTERRUPTIBLE";#N/A,#N/A,FALSE,"PRIOR  TRANS";#N/A,#N/A,FALSE,"EST TRANS "}</definedName>
    <definedName name="wrn.GAC._.RECO._5_5">{#N/A,#N/A,FALSE,"EST TRANS ";#N/A,#N/A,FALSE,"PIPELINE REF";#N/A,#N/A,FALSE,"GAC COST REC";#N/A,#N/A,FALSE,"INT ON PIPELINE";#N/A,#N/A,FALSE,"PIPELINE REF";#N/A,#N/A,FALSE,"Monthly Imbalan";#N/A,#N/A,FALSE,"PRORATED T.A.C.";#N/A,#N/A,FALSE,"TRAN REF SUR";#N/A,#N/A,FALSE,"INTERRUPTIBLE";#N/A,#N/A,FALSE,"PRIOR  TRANS";#N/A,#N/A,FALSE,"EST TRANS "}</definedName>
    <definedName name="wrn.Goals._.Backup." localSheetId="14">{#N/A,#N/A,FALSE,"Summary";#N/A,#N/A,FALSE,"PSA Incentive";#N/A,#N/A,FALSE,"LI Steam F.O. Lost MWHRs";#N/A,#N/A,FALSE,"LI IC F.O.F. ";#N/A,#N/A,FALSE,"LI Accident Reduction";#N/A,#N/A,FALSE,"RavIC FOF";#N/A,#N/A,FALSE,"Rav Steam EFOR";#N/A,#N/A,FALSE,"RavIC Summer DMNC";#N/A,#N/A,FALSE,"Rav OSHA Lost Time Accid"}</definedName>
    <definedName name="wrn.Goals._.Backup.">{#N/A,#N/A,FALSE,"Summary";#N/A,#N/A,FALSE,"PSA Incentive";#N/A,#N/A,FALSE,"LI Steam F.O. Lost MWHRs";#N/A,#N/A,FALSE,"LI IC F.O.F. ";#N/A,#N/A,FALSE,"LI Accident Reduction";#N/A,#N/A,FALSE,"RavIC FOF";#N/A,#N/A,FALSE,"Rav Steam EFOR";#N/A,#N/A,FALSE,"RavIC Summer DMNC";#N/A,#N/A,FALSE,"Rav OSHA Lost Time Accid"}</definedName>
    <definedName name="wrn.Goals._.Backup._1" localSheetId="14">{#N/A,#N/A,FALSE,"Summary";#N/A,#N/A,FALSE,"PSA Incentive";#N/A,#N/A,FALSE,"LI Steam F.O. Lost MWHRs";#N/A,#N/A,FALSE,"LI IC F.O.F. ";#N/A,#N/A,FALSE,"LI Accident Reduction";#N/A,#N/A,FALSE,"RavIC FOF";#N/A,#N/A,FALSE,"Rav Steam EFOR";#N/A,#N/A,FALSE,"RavIC Summer DMNC";#N/A,#N/A,FALSE,"Rav OSHA Lost Time Accid"}</definedName>
    <definedName name="wrn.Goals._.Backup._1">{#N/A,#N/A,FALSE,"Summary";#N/A,#N/A,FALSE,"PSA Incentive";#N/A,#N/A,FALSE,"LI Steam F.O. Lost MWHRs";#N/A,#N/A,FALSE,"LI IC F.O.F. ";#N/A,#N/A,FALSE,"LI Accident Reduction";#N/A,#N/A,FALSE,"RavIC FOF";#N/A,#N/A,FALSE,"Rav Steam EFOR";#N/A,#N/A,FALSE,"RavIC Summer DMNC";#N/A,#N/A,FALSE,"Rav OSHA Lost Time Accid"}</definedName>
    <definedName name="wrn.Goals._.Backup._1_2" localSheetId="14">{#N/A,#N/A,FALSE,"Summary";#N/A,#N/A,FALSE,"PSA Incentive";#N/A,#N/A,FALSE,"LI Steam F.O. Lost MWHRs";#N/A,#N/A,FALSE,"LI IC F.O.F. ";#N/A,#N/A,FALSE,"LI Accident Reduction";#N/A,#N/A,FALSE,"RavIC FOF";#N/A,#N/A,FALSE,"Rav Steam EFOR";#N/A,#N/A,FALSE,"RavIC Summer DMNC";#N/A,#N/A,FALSE,"Rav OSHA Lost Time Accid"}</definedName>
    <definedName name="wrn.Goals._.Backup._1_2">{#N/A,#N/A,FALSE,"Summary";#N/A,#N/A,FALSE,"PSA Incentive";#N/A,#N/A,FALSE,"LI Steam F.O. Lost MWHRs";#N/A,#N/A,FALSE,"LI IC F.O.F. ";#N/A,#N/A,FALSE,"LI Accident Reduction";#N/A,#N/A,FALSE,"RavIC FOF";#N/A,#N/A,FALSE,"Rav Steam EFOR";#N/A,#N/A,FALSE,"RavIC Summer DMNC";#N/A,#N/A,FALSE,"Rav OSHA Lost Time Accid"}</definedName>
    <definedName name="wrn.Goals._.Backup._1_2_1" localSheetId="14">{#N/A,#N/A,FALSE,"Summary";#N/A,#N/A,FALSE,"PSA Incentive";#N/A,#N/A,FALSE,"LI Steam F.O. Lost MWHRs";#N/A,#N/A,FALSE,"LI IC F.O.F. ";#N/A,#N/A,FALSE,"LI Accident Reduction";#N/A,#N/A,FALSE,"RavIC FOF";#N/A,#N/A,FALSE,"Rav Steam EFOR";#N/A,#N/A,FALSE,"RavIC Summer DMNC";#N/A,#N/A,FALSE,"Rav OSHA Lost Time Accid"}</definedName>
    <definedName name="wrn.Goals._.Backup._1_2_1">{#N/A,#N/A,FALSE,"Summary";#N/A,#N/A,FALSE,"PSA Incentive";#N/A,#N/A,FALSE,"LI Steam F.O. Lost MWHRs";#N/A,#N/A,FALSE,"LI IC F.O.F. ";#N/A,#N/A,FALSE,"LI Accident Reduction";#N/A,#N/A,FALSE,"RavIC FOF";#N/A,#N/A,FALSE,"Rav Steam EFOR";#N/A,#N/A,FALSE,"RavIC Summer DMNC";#N/A,#N/A,FALSE,"Rav OSHA Lost Time Accid"}</definedName>
    <definedName name="wrn.Goals._.Backup._2" localSheetId="14">{#N/A,#N/A,FALSE,"Summary";#N/A,#N/A,FALSE,"PSA Incentive";#N/A,#N/A,FALSE,"LI Steam F.O. Lost MWHRs";#N/A,#N/A,FALSE,"LI IC F.O.F. ";#N/A,#N/A,FALSE,"LI Accident Reduction";#N/A,#N/A,FALSE,"RavIC FOF";#N/A,#N/A,FALSE,"Rav Steam EFOR";#N/A,#N/A,FALSE,"RavIC Summer DMNC";#N/A,#N/A,FALSE,"Rav OSHA Lost Time Accid"}</definedName>
    <definedName name="wrn.Goals._.Backup._2">{#N/A,#N/A,FALSE,"Summary";#N/A,#N/A,FALSE,"PSA Incentive";#N/A,#N/A,FALSE,"LI Steam F.O. Lost MWHRs";#N/A,#N/A,FALSE,"LI IC F.O.F. ";#N/A,#N/A,FALSE,"LI Accident Reduction";#N/A,#N/A,FALSE,"RavIC FOF";#N/A,#N/A,FALSE,"Rav Steam EFOR";#N/A,#N/A,FALSE,"RavIC Summer DMNC";#N/A,#N/A,FALSE,"Rav OSHA Lost Time Accid"}</definedName>
    <definedName name="wrn.Goals._.Backup._2_1" localSheetId="14">{#N/A,#N/A,FALSE,"Summary";#N/A,#N/A,FALSE,"PSA Incentive";#N/A,#N/A,FALSE,"LI Steam F.O. Lost MWHRs";#N/A,#N/A,FALSE,"LI IC F.O.F. ";#N/A,#N/A,FALSE,"LI Accident Reduction";#N/A,#N/A,FALSE,"RavIC FOF";#N/A,#N/A,FALSE,"Rav Steam EFOR";#N/A,#N/A,FALSE,"RavIC Summer DMNC";#N/A,#N/A,FALSE,"Rav OSHA Lost Time Accid"}</definedName>
    <definedName name="wrn.Goals._.Backup._2_1">{#N/A,#N/A,FALSE,"Summary";#N/A,#N/A,FALSE,"PSA Incentive";#N/A,#N/A,FALSE,"LI Steam F.O. Lost MWHRs";#N/A,#N/A,FALSE,"LI IC F.O.F. ";#N/A,#N/A,FALSE,"LI Accident Reduction";#N/A,#N/A,FALSE,"RavIC FOF";#N/A,#N/A,FALSE,"Rav Steam EFOR";#N/A,#N/A,FALSE,"RavIC Summer DMNC";#N/A,#N/A,FALSE,"Rav OSHA Lost Time Accid"}</definedName>
    <definedName name="wrn.Goals._.Backup._2_1_1" localSheetId="14">{#N/A,#N/A,FALSE,"Summary";#N/A,#N/A,FALSE,"PSA Incentive";#N/A,#N/A,FALSE,"LI Steam F.O. Lost MWHRs";#N/A,#N/A,FALSE,"LI IC F.O.F. ";#N/A,#N/A,FALSE,"LI Accident Reduction";#N/A,#N/A,FALSE,"RavIC FOF";#N/A,#N/A,FALSE,"Rav Steam EFOR";#N/A,#N/A,FALSE,"RavIC Summer DMNC";#N/A,#N/A,FALSE,"Rav OSHA Lost Time Accid"}</definedName>
    <definedName name="wrn.Goals._.Backup._2_1_1">{#N/A,#N/A,FALSE,"Summary";#N/A,#N/A,FALSE,"PSA Incentive";#N/A,#N/A,FALSE,"LI Steam F.O. Lost MWHRs";#N/A,#N/A,FALSE,"LI IC F.O.F. ";#N/A,#N/A,FALSE,"LI Accident Reduction";#N/A,#N/A,FALSE,"RavIC FOF";#N/A,#N/A,FALSE,"Rav Steam EFOR";#N/A,#N/A,FALSE,"RavIC Summer DMNC";#N/A,#N/A,FALSE,"Rav OSHA Lost Time Accid"}</definedName>
    <definedName name="wrn.Goals._.Backup._2_1_1_1" localSheetId="14">{#N/A,#N/A,FALSE,"Summary";#N/A,#N/A,FALSE,"PSA Incentive";#N/A,#N/A,FALSE,"LI Steam F.O. Lost MWHRs";#N/A,#N/A,FALSE,"LI IC F.O.F. ";#N/A,#N/A,FALSE,"LI Accident Reduction";#N/A,#N/A,FALSE,"RavIC FOF";#N/A,#N/A,FALSE,"Rav Steam EFOR";#N/A,#N/A,FALSE,"RavIC Summer DMNC";#N/A,#N/A,FALSE,"Rav OSHA Lost Time Accid"}</definedName>
    <definedName name="wrn.Goals._.Backup._2_1_1_1">{#N/A,#N/A,FALSE,"Summary";#N/A,#N/A,FALSE,"PSA Incentive";#N/A,#N/A,FALSE,"LI Steam F.O. Lost MWHRs";#N/A,#N/A,FALSE,"LI IC F.O.F. ";#N/A,#N/A,FALSE,"LI Accident Reduction";#N/A,#N/A,FALSE,"RavIC FOF";#N/A,#N/A,FALSE,"Rav Steam EFOR";#N/A,#N/A,FALSE,"RavIC Summer DMNC";#N/A,#N/A,FALSE,"Rav OSHA Lost Time Accid"}</definedName>
    <definedName name="wrn.Goals._.Backup._2_1_2" localSheetId="14">{#N/A,#N/A,FALSE,"Summary";#N/A,#N/A,FALSE,"PSA Incentive";#N/A,#N/A,FALSE,"LI Steam F.O. Lost MWHRs";#N/A,#N/A,FALSE,"LI IC F.O.F. ";#N/A,#N/A,FALSE,"LI Accident Reduction";#N/A,#N/A,FALSE,"RavIC FOF";#N/A,#N/A,FALSE,"Rav Steam EFOR";#N/A,#N/A,FALSE,"RavIC Summer DMNC";#N/A,#N/A,FALSE,"Rav OSHA Lost Time Accid"}</definedName>
    <definedName name="wrn.Goals._.Backup._2_1_2">{#N/A,#N/A,FALSE,"Summary";#N/A,#N/A,FALSE,"PSA Incentive";#N/A,#N/A,FALSE,"LI Steam F.O. Lost MWHRs";#N/A,#N/A,FALSE,"LI IC F.O.F. ";#N/A,#N/A,FALSE,"LI Accident Reduction";#N/A,#N/A,FALSE,"RavIC FOF";#N/A,#N/A,FALSE,"Rav Steam EFOR";#N/A,#N/A,FALSE,"RavIC Summer DMNC";#N/A,#N/A,FALSE,"Rav OSHA Lost Time Accid"}</definedName>
    <definedName name="wrn.Goals._.Backup._2_2" localSheetId="14">{#N/A,#N/A,FALSE,"Summary";#N/A,#N/A,FALSE,"PSA Incentive";#N/A,#N/A,FALSE,"LI Steam F.O. Lost MWHRs";#N/A,#N/A,FALSE,"LI IC F.O.F. ";#N/A,#N/A,FALSE,"LI Accident Reduction";#N/A,#N/A,FALSE,"RavIC FOF";#N/A,#N/A,FALSE,"Rav Steam EFOR";#N/A,#N/A,FALSE,"RavIC Summer DMNC";#N/A,#N/A,FALSE,"Rav OSHA Lost Time Accid"}</definedName>
    <definedName name="wrn.Goals._.Backup._2_2">{#N/A,#N/A,FALSE,"Summary";#N/A,#N/A,FALSE,"PSA Incentive";#N/A,#N/A,FALSE,"LI Steam F.O. Lost MWHRs";#N/A,#N/A,FALSE,"LI IC F.O.F. ";#N/A,#N/A,FALSE,"LI Accident Reduction";#N/A,#N/A,FALSE,"RavIC FOF";#N/A,#N/A,FALSE,"Rav Steam EFOR";#N/A,#N/A,FALSE,"RavIC Summer DMNC";#N/A,#N/A,FALSE,"Rav OSHA Lost Time Accid"}</definedName>
    <definedName name="wrn.Goals._.Backup._2_2_1" localSheetId="14">{#N/A,#N/A,FALSE,"Summary";#N/A,#N/A,FALSE,"PSA Incentive";#N/A,#N/A,FALSE,"LI Steam F.O. Lost MWHRs";#N/A,#N/A,FALSE,"LI IC F.O.F. ";#N/A,#N/A,FALSE,"LI Accident Reduction";#N/A,#N/A,FALSE,"RavIC FOF";#N/A,#N/A,FALSE,"Rav Steam EFOR";#N/A,#N/A,FALSE,"RavIC Summer DMNC";#N/A,#N/A,FALSE,"Rav OSHA Lost Time Accid"}</definedName>
    <definedName name="wrn.Goals._.Backup._2_2_1">{#N/A,#N/A,FALSE,"Summary";#N/A,#N/A,FALSE,"PSA Incentive";#N/A,#N/A,FALSE,"LI Steam F.O. Lost MWHRs";#N/A,#N/A,FALSE,"LI IC F.O.F. ";#N/A,#N/A,FALSE,"LI Accident Reduction";#N/A,#N/A,FALSE,"RavIC FOF";#N/A,#N/A,FALSE,"Rav Steam EFOR";#N/A,#N/A,FALSE,"RavIC Summer DMNC";#N/A,#N/A,FALSE,"Rav OSHA Lost Time Accid"}</definedName>
    <definedName name="wrn.Goals._.Backup._2_3" localSheetId="14">{#N/A,#N/A,FALSE,"Summary";#N/A,#N/A,FALSE,"PSA Incentive";#N/A,#N/A,FALSE,"LI Steam F.O. Lost MWHRs";#N/A,#N/A,FALSE,"LI IC F.O.F. ";#N/A,#N/A,FALSE,"LI Accident Reduction";#N/A,#N/A,FALSE,"RavIC FOF";#N/A,#N/A,FALSE,"Rav Steam EFOR";#N/A,#N/A,FALSE,"RavIC Summer DMNC";#N/A,#N/A,FALSE,"Rav OSHA Lost Time Accid"}</definedName>
    <definedName name="wrn.Goals._.Backup._2_3">{#N/A,#N/A,FALSE,"Summary";#N/A,#N/A,FALSE,"PSA Incentive";#N/A,#N/A,FALSE,"LI Steam F.O. Lost MWHRs";#N/A,#N/A,FALSE,"LI IC F.O.F. ";#N/A,#N/A,FALSE,"LI Accident Reduction";#N/A,#N/A,FALSE,"RavIC FOF";#N/A,#N/A,FALSE,"Rav Steam EFOR";#N/A,#N/A,FALSE,"RavIC Summer DMNC";#N/A,#N/A,FALSE,"Rav OSHA Lost Time Accid"}</definedName>
    <definedName name="wrn.Goals._.Backup._2_3_1" localSheetId="14">{#N/A,#N/A,FALSE,"Summary";#N/A,#N/A,FALSE,"PSA Incentive";#N/A,#N/A,FALSE,"LI Steam F.O. Lost MWHRs";#N/A,#N/A,FALSE,"LI IC F.O.F. ";#N/A,#N/A,FALSE,"LI Accident Reduction";#N/A,#N/A,FALSE,"RavIC FOF";#N/A,#N/A,FALSE,"Rav Steam EFOR";#N/A,#N/A,FALSE,"RavIC Summer DMNC";#N/A,#N/A,FALSE,"Rav OSHA Lost Time Accid"}</definedName>
    <definedName name="wrn.Goals._.Backup._2_3_1">{#N/A,#N/A,FALSE,"Summary";#N/A,#N/A,FALSE,"PSA Incentive";#N/A,#N/A,FALSE,"LI Steam F.O. Lost MWHRs";#N/A,#N/A,FALSE,"LI IC F.O.F. ";#N/A,#N/A,FALSE,"LI Accident Reduction";#N/A,#N/A,FALSE,"RavIC FOF";#N/A,#N/A,FALSE,"Rav Steam EFOR";#N/A,#N/A,FALSE,"RavIC Summer DMNC";#N/A,#N/A,FALSE,"Rav OSHA Lost Time Accid"}</definedName>
    <definedName name="wrn.Goals._.Backup._2_4" localSheetId="14">{#N/A,#N/A,FALSE,"Summary";#N/A,#N/A,FALSE,"PSA Incentive";#N/A,#N/A,FALSE,"LI Steam F.O. Lost MWHRs";#N/A,#N/A,FALSE,"LI IC F.O.F. ";#N/A,#N/A,FALSE,"LI Accident Reduction";#N/A,#N/A,FALSE,"RavIC FOF";#N/A,#N/A,FALSE,"Rav Steam EFOR";#N/A,#N/A,FALSE,"RavIC Summer DMNC";#N/A,#N/A,FALSE,"Rav OSHA Lost Time Accid"}</definedName>
    <definedName name="wrn.Goals._.Backup._2_4">{#N/A,#N/A,FALSE,"Summary";#N/A,#N/A,FALSE,"PSA Incentive";#N/A,#N/A,FALSE,"LI Steam F.O. Lost MWHRs";#N/A,#N/A,FALSE,"LI IC F.O.F. ";#N/A,#N/A,FALSE,"LI Accident Reduction";#N/A,#N/A,FALSE,"RavIC FOF";#N/A,#N/A,FALSE,"Rav Steam EFOR";#N/A,#N/A,FALSE,"RavIC Summer DMNC";#N/A,#N/A,FALSE,"Rav OSHA Lost Time Accid"}</definedName>
    <definedName name="wrn.Goals._.Backup._2_4_1" localSheetId="14">{#N/A,#N/A,FALSE,"Summary";#N/A,#N/A,FALSE,"PSA Incentive";#N/A,#N/A,FALSE,"LI Steam F.O. Lost MWHRs";#N/A,#N/A,FALSE,"LI IC F.O.F. ";#N/A,#N/A,FALSE,"LI Accident Reduction";#N/A,#N/A,FALSE,"RavIC FOF";#N/A,#N/A,FALSE,"Rav Steam EFOR";#N/A,#N/A,FALSE,"RavIC Summer DMNC";#N/A,#N/A,FALSE,"Rav OSHA Lost Time Accid"}</definedName>
    <definedName name="wrn.Goals._.Backup._2_4_1">{#N/A,#N/A,FALSE,"Summary";#N/A,#N/A,FALSE,"PSA Incentive";#N/A,#N/A,FALSE,"LI Steam F.O. Lost MWHRs";#N/A,#N/A,FALSE,"LI IC F.O.F. ";#N/A,#N/A,FALSE,"LI Accident Reduction";#N/A,#N/A,FALSE,"RavIC FOF";#N/A,#N/A,FALSE,"Rav Steam EFOR";#N/A,#N/A,FALSE,"RavIC Summer DMNC";#N/A,#N/A,FALSE,"Rav OSHA Lost Time Accid"}</definedName>
    <definedName name="wrn.Goals._.Backup._2_5" localSheetId="14">{#N/A,#N/A,FALSE,"Summary";#N/A,#N/A,FALSE,"PSA Incentive";#N/A,#N/A,FALSE,"LI Steam F.O. Lost MWHRs";#N/A,#N/A,FALSE,"LI IC F.O.F. ";#N/A,#N/A,FALSE,"LI Accident Reduction";#N/A,#N/A,FALSE,"RavIC FOF";#N/A,#N/A,FALSE,"Rav Steam EFOR";#N/A,#N/A,FALSE,"RavIC Summer DMNC";#N/A,#N/A,FALSE,"Rav OSHA Lost Time Accid"}</definedName>
    <definedName name="wrn.Goals._.Backup._2_5">{#N/A,#N/A,FALSE,"Summary";#N/A,#N/A,FALSE,"PSA Incentive";#N/A,#N/A,FALSE,"LI Steam F.O. Lost MWHRs";#N/A,#N/A,FALSE,"LI IC F.O.F. ";#N/A,#N/A,FALSE,"LI Accident Reduction";#N/A,#N/A,FALSE,"RavIC FOF";#N/A,#N/A,FALSE,"Rav Steam EFOR";#N/A,#N/A,FALSE,"RavIC Summer DMNC";#N/A,#N/A,FALSE,"Rav OSHA Lost Time Accid"}</definedName>
    <definedName name="wrn.Goals._.Backup._3" localSheetId="14">{#N/A,#N/A,FALSE,"Summary";#N/A,#N/A,FALSE,"PSA Incentive";#N/A,#N/A,FALSE,"LI Steam F.O. Lost MWHRs";#N/A,#N/A,FALSE,"LI IC F.O.F. ";#N/A,#N/A,FALSE,"LI Accident Reduction";#N/A,#N/A,FALSE,"RavIC FOF";#N/A,#N/A,FALSE,"Rav Steam EFOR";#N/A,#N/A,FALSE,"RavIC Summer DMNC";#N/A,#N/A,FALSE,"Rav OSHA Lost Time Accid"}</definedName>
    <definedName name="wrn.Goals._.Backup._3">{#N/A,#N/A,FALSE,"Summary";#N/A,#N/A,FALSE,"PSA Incentive";#N/A,#N/A,FALSE,"LI Steam F.O. Lost MWHRs";#N/A,#N/A,FALSE,"LI IC F.O.F. ";#N/A,#N/A,FALSE,"LI Accident Reduction";#N/A,#N/A,FALSE,"RavIC FOF";#N/A,#N/A,FALSE,"Rav Steam EFOR";#N/A,#N/A,FALSE,"RavIC Summer DMNC";#N/A,#N/A,FALSE,"Rav OSHA Lost Time Accid"}</definedName>
    <definedName name="wrn.Goals._.Backup._3_1" localSheetId="14">{#N/A,#N/A,FALSE,"Summary";#N/A,#N/A,FALSE,"PSA Incentive";#N/A,#N/A,FALSE,"LI Steam F.O. Lost MWHRs";#N/A,#N/A,FALSE,"LI IC F.O.F. ";#N/A,#N/A,FALSE,"LI Accident Reduction";#N/A,#N/A,FALSE,"RavIC FOF";#N/A,#N/A,FALSE,"Rav Steam EFOR";#N/A,#N/A,FALSE,"RavIC Summer DMNC";#N/A,#N/A,FALSE,"Rav OSHA Lost Time Accid"}</definedName>
    <definedName name="wrn.Goals._.Backup._3_1">{#N/A,#N/A,FALSE,"Summary";#N/A,#N/A,FALSE,"PSA Incentive";#N/A,#N/A,FALSE,"LI Steam F.O. Lost MWHRs";#N/A,#N/A,FALSE,"LI IC F.O.F. ";#N/A,#N/A,FALSE,"LI Accident Reduction";#N/A,#N/A,FALSE,"RavIC FOF";#N/A,#N/A,FALSE,"Rav Steam EFOR";#N/A,#N/A,FALSE,"RavIC Summer DMNC";#N/A,#N/A,FALSE,"Rav OSHA Lost Time Accid"}</definedName>
    <definedName name="wrn.Goals._.Backup._3_1_1" localSheetId="14">{#N/A,#N/A,FALSE,"Summary";#N/A,#N/A,FALSE,"PSA Incentive";#N/A,#N/A,FALSE,"LI Steam F.O. Lost MWHRs";#N/A,#N/A,FALSE,"LI IC F.O.F. ";#N/A,#N/A,FALSE,"LI Accident Reduction";#N/A,#N/A,FALSE,"RavIC FOF";#N/A,#N/A,FALSE,"Rav Steam EFOR";#N/A,#N/A,FALSE,"RavIC Summer DMNC";#N/A,#N/A,FALSE,"Rav OSHA Lost Time Accid"}</definedName>
    <definedName name="wrn.Goals._.Backup._3_1_1">{#N/A,#N/A,FALSE,"Summary";#N/A,#N/A,FALSE,"PSA Incentive";#N/A,#N/A,FALSE,"LI Steam F.O. Lost MWHRs";#N/A,#N/A,FALSE,"LI IC F.O.F. ";#N/A,#N/A,FALSE,"LI Accident Reduction";#N/A,#N/A,FALSE,"RavIC FOF";#N/A,#N/A,FALSE,"Rav Steam EFOR";#N/A,#N/A,FALSE,"RavIC Summer DMNC";#N/A,#N/A,FALSE,"Rav OSHA Lost Time Accid"}</definedName>
    <definedName name="wrn.Goals._.Backup._3_1_1_1" localSheetId="14">{#N/A,#N/A,FALSE,"Summary";#N/A,#N/A,FALSE,"PSA Incentive";#N/A,#N/A,FALSE,"LI Steam F.O. Lost MWHRs";#N/A,#N/A,FALSE,"LI IC F.O.F. ";#N/A,#N/A,FALSE,"LI Accident Reduction";#N/A,#N/A,FALSE,"RavIC FOF";#N/A,#N/A,FALSE,"Rav Steam EFOR";#N/A,#N/A,FALSE,"RavIC Summer DMNC";#N/A,#N/A,FALSE,"Rav OSHA Lost Time Accid"}</definedName>
    <definedName name="wrn.Goals._.Backup._3_1_1_1">{#N/A,#N/A,FALSE,"Summary";#N/A,#N/A,FALSE,"PSA Incentive";#N/A,#N/A,FALSE,"LI Steam F.O. Lost MWHRs";#N/A,#N/A,FALSE,"LI IC F.O.F. ";#N/A,#N/A,FALSE,"LI Accident Reduction";#N/A,#N/A,FALSE,"RavIC FOF";#N/A,#N/A,FALSE,"Rav Steam EFOR";#N/A,#N/A,FALSE,"RavIC Summer DMNC";#N/A,#N/A,FALSE,"Rav OSHA Lost Time Accid"}</definedName>
    <definedName name="wrn.Goals._.Backup._3_1_2" localSheetId="14">{#N/A,#N/A,FALSE,"Summary";#N/A,#N/A,FALSE,"PSA Incentive";#N/A,#N/A,FALSE,"LI Steam F.O. Lost MWHRs";#N/A,#N/A,FALSE,"LI IC F.O.F. ";#N/A,#N/A,FALSE,"LI Accident Reduction";#N/A,#N/A,FALSE,"RavIC FOF";#N/A,#N/A,FALSE,"Rav Steam EFOR";#N/A,#N/A,FALSE,"RavIC Summer DMNC";#N/A,#N/A,FALSE,"Rav OSHA Lost Time Accid"}</definedName>
    <definedName name="wrn.Goals._.Backup._3_1_2">{#N/A,#N/A,FALSE,"Summary";#N/A,#N/A,FALSE,"PSA Incentive";#N/A,#N/A,FALSE,"LI Steam F.O. Lost MWHRs";#N/A,#N/A,FALSE,"LI IC F.O.F. ";#N/A,#N/A,FALSE,"LI Accident Reduction";#N/A,#N/A,FALSE,"RavIC FOF";#N/A,#N/A,FALSE,"Rav Steam EFOR";#N/A,#N/A,FALSE,"RavIC Summer DMNC";#N/A,#N/A,FALSE,"Rav OSHA Lost Time Accid"}</definedName>
    <definedName name="wrn.Goals._.Backup._3_2" localSheetId="14">{#N/A,#N/A,FALSE,"Summary";#N/A,#N/A,FALSE,"PSA Incentive";#N/A,#N/A,FALSE,"LI Steam F.O. Lost MWHRs";#N/A,#N/A,FALSE,"LI IC F.O.F. ";#N/A,#N/A,FALSE,"LI Accident Reduction";#N/A,#N/A,FALSE,"RavIC FOF";#N/A,#N/A,FALSE,"Rav Steam EFOR";#N/A,#N/A,FALSE,"RavIC Summer DMNC";#N/A,#N/A,FALSE,"Rav OSHA Lost Time Accid"}</definedName>
    <definedName name="wrn.Goals._.Backup._3_2">{#N/A,#N/A,FALSE,"Summary";#N/A,#N/A,FALSE,"PSA Incentive";#N/A,#N/A,FALSE,"LI Steam F.O. Lost MWHRs";#N/A,#N/A,FALSE,"LI IC F.O.F. ";#N/A,#N/A,FALSE,"LI Accident Reduction";#N/A,#N/A,FALSE,"RavIC FOF";#N/A,#N/A,FALSE,"Rav Steam EFOR";#N/A,#N/A,FALSE,"RavIC Summer DMNC";#N/A,#N/A,FALSE,"Rav OSHA Lost Time Accid"}</definedName>
    <definedName name="wrn.Goals._.Backup._3_2_1" localSheetId="14">{#N/A,#N/A,FALSE,"Summary";#N/A,#N/A,FALSE,"PSA Incentive";#N/A,#N/A,FALSE,"LI Steam F.O. Lost MWHRs";#N/A,#N/A,FALSE,"LI IC F.O.F. ";#N/A,#N/A,FALSE,"LI Accident Reduction";#N/A,#N/A,FALSE,"RavIC FOF";#N/A,#N/A,FALSE,"Rav Steam EFOR";#N/A,#N/A,FALSE,"RavIC Summer DMNC";#N/A,#N/A,FALSE,"Rav OSHA Lost Time Accid"}</definedName>
    <definedName name="wrn.Goals._.Backup._3_2_1">{#N/A,#N/A,FALSE,"Summary";#N/A,#N/A,FALSE,"PSA Incentive";#N/A,#N/A,FALSE,"LI Steam F.O. Lost MWHRs";#N/A,#N/A,FALSE,"LI IC F.O.F. ";#N/A,#N/A,FALSE,"LI Accident Reduction";#N/A,#N/A,FALSE,"RavIC FOF";#N/A,#N/A,FALSE,"Rav Steam EFOR";#N/A,#N/A,FALSE,"RavIC Summer DMNC";#N/A,#N/A,FALSE,"Rav OSHA Lost Time Accid"}</definedName>
    <definedName name="wrn.Goals._.Backup._3_3" localSheetId="14">{#N/A,#N/A,FALSE,"Summary";#N/A,#N/A,FALSE,"PSA Incentive";#N/A,#N/A,FALSE,"LI Steam F.O. Lost MWHRs";#N/A,#N/A,FALSE,"LI IC F.O.F. ";#N/A,#N/A,FALSE,"LI Accident Reduction";#N/A,#N/A,FALSE,"RavIC FOF";#N/A,#N/A,FALSE,"Rav Steam EFOR";#N/A,#N/A,FALSE,"RavIC Summer DMNC";#N/A,#N/A,FALSE,"Rav OSHA Lost Time Accid"}</definedName>
    <definedName name="wrn.Goals._.Backup._3_3">{#N/A,#N/A,FALSE,"Summary";#N/A,#N/A,FALSE,"PSA Incentive";#N/A,#N/A,FALSE,"LI Steam F.O. Lost MWHRs";#N/A,#N/A,FALSE,"LI IC F.O.F. ";#N/A,#N/A,FALSE,"LI Accident Reduction";#N/A,#N/A,FALSE,"RavIC FOF";#N/A,#N/A,FALSE,"Rav Steam EFOR";#N/A,#N/A,FALSE,"RavIC Summer DMNC";#N/A,#N/A,FALSE,"Rav OSHA Lost Time Accid"}</definedName>
    <definedName name="wrn.Goals._.Backup._3_3_1" localSheetId="14">{#N/A,#N/A,FALSE,"Summary";#N/A,#N/A,FALSE,"PSA Incentive";#N/A,#N/A,FALSE,"LI Steam F.O. Lost MWHRs";#N/A,#N/A,FALSE,"LI IC F.O.F. ";#N/A,#N/A,FALSE,"LI Accident Reduction";#N/A,#N/A,FALSE,"RavIC FOF";#N/A,#N/A,FALSE,"Rav Steam EFOR";#N/A,#N/A,FALSE,"RavIC Summer DMNC";#N/A,#N/A,FALSE,"Rav OSHA Lost Time Accid"}</definedName>
    <definedName name="wrn.Goals._.Backup._3_3_1">{#N/A,#N/A,FALSE,"Summary";#N/A,#N/A,FALSE,"PSA Incentive";#N/A,#N/A,FALSE,"LI Steam F.O. Lost MWHRs";#N/A,#N/A,FALSE,"LI IC F.O.F. ";#N/A,#N/A,FALSE,"LI Accident Reduction";#N/A,#N/A,FALSE,"RavIC FOF";#N/A,#N/A,FALSE,"Rav Steam EFOR";#N/A,#N/A,FALSE,"RavIC Summer DMNC";#N/A,#N/A,FALSE,"Rav OSHA Lost Time Accid"}</definedName>
    <definedName name="wrn.Goals._.Backup._3_4" localSheetId="14">{#N/A,#N/A,FALSE,"Summary";#N/A,#N/A,FALSE,"PSA Incentive";#N/A,#N/A,FALSE,"LI Steam F.O. Lost MWHRs";#N/A,#N/A,FALSE,"LI IC F.O.F. ";#N/A,#N/A,FALSE,"LI Accident Reduction";#N/A,#N/A,FALSE,"RavIC FOF";#N/A,#N/A,FALSE,"Rav Steam EFOR";#N/A,#N/A,FALSE,"RavIC Summer DMNC";#N/A,#N/A,FALSE,"Rav OSHA Lost Time Accid"}</definedName>
    <definedName name="wrn.Goals._.Backup._3_4">{#N/A,#N/A,FALSE,"Summary";#N/A,#N/A,FALSE,"PSA Incentive";#N/A,#N/A,FALSE,"LI Steam F.O. Lost MWHRs";#N/A,#N/A,FALSE,"LI IC F.O.F. ";#N/A,#N/A,FALSE,"LI Accident Reduction";#N/A,#N/A,FALSE,"RavIC FOF";#N/A,#N/A,FALSE,"Rav Steam EFOR";#N/A,#N/A,FALSE,"RavIC Summer DMNC";#N/A,#N/A,FALSE,"Rav OSHA Lost Time Accid"}</definedName>
    <definedName name="wrn.Goals._.Backup._3_4_1" localSheetId="14">{#N/A,#N/A,FALSE,"Summary";#N/A,#N/A,FALSE,"PSA Incentive";#N/A,#N/A,FALSE,"LI Steam F.O. Lost MWHRs";#N/A,#N/A,FALSE,"LI IC F.O.F. ";#N/A,#N/A,FALSE,"LI Accident Reduction";#N/A,#N/A,FALSE,"RavIC FOF";#N/A,#N/A,FALSE,"Rav Steam EFOR";#N/A,#N/A,FALSE,"RavIC Summer DMNC";#N/A,#N/A,FALSE,"Rav OSHA Lost Time Accid"}</definedName>
    <definedName name="wrn.Goals._.Backup._3_4_1">{#N/A,#N/A,FALSE,"Summary";#N/A,#N/A,FALSE,"PSA Incentive";#N/A,#N/A,FALSE,"LI Steam F.O. Lost MWHRs";#N/A,#N/A,FALSE,"LI IC F.O.F. ";#N/A,#N/A,FALSE,"LI Accident Reduction";#N/A,#N/A,FALSE,"RavIC FOF";#N/A,#N/A,FALSE,"Rav Steam EFOR";#N/A,#N/A,FALSE,"RavIC Summer DMNC";#N/A,#N/A,FALSE,"Rav OSHA Lost Time Accid"}</definedName>
    <definedName name="wrn.Goals._.Backup._3_5" localSheetId="14">{#N/A,#N/A,FALSE,"Summary";#N/A,#N/A,FALSE,"PSA Incentive";#N/A,#N/A,FALSE,"LI Steam F.O. Lost MWHRs";#N/A,#N/A,FALSE,"LI IC F.O.F. ";#N/A,#N/A,FALSE,"LI Accident Reduction";#N/A,#N/A,FALSE,"RavIC FOF";#N/A,#N/A,FALSE,"Rav Steam EFOR";#N/A,#N/A,FALSE,"RavIC Summer DMNC";#N/A,#N/A,FALSE,"Rav OSHA Lost Time Accid"}</definedName>
    <definedName name="wrn.Goals._.Backup._3_5">{#N/A,#N/A,FALSE,"Summary";#N/A,#N/A,FALSE,"PSA Incentive";#N/A,#N/A,FALSE,"LI Steam F.O. Lost MWHRs";#N/A,#N/A,FALSE,"LI IC F.O.F. ";#N/A,#N/A,FALSE,"LI Accident Reduction";#N/A,#N/A,FALSE,"RavIC FOF";#N/A,#N/A,FALSE,"Rav Steam EFOR";#N/A,#N/A,FALSE,"RavIC Summer DMNC";#N/A,#N/A,FALSE,"Rav OSHA Lost Time Accid"}</definedName>
    <definedName name="wrn.Goals._.Backup._4" localSheetId="14">{#N/A,#N/A,FALSE,"Summary";#N/A,#N/A,FALSE,"PSA Incentive";#N/A,#N/A,FALSE,"LI Steam F.O. Lost MWHRs";#N/A,#N/A,FALSE,"LI IC F.O.F. ";#N/A,#N/A,FALSE,"LI Accident Reduction";#N/A,#N/A,FALSE,"RavIC FOF";#N/A,#N/A,FALSE,"Rav Steam EFOR";#N/A,#N/A,FALSE,"RavIC Summer DMNC";#N/A,#N/A,FALSE,"Rav OSHA Lost Time Accid"}</definedName>
    <definedName name="wrn.Goals._.Backup._4">{#N/A,#N/A,FALSE,"Summary";#N/A,#N/A,FALSE,"PSA Incentive";#N/A,#N/A,FALSE,"LI Steam F.O. Lost MWHRs";#N/A,#N/A,FALSE,"LI IC F.O.F. ";#N/A,#N/A,FALSE,"LI Accident Reduction";#N/A,#N/A,FALSE,"RavIC FOF";#N/A,#N/A,FALSE,"Rav Steam EFOR";#N/A,#N/A,FALSE,"RavIC Summer DMNC";#N/A,#N/A,FALSE,"Rav OSHA Lost Time Accid"}</definedName>
    <definedName name="wrn.Goals._.Backup._4_1" localSheetId="14">{#N/A,#N/A,FALSE,"Summary";#N/A,#N/A,FALSE,"PSA Incentive";#N/A,#N/A,FALSE,"LI Steam F.O. Lost MWHRs";#N/A,#N/A,FALSE,"LI IC F.O.F. ";#N/A,#N/A,FALSE,"LI Accident Reduction";#N/A,#N/A,FALSE,"RavIC FOF";#N/A,#N/A,FALSE,"Rav Steam EFOR";#N/A,#N/A,FALSE,"RavIC Summer DMNC";#N/A,#N/A,FALSE,"Rav OSHA Lost Time Accid"}</definedName>
    <definedName name="wrn.Goals._.Backup._4_1">{#N/A,#N/A,FALSE,"Summary";#N/A,#N/A,FALSE,"PSA Incentive";#N/A,#N/A,FALSE,"LI Steam F.O. Lost MWHRs";#N/A,#N/A,FALSE,"LI IC F.O.F. ";#N/A,#N/A,FALSE,"LI Accident Reduction";#N/A,#N/A,FALSE,"RavIC FOF";#N/A,#N/A,FALSE,"Rav Steam EFOR";#N/A,#N/A,FALSE,"RavIC Summer DMNC";#N/A,#N/A,FALSE,"Rav OSHA Lost Time Accid"}</definedName>
    <definedName name="wrn.Goals._.Backup._4_1_1" localSheetId="14">{#N/A,#N/A,FALSE,"Summary";#N/A,#N/A,FALSE,"PSA Incentive";#N/A,#N/A,FALSE,"LI Steam F.O. Lost MWHRs";#N/A,#N/A,FALSE,"LI IC F.O.F. ";#N/A,#N/A,FALSE,"LI Accident Reduction";#N/A,#N/A,FALSE,"RavIC FOF";#N/A,#N/A,FALSE,"Rav Steam EFOR";#N/A,#N/A,FALSE,"RavIC Summer DMNC";#N/A,#N/A,FALSE,"Rav OSHA Lost Time Accid"}</definedName>
    <definedName name="wrn.Goals._.Backup._4_1_1">{#N/A,#N/A,FALSE,"Summary";#N/A,#N/A,FALSE,"PSA Incentive";#N/A,#N/A,FALSE,"LI Steam F.O. Lost MWHRs";#N/A,#N/A,FALSE,"LI IC F.O.F. ";#N/A,#N/A,FALSE,"LI Accident Reduction";#N/A,#N/A,FALSE,"RavIC FOF";#N/A,#N/A,FALSE,"Rav Steam EFOR";#N/A,#N/A,FALSE,"RavIC Summer DMNC";#N/A,#N/A,FALSE,"Rav OSHA Lost Time Accid"}</definedName>
    <definedName name="wrn.Goals._.Backup._4_1_1_1" localSheetId="14">{#N/A,#N/A,FALSE,"Summary";#N/A,#N/A,FALSE,"PSA Incentive";#N/A,#N/A,FALSE,"LI Steam F.O. Lost MWHRs";#N/A,#N/A,FALSE,"LI IC F.O.F. ";#N/A,#N/A,FALSE,"LI Accident Reduction";#N/A,#N/A,FALSE,"RavIC FOF";#N/A,#N/A,FALSE,"Rav Steam EFOR";#N/A,#N/A,FALSE,"RavIC Summer DMNC";#N/A,#N/A,FALSE,"Rav OSHA Lost Time Accid"}</definedName>
    <definedName name="wrn.Goals._.Backup._4_1_1_1">{#N/A,#N/A,FALSE,"Summary";#N/A,#N/A,FALSE,"PSA Incentive";#N/A,#N/A,FALSE,"LI Steam F.O. Lost MWHRs";#N/A,#N/A,FALSE,"LI IC F.O.F. ";#N/A,#N/A,FALSE,"LI Accident Reduction";#N/A,#N/A,FALSE,"RavIC FOF";#N/A,#N/A,FALSE,"Rav Steam EFOR";#N/A,#N/A,FALSE,"RavIC Summer DMNC";#N/A,#N/A,FALSE,"Rav OSHA Lost Time Accid"}</definedName>
    <definedName name="wrn.Goals._.Backup._4_1_2" localSheetId="14">{#N/A,#N/A,FALSE,"Summary";#N/A,#N/A,FALSE,"PSA Incentive";#N/A,#N/A,FALSE,"LI Steam F.O. Lost MWHRs";#N/A,#N/A,FALSE,"LI IC F.O.F. ";#N/A,#N/A,FALSE,"LI Accident Reduction";#N/A,#N/A,FALSE,"RavIC FOF";#N/A,#N/A,FALSE,"Rav Steam EFOR";#N/A,#N/A,FALSE,"RavIC Summer DMNC";#N/A,#N/A,FALSE,"Rav OSHA Lost Time Accid"}</definedName>
    <definedName name="wrn.Goals._.Backup._4_1_2">{#N/A,#N/A,FALSE,"Summary";#N/A,#N/A,FALSE,"PSA Incentive";#N/A,#N/A,FALSE,"LI Steam F.O. Lost MWHRs";#N/A,#N/A,FALSE,"LI IC F.O.F. ";#N/A,#N/A,FALSE,"LI Accident Reduction";#N/A,#N/A,FALSE,"RavIC FOF";#N/A,#N/A,FALSE,"Rav Steam EFOR";#N/A,#N/A,FALSE,"RavIC Summer DMNC";#N/A,#N/A,FALSE,"Rav OSHA Lost Time Accid"}</definedName>
    <definedName name="wrn.Goals._.Backup._4_2" localSheetId="14">{#N/A,#N/A,FALSE,"Summary";#N/A,#N/A,FALSE,"PSA Incentive";#N/A,#N/A,FALSE,"LI Steam F.O. Lost MWHRs";#N/A,#N/A,FALSE,"LI IC F.O.F. ";#N/A,#N/A,FALSE,"LI Accident Reduction";#N/A,#N/A,FALSE,"RavIC FOF";#N/A,#N/A,FALSE,"Rav Steam EFOR";#N/A,#N/A,FALSE,"RavIC Summer DMNC";#N/A,#N/A,FALSE,"Rav OSHA Lost Time Accid"}</definedName>
    <definedName name="wrn.Goals._.Backup._4_2">{#N/A,#N/A,FALSE,"Summary";#N/A,#N/A,FALSE,"PSA Incentive";#N/A,#N/A,FALSE,"LI Steam F.O. Lost MWHRs";#N/A,#N/A,FALSE,"LI IC F.O.F. ";#N/A,#N/A,FALSE,"LI Accident Reduction";#N/A,#N/A,FALSE,"RavIC FOF";#N/A,#N/A,FALSE,"Rav Steam EFOR";#N/A,#N/A,FALSE,"RavIC Summer DMNC";#N/A,#N/A,FALSE,"Rav OSHA Lost Time Accid"}</definedName>
    <definedName name="wrn.Goals._.Backup._4_2_1" localSheetId="14">{#N/A,#N/A,FALSE,"Summary";#N/A,#N/A,FALSE,"PSA Incentive";#N/A,#N/A,FALSE,"LI Steam F.O. Lost MWHRs";#N/A,#N/A,FALSE,"LI IC F.O.F. ";#N/A,#N/A,FALSE,"LI Accident Reduction";#N/A,#N/A,FALSE,"RavIC FOF";#N/A,#N/A,FALSE,"Rav Steam EFOR";#N/A,#N/A,FALSE,"RavIC Summer DMNC";#N/A,#N/A,FALSE,"Rav OSHA Lost Time Accid"}</definedName>
    <definedName name="wrn.Goals._.Backup._4_2_1">{#N/A,#N/A,FALSE,"Summary";#N/A,#N/A,FALSE,"PSA Incentive";#N/A,#N/A,FALSE,"LI Steam F.O. Lost MWHRs";#N/A,#N/A,FALSE,"LI IC F.O.F. ";#N/A,#N/A,FALSE,"LI Accident Reduction";#N/A,#N/A,FALSE,"RavIC FOF";#N/A,#N/A,FALSE,"Rav Steam EFOR";#N/A,#N/A,FALSE,"RavIC Summer DMNC";#N/A,#N/A,FALSE,"Rav OSHA Lost Time Accid"}</definedName>
    <definedName name="wrn.Goals._.Backup._4_3" localSheetId="14">{#N/A,#N/A,FALSE,"Summary";#N/A,#N/A,FALSE,"PSA Incentive";#N/A,#N/A,FALSE,"LI Steam F.O. Lost MWHRs";#N/A,#N/A,FALSE,"LI IC F.O.F. ";#N/A,#N/A,FALSE,"LI Accident Reduction";#N/A,#N/A,FALSE,"RavIC FOF";#N/A,#N/A,FALSE,"Rav Steam EFOR";#N/A,#N/A,FALSE,"RavIC Summer DMNC";#N/A,#N/A,FALSE,"Rav OSHA Lost Time Accid"}</definedName>
    <definedName name="wrn.Goals._.Backup._4_3">{#N/A,#N/A,FALSE,"Summary";#N/A,#N/A,FALSE,"PSA Incentive";#N/A,#N/A,FALSE,"LI Steam F.O. Lost MWHRs";#N/A,#N/A,FALSE,"LI IC F.O.F. ";#N/A,#N/A,FALSE,"LI Accident Reduction";#N/A,#N/A,FALSE,"RavIC FOF";#N/A,#N/A,FALSE,"Rav Steam EFOR";#N/A,#N/A,FALSE,"RavIC Summer DMNC";#N/A,#N/A,FALSE,"Rav OSHA Lost Time Accid"}</definedName>
    <definedName name="wrn.Goals._.Backup._4_3_1" localSheetId="14">{#N/A,#N/A,FALSE,"Summary";#N/A,#N/A,FALSE,"PSA Incentive";#N/A,#N/A,FALSE,"LI Steam F.O. Lost MWHRs";#N/A,#N/A,FALSE,"LI IC F.O.F. ";#N/A,#N/A,FALSE,"LI Accident Reduction";#N/A,#N/A,FALSE,"RavIC FOF";#N/A,#N/A,FALSE,"Rav Steam EFOR";#N/A,#N/A,FALSE,"RavIC Summer DMNC";#N/A,#N/A,FALSE,"Rav OSHA Lost Time Accid"}</definedName>
    <definedName name="wrn.Goals._.Backup._4_3_1">{#N/A,#N/A,FALSE,"Summary";#N/A,#N/A,FALSE,"PSA Incentive";#N/A,#N/A,FALSE,"LI Steam F.O. Lost MWHRs";#N/A,#N/A,FALSE,"LI IC F.O.F. ";#N/A,#N/A,FALSE,"LI Accident Reduction";#N/A,#N/A,FALSE,"RavIC FOF";#N/A,#N/A,FALSE,"Rav Steam EFOR";#N/A,#N/A,FALSE,"RavIC Summer DMNC";#N/A,#N/A,FALSE,"Rav OSHA Lost Time Accid"}</definedName>
    <definedName name="wrn.Goals._.Backup._4_4" localSheetId="14">{#N/A,#N/A,FALSE,"Summary";#N/A,#N/A,FALSE,"PSA Incentive";#N/A,#N/A,FALSE,"LI Steam F.O. Lost MWHRs";#N/A,#N/A,FALSE,"LI IC F.O.F. ";#N/A,#N/A,FALSE,"LI Accident Reduction";#N/A,#N/A,FALSE,"RavIC FOF";#N/A,#N/A,FALSE,"Rav Steam EFOR";#N/A,#N/A,FALSE,"RavIC Summer DMNC";#N/A,#N/A,FALSE,"Rav OSHA Lost Time Accid"}</definedName>
    <definedName name="wrn.Goals._.Backup._4_4">{#N/A,#N/A,FALSE,"Summary";#N/A,#N/A,FALSE,"PSA Incentive";#N/A,#N/A,FALSE,"LI Steam F.O. Lost MWHRs";#N/A,#N/A,FALSE,"LI IC F.O.F. ";#N/A,#N/A,FALSE,"LI Accident Reduction";#N/A,#N/A,FALSE,"RavIC FOF";#N/A,#N/A,FALSE,"Rav Steam EFOR";#N/A,#N/A,FALSE,"RavIC Summer DMNC";#N/A,#N/A,FALSE,"Rav OSHA Lost Time Accid"}</definedName>
    <definedName name="wrn.Goals._.Backup._4_4_1" localSheetId="14">{#N/A,#N/A,FALSE,"Summary";#N/A,#N/A,FALSE,"PSA Incentive";#N/A,#N/A,FALSE,"LI Steam F.O. Lost MWHRs";#N/A,#N/A,FALSE,"LI IC F.O.F. ";#N/A,#N/A,FALSE,"LI Accident Reduction";#N/A,#N/A,FALSE,"RavIC FOF";#N/A,#N/A,FALSE,"Rav Steam EFOR";#N/A,#N/A,FALSE,"RavIC Summer DMNC";#N/A,#N/A,FALSE,"Rav OSHA Lost Time Accid"}</definedName>
    <definedName name="wrn.Goals._.Backup._4_4_1">{#N/A,#N/A,FALSE,"Summary";#N/A,#N/A,FALSE,"PSA Incentive";#N/A,#N/A,FALSE,"LI Steam F.O. Lost MWHRs";#N/A,#N/A,FALSE,"LI IC F.O.F. ";#N/A,#N/A,FALSE,"LI Accident Reduction";#N/A,#N/A,FALSE,"RavIC FOF";#N/A,#N/A,FALSE,"Rav Steam EFOR";#N/A,#N/A,FALSE,"RavIC Summer DMNC";#N/A,#N/A,FALSE,"Rav OSHA Lost Time Accid"}</definedName>
    <definedName name="wrn.Goals._.Backup._4_5" localSheetId="14">{#N/A,#N/A,FALSE,"Summary";#N/A,#N/A,FALSE,"PSA Incentive";#N/A,#N/A,FALSE,"LI Steam F.O. Lost MWHRs";#N/A,#N/A,FALSE,"LI IC F.O.F. ";#N/A,#N/A,FALSE,"LI Accident Reduction";#N/A,#N/A,FALSE,"RavIC FOF";#N/A,#N/A,FALSE,"Rav Steam EFOR";#N/A,#N/A,FALSE,"RavIC Summer DMNC";#N/A,#N/A,FALSE,"Rav OSHA Lost Time Accid"}</definedName>
    <definedName name="wrn.Goals._.Backup._4_5">{#N/A,#N/A,FALSE,"Summary";#N/A,#N/A,FALSE,"PSA Incentive";#N/A,#N/A,FALSE,"LI Steam F.O. Lost MWHRs";#N/A,#N/A,FALSE,"LI IC F.O.F. ";#N/A,#N/A,FALSE,"LI Accident Reduction";#N/A,#N/A,FALSE,"RavIC FOF";#N/A,#N/A,FALSE,"Rav Steam EFOR";#N/A,#N/A,FALSE,"RavIC Summer DMNC";#N/A,#N/A,FALSE,"Rav OSHA Lost Time Accid"}</definedName>
    <definedName name="wrn.Goals._.Backup._5" localSheetId="14">{#N/A,#N/A,FALSE,"Summary";#N/A,#N/A,FALSE,"PSA Incentive";#N/A,#N/A,FALSE,"LI Steam F.O. Lost MWHRs";#N/A,#N/A,FALSE,"LI IC F.O.F. ";#N/A,#N/A,FALSE,"LI Accident Reduction";#N/A,#N/A,FALSE,"RavIC FOF";#N/A,#N/A,FALSE,"Rav Steam EFOR";#N/A,#N/A,FALSE,"RavIC Summer DMNC";#N/A,#N/A,FALSE,"Rav OSHA Lost Time Accid"}</definedName>
    <definedName name="wrn.Goals._.Backup._5">{#N/A,#N/A,FALSE,"Summary";#N/A,#N/A,FALSE,"PSA Incentive";#N/A,#N/A,FALSE,"LI Steam F.O. Lost MWHRs";#N/A,#N/A,FALSE,"LI IC F.O.F. ";#N/A,#N/A,FALSE,"LI Accident Reduction";#N/A,#N/A,FALSE,"RavIC FOF";#N/A,#N/A,FALSE,"Rav Steam EFOR";#N/A,#N/A,FALSE,"RavIC Summer DMNC";#N/A,#N/A,FALSE,"Rav OSHA Lost Time Accid"}</definedName>
    <definedName name="wrn.Goals._.Backup._5_1" localSheetId="14">{#N/A,#N/A,FALSE,"Summary";#N/A,#N/A,FALSE,"PSA Incentive";#N/A,#N/A,FALSE,"LI Steam F.O. Lost MWHRs";#N/A,#N/A,FALSE,"LI IC F.O.F. ";#N/A,#N/A,FALSE,"LI Accident Reduction";#N/A,#N/A,FALSE,"RavIC FOF";#N/A,#N/A,FALSE,"Rav Steam EFOR";#N/A,#N/A,FALSE,"RavIC Summer DMNC";#N/A,#N/A,FALSE,"Rav OSHA Lost Time Accid"}</definedName>
    <definedName name="wrn.Goals._.Backup._5_1">{#N/A,#N/A,FALSE,"Summary";#N/A,#N/A,FALSE,"PSA Incentive";#N/A,#N/A,FALSE,"LI Steam F.O. Lost MWHRs";#N/A,#N/A,FALSE,"LI IC F.O.F. ";#N/A,#N/A,FALSE,"LI Accident Reduction";#N/A,#N/A,FALSE,"RavIC FOF";#N/A,#N/A,FALSE,"Rav Steam EFOR";#N/A,#N/A,FALSE,"RavIC Summer DMNC";#N/A,#N/A,FALSE,"Rav OSHA Lost Time Accid"}</definedName>
    <definedName name="wrn.Goals._.Backup._5_1_1" localSheetId="14">{#N/A,#N/A,FALSE,"Summary";#N/A,#N/A,FALSE,"PSA Incentive";#N/A,#N/A,FALSE,"LI Steam F.O. Lost MWHRs";#N/A,#N/A,FALSE,"LI IC F.O.F. ";#N/A,#N/A,FALSE,"LI Accident Reduction";#N/A,#N/A,FALSE,"RavIC FOF";#N/A,#N/A,FALSE,"Rav Steam EFOR";#N/A,#N/A,FALSE,"RavIC Summer DMNC";#N/A,#N/A,FALSE,"Rav OSHA Lost Time Accid"}</definedName>
    <definedName name="wrn.Goals._.Backup._5_1_1">{#N/A,#N/A,FALSE,"Summary";#N/A,#N/A,FALSE,"PSA Incentive";#N/A,#N/A,FALSE,"LI Steam F.O. Lost MWHRs";#N/A,#N/A,FALSE,"LI IC F.O.F. ";#N/A,#N/A,FALSE,"LI Accident Reduction";#N/A,#N/A,FALSE,"RavIC FOF";#N/A,#N/A,FALSE,"Rav Steam EFOR";#N/A,#N/A,FALSE,"RavIC Summer DMNC";#N/A,#N/A,FALSE,"Rav OSHA Lost Time Accid"}</definedName>
    <definedName name="wrn.Goals._.Backup._5_1_1_1" localSheetId="14">{#N/A,#N/A,FALSE,"Summary";#N/A,#N/A,FALSE,"PSA Incentive";#N/A,#N/A,FALSE,"LI Steam F.O. Lost MWHRs";#N/A,#N/A,FALSE,"LI IC F.O.F. ";#N/A,#N/A,FALSE,"LI Accident Reduction";#N/A,#N/A,FALSE,"RavIC FOF";#N/A,#N/A,FALSE,"Rav Steam EFOR";#N/A,#N/A,FALSE,"RavIC Summer DMNC";#N/A,#N/A,FALSE,"Rav OSHA Lost Time Accid"}</definedName>
    <definedName name="wrn.Goals._.Backup._5_1_1_1">{#N/A,#N/A,FALSE,"Summary";#N/A,#N/A,FALSE,"PSA Incentive";#N/A,#N/A,FALSE,"LI Steam F.O. Lost MWHRs";#N/A,#N/A,FALSE,"LI IC F.O.F. ";#N/A,#N/A,FALSE,"LI Accident Reduction";#N/A,#N/A,FALSE,"RavIC FOF";#N/A,#N/A,FALSE,"Rav Steam EFOR";#N/A,#N/A,FALSE,"RavIC Summer DMNC";#N/A,#N/A,FALSE,"Rav OSHA Lost Time Accid"}</definedName>
    <definedName name="wrn.Goals._.Backup._5_1_2" localSheetId="14">{#N/A,#N/A,FALSE,"Summary";#N/A,#N/A,FALSE,"PSA Incentive";#N/A,#N/A,FALSE,"LI Steam F.O. Lost MWHRs";#N/A,#N/A,FALSE,"LI IC F.O.F. ";#N/A,#N/A,FALSE,"LI Accident Reduction";#N/A,#N/A,FALSE,"RavIC FOF";#N/A,#N/A,FALSE,"Rav Steam EFOR";#N/A,#N/A,FALSE,"RavIC Summer DMNC";#N/A,#N/A,FALSE,"Rav OSHA Lost Time Accid"}</definedName>
    <definedName name="wrn.Goals._.Backup._5_1_2">{#N/A,#N/A,FALSE,"Summary";#N/A,#N/A,FALSE,"PSA Incentive";#N/A,#N/A,FALSE,"LI Steam F.O. Lost MWHRs";#N/A,#N/A,FALSE,"LI IC F.O.F. ";#N/A,#N/A,FALSE,"LI Accident Reduction";#N/A,#N/A,FALSE,"RavIC FOF";#N/A,#N/A,FALSE,"Rav Steam EFOR";#N/A,#N/A,FALSE,"RavIC Summer DMNC";#N/A,#N/A,FALSE,"Rav OSHA Lost Time Accid"}</definedName>
    <definedName name="wrn.Goals._.Backup._5_2" localSheetId="14">{#N/A,#N/A,FALSE,"Summary";#N/A,#N/A,FALSE,"PSA Incentive";#N/A,#N/A,FALSE,"LI Steam F.O. Lost MWHRs";#N/A,#N/A,FALSE,"LI IC F.O.F. ";#N/A,#N/A,FALSE,"LI Accident Reduction";#N/A,#N/A,FALSE,"RavIC FOF";#N/A,#N/A,FALSE,"Rav Steam EFOR";#N/A,#N/A,FALSE,"RavIC Summer DMNC";#N/A,#N/A,FALSE,"Rav OSHA Lost Time Accid"}</definedName>
    <definedName name="wrn.Goals._.Backup._5_2">{#N/A,#N/A,FALSE,"Summary";#N/A,#N/A,FALSE,"PSA Incentive";#N/A,#N/A,FALSE,"LI Steam F.O. Lost MWHRs";#N/A,#N/A,FALSE,"LI IC F.O.F. ";#N/A,#N/A,FALSE,"LI Accident Reduction";#N/A,#N/A,FALSE,"RavIC FOF";#N/A,#N/A,FALSE,"Rav Steam EFOR";#N/A,#N/A,FALSE,"RavIC Summer DMNC";#N/A,#N/A,FALSE,"Rav OSHA Lost Time Accid"}</definedName>
    <definedName name="wrn.Goals._.Backup._5_2_1" localSheetId="14">{#N/A,#N/A,FALSE,"Summary";#N/A,#N/A,FALSE,"PSA Incentive";#N/A,#N/A,FALSE,"LI Steam F.O. Lost MWHRs";#N/A,#N/A,FALSE,"LI IC F.O.F. ";#N/A,#N/A,FALSE,"LI Accident Reduction";#N/A,#N/A,FALSE,"RavIC FOF";#N/A,#N/A,FALSE,"Rav Steam EFOR";#N/A,#N/A,FALSE,"RavIC Summer DMNC";#N/A,#N/A,FALSE,"Rav OSHA Lost Time Accid"}</definedName>
    <definedName name="wrn.Goals._.Backup._5_2_1">{#N/A,#N/A,FALSE,"Summary";#N/A,#N/A,FALSE,"PSA Incentive";#N/A,#N/A,FALSE,"LI Steam F.O. Lost MWHRs";#N/A,#N/A,FALSE,"LI IC F.O.F. ";#N/A,#N/A,FALSE,"LI Accident Reduction";#N/A,#N/A,FALSE,"RavIC FOF";#N/A,#N/A,FALSE,"Rav Steam EFOR";#N/A,#N/A,FALSE,"RavIC Summer DMNC";#N/A,#N/A,FALSE,"Rav OSHA Lost Time Accid"}</definedName>
    <definedName name="wrn.Goals._.Backup._5_3" localSheetId="14">{#N/A,#N/A,FALSE,"Summary";#N/A,#N/A,FALSE,"PSA Incentive";#N/A,#N/A,FALSE,"LI Steam F.O. Lost MWHRs";#N/A,#N/A,FALSE,"LI IC F.O.F. ";#N/A,#N/A,FALSE,"LI Accident Reduction";#N/A,#N/A,FALSE,"RavIC FOF";#N/A,#N/A,FALSE,"Rav Steam EFOR";#N/A,#N/A,FALSE,"RavIC Summer DMNC";#N/A,#N/A,FALSE,"Rav OSHA Lost Time Accid"}</definedName>
    <definedName name="wrn.Goals._.Backup._5_3">{#N/A,#N/A,FALSE,"Summary";#N/A,#N/A,FALSE,"PSA Incentive";#N/A,#N/A,FALSE,"LI Steam F.O. Lost MWHRs";#N/A,#N/A,FALSE,"LI IC F.O.F. ";#N/A,#N/A,FALSE,"LI Accident Reduction";#N/A,#N/A,FALSE,"RavIC FOF";#N/A,#N/A,FALSE,"Rav Steam EFOR";#N/A,#N/A,FALSE,"RavIC Summer DMNC";#N/A,#N/A,FALSE,"Rav OSHA Lost Time Accid"}</definedName>
    <definedName name="wrn.Goals._.Backup._5_3_1" localSheetId="14">{#N/A,#N/A,FALSE,"Summary";#N/A,#N/A,FALSE,"PSA Incentive";#N/A,#N/A,FALSE,"LI Steam F.O. Lost MWHRs";#N/A,#N/A,FALSE,"LI IC F.O.F. ";#N/A,#N/A,FALSE,"LI Accident Reduction";#N/A,#N/A,FALSE,"RavIC FOF";#N/A,#N/A,FALSE,"Rav Steam EFOR";#N/A,#N/A,FALSE,"RavIC Summer DMNC";#N/A,#N/A,FALSE,"Rav OSHA Lost Time Accid"}</definedName>
    <definedName name="wrn.Goals._.Backup._5_3_1">{#N/A,#N/A,FALSE,"Summary";#N/A,#N/A,FALSE,"PSA Incentive";#N/A,#N/A,FALSE,"LI Steam F.O. Lost MWHRs";#N/A,#N/A,FALSE,"LI IC F.O.F. ";#N/A,#N/A,FALSE,"LI Accident Reduction";#N/A,#N/A,FALSE,"RavIC FOF";#N/A,#N/A,FALSE,"Rav Steam EFOR";#N/A,#N/A,FALSE,"RavIC Summer DMNC";#N/A,#N/A,FALSE,"Rav OSHA Lost Time Accid"}</definedName>
    <definedName name="wrn.Goals._.Backup._5_4" localSheetId="14">{#N/A,#N/A,FALSE,"Summary";#N/A,#N/A,FALSE,"PSA Incentive";#N/A,#N/A,FALSE,"LI Steam F.O. Lost MWHRs";#N/A,#N/A,FALSE,"LI IC F.O.F. ";#N/A,#N/A,FALSE,"LI Accident Reduction";#N/A,#N/A,FALSE,"RavIC FOF";#N/A,#N/A,FALSE,"Rav Steam EFOR";#N/A,#N/A,FALSE,"RavIC Summer DMNC";#N/A,#N/A,FALSE,"Rav OSHA Lost Time Accid"}</definedName>
    <definedName name="wrn.Goals._.Backup._5_4">{#N/A,#N/A,FALSE,"Summary";#N/A,#N/A,FALSE,"PSA Incentive";#N/A,#N/A,FALSE,"LI Steam F.O. Lost MWHRs";#N/A,#N/A,FALSE,"LI IC F.O.F. ";#N/A,#N/A,FALSE,"LI Accident Reduction";#N/A,#N/A,FALSE,"RavIC FOF";#N/A,#N/A,FALSE,"Rav Steam EFOR";#N/A,#N/A,FALSE,"RavIC Summer DMNC";#N/A,#N/A,FALSE,"Rav OSHA Lost Time Accid"}</definedName>
    <definedName name="wrn.Goals._.Backup._5_4_1" localSheetId="14">{#N/A,#N/A,FALSE,"Summary";#N/A,#N/A,FALSE,"PSA Incentive";#N/A,#N/A,FALSE,"LI Steam F.O. Lost MWHRs";#N/A,#N/A,FALSE,"LI IC F.O.F. ";#N/A,#N/A,FALSE,"LI Accident Reduction";#N/A,#N/A,FALSE,"RavIC FOF";#N/A,#N/A,FALSE,"Rav Steam EFOR";#N/A,#N/A,FALSE,"RavIC Summer DMNC";#N/A,#N/A,FALSE,"Rav OSHA Lost Time Accid"}</definedName>
    <definedName name="wrn.Goals._.Backup._5_4_1">{#N/A,#N/A,FALSE,"Summary";#N/A,#N/A,FALSE,"PSA Incentive";#N/A,#N/A,FALSE,"LI Steam F.O. Lost MWHRs";#N/A,#N/A,FALSE,"LI IC F.O.F. ";#N/A,#N/A,FALSE,"LI Accident Reduction";#N/A,#N/A,FALSE,"RavIC FOF";#N/A,#N/A,FALSE,"Rav Steam EFOR";#N/A,#N/A,FALSE,"RavIC Summer DMNC";#N/A,#N/A,FALSE,"Rav OSHA Lost Time Accid"}</definedName>
    <definedName name="wrn.Goals._.Backup._5_5" localSheetId="14">{#N/A,#N/A,FALSE,"Summary";#N/A,#N/A,FALSE,"PSA Incentive";#N/A,#N/A,FALSE,"LI Steam F.O. Lost MWHRs";#N/A,#N/A,FALSE,"LI IC F.O.F. ";#N/A,#N/A,FALSE,"LI Accident Reduction";#N/A,#N/A,FALSE,"RavIC FOF";#N/A,#N/A,FALSE,"Rav Steam EFOR";#N/A,#N/A,FALSE,"RavIC Summer DMNC";#N/A,#N/A,FALSE,"Rav OSHA Lost Time Accid"}</definedName>
    <definedName name="wrn.Goals._.Backup._5_5">{#N/A,#N/A,FALSE,"Summary";#N/A,#N/A,FALSE,"PSA Incentive";#N/A,#N/A,FALSE,"LI Steam F.O. Lost MWHRs";#N/A,#N/A,FALSE,"LI IC F.O.F. ";#N/A,#N/A,FALSE,"LI Accident Reduction";#N/A,#N/A,FALSE,"RavIC FOF";#N/A,#N/A,FALSE,"Rav Steam EFOR";#N/A,#N/A,FALSE,"RavIC Summer DMNC";#N/A,#N/A,FALSE,"Rav OSHA Lost Time Accid"}</definedName>
    <definedName name="wrn.GSECo._.Detailed._.Report." localSheetId="14">{"GSECo Summary",#N/A,FALSE,"GSECo Billing";"GSECo Details",#N/A,FALSE,"GSECo Billing"}</definedName>
    <definedName name="wrn.GSECo._.Detailed._.Report.">{"GSECo Summary",#N/A,FALSE,"GSECo Billing";"GSECo Details",#N/A,FALSE,"GSECo Billing"}</definedName>
    <definedName name="wrn.heco." localSheetId="14">{"hecosum",#N/A,FALSE,"88-89"}</definedName>
    <definedName name="wrn.heco.">{"hecosum",#N/A,FALSE,"88-89"}</definedName>
    <definedName name="wrn.HLP._.Detail." localSheetId="14">{"2002 - 2006 Detail Income Statement",#N/A,FALSE,"TUB Income Statement wo DW";"BGS Deferral",#N/A,FALSE,"BGS Deferral";"NNC Deferral",#N/A,FALSE,"NNC Deferral";"MTC Deferral",#N/A,FALSE,"MTC Deferral";#N/A,#N/A,FALSE,"Schedule D"}</definedName>
    <definedName name="wrn.HLP._.Detail.">{"2002 - 2006 Detail Income Statement",#N/A,FALSE,"TUB Income Statement wo DW";"BGS Deferral",#N/A,FALSE,"BGS Deferral";"NNC Deferral",#N/A,FALSE,"NNC Deferral";"MTC Deferral",#N/A,FALSE,"MTC Deferral";#N/A,#N/A,FALSE,"Schedule D"}</definedName>
    <definedName name="wrn.int" localSheetId="14">{#N/A,#N/A,FALSE,"schA"}</definedName>
    <definedName name="wrn.int">{#N/A,#N/A,FALSE,"schA"}</definedName>
    <definedName name="wrn.inventory." localSheetId="14">{"summary",#N/A,TRUE,"Coal Inventory Summary";"view 1",#N/A,TRUE,"Coal Inv. By Station";"view 2",#N/A,TRUE,"Coal inv by sta 2";"view 3",#N/A,TRUE,"Coal inv by sta 3";"oil",#N/A,TRUE,"Oil Purchases"}</definedName>
    <definedName name="wrn.inventory.">{"summary",#N/A,TRUE,"Coal Inventory Summary";"view 1",#N/A,TRUE,"Coal Inv. By Station";"view 2",#N/A,TRUE,"Coal inv by sta 2";"view 3",#N/A,TRUE,"Coal inv by sta 3";"oil",#N/A,TRUE,"Oil Purchases"}</definedName>
    <definedName name="wrn.ISO._.Report." localSheetId="14">{"ISO Details",#N/A,FALSE,"ISO_NE"}</definedName>
    <definedName name="wrn.ISO._.Report.">{"ISO Details",#N/A,FALSE,"ISO_NE"}</definedName>
    <definedName name="wrn.Jan._.2004." localSheetId="14">{"2004 Jan GGross Margin Act vs Act",#N/A,FALSE,"Jan";"2004 Jan GGross Margin Act vs Budget",#N/A,FALSE,"Jan";"2004 Jan Norm vs Norm",#N/A,FALSE,"Jan";"2004 Jan Act vs Act",#N/A,FALSE,"Jan";"2004 Jan Budget vs Normalized",#N/A,FALSE,"Jan";"2004 Jan Act vs Budget",#N/A,FALSE,"Jan";"2004 Jan Weather Norm",#N/A,FALSE,"Jan";"2004 Jan Varance Anal by component",#N/A,FALSE,"Jan";"2004 Jan Budget",#N/A,FALSE,"Jan";"2004 Jan Actual Margin Calc",#N/A,FALSE,"Jan";"2004 Jan Therms",#N/A,FALSE,"Jan"}</definedName>
    <definedName name="wrn.Jan._.2004.">{"2004 Jan GGross Margin Act vs Act",#N/A,FALSE,"Jan";"2004 Jan GGross Margin Act vs Budget",#N/A,FALSE,"Jan";"2004 Jan Norm vs Norm",#N/A,FALSE,"Jan";"2004 Jan Act vs Act",#N/A,FALSE,"Jan";"2004 Jan Budget vs Normalized",#N/A,FALSE,"Jan";"2004 Jan Act vs Budget",#N/A,FALSE,"Jan";"2004 Jan Weather Norm",#N/A,FALSE,"Jan";"2004 Jan Varance Anal by component",#N/A,FALSE,"Jan";"2004 Jan Budget",#N/A,FALSE,"Jan";"2004 Jan Actual Margin Calc",#N/A,FALSE,"Jan";"2004 Jan Therms",#N/A,FALSE,"Jan"}</definedName>
    <definedName name="wrn.Jan._.Package._.2003." localSheetId="14">{"Jan Gas Gross Margin Actual vs Budget",#N/A,FALSE,"Jan";"Jan Gas Gross Margin Actual vs Actual",#N/A,FALSE,"Jan";"Jan Actual margin calculation clean",#N/A,FALSE,"Jan";"Jan Variance Analysis by Component",#N/A,FALSE,"Jan";"Jan Variance Analysis by Component 2",#N/A,FALSE,"Jan";"Jan Budget vs Actual",#N/A,FALSE,"Jan";"Jan Budget vs Normalized",#N/A,FALSE,"Jan";"Jan Normalized vs Normalized",#N/A,FALSE,"Jan";"JAN Actual To Actual Margin Variance",#N/A,FALSE,"Jan";"JAN Weather Normalized Revenue Margin",#N/A,FALSE,"Jan";"JAN Budget Breakdown",#N/A,FALSE,"Jan";"YTD Gas Gross Margin Actual vs Budget",#N/A,FALSE,"YTD";"YTD Gas Gross Margin Actual vs Actual",#N/A,FALSE,"YTD";"YTD Actual Margin Calculaton",#N/A,FALSE,"YTD";"YTD Variance Analysis by Component",#N/A,FALSE,"YTD";"YTD Budget vs Actual Margin Variance",#N/A,FALSE,"YTD";"YTD Budget vs Normalized Margin Variance",#N/A,FALSE,"YTD";"YTD Normalized vs Normalized Margin Variance",#N/A,FALSE,"YTD"}</definedName>
    <definedName name="wrn.Jan._.Package._.2003.">{"Jan Gas Gross Margin Actual vs Budget",#N/A,FALSE,"Jan";"Jan Gas Gross Margin Actual vs Actual",#N/A,FALSE,"Jan";"Jan Actual margin calculation clean",#N/A,FALSE,"Jan";"Jan Variance Analysis by Component",#N/A,FALSE,"Jan";"Jan Variance Analysis by Component 2",#N/A,FALSE,"Jan";"Jan Budget vs Actual",#N/A,FALSE,"Jan";"Jan Budget vs Normalized",#N/A,FALSE,"Jan";"Jan Normalized vs Normalized",#N/A,FALSE,"Jan";"JAN Actual To Actual Margin Variance",#N/A,FALSE,"Jan";"JAN Weather Normalized Revenue Margin",#N/A,FALSE,"Jan";"JAN Budget Breakdown",#N/A,FALSE,"Jan";"YTD Gas Gross Margin Actual vs Budget",#N/A,FALSE,"YTD";"YTD Gas Gross Margin Actual vs Actual",#N/A,FALSE,"YTD";"YTD Actual Margin Calculaton",#N/A,FALSE,"YTD";"YTD Variance Analysis by Component",#N/A,FALSE,"YTD";"YTD Budget vs Actual Margin Variance",#N/A,FALSE,"YTD";"YTD Budget vs Normalized Margin Variance",#N/A,FALSE,"YTD";"YTD Normalized vs Normalized Margin Variance",#N/A,FALSE,"YTD"}</definedName>
    <definedName name="wrn.Japan_Capers_Ed._.Pub." localSheetId="14">{"Japan_Capers_Ed_Pub",#N/A,FALSE,"DI 2 YEAR MASTER SCHEDULE"}</definedName>
    <definedName name="wrn.Japan_Capers_Ed._.Pub.">{"Japan_Capers_Ed_Pub",#N/A,FALSE,"DI 2 YEAR MASTER SCHEDULE"}</definedName>
    <definedName name="wrn.JPW._.GR._.Report." localSheetId="14">{#N/A,#N/A,FALSE,"P1 Vs P2 Summary";#N/A,#N/A,FALSE,"99 Vs 00 Summary";#N/A,#N/A,FALSE,"EF Summary";#N/A,#N/A,FALSE,"HUST Summary";#N/A,#N/A,FALSE,"Hawk Summary";#N/A,#N/A,FALSE,"Fut Sys Summary";#N/A,#N/A,FALSE,"Nimrod Summary";#N/A,#N/A,FALSE,"Gripen Summary";#N/A,#N/A,FALSE,"Land &amp; Naval Summary";#N/A,#N/A,FALSE,"Others Summary"}</definedName>
    <definedName name="wrn.JPW._.GR._.Report.">{#N/A,#N/A,FALSE,"P1 Vs P2 Summary";#N/A,#N/A,FALSE,"99 Vs 00 Summary";#N/A,#N/A,FALSE,"EF Summary";#N/A,#N/A,FALSE,"HUST Summary";#N/A,#N/A,FALSE,"Hawk Summary";#N/A,#N/A,FALSE,"Fut Sys Summary";#N/A,#N/A,FALSE,"Nimrod Summary";#N/A,#N/A,FALSE,"Gripen Summary";#N/A,#N/A,FALSE,"Land &amp; Naval Summary";#N/A,#N/A,FALSE,"Others Summary"}</definedName>
    <definedName name="wrn.July._.2003." localSheetId="14">{"July Therms",#N/A,FALSE,"Jul";"July Normalized vs Normalized",#N/A,FALSE,"Jul";"July Act vs Actual Margin Var",#N/A,FALSE,"Jul";"July Budget vs Normalized",#N/A,FALSE,"Jul";"July Bud vs Act Marg Variance",#N/A,FALSE,"Jul";"July Weather Normalized Revenue",#N/A,FALSE,"Jul";"July Variance Analy part 2",#N/A,FALSE,"Jul";"July Var Analysis part 1",#N/A,FALSE,"Jul";"Jul Actual Margin Calc",#N/A,FALSE,"Jul"}</definedName>
    <definedName name="wrn.July._.2003.">{"July Therms",#N/A,FALSE,"Jul";"July Normalized vs Normalized",#N/A,FALSE,"Jul";"July Act vs Actual Margin Var",#N/A,FALSE,"Jul";"July Budget vs Normalized",#N/A,FALSE,"Jul";"July Bud vs Act Marg Variance",#N/A,FALSE,"Jul";"July Weather Normalized Revenue",#N/A,FALSE,"Jul";"July Variance Analy part 2",#N/A,FALSE,"Jul";"July Var Analysis part 1",#N/A,FALSE,"Jul";"Jul Actual Margin Calc",#N/A,FALSE,"Jul"}</definedName>
    <definedName name="wrn.June._.2003." localSheetId="14">{"June 03 Therm Comparison",#N/A,FALSE,"Jun";"June 03 Act vs Act Margin Var",#N/A,FALSE,"Jun";"June 03 Budget vs Norm Margin Var",#N/A,FALSE,"Jun";"June 03 Budget vs Act Margin Var",#N/A,FALSE,"Jun";"June 03 Weather Norm Rev Margin",#N/A,FALSE,"Jun";"June 03 Act Margin Calc",#N/A,FALSE,"Jun";"June 03 Budget Breakdown",#N/A,FALSE,"Jun";"June 03 Variance by comp p1",#N/A,FALSE,"Jun";"June 03 Var Analys by comp p2",#N/A,FALSE,"Jun";"June 03 Gas Gross Budg vs Act",#N/A,FALSE,"Jun";"June 03 Gas Gross Act vs Act",#N/A,FALSE,"Jun"}</definedName>
    <definedName name="wrn.June._.2003.">{"June 03 Therm Comparison",#N/A,FALSE,"Jun";"June 03 Act vs Act Margin Var",#N/A,FALSE,"Jun";"June 03 Budget vs Norm Margin Var",#N/A,FALSE,"Jun";"June 03 Budget vs Act Margin Var",#N/A,FALSE,"Jun";"June 03 Weather Norm Rev Margin",#N/A,FALSE,"Jun";"June 03 Act Margin Calc",#N/A,FALSE,"Jun";"June 03 Budget Breakdown",#N/A,FALSE,"Jun";"June 03 Variance by comp p1",#N/A,FALSE,"Jun";"June 03 Var Analys by comp p2",#N/A,FALSE,"Jun";"June 03 Gas Gross Budg vs Act",#N/A,FALSE,"Jun";"June 03 Gas Gross Act vs Act",#N/A,FALSE,"Jun"}</definedName>
    <definedName name="wrn.Jury." localSheetId="14">{#N/A,#N/A,FALSE,"Year";#N/A,#N/A,FALSE,"AC Fiscal Year";#N/A,#N/A,FALSE,"Hourly Rate By Activity";#N/A,#N/A,FALSE,"Hourly Rate By Custom Resource";#N/A,#N/A,FALSE,"Sensitivity Analysis";#N/A,#N/A,FALSE,"Overall Staffing Review"}</definedName>
    <definedName name="wrn.Jury.">{#N/A,#N/A,FALSE,"Year";#N/A,#N/A,FALSE,"AC Fiscal Year";#N/A,#N/A,FALSE,"Hourly Rate By Activity";#N/A,#N/A,FALSE,"Hourly Rate By Custom Resource";#N/A,#N/A,FALSE,"Sensitivity Analysis";#N/A,#N/A,FALSE,"Overall Staffing Review"}</definedName>
    <definedName name="wrn.Jury.New" localSheetId="14">{#N/A,#N/A,FALSE,"Year";#N/A,#N/A,FALSE,"AC Fiscal Year";#N/A,#N/A,FALSE,"Hourly Rate By Activity";#N/A,#N/A,FALSE,"Hourly Rate By Custom Resource";#N/A,#N/A,FALSE,"Sensitivity Analysis";#N/A,#N/A,FALSE,"Overall Staffing Review"}</definedName>
    <definedName name="wrn.Jury.New">{#N/A,#N/A,FALSE,"Year";#N/A,#N/A,FALSE,"AC Fiscal Year";#N/A,#N/A,FALSE,"Hourly Rate By Activity";#N/A,#N/A,FALSE,"Hourly Rate By Custom Resource";#N/A,#N/A,FALSE,"Sensitivity Analysis";#N/A,#N/A,FALSE,"Overall Staffing Review"}</definedName>
    <definedName name="wrn.LGE._.Effective._.Rate." localSheetId="14">{"LGE Effective Rate",#N/A,FALSE,"12-31-96 Book"}</definedName>
    <definedName name="wrn.LGE._.Effective._.Rate.">{"LGE Effective Rate",#N/A,FALSE,"12-31-96 Book"}</definedName>
    <definedName name="wrn.LGE._.Footnote." localSheetId="14">{"LGE Footnote",#N/A,FALSE,"LG&amp;E Foot"}</definedName>
    <definedName name="wrn.LGE._.Footnote.">{"LGE Footnote",#N/A,FALSE,"LG&amp;E Foot"}</definedName>
    <definedName name="wrn.LGE._.Provision." localSheetId="14">{"LGE Provision",#N/A,FALSE,"12-31-96 Book"}</definedName>
    <definedName name="wrn.LGE._.Provision.">{"LGE Provision",#N/A,FALSE,"12-31-96 Book"}</definedName>
    <definedName name="wrn.Load._.Ratio._.Report." localSheetId="14">{"Load Ratio",#N/A,FALSE,"Load Ratio"}</definedName>
    <definedName name="wrn.Load._.Ratio._.Report.">{"Load Ratio",#N/A,FALSE,"Load Ratio"}</definedName>
    <definedName name="wrn.March._.2003." localSheetId="14">{"MAR 03 Gas Gross Margin Actual vs Actual",#N/A,FALSE,"Mar";"MAR 03 Gas Gross Margin Actuals vs Budget",#N/A,FALSE,"Mar";"MAR 03 Normalized vs Normalized Margin Variance",#N/A,FALSE,"Mar";"MAR 03 Actual vs Actual Margin Variance",#N/A,FALSE,"Mar";"MAR 03 Budget vs Normalized Margin Variance",#N/A,FALSE,"Mar";"MAR 03 Budget vs Actual Margin",#N/A,FALSE,"Mar";"MAR 03 Weather Normalized Revenue Margin",#N/A,FALSE,"Mar";"MAR 03 Variance Analysis part 2 by component",#N/A,FALSE,"Mar";"MAR 03 Variance Analysis by Component",#N/A,FALSE,"Mar";"MAR 03 Actual Margin Calculation",#N/A,FALSE,"Mar";"MAR 03 Budget Breakdown",#N/A,FALSE,"Mar"}</definedName>
    <definedName name="wrn.March._.2003.">{"MAR 03 Gas Gross Margin Actual vs Actual",#N/A,FALSE,"Mar";"MAR 03 Gas Gross Margin Actuals vs Budget",#N/A,FALSE,"Mar";"MAR 03 Normalized vs Normalized Margin Variance",#N/A,FALSE,"Mar";"MAR 03 Actual vs Actual Margin Variance",#N/A,FALSE,"Mar";"MAR 03 Budget vs Normalized Margin Variance",#N/A,FALSE,"Mar";"MAR 03 Budget vs Actual Margin",#N/A,FALSE,"Mar";"MAR 03 Weather Normalized Revenue Margin",#N/A,FALSE,"Mar";"MAR 03 Variance Analysis part 2 by component",#N/A,FALSE,"Mar";"MAR 03 Variance Analysis by Component",#N/A,FALSE,"Mar";"MAR 03 Actual Margin Calculation",#N/A,FALSE,"Mar";"MAR 03 Budget Breakdown",#N/A,FALSE,"Mar"}</definedName>
    <definedName name="wrn.March._.collection._.report." localSheetId="14">{"Collection report",#N/A,FALSE,"March"}</definedName>
    <definedName name="wrn.March._.collection._.report.">{"Collection report",#N/A,FALSE,"March"}</definedName>
    <definedName name="wrn.March._.collection._.report._1" localSheetId="14">{"Collection report",#N/A,FALSE,"March"}</definedName>
    <definedName name="wrn.March._.collection._.report._1">{"Collection report",#N/A,FALSE,"March"}</definedName>
    <definedName name="wrn.March._.collection._.report._1_1" localSheetId="14">{"Collection report",#N/A,FALSE,"March"}</definedName>
    <definedName name="wrn.March._.collection._.report._1_1">{"Collection report",#N/A,FALSE,"March"}</definedName>
    <definedName name="wrn.March._.collection._.report._1_1_1" localSheetId="14">{"Collection report",#N/A,FALSE,"March"}</definedName>
    <definedName name="wrn.March._.collection._.report._1_1_1">{"Collection report",#N/A,FALSE,"March"}</definedName>
    <definedName name="wrn.March._.collection._.report._1_1_1_1" localSheetId="14">{"Collection report",#N/A,FALSE,"March"}</definedName>
    <definedName name="wrn.March._.collection._.report._1_1_1_1">{"Collection report",#N/A,FALSE,"March"}</definedName>
    <definedName name="wrn.March._.collection._.report._1_1_2" localSheetId="14">{"Collection report",#N/A,FALSE,"March"}</definedName>
    <definedName name="wrn.March._.collection._.report._1_1_2">{"Collection report",#N/A,FALSE,"March"}</definedName>
    <definedName name="wrn.March._.collection._.report._1_2" localSheetId="14">{"Collection report",#N/A,FALSE,"March"}</definedName>
    <definedName name="wrn.March._.collection._.report._1_2">{"Collection report",#N/A,FALSE,"March"}</definedName>
    <definedName name="wrn.March._.collection._.report._1_2_1" localSheetId="14">{"Collection report",#N/A,FALSE,"March"}</definedName>
    <definedName name="wrn.March._.collection._.report._1_2_1">{"Collection report",#N/A,FALSE,"March"}</definedName>
    <definedName name="wrn.March._.collection._.report._1_3" localSheetId="14">{"Collection report",#N/A,FALSE,"March"}</definedName>
    <definedName name="wrn.March._.collection._.report._1_3">{"Collection report",#N/A,FALSE,"March"}</definedName>
    <definedName name="wrn.March._.collection._.report._1_3_1" localSheetId="14">{"Collection report",#N/A,FALSE,"March"}</definedName>
    <definedName name="wrn.March._.collection._.report._1_3_1">{"Collection report",#N/A,FALSE,"March"}</definedName>
    <definedName name="wrn.March._.collection._.report._1_4" localSheetId="14">{"Collection report",#N/A,FALSE,"March"}</definedName>
    <definedName name="wrn.March._.collection._.report._1_4">{"Collection report",#N/A,FALSE,"March"}</definedName>
    <definedName name="wrn.March._.collection._.report._1_4_1" localSheetId="14">{"Collection report",#N/A,FALSE,"March"}</definedName>
    <definedName name="wrn.March._.collection._.report._1_4_1">{"Collection report",#N/A,FALSE,"March"}</definedName>
    <definedName name="wrn.March._.collection._.report._1_5" localSheetId="14">{"Collection report",#N/A,FALSE,"March"}</definedName>
    <definedName name="wrn.March._.collection._.report._1_5">{"Collection report",#N/A,FALSE,"March"}</definedName>
    <definedName name="wrn.March._.collection._.report._2" localSheetId="14">{"Collection report",#N/A,FALSE,"March"}</definedName>
    <definedName name="wrn.March._.collection._.report._2">{"Collection report",#N/A,FALSE,"March"}</definedName>
    <definedName name="wrn.March._.collection._.report._2_1" localSheetId="14">{"Collection report",#N/A,FALSE,"March"}</definedName>
    <definedName name="wrn.March._.collection._.report._2_1">{"Collection report",#N/A,FALSE,"March"}</definedName>
    <definedName name="wrn.March._.collection._.report._2_1_1" localSheetId="14">{"Collection report",#N/A,FALSE,"March"}</definedName>
    <definedName name="wrn.March._.collection._.report._2_1_1">{"Collection report",#N/A,FALSE,"March"}</definedName>
    <definedName name="wrn.March._.collection._.report._2_1_1_1" localSheetId="14">{"Collection report",#N/A,FALSE,"March"}</definedName>
    <definedName name="wrn.March._.collection._.report._2_1_1_1">{"Collection report",#N/A,FALSE,"March"}</definedName>
    <definedName name="wrn.March._.collection._.report._2_1_2" localSheetId="14">{"Collection report",#N/A,FALSE,"March"}</definedName>
    <definedName name="wrn.March._.collection._.report._2_1_2">{"Collection report",#N/A,FALSE,"March"}</definedName>
    <definedName name="wrn.March._.collection._.report._2_2" localSheetId="14">{"Collection report",#N/A,FALSE,"March"}</definedName>
    <definedName name="wrn.March._.collection._.report._2_2">{"Collection report",#N/A,FALSE,"March"}</definedName>
    <definedName name="wrn.March._.collection._.report._2_2_1" localSheetId="14">{"Collection report",#N/A,FALSE,"March"}</definedName>
    <definedName name="wrn.March._.collection._.report._2_2_1">{"Collection report",#N/A,FALSE,"March"}</definedName>
    <definedName name="wrn.March._.collection._.report._2_3" localSheetId="14">{"Collection report",#N/A,FALSE,"March"}</definedName>
    <definedName name="wrn.March._.collection._.report._2_3">{"Collection report",#N/A,FALSE,"March"}</definedName>
    <definedName name="wrn.March._.collection._.report._2_3_1" localSheetId="14">{"Collection report",#N/A,FALSE,"March"}</definedName>
    <definedName name="wrn.March._.collection._.report._2_3_1">{"Collection report",#N/A,FALSE,"March"}</definedName>
    <definedName name="wrn.March._.collection._.report._2_4" localSheetId="14">{"Collection report",#N/A,FALSE,"March"}</definedName>
    <definedName name="wrn.March._.collection._.report._2_4">{"Collection report",#N/A,FALSE,"March"}</definedName>
    <definedName name="wrn.March._.collection._.report._2_4_1" localSheetId="14">{"Collection report",#N/A,FALSE,"March"}</definedName>
    <definedName name="wrn.March._.collection._.report._2_4_1">{"Collection report",#N/A,FALSE,"March"}</definedName>
    <definedName name="wrn.March._.collection._.report._2_5" localSheetId="14">{"Collection report",#N/A,FALSE,"March"}</definedName>
    <definedName name="wrn.March._.collection._.report._2_5">{"Collection report",#N/A,FALSE,"March"}</definedName>
    <definedName name="wrn.March._.collection._.report._3" localSheetId="14">{"Collection report",#N/A,FALSE,"March"}</definedName>
    <definedName name="wrn.March._.collection._.report._3">{"Collection report",#N/A,FALSE,"March"}</definedName>
    <definedName name="wrn.March._.collection._.report._3_1" localSheetId="14">{"Collection report",#N/A,FALSE,"March"}</definedName>
    <definedName name="wrn.March._.collection._.report._3_1">{"Collection report",#N/A,FALSE,"March"}</definedName>
    <definedName name="wrn.March._.collection._.report._3_1_1" localSheetId="14">{"Collection report",#N/A,FALSE,"March"}</definedName>
    <definedName name="wrn.March._.collection._.report._3_1_1">{"Collection report",#N/A,FALSE,"March"}</definedName>
    <definedName name="wrn.March._.collection._.report._3_1_1_1" localSheetId="14">{"Collection report",#N/A,FALSE,"March"}</definedName>
    <definedName name="wrn.March._.collection._.report._3_1_1_1">{"Collection report",#N/A,FALSE,"March"}</definedName>
    <definedName name="wrn.March._.collection._.report._3_1_2" localSheetId="14">{"Collection report",#N/A,FALSE,"March"}</definedName>
    <definedName name="wrn.March._.collection._.report._3_1_2">{"Collection report",#N/A,FALSE,"March"}</definedName>
    <definedName name="wrn.March._.collection._.report._3_2" localSheetId="14">{"Collection report",#N/A,FALSE,"March"}</definedName>
    <definedName name="wrn.March._.collection._.report._3_2">{"Collection report",#N/A,FALSE,"March"}</definedName>
    <definedName name="wrn.March._.collection._.report._3_2_1" localSheetId="14">{"Collection report",#N/A,FALSE,"March"}</definedName>
    <definedName name="wrn.March._.collection._.report._3_2_1">{"Collection report",#N/A,FALSE,"March"}</definedName>
    <definedName name="wrn.March._.collection._.report._3_3" localSheetId="14">{"Collection report",#N/A,FALSE,"March"}</definedName>
    <definedName name="wrn.March._.collection._.report._3_3">{"Collection report",#N/A,FALSE,"March"}</definedName>
    <definedName name="wrn.March._.collection._.report._3_3_1" localSheetId="14">{"Collection report",#N/A,FALSE,"March"}</definedName>
    <definedName name="wrn.March._.collection._.report._3_3_1">{"Collection report",#N/A,FALSE,"March"}</definedName>
    <definedName name="wrn.March._.collection._.report._3_4" localSheetId="14">{"Collection report",#N/A,FALSE,"March"}</definedName>
    <definedName name="wrn.March._.collection._.report._3_4">{"Collection report",#N/A,FALSE,"March"}</definedName>
    <definedName name="wrn.March._.collection._.report._3_4_1" localSheetId="14">{"Collection report",#N/A,FALSE,"March"}</definedName>
    <definedName name="wrn.March._.collection._.report._3_4_1">{"Collection report",#N/A,FALSE,"March"}</definedName>
    <definedName name="wrn.March._.collection._.report._3_5" localSheetId="14">{"Collection report",#N/A,FALSE,"March"}</definedName>
    <definedName name="wrn.March._.collection._.report._3_5">{"Collection report",#N/A,FALSE,"March"}</definedName>
    <definedName name="wrn.March._.collection._.report._4" localSheetId="14">{"Collection report",#N/A,FALSE,"March"}</definedName>
    <definedName name="wrn.March._.collection._.report._4">{"Collection report",#N/A,FALSE,"March"}</definedName>
    <definedName name="wrn.March._.collection._.report._4_1" localSheetId="14">{"Collection report",#N/A,FALSE,"March"}</definedName>
    <definedName name="wrn.March._.collection._.report._4_1">{"Collection report",#N/A,FALSE,"March"}</definedName>
    <definedName name="wrn.March._.collection._.report._4_1_1" localSheetId="14">{"Collection report",#N/A,FALSE,"March"}</definedName>
    <definedName name="wrn.March._.collection._.report._4_1_1">{"Collection report",#N/A,FALSE,"March"}</definedName>
    <definedName name="wrn.March._.collection._.report._4_1_1_1" localSheetId="14">{"Collection report",#N/A,FALSE,"March"}</definedName>
    <definedName name="wrn.March._.collection._.report._4_1_1_1">{"Collection report",#N/A,FALSE,"March"}</definedName>
    <definedName name="wrn.March._.collection._.report._4_1_2" localSheetId="14">{"Collection report",#N/A,FALSE,"March"}</definedName>
    <definedName name="wrn.March._.collection._.report._4_1_2">{"Collection report",#N/A,FALSE,"March"}</definedName>
    <definedName name="wrn.March._.collection._.report._4_2" localSheetId="14">{"Collection report",#N/A,FALSE,"March"}</definedName>
    <definedName name="wrn.March._.collection._.report._4_2">{"Collection report",#N/A,FALSE,"March"}</definedName>
    <definedName name="wrn.March._.collection._.report._4_2_1" localSheetId="14">{"Collection report",#N/A,FALSE,"March"}</definedName>
    <definedName name="wrn.March._.collection._.report._4_2_1">{"Collection report",#N/A,FALSE,"March"}</definedName>
    <definedName name="wrn.March._.collection._.report._4_3" localSheetId="14">{"Collection report",#N/A,FALSE,"March"}</definedName>
    <definedName name="wrn.March._.collection._.report._4_3">{"Collection report",#N/A,FALSE,"March"}</definedName>
    <definedName name="wrn.March._.collection._.report._4_3_1" localSheetId="14">{"Collection report",#N/A,FALSE,"March"}</definedName>
    <definedName name="wrn.March._.collection._.report._4_3_1">{"Collection report",#N/A,FALSE,"March"}</definedName>
    <definedName name="wrn.March._.collection._.report._4_4" localSheetId="14">{"Collection report",#N/A,FALSE,"March"}</definedName>
    <definedName name="wrn.March._.collection._.report._4_4">{"Collection report",#N/A,FALSE,"March"}</definedName>
    <definedName name="wrn.March._.collection._.report._4_4_1" localSheetId="14">{"Collection report",#N/A,FALSE,"March"}</definedName>
    <definedName name="wrn.March._.collection._.report._4_4_1">{"Collection report",#N/A,FALSE,"March"}</definedName>
    <definedName name="wrn.March._.collection._.report._4_5" localSheetId="14">{"Collection report",#N/A,FALSE,"March"}</definedName>
    <definedName name="wrn.March._.collection._.report._4_5">{"Collection report",#N/A,FALSE,"March"}</definedName>
    <definedName name="wrn.March._.collection._.report._5" localSheetId="14">{"Collection report",#N/A,FALSE,"March"}</definedName>
    <definedName name="wrn.March._.collection._.report._5">{"Collection report",#N/A,FALSE,"March"}</definedName>
    <definedName name="wrn.March._.collection._.report._5_1" localSheetId="14">{"Collection report",#N/A,FALSE,"March"}</definedName>
    <definedName name="wrn.March._.collection._.report._5_1">{"Collection report",#N/A,FALSE,"March"}</definedName>
    <definedName name="wrn.March._.collection._.report._5_1_1" localSheetId="14">{"Collection report",#N/A,FALSE,"March"}</definedName>
    <definedName name="wrn.March._.collection._.report._5_1_1">{"Collection report",#N/A,FALSE,"March"}</definedName>
    <definedName name="wrn.March._.collection._.report._5_1_1_1" localSheetId="14">{"Collection report",#N/A,FALSE,"March"}</definedName>
    <definedName name="wrn.March._.collection._.report._5_1_1_1">{"Collection report",#N/A,FALSE,"March"}</definedName>
    <definedName name="wrn.March._.collection._.report._5_1_2" localSheetId="14">{"Collection report",#N/A,FALSE,"March"}</definedName>
    <definedName name="wrn.March._.collection._.report._5_1_2">{"Collection report",#N/A,FALSE,"March"}</definedName>
    <definedName name="wrn.March._.collection._.report._5_2" localSheetId="14">{"Collection report",#N/A,FALSE,"March"}</definedName>
    <definedName name="wrn.March._.collection._.report._5_2">{"Collection report",#N/A,FALSE,"March"}</definedName>
    <definedName name="wrn.March._.collection._.report._5_2_1" localSheetId="14">{"Collection report",#N/A,FALSE,"March"}</definedName>
    <definedName name="wrn.March._.collection._.report._5_2_1">{"Collection report",#N/A,FALSE,"March"}</definedName>
    <definedName name="wrn.March._.collection._.report._5_3" localSheetId="14">{"Collection report",#N/A,FALSE,"March"}</definedName>
    <definedName name="wrn.March._.collection._.report._5_3">{"Collection report",#N/A,FALSE,"March"}</definedName>
    <definedName name="wrn.March._.collection._.report._5_3_1" localSheetId="14">{"Collection report",#N/A,FALSE,"March"}</definedName>
    <definedName name="wrn.March._.collection._.report._5_3_1">{"Collection report",#N/A,FALSE,"March"}</definedName>
    <definedName name="wrn.March._.collection._.report._5_4" localSheetId="14">{"Collection report",#N/A,FALSE,"March"}</definedName>
    <definedName name="wrn.March._.collection._.report._5_4">{"Collection report",#N/A,FALSE,"March"}</definedName>
    <definedName name="wrn.March._.collection._.report._5_4_1" localSheetId="14">{"Collection report",#N/A,FALSE,"March"}</definedName>
    <definedName name="wrn.March._.collection._.report._5_4_1">{"Collection report",#N/A,FALSE,"March"}</definedName>
    <definedName name="wrn.March._.collection._.report._5_5" localSheetId="14">{"Collection report",#N/A,FALSE,"March"}</definedName>
    <definedName name="wrn.March._.collection._.report._5_5">{"Collection report",#N/A,FALSE,"March"}</definedName>
    <definedName name="wrn.March._.Package." localSheetId="14">{"MAR 03 Gas Gross Margin Actuals vs Budget",#N/A,FALSE,"Mar";"MAR 03 Gas Gross Margin Actual vs Actual",#N/A,FALSE,"Mar";"MAR 03 Actual Margin Calculation",#N/A,FALSE,"Mar";"MAR 03 Variance Analysis by Component",#N/A,FALSE,"Mar";"MAR 03 Variance Analysis part 2 by component",#N/A,FALSE,"Mar";"MAR 03 Budget vs Actual Margin",#N/A,FALSE,"Mar";"MAR 03 Budget vs Normalized Margin Variance",#N/A,FALSE,"Mar";"MAR 03 Normalized vs Normalized Margin Variance",#N/A,FALSE,"Mar";"MAR 03 Actual vs Actual Margin Variance",#N/A,FALSE,"Mar";"MAR 03 Weather Normalized Revenue Margin",#N/A,FALSE,"Mar";"MAR 03 Budget Breakdown",#N/A,FALSE,"Mar";"YTD Gas Gross Margin Actual vs Budget",#N/A,FALSE,"YTD";"YTD Gas Gross Margin Actual vs Actual",#N/A,FALSE,"YTD";"YTD Actual Margin Calculaton",#N/A,FALSE,"YTD";"YTD Variance Analysis by Component",#N/A,FALSE,"YTD";"YTD Budget vs Actual Margin Variance",#N/A,FALSE,"YTD";"YTD Budget vs Normalized Margin Variance",#N/A,FALSE,"YTD";"YTD Normalized vs Normalized Margin Variance",#N/A,FALSE,"YTD"}</definedName>
    <definedName name="wrn.March._.Package.">{"MAR 03 Gas Gross Margin Actuals vs Budget",#N/A,FALSE,"Mar";"MAR 03 Gas Gross Margin Actual vs Actual",#N/A,FALSE,"Mar";"MAR 03 Actual Margin Calculation",#N/A,FALSE,"Mar";"MAR 03 Variance Analysis by Component",#N/A,FALSE,"Mar";"MAR 03 Variance Analysis part 2 by component",#N/A,FALSE,"Mar";"MAR 03 Budget vs Actual Margin",#N/A,FALSE,"Mar";"MAR 03 Budget vs Normalized Margin Variance",#N/A,FALSE,"Mar";"MAR 03 Normalized vs Normalized Margin Variance",#N/A,FALSE,"Mar";"MAR 03 Actual vs Actual Margin Variance",#N/A,FALSE,"Mar";"MAR 03 Weather Normalized Revenue Margin",#N/A,FALSE,"Mar";"MAR 03 Budget Breakdown",#N/A,FALSE,"Mar";"YTD Gas Gross Margin Actual vs Budget",#N/A,FALSE,"YTD";"YTD Gas Gross Margin Actual vs Actual",#N/A,FALSE,"YTD";"YTD Actual Margin Calculaton",#N/A,FALSE,"YTD";"YTD Variance Analysis by Component",#N/A,FALSE,"YTD";"YTD Budget vs Actual Margin Variance",#N/A,FALSE,"YTD";"YTD Budget vs Normalized Margin Variance",#N/A,FALSE,"YTD";"YTD Normalized vs Normalized Margin Variance",#N/A,FALSE,"YTD"}</definedName>
    <definedName name="wrn.May._.2003." localSheetId="14">{"May Actual Margin Calculation",#N/A,FALSE,"May";"May Gas Gross Actual vs Budget",#N/A,FALSE,"May";"May Gas Gross Actual Actual",#N/A,FALSE,"May";"May Budget Breakdown",#N/A,FALSE,"May";"May Variance analysis by component",#N/A,FALSE,"May";"May Variance Analysis part 2",#N/A,FALSE,"May";"May WNA",#N/A,FALSE,"May";"May Budget vs Actual Variance",#N/A,FALSE,"May";"May Budget vs Normalized Variance",#N/A,FALSE,"May";"May Act vs Act Margin Variance",#N/A,FALSE,"May";"May Norm vs Norm Margin Variance",#N/A,FALSE,"May";"May Therms",#N/A,FALSE,"May"}</definedName>
    <definedName name="wrn.May._.2003.">{"May Actual Margin Calculation",#N/A,FALSE,"May";"May Gas Gross Actual vs Budget",#N/A,FALSE,"May";"May Gas Gross Actual Actual",#N/A,FALSE,"May";"May Budget Breakdown",#N/A,FALSE,"May";"May Variance analysis by component",#N/A,FALSE,"May";"May Variance Analysis part 2",#N/A,FALSE,"May";"May WNA",#N/A,FALSE,"May";"May Budget vs Actual Variance",#N/A,FALSE,"May";"May Budget vs Normalized Variance",#N/A,FALSE,"May";"May Act vs Act Margin Variance",#N/A,FALSE,"May";"May Norm vs Norm Margin Variance",#N/A,FALSE,"May";"May Therms",#N/A,FALSE,"May"}</definedName>
    <definedName name="wrn.MECo._.Detailed._.Report." localSheetId="14">{"MECo Summary",#N/A,FALSE,"MECo Billing";"MECO Details",#N/A,FALSE,"MECo Billing"}</definedName>
    <definedName name="wrn.MECo._.Detailed._.Report.">{"MECo Summary",#N/A,FALSE,"MECo Billing";"MECO Details",#N/A,FALSE,"MECo Billing"}</definedName>
    <definedName name="wrn.MISC." localSheetId="14">{"Apr Gas Gross Mar Act vs Budget",#N/A,FALSE,"Apr";"May Gas Gross Actual vs Budget",#N/A,FALSE,"May";"June 03 Gas Gross Budg vs Act",#N/A,FALSE,"Jun";"Jul Gas Gross Act vs Budget",#N/A,FALSE,"Jul";"Aug GG Act vs Budget",#N/A,FALSE,"Aug"}</definedName>
    <definedName name="wrn.MISC.">{"Apr Gas Gross Mar Act vs Budget",#N/A,FALSE,"Apr";"May Gas Gross Actual vs Budget",#N/A,FALSE,"May";"June 03 Gas Gross Budg vs Act",#N/A,FALSE,"Jun";"Jul Gas Gross Act vs Budget",#N/A,FALSE,"Jul";"Aug GG Act vs Budget",#N/A,FALSE,"Aug"}</definedName>
    <definedName name="wrn.Misc.._.Detailed._.Report." localSheetId="14">{"Misc. Summary",#N/A,FALSE,"Misc. Billing";"Misc. Details",#N/A,FALSE,"Misc. Billing"}</definedName>
    <definedName name="wrn.Misc.._.Detailed._.Report.">{"Misc. Summary",#N/A,FALSE,"Misc. Billing";"Misc. Details",#N/A,FALSE,"Misc. Billing"}</definedName>
    <definedName name="wrn.Muni._.Detailed._.Report." localSheetId="14">{"Muni Summary",#N/A,FALSE,"Muni's Billing";"Muni Details",#N/A,FALSE,"Muni's Billing"}</definedName>
    <definedName name="wrn.Muni._.Detailed._.Report.">{"Muni Summary",#N/A,FALSE,"Muni's Billing";"Muni Details",#N/A,FALSE,"Muni's Billing"}</definedName>
    <definedName name="wrn.NEP._.Station._.Service._.Tie._.Report." localSheetId="14">{"NEP Virtual",#N/A,FALSE,"NEP Virtual"}</definedName>
    <definedName name="wrn.NEP._.Station._.Service._.Tie._.Report.">{"NEP Virtual",#N/A,FALSE,"NEP Virtual"}</definedName>
    <definedName name="wrn.Nov._.2003." localSheetId="14">{"Nov Therms",#N/A,FALSE,"Nov";"Nov Varance analysis part 2",#N/A,FALSE,"Nov";"NOV 2002 Actuals vs Budget",#N/A,FALSE,"Nov";"Nov Budget Breakdown",#N/A,FALSE,"Nov";"NOV Budget vs Normalized Margin Variance",#N/A,FALSE,"Nov";"NOV Weather Normalized Revenue Margin",#N/A,FALSE,"Nov";"NOV Actual 2002 vs Actual 2001",#N/A,FALSE,"Nov";"Nov Actual Margin Calculation",#N/A,FALSE,"Nov";"NOV Variance analysis by component part 1",#N/A,FALSE,"Nov";"NOV Budget vs Actual Margin Variance",#N/A,FALSE,"Nov"}</definedName>
    <definedName name="wrn.Nov._.2003.">{"Nov Therms",#N/A,FALSE,"Nov";"Nov Varance analysis part 2",#N/A,FALSE,"Nov";"NOV 2002 Actuals vs Budget",#N/A,FALSE,"Nov";"Nov Budget Breakdown",#N/A,FALSE,"Nov";"NOV Budget vs Normalized Margin Variance",#N/A,FALSE,"Nov";"NOV Weather Normalized Revenue Margin",#N/A,FALSE,"Nov";"NOV Actual 2002 vs Actual 2001",#N/A,FALSE,"Nov";"Nov Actual Margin Calculation",#N/A,FALSE,"Nov";"NOV Variance analysis by component part 1",#N/A,FALSE,"Nov";"NOV Budget vs Actual Margin Variance",#N/A,FALSE,"Nov"}</definedName>
    <definedName name="wrn.NT_T._.Manpower._.by._.Department." localSheetId="14">{"NT&amp;T TSM",#N/A,FALSE,"Current_Data";"NT&amp;T TRA",#N/A,FALSE,"Current_Data";"NT&amp;T SOP",#N/A,FALSE,"Current_Data";"NT&amp;T REG",#N/A,FALSE,"Current_Data";"NT&amp;T FIN",#N/A,FALSE,"Current_Data";"NT&amp;T Dir",#N/A,FALSE,"Current_Data";"NT&amp;T Asset Strategy",#N/A,FALSE,"Current_Data";"NT&amp;T Asset",#N/A,FALSE,"Current_Data"}</definedName>
    <definedName name="wrn.NT_T._.Manpower._.by._.Department.">{"NT&amp;T TSM",#N/A,FALSE,"Current_Data";"NT&amp;T TRA",#N/A,FALSE,"Current_Data";"NT&amp;T SOP",#N/A,FALSE,"Current_Data";"NT&amp;T REG",#N/A,FALSE,"Current_Data";"NT&amp;T FIN",#N/A,FALSE,"Current_Data";"NT&amp;T Dir",#N/A,FALSE,"Current_Data";"NT&amp;T Asset Strategy",#N/A,FALSE,"Current_Data";"NT&amp;T Asset",#N/A,FALSE,"Current_Data"}</definedName>
    <definedName name="wrn.Oct._.2003." localSheetId="14">{"Oct Therms",#N/A,FALSE,"Oct";"Oct Act vs Act",#N/A,FALSE,"Oct";"Oct Act vs Budget",#N/A,FALSE,"Oct";"Oct WNA Revenue Margin",#N/A,FALSE,"Oct";"Oct Variance Analysis by Component",#N/A,FALSE,"Oct";"Oct Actual Margin Calc",#N/A,FALSE,"Oct";"Oct Var Analysis part 2",#N/A,FALSE,"Oct";"Oct Budget vs Actual Margin Varinance",#N/A,FALSE,"Oct";"Oct Budget vs Normalized Margin Variance",#N/A,FALSE,"Oct";"Oct Act vs Act Margin Variance",#N/A,FALSE,"Oct";"Oct Norm vs Norm Margin Variance",#N/A,FALSE,"Oct"}</definedName>
    <definedName name="wrn.Oct._.2003.">{"Oct Therms",#N/A,FALSE,"Oct";"Oct Act vs Act",#N/A,FALSE,"Oct";"Oct Act vs Budget",#N/A,FALSE,"Oct";"Oct WNA Revenue Margin",#N/A,FALSE,"Oct";"Oct Variance Analysis by Component",#N/A,FALSE,"Oct";"Oct Actual Margin Calc",#N/A,FALSE,"Oct";"Oct Var Analysis part 2",#N/A,FALSE,"Oct";"Oct Budget vs Actual Margin Varinance",#N/A,FALSE,"Oct";"Oct Budget vs Normalized Margin Variance",#N/A,FALSE,"Oct";"Oct Act vs Act Margin Variance",#N/A,FALSE,"Oct";"Oct Norm vs Norm Margin Variance",#N/A,FALSE,"Oct"}</definedName>
    <definedName name="wrn.OIT._.Sum._.Pages.Manual._.Input._.First." localSheetId="14">{#N/A,#N/A,FALSE,"OIT summ";#N/A,#N/A,FALSE,"otb summ-dental";#N/A,#N/A,FALSE,"otb summ-vision"}</definedName>
    <definedName name="wrn.OIT._.Sum._.Pages.Manual._.Input._.First.">{#N/A,#N/A,FALSE,"OIT summ";#N/A,#N/A,FALSE,"otb summ-dental";#N/A,#N/A,FALSE,"otb summ-vision"}</definedName>
    <definedName name="wrn.page1." localSheetId="14">{#N/A,#N/A,FALSE,"PVC97"}</definedName>
    <definedName name="wrn.page1.">{#N/A,#N/A,FALSE,"PVC97"}</definedName>
    <definedName name="wrn.Partial_Prnt." localSheetId="14">{#N/A,#N/A,FALSE,"Distribution";#N/A,#N/A,FALSE,"Transmission";#N/A,#N/A,FALSE,"KWH"}</definedName>
    <definedName name="wrn.Partial_Prnt.">{#N/A,#N/A,FALSE,"Distribution";#N/A,#N/A,FALSE,"Transmission";#N/A,#N/A,FALSE,"KWH"}</definedName>
    <definedName name="wrn.Peak._.Load._.Report." localSheetId="14">{"Peak Load Details",#N/A,FALSE,"Peak Load"}</definedName>
    <definedName name="wrn.Peak._.Load._.Report.">{"Peak Load Details",#N/A,FALSE,"Peak Load"}</definedName>
    <definedName name="wrn.PRINT._.ALL." localSheetId="14">{#N/A,#N/A,FALSE,"JV167";#N/A,#N/A,FALSE,"INPUT AREA"}</definedName>
    <definedName name="wrn.PRINT._.ALL.">{#N/A,#N/A,FALSE,"JV167";#N/A,#N/A,FALSE,"INPUT AREA"}</definedName>
    <definedName name="wrn.Print._.Proposed._.Details." localSheetId="14">{"Prop 9 Pri Sum",#N/A,FALSE,"SC9 Pri - Sum";"Prop 9 Pri Win",#N/A,FALSE,"SC9 Pri - Sum";"Prop 9 Sub Sum",#N/A,FALSE,"SC9 Pri - Sum";"Prop 9 Sub Win",#N/A,FALSE,"SC9 Pri - Sum";"Prop 9 Trans Sum",#N/A,FALSE,"SC9 Pri - Sum";"Prop 9 Trans Win",#N/A,FALSE,"SC9 Pri - Sum";"Prop 22 Pri Sum",#N/A,FALSE,"SC9 Pri - Sum";"Prop 22 Pri Win",#N/A,FALSE,"SC9 Pri - Sum";"Prop 22 Sub Sum",#N/A,FALSE,"SC9 Pri - Sum";"Prop 22 Sub Win",#N/A,FALSE,"SC9 Pri - Sum";"Prop 22 Trans Sum",#N/A,FALSE,"SC9 Pri - Sum";"Prop 22 Trans Win",#N/A,FALSE,"SC9 Pri - Sum"}</definedName>
    <definedName name="wrn.Print._.Proposed._.Details.">{"Prop 9 Pri Sum",#N/A,FALSE,"SC9 Pri - Sum";"Prop 9 Pri Win",#N/A,FALSE,"SC9 Pri - Sum";"Prop 9 Sub Sum",#N/A,FALSE,"SC9 Pri - Sum";"Prop 9 Sub Win",#N/A,FALSE,"SC9 Pri - Sum";"Prop 9 Trans Sum",#N/A,FALSE,"SC9 Pri - Sum";"Prop 9 Trans Win",#N/A,FALSE,"SC9 Pri - Sum";"Prop 22 Pri Sum",#N/A,FALSE,"SC9 Pri - Sum";"Prop 22 Pri Win",#N/A,FALSE,"SC9 Pri - Sum";"Prop 22 Sub Sum",#N/A,FALSE,"SC9 Pri - Sum";"Prop 22 Sub Win",#N/A,FALSE,"SC9 Pri - Sum";"Prop 22 Trans Sum",#N/A,FALSE,"SC9 Pri - Sum";"Prop 22 Trans Win",#N/A,FALSE,"SC9 Pri - Sum"}</definedName>
    <definedName name="wrn.Print._.Report." localSheetId="14">{#N/A,#N/A,FALSE,"COG Reco";#N/A,#N/A,FALSE,"Gas Cost Accrual Analysis";#N/A,#N/A,FALSE,"Analysis of Unbilled Adjustment"}</definedName>
    <definedName name="wrn.Print._.Report.">{#N/A,#N/A,FALSE,"COG Reco";#N/A,#N/A,FALSE,"Gas Cost Accrual Analysis";#N/A,#N/A,FALSE,"Analysis of Unbilled Adjustment"}</definedName>
    <definedName name="wrn.Print._.Report._1" localSheetId="14">{#N/A,#N/A,FALSE,"COG Reco";#N/A,#N/A,FALSE,"Gas Cost Accrual Analysis";#N/A,#N/A,FALSE,"Analysis of Unbilled Adjustment"}</definedName>
    <definedName name="wrn.Print._.Report._1">{#N/A,#N/A,FALSE,"COG Reco";#N/A,#N/A,FALSE,"Gas Cost Accrual Analysis";#N/A,#N/A,FALSE,"Analysis of Unbilled Adjustment"}</definedName>
    <definedName name="wrn.Print._.Report._1_2" localSheetId="14">{#N/A,#N/A,FALSE,"COG Reco";#N/A,#N/A,FALSE,"Gas Cost Accrual Analysis";#N/A,#N/A,FALSE,"Analysis of Unbilled Adjustment"}</definedName>
    <definedName name="wrn.Print._.Report._1_2">{#N/A,#N/A,FALSE,"COG Reco";#N/A,#N/A,FALSE,"Gas Cost Accrual Analysis";#N/A,#N/A,FALSE,"Analysis of Unbilled Adjustment"}</definedName>
    <definedName name="wrn.Print._.Report._1_2_1" localSheetId="14">{#N/A,#N/A,FALSE,"COG Reco";#N/A,#N/A,FALSE,"Gas Cost Accrual Analysis";#N/A,#N/A,FALSE,"Analysis of Unbilled Adjustment"}</definedName>
    <definedName name="wrn.Print._.Report._1_2_1">{#N/A,#N/A,FALSE,"COG Reco";#N/A,#N/A,FALSE,"Gas Cost Accrual Analysis";#N/A,#N/A,FALSE,"Analysis of Unbilled Adjustment"}</definedName>
    <definedName name="wrn.Print._.Report._2" localSheetId="14">{#N/A,#N/A,FALSE,"COG Reco";#N/A,#N/A,FALSE,"Gas Cost Accrual Analysis";#N/A,#N/A,FALSE,"Analysis of Unbilled Adjustment"}</definedName>
    <definedName name="wrn.Print._.Report._2">{#N/A,#N/A,FALSE,"COG Reco";#N/A,#N/A,FALSE,"Gas Cost Accrual Analysis";#N/A,#N/A,FALSE,"Analysis of Unbilled Adjustment"}</definedName>
    <definedName name="wrn.Print._.Report._2_1" localSheetId="14">{#N/A,#N/A,FALSE,"COG Reco";#N/A,#N/A,FALSE,"Gas Cost Accrual Analysis";#N/A,#N/A,FALSE,"Analysis of Unbilled Adjustment"}</definedName>
    <definedName name="wrn.Print._.Report._2_1">{#N/A,#N/A,FALSE,"COG Reco";#N/A,#N/A,FALSE,"Gas Cost Accrual Analysis";#N/A,#N/A,FALSE,"Analysis of Unbilled Adjustment"}</definedName>
    <definedName name="wrn.Print._.Report._2_1_1" localSheetId="14">{#N/A,#N/A,FALSE,"COG Reco";#N/A,#N/A,FALSE,"Gas Cost Accrual Analysis";#N/A,#N/A,FALSE,"Analysis of Unbilled Adjustment"}</definedName>
    <definedName name="wrn.Print._.Report._2_1_1">{#N/A,#N/A,FALSE,"COG Reco";#N/A,#N/A,FALSE,"Gas Cost Accrual Analysis";#N/A,#N/A,FALSE,"Analysis of Unbilled Adjustment"}</definedName>
    <definedName name="wrn.Print._.Report._2_1_1_1" localSheetId="14">{#N/A,#N/A,FALSE,"COG Reco";#N/A,#N/A,FALSE,"Gas Cost Accrual Analysis";#N/A,#N/A,FALSE,"Analysis of Unbilled Adjustment"}</definedName>
    <definedName name="wrn.Print._.Report._2_1_1_1">{#N/A,#N/A,FALSE,"COG Reco";#N/A,#N/A,FALSE,"Gas Cost Accrual Analysis";#N/A,#N/A,FALSE,"Analysis of Unbilled Adjustment"}</definedName>
    <definedName name="wrn.Print._.Report._2_1_2" localSheetId="14">{#N/A,#N/A,FALSE,"COG Reco";#N/A,#N/A,FALSE,"Gas Cost Accrual Analysis";#N/A,#N/A,FALSE,"Analysis of Unbilled Adjustment"}</definedName>
    <definedName name="wrn.Print._.Report._2_1_2">{#N/A,#N/A,FALSE,"COG Reco";#N/A,#N/A,FALSE,"Gas Cost Accrual Analysis";#N/A,#N/A,FALSE,"Analysis of Unbilled Adjustment"}</definedName>
    <definedName name="wrn.Print._.Report._2_2" localSheetId="14">{#N/A,#N/A,FALSE,"COG Reco";#N/A,#N/A,FALSE,"Gas Cost Accrual Analysis";#N/A,#N/A,FALSE,"Analysis of Unbilled Adjustment"}</definedName>
    <definedName name="wrn.Print._.Report._2_2">{#N/A,#N/A,FALSE,"COG Reco";#N/A,#N/A,FALSE,"Gas Cost Accrual Analysis";#N/A,#N/A,FALSE,"Analysis of Unbilled Adjustment"}</definedName>
    <definedName name="wrn.Print._.Report._2_2_1" localSheetId="14">{#N/A,#N/A,FALSE,"COG Reco";#N/A,#N/A,FALSE,"Gas Cost Accrual Analysis";#N/A,#N/A,FALSE,"Analysis of Unbilled Adjustment"}</definedName>
    <definedName name="wrn.Print._.Report._2_2_1">{#N/A,#N/A,FALSE,"COG Reco";#N/A,#N/A,FALSE,"Gas Cost Accrual Analysis";#N/A,#N/A,FALSE,"Analysis of Unbilled Adjustment"}</definedName>
    <definedName name="wrn.Print._.Report._2_3" localSheetId="14">{#N/A,#N/A,FALSE,"COG Reco";#N/A,#N/A,FALSE,"Gas Cost Accrual Analysis";#N/A,#N/A,FALSE,"Analysis of Unbilled Adjustment"}</definedName>
    <definedName name="wrn.Print._.Report._2_3">{#N/A,#N/A,FALSE,"COG Reco";#N/A,#N/A,FALSE,"Gas Cost Accrual Analysis";#N/A,#N/A,FALSE,"Analysis of Unbilled Adjustment"}</definedName>
    <definedName name="wrn.Print._.Report._2_3_1" localSheetId="14">{#N/A,#N/A,FALSE,"COG Reco";#N/A,#N/A,FALSE,"Gas Cost Accrual Analysis";#N/A,#N/A,FALSE,"Analysis of Unbilled Adjustment"}</definedName>
    <definedName name="wrn.Print._.Report._2_3_1">{#N/A,#N/A,FALSE,"COG Reco";#N/A,#N/A,FALSE,"Gas Cost Accrual Analysis";#N/A,#N/A,FALSE,"Analysis of Unbilled Adjustment"}</definedName>
    <definedName name="wrn.Print._.Report._2_4" localSheetId="14">{#N/A,#N/A,FALSE,"COG Reco";#N/A,#N/A,FALSE,"Gas Cost Accrual Analysis";#N/A,#N/A,FALSE,"Analysis of Unbilled Adjustment"}</definedName>
    <definedName name="wrn.Print._.Report._2_4">{#N/A,#N/A,FALSE,"COG Reco";#N/A,#N/A,FALSE,"Gas Cost Accrual Analysis";#N/A,#N/A,FALSE,"Analysis of Unbilled Adjustment"}</definedName>
    <definedName name="wrn.Print._.Report._2_4_1" localSheetId="14">{#N/A,#N/A,FALSE,"COG Reco";#N/A,#N/A,FALSE,"Gas Cost Accrual Analysis";#N/A,#N/A,FALSE,"Analysis of Unbilled Adjustment"}</definedName>
    <definedName name="wrn.Print._.Report._2_4_1">{#N/A,#N/A,FALSE,"COG Reco";#N/A,#N/A,FALSE,"Gas Cost Accrual Analysis";#N/A,#N/A,FALSE,"Analysis of Unbilled Adjustment"}</definedName>
    <definedName name="wrn.Print._.Report._2_5" localSheetId="14">{#N/A,#N/A,FALSE,"COG Reco";#N/A,#N/A,FALSE,"Gas Cost Accrual Analysis";#N/A,#N/A,FALSE,"Analysis of Unbilled Adjustment"}</definedName>
    <definedName name="wrn.Print._.Report._2_5">{#N/A,#N/A,FALSE,"COG Reco";#N/A,#N/A,FALSE,"Gas Cost Accrual Analysis";#N/A,#N/A,FALSE,"Analysis of Unbilled Adjustment"}</definedName>
    <definedName name="wrn.Print._.Report._3" localSheetId="14">{#N/A,#N/A,FALSE,"COG Reco";#N/A,#N/A,FALSE,"Gas Cost Accrual Analysis";#N/A,#N/A,FALSE,"Analysis of Unbilled Adjustment"}</definedName>
    <definedName name="wrn.Print._.Report._3">{#N/A,#N/A,FALSE,"COG Reco";#N/A,#N/A,FALSE,"Gas Cost Accrual Analysis";#N/A,#N/A,FALSE,"Analysis of Unbilled Adjustment"}</definedName>
    <definedName name="wrn.Print._.Report._3_1" localSheetId="14">{#N/A,#N/A,FALSE,"COG Reco";#N/A,#N/A,FALSE,"Gas Cost Accrual Analysis";#N/A,#N/A,FALSE,"Analysis of Unbilled Adjustment"}</definedName>
    <definedName name="wrn.Print._.Report._3_1">{#N/A,#N/A,FALSE,"COG Reco";#N/A,#N/A,FALSE,"Gas Cost Accrual Analysis";#N/A,#N/A,FALSE,"Analysis of Unbilled Adjustment"}</definedName>
    <definedName name="wrn.Print._.Report._3_1_1" localSheetId="14">{#N/A,#N/A,FALSE,"COG Reco";#N/A,#N/A,FALSE,"Gas Cost Accrual Analysis";#N/A,#N/A,FALSE,"Analysis of Unbilled Adjustment"}</definedName>
    <definedName name="wrn.Print._.Report._3_1_1">{#N/A,#N/A,FALSE,"COG Reco";#N/A,#N/A,FALSE,"Gas Cost Accrual Analysis";#N/A,#N/A,FALSE,"Analysis of Unbilled Adjustment"}</definedName>
    <definedName name="wrn.Print._.Report._3_1_1_1" localSheetId="14">{#N/A,#N/A,FALSE,"COG Reco";#N/A,#N/A,FALSE,"Gas Cost Accrual Analysis";#N/A,#N/A,FALSE,"Analysis of Unbilled Adjustment"}</definedName>
    <definedName name="wrn.Print._.Report._3_1_1_1">{#N/A,#N/A,FALSE,"COG Reco";#N/A,#N/A,FALSE,"Gas Cost Accrual Analysis";#N/A,#N/A,FALSE,"Analysis of Unbilled Adjustment"}</definedName>
    <definedName name="wrn.Print._.Report._3_1_2" localSheetId="14">{#N/A,#N/A,FALSE,"COG Reco";#N/A,#N/A,FALSE,"Gas Cost Accrual Analysis";#N/A,#N/A,FALSE,"Analysis of Unbilled Adjustment"}</definedName>
    <definedName name="wrn.Print._.Report._3_1_2">{#N/A,#N/A,FALSE,"COG Reco";#N/A,#N/A,FALSE,"Gas Cost Accrual Analysis";#N/A,#N/A,FALSE,"Analysis of Unbilled Adjustment"}</definedName>
    <definedName name="wrn.Print._.Report._3_2" localSheetId="14">{#N/A,#N/A,FALSE,"COG Reco";#N/A,#N/A,FALSE,"Gas Cost Accrual Analysis";#N/A,#N/A,FALSE,"Analysis of Unbilled Adjustment"}</definedName>
    <definedName name="wrn.Print._.Report._3_2">{#N/A,#N/A,FALSE,"COG Reco";#N/A,#N/A,FALSE,"Gas Cost Accrual Analysis";#N/A,#N/A,FALSE,"Analysis of Unbilled Adjustment"}</definedName>
    <definedName name="wrn.Print._.Report._3_2_1" localSheetId="14">{#N/A,#N/A,FALSE,"COG Reco";#N/A,#N/A,FALSE,"Gas Cost Accrual Analysis";#N/A,#N/A,FALSE,"Analysis of Unbilled Adjustment"}</definedName>
    <definedName name="wrn.Print._.Report._3_2_1">{#N/A,#N/A,FALSE,"COG Reco";#N/A,#N/A,FALSE,"Gas Cost Accrual Analysis";#N/A,#N/A,FALSE,"Analysis of Unbilled Adjustment"}</definedName>
    <definedName name="wrn.Print._.Report._3_3" localSheetId="14">{#N/A,#N/A,FALSE,"COG Reco";#N/A,#N/A,FALSE,"Gas Cost Accrual Analysis";#N/A,#N/A,FALSE,"Analysis of Unbilled Adjustment"}</definedName>
    <definedName name="wrn.Print._.Report._3_3">{#N/A,#N/A,FALSE,"COG Reco";#N/A,#N/A,FALSE,"Gas Cost Accrual Analysis";#N/A,#N/A,FALSE,"Analysis of Unbilled Adjustment"}</definedName>
    <definedName name="wrn.Print._.Report._3_3_1" localSheetId="14">{#N/A,#N/A,FALSE,"COG Reco";#N/A,#N/A,FALSE,"Gas Cost Accrual Analysis";#N/A,#N/A,FALSE,"Analysis of Unbilled Adjustment"}</definedName>
    <definedName name="wrn.Print._.Report._3_3_1">{#N/A,#N/A,FALSE,"COG Reco";#N/A,#N/A,FALSE,"Gas Cost Accrual Analysis";#N/A,#N/A,FALSE,"Analysis of Unbilled Adjustment"}</definedName>
    <definedName name="wrn.Print._.Report._3_4" localSheetId="14">{#N/A,#N/A,FALSE,"COG Reco";#N/A,#N/A,FALSE,"Gas Cost Accrual Analysis";#N/A,#N/A,FALSE,"Analysis of Unbilled Adjustment"}</definedName>
    <definedName name="wrn.Print._.Report._3_4">{#N/A,#N/A,FALSE,"COG Reco";#N/A,#N/A,FALSE,"Gas Cost Accrual Analysis";#N/A,#N/A,FALSE,"Analysis of Unbilled Adjustment"}</definedName>
    <definedName name="wrn.Print._.Report._3_4_1" localSheetId="14">{#N/A,#N/A,FALSE,"COG Reco";#N/A,#N/A,FALSE,"Gas Cost Accrual Analysis";#N/A,#N/A,FALSE,"Analysis of Unbilled Adjustment"}</definedName>
    <definedName name="wrn.Print._.Report._3_4_1">{#N/A,#N/A,FALSE,"COG Reco";#N/A,#N/A,FALSE,"Gas Cost Accrual Analysis";#N/A,#N/A,FALSE,"Analysis of Unbilled Adjustment"}</definedName>
    <definedName name="wrn.Print._.Report._3_5" localSheetId="14">{#N/A,#N/A,FALSE,"COG Reco";#N/A,#N/A,FALSE,"Gas Cost Accrual Analysis";#N/A,#N/A,FALSE,"Analysis of Unbilled Adjustment"}</definedName>
    <definedName name="wrn.Print._.Report._3_5">{#N/A,#N/A,FALSE,"COG Reco";#N/A,#N/A,FALSE,"Gas Cost Accrual Analysis";#N/A,#N/A,FALSE,"Analysis of Unbilled Adjustment"}</definedName>
    <definedName name="wrn.Print._.Report._4" localSheetId="14">{#N/A,#N/A,FALSE,"COG Reco";#N/A,#N/A,FALSE,"Gas Cost Accrual Analysis";#N/A,#N/A,FALSE,"Analysis of Unbilled Adjustment"}</definedName>
    <definedName name="wrn.Print._.Report._4">{#N/A,#N/A,FALSE,"COG Reco";#N/A,#N/A,FALSE,"Gas Cost Accrual Analysis";#N/A,#N/A,FALSE,"Analysis of Unbilled Adjustment"}</definedName>
    <definedName name="wrn.Print._.Report._4_1" localSheetId="14">{#N/A,#N/A,FALSE,"COG Reco";#N/A,#N/A,FALSE,"Gas Cost Accrual Analysis";#N/A,#N/A,FALSE,"Analysis of Unbilled Adjustment"}</definedName>
    <definedName name="wrn.Print._.Report._4_1">{#N/A,#N/A,FALSE,"COG Reco";#N/A,#N/A,FALSE,"Gas Cost Accrual Analysis";#N/A,#N/A,FALSE,"Analysis of Unbilled Adjustment"}</definedName>
    <definedName name="wrn.Print._.Report._4_1_1" localSheetId="14">{#N/A,#N/A,FALSE,"COG Reco";#N/A,#N/A,FALSE,"Gas Cost Accrual Analysis";#N/A,#N/A,FALSE,"Analysis of Unbilled Adjustment"}</definedName>
    <definedName name="wrn.Print._.Report._4_1_1">{#N/A,#N/A,FALSE,"COG Reco";#N/A,#N/A,FALSE,"Gas Cost Accrual Analysis";#N/A,#N/A,FALSE,"Analysis of Unbilled Adjustment"}</definedName>
    <definedName name="wrn.Print._.Report._4_1_1_1" localSheetId="14">{#N/A,#N/A,FALSE,"COG Reco";#N/A,#N/A,FALSE,"Gas Cost Accrual Analysis";#N/A,#N/A,FALSE,"Analysis of Unbilled Adjustment"}</definedName>
    <definedName name="wrn.Print._.Report._4_1_1_1">{#N/A,#N/A,FALSE,"COG Reco";#N/A,#N/A,FALSE,"Gas Cost Accrual Analysis";#N/A,#N/A,FALSE,"Analysis of Unbilled Adjustment"}</definedName>
    <definedName name="wrn.Print._.Report._4_1_2" localSheetId="14">{#N/A,#N/A,FALSE,"COG Reco";#N/A,#N/A,FALSE,"Gas Cost Accrual Analysis";#N/A,#N/A,FALSE,"Analysis of Unbilled Adjustment"}</definedName>
    <definedName name="wrn.Print._.Report._4_1_2">{#N/A,#N/A,FALSE,"COG Reco";#N/A,#N/A,FALSE,"Gas Cost Accrual Analysis";#N/A,#N/A,FALSE,"Analysis of Unbilled Adjustment"}</definedName>
    <definedName name="wrn.Print._.Report._4_2" localSheetId="14">{#N/A,#N/A,FALSE,"COG Reco";#N/A,#N/A,FALSE,"Gas Cost Accrual Analysis";#N/A,#N/A,FALSE,"Analysis of Unbilled Adjustment"}</definedName>
    <definedName name="wrn.Print._.Report._4_2">{#N/A,#N/A,FALSE,"COG Reco";#N/A,#N/A,FALSE,"Gas Cost Accrual Analysis";#N/A,#N/A,FALSE,"Analysis of Unbilled Adjustment"}</definedName>
    <definedName name="wrn.Print._.Report._4_2_1" localSheetId="14">{#N/A,#N/A,FALSE,"COG Reco";#N/A,#N/A,FALSE,"Gas Cost Accrual Analysis";#N/A,#N/A,FALSE,"Analysis of Unbilled Adjustment"}</definedName>
    <definedName name="wrn.Print._.Report._4_2_1">{#N/A,#N/A,FALSE,"COG Reco";#N/A,#N/A,FALSE,"Gas Cost Accrual Analysis";#N/A,#N/A,FALSE,"Analysis of Unbilled Adjustment"}</definedName>
    <definedName name="wrn.Print._.Report._4_3" localSheetId="14">{#N/A,#N/A,FALSE,"COG Reco";#N/A,#N/A,FALSE,"Gas Cost Accrual Analysis";#N/A,#N/A,FALSE,"Analysis of Unbilled Adjustment"}</definedName>
    <definedName name="wrn.Print._.Report._4_3">{#N/A,#N/A,FALSE,"COG Reco";#N/A,#N/A,FALSE,"Gas Cost Accrual Analysis";#N/A,#N/A,FALSE,"Analysis of Unbilled Adjustment"}</definedName>
    <definedName name="wrn.Print._.Report._4_3_1" localSheetId="14">{#N/A,#N/A,FALSE,"COG Reco";#N/A,#N/A,FALSE,"Gas Cost Accrual Analysis";#N/A,#N/A,FALSE,"Analysis of Unbilled Adjustment"}</definedName>
    <definedName name="wrn.Print._.Report._4_3_1">{#N/A,#N/A,FALSE,"COG Reco";#N/A,#N/A,FALSE,"Gas Cost Accrual Analysis";#N/A,#N/A,FALSE,"Analysis of Unbilled Adjustment"}</definedName>
    <definedName name="wrn.Print._.Report._4_4" localSheetId="14">{#N/A,#N/A,FALSE,"COG Reco";#N/A,#N/A,FALSE,"Gas Cost Accrual Analysis";#N/A,#N/A,FALSE,"Analysis of Unbilled Adjustment"}</definedName>
    <definedName name="wrn.Print._.Report._4_4">{#N/A,#N/A,FALSE,"COG Reco";#N/A,#N/A,FALSE,"Gas Cost Accrual Analysis";#N/A,#N/A,FALSE,"Analysis of Unbilled Adjustment"}</definedName>
    <definedName name="wrn.Print._.Report._4_4_1" localSheetId="14">{#N/A,#N/A,FALSE,"COG Reco";#N/A,#N/A,FALSE,"Gas Cost Accrual Analysis";#N/A,#N/A,FALSE,"Analysis of Unbilled Adjustment"}</definedName>
    <definedName name="wrn.Print._.Report._4_4_1">{#N/A,#N/A,FALSE,"COG Reco";#N/A,#N/A,FALSE,"Gas Cost Accrual Analysis";#N/A,#N/A,FALSE,"Analysis of Unbilled Adjustment"}</definedName>
    <definedName name="wrn.Print._.Report._4_5" localSheetId="14">{#N/A,#N/A,FALSE,"COG Reco";#N/A,#N/A,FALSE,"Gas Cost Accrual Analysis";#N/A,#N/A,FALSE,"Analysis of Unbilled Adjustment"}</definedName>
    <definedName name="wrn.Print._.Report._4_5">{#N/A,#N/A,FALSE,"COG Reco";#N/A,#N/A,FALSE,"Gas Cost Accrual Analysis";#N/A,#N/A,FALSE,"Analysis of Unbilled Adjustment"}</definedName>
    <definedName name="wrn.Print._.Report._5" localSheetId="14">{#N/A,#N/A,FALSE,"COG Reco";#N/A,#N/A,FALSE,"Gas Cost Accrual Analysis";#N/A,#N/A,FALSE,"Analysis of Unbilled Adjustment"}</definedName>
    <definedName name="wrn.Print._.Report._5">{#N/A,#N/A,FALSE,"COG Reco";#N/A,#N/A,FALSE,"Gas Cost Accrual Analysis";#N/A,#N/A,FALSE,"Analysis of Unbilled Adjustment"}</definedName>
    <definedName name="wrn.Print._.Report._5_1" localSheetId="14">{#N/A,#N/A,FALSE,"COG Reco";#N/A,#N/A,FALSE,"Gas Cost Accrual Analysis";#N/A,#N/A,FALSE,"Analysis of Unbilled Adjustment"}</definedName>
    <definedName name="wrn.Print._.Report._5_1">{#N/A,#N/A,FALSE,"COG Reco";#N/A,#N/A,FALSE,"Gas Cost Accrual Analysis";#N/A,#N/A,FALSE,"Analysis of Unbilled Adjustment"}</definedName>
    <definedName name="wrn.Print._.Report._5_1_1" localSheetId="14">{#N/A,#N/A,FALSE,"COG Reco";#N/A,#N/A,FALSE,"Gas Cost Accrual Analysis";#N/A,#N/A,FALSE,"Analysis of Unbilled Adjustment"}</definedName>
    <definedName name="wrn.Print._.Report._5_1_1">{#N/A,#N/A,FALSE,"COG Reco";#N/A,#N/A,FALSE,"Gas Cost Accrual Analysis";#N/A,#N/A,FALSE,"Analysis of Unbilled Adjustment"}</definedName>
    <definedName name="wrn.Print._.Report._5_1_1_1" localSheetId="14">{#N/A,#N/A,FALSE,"COG Reco";#N/A,#N/A,FALSE,"Gas Cost Accrual Analysis";#N/A,#N/A,FALSE,"Analysis of Unbilled Adjustment"}</definedName>
    <definedName name="wrn.Print._.Report._5_1_1_1">{#N/A,#N/A,FALSE,"COG Reco";#N/A,#N/A,FALSE,"Gas Cost Accrual Analysis";#N/A,#N/A,FALSE,"Analysis of Unbilled Adjustment"}</definedName>
    <definedName name="wrn.Print._.Report._5_1_2" localSheetId="14">{#N/A,#N/A,FALSE,"COG Reco";#N/A,#N/A,FALSE,"Gas Cost Accrual Analysis";#N/A,#N/A,FALSE,"Analysis of Unbilled Adjustment"}</definedName>
    <definedName name="wrn.Print._.Report._5_1_2">{#N/A,#N/A,FALSE,"COG Reco";#N/A,#N/A,FALSE,"Gas Cost Accrual Analysis";#N/A,#N/A,FALSE,"Analysis of Unbilled Adjustment"}</definedName>
    <definedName name="wrn.Print._.Report._5_2" localSheetId="14">{#N/A,#N/A,FALSE,"COG Reco";#N/A,#N/A,FALSE,"Gas Cost Accrual Analysis";#N/A,#N/A,FALSE,"Analysis of Unbilled Adjustment"}</definedName>
    <definedName name="wrn.Print._.Report._5_2">{#N/A,#N/A,FALSE,"COG Reco";#N/A,#N/A,FALSE,"Gas Cost Accrual Analysis";#N/A,#N/A,FALSE,"Analysis of Unbilled Adjustment"}</definedName>
    <definedName name="wrn.Print._.Report._5_2_1" localSheetId="14">{#N/A,#N/A,FALSE,"COG Reco";#N/A,#N/A,FALSE,"Gas Cost Accrual Analysis";#N/A,#N/A,FALSE,"Analysis of Unbilled Adjustment"}</definedName>
    <definedName name="wrn.Print._.Report._5_2_1">{#N/A,#N/A,FALSE,"COG Reco";#N/A,#N/A,FALSE,"Gas Cost Accrual Analysis";#N/A,#N/A,FALSE,"Analysis of Unbilled Adjustment"}</definedName>
    <definedName name="wrn.Print._.Report._5_3" localSheetId="14">{#N/A,#N/A,FALSE,"COG Reco";#N/A,#N/A,FALSE,"Gas Cost Accrual Analysis";#N/A,#N/A,FALSE,"Analysis of Unbilled Adjustment"}</definedName>
    <definedName name="wrn.Print._.Report._5_3">{#N/A,#N/A,FALSE,"COG Reco";#N/A,#N/A,FALSE,"Gas Cost Accrual Analysis";#N/A,#N/A,FALSE,"Analysis of Unbilled Adjustment"}</definedName>
    <definedName name="wrn.Print._.Report._5_3_1" localSheetId="14">{#N/A,#N/A,FALSE,"COG Reco";#N/A,#N/A,FALSE,"Gas Cost Accrual Analysis";#N/A,#N/A,FALSE,"Analysis of Unbilled Adjustment"}</definedName>
    <definedName name="wrn.Print._.Report._5_3_1">{#N/A,#N/A,FALSE,"COG Reco";#N/A,#N/A,FALSE,"Gas Cost Accrual Analysis";#N/A,#N/A,FALSE,"Analysis of Unbilled Adjustment"}</definedName>
    <definedName name="wrn.Print._.Report._5_4" localSheetId="14">{#N/A,#N/A,FALSE,"COG Reco";#N/A,#N/A,FALSE,"Gas Cost Accrual Analysis";#N/A,#N/A,FALSE,"Analysis of Unbilled Adjustment"}</definedName>
    <definedName name="wrn.Print._.Report._5_4">{#N/A,#N/A,FALSE,"COG Reco";#N/A,#N/A,FALSE,"Gas Cost Accrual Analysis";#N/A,#N/A,FALSE,"Analysis of Unbilled Adjustment"}</definedName>
    <definedName name="wrn.Print._.Report._5_4_1" localSheetId="14">{#N/A,#N/A,FALSE,"COG Reco";#N/A,#N/A,FALSE,"Gas Cost Accrual Analysis";#N/A,#N/A,FALSE,"Analysis of Unbilled Adjustment"}</definedName>
    <definedName name="wrn.Print._.Report._5_4_1">{#N/A,#N/A,FALSE,"COG Reco";#N/A,#N/A,FALSE,"Gas Cost Accrual Analysis";#N/A,#N/A,FALSE,"Analysis of Unbilled Adjustment"}</definedName>
    <definedName name="wrn.Print._.Report._5_5" localSheetId="14">{#N/A,#N/A,FALSE,"COG Reco";#N/A,#N/A,FALSE,"Gas Cost Accrual Analysis";#N/A,#N/A,FALSE,"Analysis of Unbilled Adjustment"}</definedName>
    <definedName name="wrn.Print._.Report._5_5">{#N/A,#N/A,FALSE,"COG Reco";#N/A,#N/A,FALSE,"Gas Cost Accrual Analysis";#N/A,#N/A,FALSE,"Analysis of Unbilled Adjustment"}</definedName>
    <definedName name="wrn.print1." localSheetId="14">{"assumption1",#N/A,FALSE,"Assumptions";"assumption2",#N/A,FALSE,"Assumptions";"assumption3",#N/A,FALSE,"Assumptions";"prod",#N/A,FALSE,"Financials";"prod2",#N/A,FALSE,"Financials";"pnl",#N/A,FALSE,"Financials";"pnl2",#N/A,FALSE,"Financials";"cash",#N/A,FALSE,"Financials";"cash2",#N/A,FALSE,"Financials"}</definedName>
    <definedName name="wrn.print1.">{"assumption1",#N/A,FALSE,"Assumptions";"assumption2",#N/A,FALSE,"Assumptions";"assumption3",#N/A,FALSE,"Assumptions";"prod",#N/A,FALSE,"Financials";"prod2",#N/A,FALSE,"Financials";"pnl",#N/A,FALSE,"Financials";"pnl2",#N/A,FALSE,"Financials";"cash",#N/A,FALSE,"Financials";"cash2",#N/A,FALSE,"Financials"}</definedName>
    <definedName name="wrn.PrintAll." localSheetId="14">{#N/A,#N/A,FALSE,"Monthly SAIFI";#N/A,#N/A,FALSE,"Yearly SAIFI";#N/A,#N/A,FALSE,"Monthly CAIDI";#N/A,#N/A,FALSE,"Yearly CAIDI";#N/A,#N/A,FALSE,"Monthly SAIDI";#N/A,#N/A,FALSE,"Yearly SAIDI";#N/A,#N/A,FALSE,"Monthly MAIFI";#N/A,#N/A,FALSE,"Yearly MAIFI";#N/A,#N/A,FALSE,"Monthly Cust &gt;=4 Int"}</definedName>
    <definedName name="wrn.PrintAll.">{#N/A,#N/A,FALSE,"Monthly SAIFI";#N/A,#N/A,FALSE,"Yearly SAIFI";#N/A,#N/A,FALSE,"Monthly CAIDI";#N/A,#N/A,FALSE,"Yearly CAIDI";#N/A,#N/A,FALSE,"Monthly SAIDI";#N/A,#N/A,FALSE,"Yearly SAIDI";#N/A,#N/A,FALSE,"Monthly MAIFI";#N/A,#N/A,FALSE,"Yearly MAIFI";#N/A,#N/A,FALSE,"Monthly Cust &gt;=4 Int"}</definedName>
    <definedName name="wrn.PrintWorkbook." localSheetId="14">{"Index",#N/A,FALSE,"Index"}</definedName>
    <definedName name="wrn.PrintWorkbook.">{"Index",#N/A,FALSE,"Index"}</definedName>
    <definedName name="wrn.Priority._.list." localSheetId="14">{#N/A,#N/A,FALSE,"DI 2 YEAR MASTER SCHEDULE"}</definedName>
    <definedName name="wrn.Priority._.list.">{#N/A,#N/A,FALSE,"DI 2 YEAR MASTER SCHEDULE"}</definedName>
    <definedName name="wrn.Prjcted._.Mnthly._.Qtys." localSheetId="14">{#N/A,#N/A,FALSE,"PRJCTED MNTHLY QTY's"}</definedName>
    <definedName name="wrn.Prjcted._.Mnthly._.Qtys.">{#N/A,#N/A,FALSE,"PRJCTED MNTHLY QTY's"}</definedName>
    <definedName name="wrn.Prjcted._.Qtrly._.Dollars." localSheetId="14">{#N/A,#N/A,FALSE,"PRJCTED QTRLY $'s"}</definedName>
    <definedName name="wrn.Prjcted._.Qtrly._.Dollars.">{#N/A,#N/A,FALSE,"PRJCTED QTRLY $'s"}</definedName>
    <definedName name="wrn.Prjcted._.Qtrly._.Qtys." localSheetId="14">{#N/A,#N/A,FALSE,"PRJCTED QTRLY QTY's"}</definedName>
    <definedName name="wrn.Prjcted._.Qtrly._.Qtys.">{#N/A,#N/A,FALSE,"PRJCTED QTRLY QTY's"}</definedName>
    <definedName name="wrn.PRNT4766." localSheetId="14">{#N/A,#N/A,FALSE,"Sheet_47";#N/A,#N/A,FALSE,"Sheet_48";#N/A,#N/A,FALSE,"Sheet_49";#N/A,#N/A,FALSE,"Sheet_50";#N/A,#N/A,FALSE,"Sheet_51";#N/A,#N/A,FALSE,"Sheet_52";#N/A,#N/A,FALSE,"Sheet_53";#N/A,#N/A,FALSE,"Sheet_54";#N/A,#N/A,FALSE,"Sheet_55";#N/A,#N/A,FALSE,"Sheet_56";#N/A,#N/A,FALSE,"Sheet_57";#N/A,#N/A,FALSE,"Sheet_58";#N/A,#N/A,FALSE,"Sheet_59";#N/A,#N/A,FALSE,"Sheet_60";#N/A,#N/A,FALSE,"Sheet_61";#N/A,#N/A,FALSE,"Sheet_62";#N/A,#N/A,FALSE,"Sheet_63";#N/A,#N/A,FALSE,"Sheet_64";#N/A,#N/A,FALSE,"Sheet_65";#N/A,#N/A,FALSE,"Sheet_66"}</definedName>
    <definedName name="wrn.PRNT4766.">{#N/A,#N/A,FALSE,"Sheet_47";#N/A,#N/A,FALSE,"Sheet_48";#N/A,#N/A,FALSE,"Sheet_49";#N/A,#N/A,FALSE,"Sheet_50";#N/A,#N/A,FALSE,"Sheet_51";#N/A,#N/A,FALSE,"Sheet_52";#N/A,#N/A,FALSE,"Sheet_53";#N/A,#N/A,FALSE,"Sheet_54";#N/A,#N/A,FALSE,"Sheet_55";#N/A,#N/A,FALSE,"Sheet_56";#N/A,#N/A,FALSE,"Sheet_57";#N/A,#N/A,FALSE,"Sheet_58";#N/A,#N/A,FALSE,"Sheet_59";#N/A,#N/A,FALSE,"Sheet_60";#N/A,#N/A,FALSE,"Sheet_61";#N/A,#N/A,FALSE,"Sheet_62";#N/A,#N/A,FALSE,"Sheet_63";#N/A,#N/A,FALSE,"Sheet_64";#N/A,#N/A,FALSE,"Sheet_65";#N/A,#N/A,FALSE,"Sheet_66"}</definedName>
    <definedName name="wrn.Project._.Criteria." localSheetId="14">{#N/A,#N/A,FALSE,"Sheet1"}</definedName>
    <definedName name="wrn.Project._.Criteria.">{#N/A,#N/A,FALSE,"Sheet1"}</definedName>
    <definedName name="wrn.Property._.Tax._.Expense._.Annual." localSheetId="14">{#N/A,#N/A,FALSE,"Consol Summary";#N/A,#N/A,FALSE,"ONR Report"}</definedName>
    <definedName name="wrn.Property._.Tax._.Expense._.Annual.">{#N/A,#N/A,FALSE,"Consol Summary";#N/A,#N/A,FALSE,"ONR Report"}</definedName>
    <definedName name="wrn.psc._.quarterly." localSheetId="14">{"Page 1",#N/A,FALSE,"Page 1 &amp; Page 2";"page 2",#N/A,FALSE,"Page 1 &amp; Page 2";"Page 5",#N/A,FALSE,"Page 5";"page 6",#N/A,FALSE,"Details_p 6&amp;7";"Page 9",#N/A,FALSE,"Page 9";"page 8",#N/A,FALSE,"Page 8";"Page 10",#N/A,FALSE,"Page 10";"Page 11",#N/A,FALSE,"Page11"}</definedName>
    <definedName name="wrn.psc._.quarterly.">{"Page 1",#N/A,FALSE,"Page 1 &amp; Page 2";"page 2",#N/A,FALSE,"Page 1 &amp; Page 2";"Page 5",#N/A,FALSE,"Page 5";"page 6",#N/A,FALSE,"Details_p 6&amp;7";"Page 9",#N/A,FALSE,"Page 9";"page 8",#N/A,FALSE,"Page 8";"Page 10",#N/A,FALSE,"Page 10";"Page 11",#N/A,FALSE,"Page11"}</definedName>
    <definedName name="wrn.PSC._.REQUEST." localSheetId="14">{#N/A,#N/A,FALSE,"Table 1";#N/A,#N/A,FALSE,"Table 2";#N/A,#N/A,FALSE,"Table3";#N/A,#N/A,FALSE,"Table4";#N/A,#N/A,FALSE,"Table5";#N/A,#N/A,FALSE,"Table6"}</definedName>
    <definedName name="wrn.PSC._.REQUEST.">{#N/A,#N/A,FALSE,"Table 1";#N/A,#N/A,FALSE,"Table 2";#N/A,#N/A,FALSE,"Table3";#N/A,#N/A,FALSE,"Table4";#N/A,#N/A,FALSE,"Table5";#N/A,#N/A,FALSE,"Table6"}</definedName>
    <definedName name="wrn.R_D._.Tax._.Services." localSheetId="14">{#N/A,#N/A,FALSE,"R&amp;D Quick Calc";#N/A,#N/A,FALSE,"DOE Fee Schedule"}</definedName>
    <definedName name="wrn.R_D._.Tax._.Services.">{#N/A,#N/A,FALSE,"R&amp;D Quick Calc";#N/A,#N/A,FALSE,"DOE Fee Schedule"}</definedName>
    <definedName name="wrn.Rate._.Reports." localSheetId="14">{#N/A,#N/A,FALSE,"Monthly Rate By Activity";#N/A,#N/A,FALSE,"Hourly Rate By Activity";#N/A,#N/A,FALSE,"Monthly Rate By Custom Resource";#N/A,#N/A,FALSE,"Hourly Rate By Custom Resource"}</definedName>
    <definedName name="wrn.Rate._.Reports.">{#N/A,#N/A,FALSE,"Monthly Rate By Activity";#N/A,#N/A,FALSE,"Hourly Rate By Activity";#N/A,#N/A,FALSE,"Monthly Rate By Custom Resource";#N/A,#N/A,FALSE,"Hourly Rate By Custom Resource"}</definedName>
    <definedName name="wrn.Rate._.Reports.new" localSheetId="14">{#N/A,#N/A,FALSE,"Monthly Rate By Activity";#N/A,#N/A,FALSE,"Hourly Rate By Activity";#N/A,#N/A,FALSE,"Monthly Rate By Custom Resource";#N/A,#N/A,FALSE,"Hourly Rate By Custom Resource"}</definedName>
    <definedName name="wrn.Rate._.Reports.new">{#N/A,#N/A,FALSE,"Monthly Rate By Activity";#N/A,#N/A,FALSE,"Hourly Rate By Activity";#N/A,#N/A,FALSE,"Monthly Rate By Custom Resource";#N/A,#N/A,FALSE,"Hourly Rate By Custom Resource"}</definedName>
    <definedName name="wrn.Rate._.Tables." localSheetId="14">{"SC1 Rates",#N/A,FALSE,"SC1";"SC2 Pri Rates",#N/A,FALSE,"SC2 Pri";"SC2 Sec Rates",#N/A,FALSE,"SC2 Sec";"SC2 Non Demand Rates",#N/A,FALSE,"SC2 Non Demand";"SC5 Rates",#N/A,FALSE,"SC5";"SC7 Rates",#N/A,FALSE,"SC7"}</definedName>
    <definedName name="wrn.Rate._.Tables.">{"SC1 Rates",#N/A,FALSE,"SC1";"SC2 Pri Rates",#N/A,FALSE,"SC2 Pri";"SC2 Sec Rates",#N/A,FALSE,"SC2 Sec";"SC2 Non Demand Rates",#N/A,FALSE,"SC2 Non Demand";"SC5 Rates",#N/A,FALSE,"SC5";"SC7 Rates",#N/A,FALSE,"SC7"}</definedName>
    <definedName name="wrn.Receipt._.Stats." localSheetId="14">{"CM Dollars",#N/A,FALSE,"Rec Dollars";"YTD Dollars",#N/A,FALSE,"Rec Dollars";"CM Rec Stats",#N/A,FALSE,"Rec Dollars";"YTD Rec Stats",#N/A,FALSE,"Rec Dollars"}</definedName>
    <definedName name="wrn.Receipt._.Stats.">{"CM Dollars",#N/A,FALSE,"Rec Dollars";"YTD Dollars",#N/A,FALSE,"Rec Dollars";"CM Rec Stats",#N/A,FALSE,"Rec Dollars";"YTD Rec Stats",#N/A,FALSE,"Rec Dollars"}</definedName>
    <definedName name="wrn.Report." localSheetId="14">{#N/A,#N/A,FALSE,"Work performed";#N/A,#N/A,FALSE,"Resources"}</definedName>
    <definedName name="wrn.Report.">{#N/A,#N/A,FALSE,"Work performed";#N/A,#N/A,FALSE,"Resources"}</definedName>
    <definedName name="wrn.REPORT0744." localSheetId="14">{#N/A,#N/A,FALSE,"Sheet_7";#N/A,#N/A,FALSE,"Sheet_8";#N/A,#N/A,FALSE,"Sheet_9";#N/A,#N/A,FALSE,"Sheet_10";#N/A,#N/A,FALSE,"Sheet_11";#N/A,#N/A,FALSE,"Sheet_12";#N/A,#N/A,FALSE,"Sheet_13";#N/A,#N/A,FALSE,"Sheet_14";#N/A,#N/A,FALSE,"Sheet_15";#N/A,#N/A,FALSE,"Sheet_16";#N/A,#N/A,FALSE,"Sheet_17";#N/A,#N/A,FALSE,"Sheet_18";#N/A,#N/A,FALSE,"Sheet_19";#N/A,#N/A,FALSE,"Sheet_20";#N/A,#N/A,FALSE,"Sheet_21";#N/A,#N/A,FALSE,"Sheet_22";#N/A,#N/A,FALSE,"Sheet_23";#N/A,#N/A,FALSE,"Sheet_24";#N/A,#N/A,FALSE,"Sheet_25";#N/A,#N/A,FALSE,"Sheet_26";#N/A,#N/A,FALSE,"Sheet_27";#N/A,#N/A,FALSE,"Sheet_28";#N/A,#N/A,FALSE,"Sheet_29";#N/A,#N/A,FALSE,"Sheet_30";#N/A,#N/A,FALSE,"Sheet_31";#N/A,#N/A,FALSE,"Sheet_32";#N/A,#N/A,FALSE,"Sheet_33";#N/A,#N/A,FALSE,"Sheet_34";#N/A,#N/A,FALSE,"Sheet_35";#N/A,#N/A,FALSE,"Sheet_36";#N/A,#N/A,FALSE,"Sheet_37";#N/A,#N/A,FALSE,"Sheet_38";#N/A,#N/A,FALSE,"Sheet_39";#N/A,#N/A,FALSE,"Sheet_40";#N/A,#N/A,FALSE,"Sheet_41";#N/A,#N/A,FALSE,"Sheet_42";#N/A,#N/A,FALSE,"Sheet_43";#N/A,#N/A,FALSE,"Sheet_44"}</definedName>
    <definedName name="wrn.REPORT0744.">{#N/A,#N/A,FALSE,"Sheet_7";#N/A,#N/A,FALSE,"Sheet_8";#N/A,#N/A,FALSE,"Sheet_9";#N/A,#N/A,FALSE,"Sheet_10";#N/A,#N/A,FALSE,"Sheet_11";#N/A,#N/A,FALSE,"Sheet_12";#N/A,#N/A,FALSE,"Sheet_13";#N/A,#N/A,FALSE,"Sheet_14";#N/A,#N/A,FALSE,"Sheet_15";#N/A,#N/A,FALSE,"Sheet_16";#N/A,#N/A,FALSE,"Sheet_17";#N/A,#N/A,FALSE,"Sheet_18";#N/A,#N/A,FALSE,"Sheet_19";#N/A,#N/A,FALSE,"Sheet_20";#N/A,#N/A,FALSE,"Sheet_21";#N/A,#N/A,FALSE,"Sheet_22";#N/A,#N/A,FALSE,"Sheet_23";#N/A,#N/A,FALSE,"Sheet_24";#N/A,#N/A,FALSE,"Sheet_25";#N/A,#N/A,FALSE,"Sheet_26";#N/A,#N/A,FALSE,"Sheet_27";#N/A,#N/A,FALSE,"Sheet_28";#N/A,#N/A,FALSE,"Sheet_29";#N/A,#N/A,FALSE,"Sheet_30";#N/A,#N/A,FALSE,"Sheet_31";#N/A,#N/A,FALSE,"Sheet_32";#N/A,#N/A,FALSE,"Sheet_33";#N/A,#N/A,FALSE,"Sheet_34";#N/A,#N/A,FALSE,"Sheet_35";#N/A,#N/A,FALSE,"Sheet_36";#N/A,#N/A,FALSE,"Sheet_37";#N/A,#N/A,FALSE,"Sheet_38";#N/A,#N/A,FALSE,"Sheet_39";#N/A,#N/A,FALSE,"Sheet_40";#N/A,#N/A,FALSE,"Sheet_41";#N/A,#N/A,FALSE,"Sheet_42";#N/A,#N/A,FALSE,"Sheet_43";#N/A,#N/A,FALSE,"Sheet_44"}</definedName>
    <definedName name="wrn.Revenue._.Analysis." localSheetId="14">{"High Level Summary",#N/A,FALSE,"High Level Summary";"Summary",#N/A,FALSE,"Summary";"Post Restructuring Revenue",#N/A,FALSE,"NEW RATE REV BY RATE CLASS";"Pre-Restructuring Revenue",#N/A,FALSE,"OLD RATE REV BY RATE CLASS";"1998 Sales",#N/A,FALSE,"NEW RATE REV BY RATE CLASS";"1999 Sales",#N/A,FALSE,"7 and 5 RATE REV BY RATE CLASS";"1999 7&amp;5 Revenue",#N/A,FALSE,"7 and 5 RATE REV BY RATE CLASS";"2000 Revenue",#N/A,FALSE,"2000 RATE REV BY RATE CLASS";"2001 Revenue",#N/A,FALSE,"2001 RATE REV BY RATE CLASS";"Post Restructuring Rates",#N/A,FALSE,"1999 NEW RATE SHAPING";"Pre-Restructuring Rates",#N/A,FALSE,"1999 OLD RATE SHAPING";"2000 Rates",#N/A,FALSE,"2000 NEW RATE SHAPING"}</definedName>
    <definedName name="wrn.Revenue._.Analysis.">{"High Level Summary",#N/A,FALSE,"High Level Summary";"Summary",#N/A,FALSE,"Summary";"Post Restructuring Revenue",#N/A,FALSE,"NEW RATE REV BY RATE CLASS";"Pre-Restructuring Revenue",#N/A,FALSE,"OLD RATE REV BY RATE CLASS";"1998 Sales",#N/A,FALSE,"NEW RATE REV BY RATE CLASS";"1999 Sales",#N/A,FALSE,"7 and 5 RATE REV BY RATE CLASS";"1999 7&amp;5 Revenue",#N/A,FALSE,"7 and 5 RATE REV BY RATE CLASS";"2000 Revenue",#N/A,FALSE,"2000 RATE REV BY RATE CLASS";"2001 Revenue",#N/A,FALSE,"2001 RATE REV BY RATE CLASS";"Post Restructuring Rates",#N/A,FALSE,"1999 NEW RATE SHAPING";"Pre-Restructuring Rates",#N/A,FALSE,"1999 OLD RATE SHAPING";"2000 Rates",#N/A,FALSE,"2000 NEW RATE SHAPING"}</definedName>
    <definedName name="wrn.Rippert." localSheetId="14">{#N/A,#N/A,FALSE,"Year";#N/A,#N/A,FALSE,"AC Fiscal Year";#N/A,#N/A,FALSE,"Hourly Rate By Activity";#N/A,#N/A,FALSE,"Hourly Rate By Custom Resource";#N/A,#N/A,FALSE,"Line of Business Review";#N/A,#N/A,FALSE,"Assumptions";#N/A,#N/A,FALSE,"Sensitivity Analysis";#N/A,#N/A,FALSE,"Overall Staffing Review"}</definedName>
    <definedName name="wrn.Rippert.">{#N/A,#N/A,FALSE,"Year";#N/A,#N/A,FALSE,"AC Fiscal Year";#N/A,#N/A,FALSE,"Hourly Rate By Activity";#N/A,#N/A,FALSE,"Hourly Rate By Custom Resource";#N/A,#N/A,FALSE,"Line of Business Review";#N/A,#N/A,FALSE,"Assumptions";#N/A,#N/A,FALSE,"Sensitivity Analysis";#N/A,#N/A,FALSE,"Overall Staffing Review"}</definedName>
    <definedName name="wrn.Rippert.new" localSheetId="14">{#N/A,#N/A,FALSE,"Year";#N/A,#N/A,FALSE,"AC Fiscal Year";#N/A,#N/A,FALSE,"Hourly Rate By Activity";#N/A,#N/A,FALSE,"Hourly Rate By Custom Resource";#N/A,#N/A,FALSE,"Line of Business Review";#N/A,#N/A,FALSE,"Assumptions";#N/A,#N/A,FALSE,"Sensitivity Analysis";#N/A,#N/A,FALSE,"Overall Staffing Review"}</definedName>
    <definedName name="wrn.Rippert.new">{#N/A,#N/A,FALSE,"Year";#N/A,#N/A,FALSE,"AC Fiscal Year";#N/A,#N/A,FALSE,"Hourly Rate By Activity";#N/A,#N/A,FALSE,"Hourly Rate By Custom Resource";#N/A,#N/A,FALSE,"Line of Business Review";#N/A,#N/A,FALSE,"Assumptions";#N/A,#N/A,FALSE,"Sensitivity Analysis";#N/A,#N/A,FALSE,"Overall Staffing Review"}</definedName>
    <definedName name="wrn.rippert1" localSheetId="14">{#N/A,#N/A,FALSE,"Year";#N/A,#N/A,FALSE,"AC Fiscal Year";#N/A,#N/A,FALSE,"Hourly Rate By Activity";#N/A,#N/A,FALSE,"Hourly Rate By Custom Resource";#N/A,#N/A,FALSE,"Line of Business Review";#N/A,#N/A,FALSE,"Assumptions";#N/A,#N/A,FALSE,"Sensitivity Analysis";#N/A,#N/A,FALSE,"Overall Staffing Review"}</definedName>
    <definedName name="wrn.rippert1">{#N/A,#N/A,FALSE,"Year";#N/A,#N/A,FALSE,"AC Fiscal Year";#N/A,#N/A,FALSE,"Hourly Rate By Activity";#N/A,#N/A,FALSE,"Hourly Rate By Custom Resource";#N/A,#N/A,FALSE,"Line of Business Review";#N/A,#N/A,FALSE,"Assumptions";#N/A,#N/A,FALSE,"Sensitivity Analysis";#N/A,#N/A,FALSE,"Overall Staffing Review"}</definedName>
    <definedName name="wrn.rippert1_new" localSheetId="14">{#N/A,#N/A,FALSE,"Year";#N/A,#N/A,FALSE,"AC Fiscal Year";#N/A,#N/A,FALSE,"Hourly Rate By Activity";#N/A,#N/A,FALSE,"Hourly Rate By Custom Resource";#N/A,#N/A,FALSE,"Line of Business Review";#N/A,#N/A,FALSE,"Assumptions";#N/A,#N/A,FALSE,"Sensitivity Analysis";#N/A,#N/A,FALSE,"Overall Staffing Review"}</definedName>
    <definedName name="wrn.rippert1_new">{#N/A,#N/A,FALSE,"Year";#N/A,#N/A,FALSE,"AC Fiscal Year";#N/A,#N/A,FALSE,"Hourly Rate By Activity";#N/A,#N/A,FALSE,"Hourly Rate By Custom Resource";#N/A,#N/A,FALSE,"Line of Business Review";#N/A,#N/A,FALSE,"Assumptions";#N/A,#N/A,FALSE,"Sensitivity Analysis";#N/A,#N/A,FALSE,"Overall Staffing Review"}</definedName>
    <definedName name="wrn.ROCKLANDSCHSUMMARY1." localSheetId="14">{"ROCSCHSUMMARY1",#N/A,FALSE,"ROCSCH"}</definedName>
    <definedName name="wrn.ROCKLANDSCHSUMMARY1.">{"ROCSCHSUMMARY1",#N/A,FALSE,"ROCSCH"}</definedName>
    <definedName name="wrn.ROCKTAXRATES." localSheetId="14">{"ROCTAXRATES",#N/A,FALSE,"ROCSCH"}</definedName>
    <definedName name="wrn.ROCKTAXRATES.">{"ROCTAXRATES",#N/A,FALSE,"ROCSCH"}</definedName>
    <definedName name="wrn.sales." localSheetId="14">{"summary",#N/A,FALSE,"Total Sales";"year1",#N/A,FALSE,"Total Sales";"year2",#N/A,FALSE,"Total Sales";"year3",#N/A,FALSE,"Total Sales";"year4",#N/A,FALSE,"Total Sales";"year5",#N/A,FALSE,"Total Sales"}</definedName>
    <definedName name="wrn.sales.">{"summary",#N/A,FALSE,"Total Sales";"year1",#N/A,FALSE,"Total Sales";"year2",#N/A,FALSE,"Total Sales";"year3",#N/A,FALSE,"Total Sales";"year4",#N/A,FALSE,"Total Sales";"year5",#N/A,FALSE,"Total Sales"}</definedName>
    <definedName name="wrn.Sales._.Rpt." localSheetId="14">{"Sales 5 Yrs",#N/A,FALSE,"Del Rev Summary";"Sales Yr1",#N/A,FALSE,"Del Rev Summary"}</definedName>
    <definedName name="wrn.Sales._.Rpt.">{"Sales 5 Yrs",#N/A,FALSE,"Del Rev Summary";"Sales Yr1",#N/A,FALSE,"Del Rev Summary"}</definedName>
    <definedName name="wrn.SC9._.RD." localSheetId="14">{"SC9 Curr Rates",#N/A,TRUE,"SC9 Curr Rates";"Total Curr Sales and Rev",#N/A,TRUE,"SC9 Alloc Sales Rev";"CL SC9 Sales and Rev",#N/A,TRUE,"SC9  CL";"No CL SC9 Sales and Rev",#N/A,TRUE,"SC9  No CL";"SC9 1 M",#N/A,TRUE,"SC9 1";"SC9 2 M",#N/A,TRUE,"SC9 2";"SC9 3 M",#N/A,TRUE,"SC9 3";"SC9 4 M",#N/A,TRUE,"SC9 4";"SC9 5 M",#N/A,TRUE,"SC9 5";"SC9 1 C",#N/A,TRUE,"SC9 1 (2)";"SC9 2 C",#N/A,TRUE,"SC9 2 (2)";"SC9 3 C",#N/A,TRUE,"SC9 3 (2)";"SC9 4 C",#N/A,TRUE,"SC9 4 (2)";"SC9 5 C",#N/A,TRUE,"SC9 5 (2)";"SC3 EDP",#N/A,TRUE,"SC3 EDP"}</definedName>
    <definedName name="wrn.SC9._.RD.">{"SC9 Curr Rates",#N/A,TRUE,"SC9 Curr Rates";"Total Curr Sales and Rev",#N/A,TRUE,"SC9 Alloc Sales Rev";"CL SC9 Sales and Rev",#N/A,TRUE,"SC9  CL";"No CL SC9 Sales and Rev",#N/A,TRUE,"SC9  No CL";"SC9 1 M",#N/A,TRUE,"SC9 1";"SC9 2 M",#N/A,TRUE,"SC9 2";"SC9 3 M",#N/A,TRUE,"SC9 3";"SC9 4 M",#N/A,TRUE,"SC9 4";"SC9 5 M",#N/A,TRUE,"SC9 5";"SC9 1 C",#N/A,TRUE,"SC9 1 (2)";"SC9 2 C",#N/A,TRUE,"SC9 2 (2)";"SC9 3 C",#N/A,TRUE,"SC9 3 (2)";"SC9 4 C",#N/A,TRUE,"SC9 4 (2)";"SC9 5 C",#N/A,TRUE,"SC9 5 (2)";"SC3 EDP",#N/A,TRUE,"SC3 EDP"}</definedName>
    <definedName name="wrn.Schedule._.M._.Current._.Period." localSheetId="14">{"Schedule M Current Period",#N/A,FALSE,"TAX COMPUTATION"}</definedName>
    <definedName name="wrn.Schedule._.M._.Current._.Period.">{"Schedule M Current Period",#N/A,FALSE,"TAX COMPUTATION"}</definedName>
    <definedName name="wrn.Schedule._.M._.Report._.Current._.Month." localSheetId="14">{"Schedule M Current Month",#N/A,FALSE,"TAX COMPUTATION"}</definedName>
    <definedName name="wrn.Schedule._.M._.Report._.Current._.Month.">{"Schedule M Current Month",#N/A,FALSE,"TAX COMPUTATION"}</definedName>
    <definedName name="wrn.Sep._.2003." localSheetId="14">{"sep act vs act ggm",#N/A,FALSE,"Sep";"sep act vs budget",#N/A,FALSE,"Sep";"sep actual margin calc",#N/A,FALSE,"Sep";"sep therms",#N/A,FALSE,"Sep";"sep var analysis by component",#N/A,FALSE,"Sep";"sep weather norm credits",#N/A,FALSE,"Sep";"sep bud vs act margin var",#N/A,FALSE,"Sep";"sep actual vs actual margin variance",#N/A,FALSE,"Sep"}</definedName>
    <definedName name="wrn.Sep._.2003.">{"sep act vs act ggm",#N/A,FALSE,"Sep";"sep act vs budget",#N/A,FALSE,"Sep";"sep actual margin calc",#N/A,FALSE,"Sep";"sep therms",#N/A,FALSE,"Sep";"sep var analysis by component",#N/A,FALSE,"Sep";"sep weather norm credits",#N/A,FALSE,"Sep";"sep bud vs act margin var",#N/A,FALSE,"Sep";"sep actual vs actual margin variance",#N/A,FALSE,"Sep"}</definedName>
    <definedName name="wrn.Settlement._.RD." localSheetId="14">{"Sales Rev",#N/A,FALSE,"Sales &amp; Rev";"SC1 1",#N/A,FALSE,"SC1 1";"SC1 2",#N/A,FALSE,"SC1 2";"SC19 1",#N/A,FALSE,"SC19 1";"SC19 2",#N/A,FALSE,"SC19 2";"SC2 1",#N/A,FALSE,"SC2 1";"SC2 2",#N/A,FALSE,"SC2 2";"SC20 1",#N/A,FALSE,"SC20 1";"SC29 2",#N/A,FALSE,"SC20 2";"SC3 1",#N/A,FALSE,"SC3 1";"SC3 2",#N/A,FALSE,"SC3 2";"SC21 1",#N/A,FALSE,"SC21 1";"SC21 2",#N/A,FALSE,"SC21 2";"SC9 Curr Rates",#N/A,FALSE,"SC9 Curr Rates";"Total Curr Sales and Rev",#N/A,FALSE,"SC9 Alloc Sales Rev";"CL SC9 Sales and Rev",#N/A,FALSE,"SC9  CL";"No CL SC9 Sales and Rev",#N/A,FALSE,"SC9  No CL";"SC9 1 M",#N/A,FALSE,"SC9 1";"SC9 2 M",#N/A,FALSE,"SC9 2";"SC9 3 M",#N/A,FALSE,"SC9 3";"SC9 4 M",#N/A,FALSE,"SC9 4";"SC9 5 M",#N/A,FALSE,"SC9 5";"SC9 1 C",#N/A,FALSE,"SC9 1 (2)";"SC9 2 C",#N/A,FALSE,"SC9 2 (2)";"SC9 3 C",#N/A,FALSE,"SC9 3 (2)";"SC9 4 C",#N/A,FALSE,"SC9 4 (2)";"SC9 5 C",#N/A,FALSE,"SC9 5 (2)";"SC2 EDP",#N/A,FALSE,"SC2 EDP";"SC3 EDP",#N/A,FALSE,"SC3 EDP";"EDP Pri",#N/A,FALSE,"EDP Pri";"EDP Sub",#N/A,FALSE,"EDP Sub";"EDP Trans",#N/A,FALSE,"EDP Trans";"Rev Change Summary",#N/A,FALSE,"Summary Tot Rev Chg";"current",#N/A,FALSE,"Prop v Curr";"proposed",#N/A,FALSE,"Prop v Curr";"change",#N/A,FALSE,"Prop v Curr"}</definedName>
    <definedName name="wrn.Settlement._.RD.">{"Sales Rev",#N/A,FALSE,"Sales &amp; Rev";"SC1 1",#N/A,FALSE,"SC1 1";"SC1 2",#N/A,FALSE,"SC1 2";"SC19 1",#N/A,FALSE,"SC19 1";"SC19 2",#N/A,FALSE,"SC19 2";"SC2 1",#N/A,FALSE,"SC2 1";"SC2 2",#N/A,FALSE,"SC2 2";"SC20 1",#N/A,FALSE,"SC20 1";"SC29 2",#N/A,FALSE,"SC20 2";"SC3 1",#N/A,FALSE,"SC3 1";"SC3 2",#N/A,FALSE,"SC3 2";"SC21 1",#N/A,FALSE,"SC21 1";"SC21 2",#N/A,FALSE,"SC21 2";"SC9 Curr Rates",#N/A,FALSE,"SC9 Curr Rates";"Total Curr Sales and Rev",#N/A,FALSE,"SC9 Alloc Sales Rev";"CL SC9 Sales and Rev",#N/A,FALSE,"SC9  CL";"No CL SC9 Sales and Rev",#N/A,FALSE,"SC9  No CL";"SC9 1 M",#N/A,FALSE,"SC9 1";"SC9 2 M",#N/A,FALSE,"SC9 2";"SC9 3 M",#N/A,FALSE,"SC9 3";"SC9 4 M",#N/A,FALSE,"SC9 4";"SC9 5 M",#N/A,FALSE,"SC9 5";"SC9 1 C",#N/A,FALSE,"SC9 1 (2)";"SC9 2 C",#N/A,FALSE,"SC9 2 (2)";"SC9 3 C",#N/A,FALSE,"SC9 3 (2)";"SC9 4 C",#N/A,FALSE,"SC9 4 (2)";"SC9 5 C",#N/A,FALSE,"SC9 5 (2)";"SC2 EDP",#N/A,FALSE,"SC2 EDP";"SC3 EDP",#N/A,FALSE,"SC3 EDP";"EDP Pri",#N/A,FALSE,"EDP Pri";"EDP Sub",#N/A,FALSE,"EDP Sub";"EDP Trans",#N/A,FALSE,"EDP Trans";"Rev Change Summary",#N/A,FALSE,"Summary Tot Rev Chg";"current",#N/A,FALSE,"Prop v Curr";"proposed",#N/A,FALSE,"Prop v Curr";"change",#N/A,FALSE,"Prop v Curr"}</definedName>
    <definedName name="wrn.sheet45.46." localSheetId="14">{#N/A,#N/A,FALSE,"Sheet_45";#N/A,#N/A,FALSE,"Sheet_46"}</definedName>
    <definedName name="wrn.sheet45.46.">{#N/A,#N/A,FALSE,"Sheet_45";#N/A,#N/A,FALSE,"Sheet_46"}</definedName>
    <definedName name="wrn.Slide._.Add._.Ons." localSheetId="14">{"Sec2Sch1",#N/A,FALSE,"Sheet1";"Sec2Sch2",#N/A,FALSE,"Sheet1";"Sec2Sch3",#N/A,FALSE,"Sheet1"}</definedName>
    <definedName name="wrn.Slide._.Add._.Ons.">{"Sec2Sch1",#N/A,FALSE,"Sheet1";"Sec2Sch2",#N/A,FALSE,"Sheet1";"Sec2Sch3",#N/A,FALSE,"Sheet1"}</definedName>
    <definedName name="wrn.Staffing." localSheetId="14">{#N/A,#N/A,FALSE,"Assessment";#N/A,#N/A,FALSE,"Staffing";#N/A,#N/A,FALSE,"Hires";#N/A,#N/A,FALSE,"Assumptions"}</definedName>
    <definedName name="wrn.Staffing.">{#N/A,#N/A,FALSE,"Assessment";#N/A,#N/A,FALSE,"Staffing";#N/A,#N/A,FALSE,"Hires";#N/A,#N/A,FALSE,"Assumptions"}</definedName>
    <definedName name="wrn.Staffing._.Inputs." localSheetId="14">{#N/A,#N/A,FALSE,"Overall Staffing Review";#N/A,#N/A,FALSE,"Detailed Resource Mix Review";#N/A,#N/A,FALSE,"Detailed Pyramid Review";#N/A,#N/A,FALSE,"Hours By Activity";#N/A,#N/A,FALSE,"Hours By Custom Resource"}</definedName>
    <definedName name="wrn.Staffing._.Inputs.">{#N/A,#N/A,FALSE,"Overall Staffing Review";#N/A,#N/A,FALSE,"Detailed Resource Mix Review";#N/A,#N/A,FALSE,"Detailed Pyramid Review";#N/A,#N/A,FALSE,"Hours By Activity";#N/A,#N/A,FALSE,"Hours By Custom Resource"}</definedName>
    <definedName name="wrn.staffing.new" localSheetId="14">{#N/A,#N/A,FALSE,"Assessment";#N/A,#N/A,FALSE,"Staffing";#N/A,#N/A,FALSE,"Hires";#N/A,#N/A,FALSE,"Assumptions"}</definedName>
    <definedName name="wrn.staffing.new">{#N/A,#N/A,FALSE,"Assessment";#N/A,#N/A,FALSE,"Staffing";#N/A,#N/A,FALSE,"Hires";#N/A,#N/A,FALSE,"Assumptions"}</definedName>
    <definedName name="wrn.Staffing1" localSheetId="14">{#N/A,#N/A,FALSE,"Assessment";#N/A,#N/A,FALSE,"Staffing";#N/A,#N/A,FALSE,"Hires";#N/A,#N/A,FALSE,"Assumptions"}</definedName>
    <definedName name="wrn.Staffing1">{#N/A,#N/A,FALSE,"Assessment";#N/A,#N/A,FALSE,"Staffing";#N/A,#N/A,FALSE,"Hires";#N/A,#N/A,FALSE,"Assumptions"}</definedName>
    <definedName name="wrn.Storage." localSheetId="14">{"Storage",#N/A,FALSE,"Storage"}</definedName>
    <definedName name="wrn.Storage.">{"Storage",#N/A,FALSE,"Storage"}</definedName>
    <definedName name="wrn.Storage._1" localSheetId="14">{"Storage",#N/A,FALSE,"Storage"}</definedName>
    <definedName name="wrn.Storage._1">{"Storage",#N/A,FALSE,"Storage"}</definedName>
    <definedName name="wrn.Storage._1_2" localSheetId="14">{"Storage",#N/A,FALSE,"Storage"}</definedName>
    <definedName name="wrn.Storage._1_2">{"Storage",#N/A,FALSE,"Storage"}</definedName>
    <definedName name="wrn.Storage._1_2_1" localSheetId="14">{"Storage",#N/A,FALSE,"Storage"}</definedName>
    <definedName name="wrn.Storage._1_2_1">{"Storage",#N/A,FALSE,"Storage"}</definedName>
    <definedName name="wrn.Storage._2" localSheetId="14">{"Storage",#N/A,FALSE,"Storage"}</definedName>
    <definedName name="wrn.Storage._2">{"Storage",#N/A,FALSE,"Storage"}</definedName>
    <definedName name="wrn.Storage._2_1" localSheetId="14">{"Storage",#N/A,FALSE,"Storage"}</definedName>
    <definedName name="wrn.Storage._2_1">{"Storage",#N/A,FALSE,"Storage"}</definedName>
    <definedName name="wrn.Storage._2_1_1" localSheetId="14">{"Storage",#N/A,FALSE,"Storage"}</definedName>
    <definedName name="wrn.Storage._2_1_1">{"Storage",#N/A,FALSE,"Storage"}</definedName>
    <definedName name="wrn.Storage._2_1_1_1" localSheetId="14">{"Storage",#N/A,FALSE,"Storage"}</definedName>
    <definedName name="wrn.Storage._2_1_1_1">{"Storage",#N/A,FALSE,"Storage"}</definedName>
    <definedName name="wrn.Storage._2_1_2" localSheetId="14">{"Storage",#N/A,FALSE,"Storage"}</definedName>
    <definedName name="wrn.Storage._2_1_2">{"Storage",#N/A,FALSE,"Storage"}</definedName>
    <definedName name="wrn.Storage._2_2" localSheetId="14">{"Storage",#N/A,FALSE,"Storage"}</definedName>
    <definedName name="wrn.Storage._2_2">{"Storage",#N/A,FALSE,"Storage"}</definedName>
    <definedName name="wrn.Storage._2_2_1" localSheetId="14">{"Storage",#N/A,FALSE,"Storage"}</definedName>
    <definedName name="wrn.Storage._2_2_1">{"Storage",#N/A,FALSE,"Storage"}</definedName>
    <definedName name="wrn.Storage._2_3" localSheetId="14">{"Storage",#N/A,FALSE,"Storage"}</definedName>
    <definedName name="wrn.Storage._2_3">{"Storage",#N/A,FALSE,"Storage"}</definedName>
    <definedName name="wrn.Storage._2_3_1" localSheetId="14">{"Storage",#N/A,FALSE,"Storage"}</definedName>
    <definedName name="wrn.Storage._2_3_1">{"Storage",#N/A,FALSE,"Storage"}</definedName>
    <definedName name="wrn.Storage._2_4" localSheetId="14">{"Storage",#N/A,FALSE,"Storage"}</definedName>
    <definedName name="wrn.Storage._2_4">{"Storage",#N/A,FALSE,"Storage"}</definedName>
    <definedName name="wrn.Storage._2_4_1" localSheetId="14">{"Storage",#N/A,FALSE,"Storage"}</definedName>
    <definedName name="wrn.Storage._2_4_1">{"Storage",#N/A,FALSE,"Storage"}</definedName>
    <definedName name="wrn.Storage._2_5" localSheetId="14">{"Storage",#N/A,FALSE,"Storage"}</definedName>
    <definedName name="wrn.Storage._2_5">{"Storage",#N/A,FALSE,"Storage"}</definedName>
    <definedName name="wrn.Storage._3" localSheetId="14">{"Storage",#N/A,FALSE,"Storage"}</definedName>
    <definedName name="wrn.Storage._3">{"Storage",#N/A,FALSE,"Storage"}</definedName>
    <definedName name="wrn.Storage._3_1" localSheetId="14">{"Storage",#N/A,FALSE,"Storage"}</definedName>
    <definedName name="wrn.Storage._3_1">{"Storage",#N/A,FALSE,"Storage"}</definedName>
    <definedName name="wrn.Storage._3_1_1" localSheetId="14">{"Storage",#N/A,FALSE,"Storage"}</definedName>
    <definedName name="wrn.Storage._3_1_1">{"Storage",#N/A,FALSE,"Storage"}</definedName>
    <definedName name="wrn.Storage._3_1_1_1" localSheetId="14">{"Storage",#N/A,FALSE,"Storage"}</definedName>
    <definedName name="wrn.Storage._3_1_1_1">{"Storage",#N/A,FALSE,"Storage"}</definedName>
    <definedName name="wrn.Storage._3_1_2" localSheetId="14">{"Storage",#N/A,FALSE,"Storage"}</definedName>
    <definedName name="wrn.Storage._3_1_2">{"Storage",#N/A,FALSE,"Storage"}</definedName>
    <definedName name="wrn.Storage._3_2" localSheetId="14">{"Storage",#N/A,FALSE,"Storage"}</definedName>
    <definedName name="wrn.Storage._3_2">{"Storage",#N/A,FALSE,"Storage"}</definedName>
    <definedName name="wrn.Storage._3_2_1" localSheetId="14">{"Storage",#N/A,FALSE,"Storage"}</definedName>
    <definedName name="wrn.Storage._3_2_1">{"Storage",#N/A,FALSE,"Storage"}</definedName>
    <definedName name="wrn.Storage._3_3" localSheetId="14">{"Storage",#N/A,FALSE,"Storage"}</definedName>
    <definedName name="wrn.Storage._3_3">{"Storage",#N/A,FALSE,"Storage"}</definedName>
    <definedName name="wrn.Storage._3_3_1" localSheetId="14">{"Storage",#N/A,FALSE,"Storage"}</definedName>
    <definedName name="wrn.Storage._3_3_1">{"Storage",#N/A,FALSE,"Storage"}</definedName>
    <definedName name="wrn.Storage._3_4" localSheetId="14">{"Storage",#N/A,FALSE,"Storage"}</definedName>
    <definedName name="wrn.Storage._3_4">{"Storage",#N/A,FALSE,"Storage"}</definedName>
    <definedName name="wrn.Storage._3_4_1" localSheetId="14">{"Storage",#N/A,FALSE,"Storage"}</definedName>
    <definedName name="wrn.Storage._3_4_1">{"Storage",#N/A,FALSE,"Storage"}</definedName>
    <definedName name="wrn.Storage._3_5" localSheetId="14">{"Storage",#N/A,FALSE,"Storage"}</definedName>
    <definedName name="wrn.Storage._3_5">{"Storage",#N/A,FALSE,"Storage"}</definedName>
    <definedName name="wrn.Storage._4" localSheetId="14">{"Storage",#N/A,FALSE,"Storage"}</definedName>
    <definedName name="wrn.Storage._4">{"Storage",#N/A,FALSE,"Storage"}</definedName>
    <definedName name="wrn.Storage._4_1" localSheetId="14">{"Storage",#N/A,FALSE,"Storage"}</definedName>
    <definedName name="wrn.Storage._4_1">{"Storage",#N/A,FALSE,"Storage"}</definedName>
    <definedName name="wrn.Storage._4_1_1" localSheetId="14">{"Storage",#N/A,FALSE,"Storage"}</definedName>
    <definedName name="wrn.Storage._4_1_1">{"Storage",#N/A,FALSE,"Storage"}</definedName>
    <definedName name="wrn.Storage._4_1_1_1" localSheetId="14">{"Storage",#N/A,FALSE,"Storage"}</definedName>
    <definedName name="wrn.Storage._4_1_1_1">{"Storage",#N/A,FALSE,"Storage"}</definedName>
    <definedName name="wrn.Storage._4_1_2" localSheetId="14">{"Storage",#N/A,FALSE,"Storage"}</definedName>
    <definedName name="wrn.Storage._4_1_2">{"Storage",#N/A,FALSE,"Storage"}</definedName>
    <definedName name="wrn.Storage._4_2" localSheetId="14">{"Storage",#N/A,FALSE,"Storage"}</definedName>
    <definedName name="wrn.Storage._4_2">{"Storage",#N/A,FALSE,"Storage"}</definedName>
    <definedName name="wrn.Storage._4_2_1" localSheetId="14">{"Storage",#N/A,FALSE,"Storage"}</definedName>
    <definedName name="wrn.Storage._4_2_1">{"Storage",#N/A,FALSE,"Storage"}</definedName>
    <definedName name="wrn.Storage._4_3" localSheetId="14">{"Storage",#N/A,FALSE,"Storage"}</definedName>
    <definedName name="wrn.Storage._4_3">{"Storage",#N/A,FALSE,"Storage"}</definedName>
    <definedName name="wrn.Storage._4_3_1" localSheetId="14">{"Storage",#N/A,FALSE,"Storage"}</definedName>
    <definedName name="wrn.Storage._4_3_1">{"Storage",#N/A,FALSE,"Storage"}</definedName>
    <definedName name="wrn.Storage._4_4" localSheetId="14">{"Storage",#N/A,FALSE,"Storage"}</definedName>
    <definedName name="wrn.Storage._4_4">{"Storage",#N/A,FALSE,"Storage"}</definedName>
    <definedName name="wrn.Storage._4_4_1" localSheetId="14">{"Storage",#N/A,FALSE,"Storage"}</definedName>
    <definedName name="wrn.Storage._4_4_1">{"Storage",#N/A,FALSE,"Storage"}</definedName>
    <definedName name="wrn.Storage._4_5" localSheetId="14">{"Storage",#N/A,FALSE,"Storage"}</definedName>
    <definedName name="wrn.Storage._4_5">{"Storage",#N/A,FALSE,"Storage"}</definedName>
    <definedName name="wrn.Storage._5" localSheetId="14">{"Storage",#N/A,FALSE,"Storage"}</definedName>
    <definedName name="wrn.Storage._5">{"Storage",#N/A,FALSE,"Storage"}</definedName>
    <definedName name="wrn.Storage._5_1" localSheetId="14">{"Storage",#N/A,FALSE,"Storage"}</definedName>
    <definedName name="wrn.Storage._5_1">{"Storage",#N/A,FALSE,"Storage"}</definedName>
    <definedName name="wrn.Storage._5_1_1" localSheetId="14">{"Storage",#N/A,FALSE,"Storage"}</definedName>
    <definedName name="wrn.Storage._5_1_1">{"Storage",#N/A,FALSE,"Storage"}</definedName>
    <definedName name="wrn.Storage._5_1_1_1" localSheetId="14">{"Storage",#N/A,FALSE,"Storage"}</definedName>
    <definedName name="wrn.Storage._5_1_1_1">{"Storage",#N/A,FALSE,"Storage"}</definedName>
    <definedName name="wrn.Storage._5_1_2" localSheetId="14">{"Storage",#N/A,FALSE,"Storage"}</definedName>
    <definedName name="wrn.Storage._5_1_2">{"Storage",#N/A,FALSE,"Storage"}</definedName>
    <definedName name="wrn.Storage._5_2" localSheetId="14">{"Storage",#N/A,FALSE,"Storage"}</definedName>
    <definedName name="wrn.Storage._5_2">{"Storage",#N/A,FALSE,"Storage"}</definedName>
    <definedName name="wrn.Storage._5_2_1" localSheetId="14">{"Storage",#N/A,FALSE,"Storage"}</definedName>
    <definedName name="wrn.Storage._5_2_1">{"Storage",#N/A,FALSE,"Storage"}</definedName>
    <definedName name="wrn.Storage._5_3" localSheetId="14">{"Storage",#N/A,FALSE,"Storage"}</definedName>
    <definedName name="wrn.Storage._5_3">{"Storage",#N/A,FALSE,"Storage"}</definedName>
    <definedName name="wrn.Storage._5_3_1" localSheetId="14">{"Storage",#N/A,FALSE,"Storage"}</definedName>
    <definedName name="wrn.Storage._5_3_1">{"Storage",#N/A,FALSE,"Storage"}</definedName>
    <definedName name="wrn.Storage._5_4" localSheetId="14">{"Storage",#N/A,FALSE,"Storage"}</definedName>
    <definedName name="wrn.Storage._5_4">{"Storage",#N/A,FALSE,"Storage"}</definedName>
    <definedName name="wrn.Storage._5_4_1" localSheetId="14">{"Storage",#N/A,FALSE,"Storage"}</definedName>
    <definedName name="wrn.Storage._5_4_1">{"Storage",#N/A,FALSE,"Storage"}</definedName>
    <definedName name="wrn.Storage._5_5" localSheetId="14">{"Storage",#N/A,FALSE,"Storage"}</definedName>
    <definedName name="wrn.Storage._5_5">{"Storage",#N/A,FALSE,"Storage"}</definedName>
    <definedName name="wrn.Summary." localSheetId="14">{#N/A,#N/A,FALSE,"Net Revenue Summary";#N/A,#N/A,FALSE,"Consol Rpt Month";#N/A,#N/A,FALSE,"Del Variance Month";#N/A,#N/A,FALSE,"Penny Sheet Check Month";#N/A,#N/A,FALSE," Consol Rpt YTD";#N/A,#N/A,FALSE,"Del Variance YTD";#N/A,#N/A,FALSE,"Penny Sheet Check YTD";#N/A,#N/A,FALSE,"Fuel Breakage"}</definedName>
    <definedName name="wrn.Summary.">{#N/A,#N/A,FALSE,"Net Revenue Summary";#N/A,#N/A,FALSE,"Consol Rpt Month";#N/A,#N/A,FALSE,"Del Variance Month";#N/A,#N/A,FALSE,"Penny Sheet Check Month";#N/A,#N/A,FALSE," Consol Rpt YTD";#N/A,#N/A,FALSE,"Del Variance YTD";#N/A,#N/A,FALSE,"Penny Sheet Check YTD";#N/A,#N/A,FALSE,"Fuel Breakage"}</definedName>
    <definedName name="wrn.Summary._.Print." localSheetId="14">{#N/A,#N/A,TRUE,"OUTPUT 2.7 Total Programmes";#N/A,#N/A,TRUE,"Sales P1 Vs P2";#N/A,#N/A,TRUE,"Profit P1 Vs P2";#N/A,#N/A,TRUE,"Order Intake P1 Vs P2";#N/A,#N/A,TRUE,"OCF P1 Vs P2";#N/A,#N/A,TRUE,"Sales 99 Vs 00";#N/A,#N/A,TRUE,"Profit 99 Vs 00";#N/A,#N/A,TRUE,"Order Intake 99 Vs 00";#N/A,#N/A,TRUE,"ProfitvSLMTarget";#N/A,#N/A,TRUE,"OCFvSLMTarget";#N/A,#N/A,TRUE,"Orders Analysis";#N/A,#N/A,TRUE,"Output 2.12";#N/A,#N/A,TRUE,"OUTPUT 2.7A Total Programmes";#N/A,#N/A,TRUE,"OUTPUT 2.8 Total Programmes"}</definedName>
    <definedName name="wrn.Summary._.Print.">{#N/A,#N/A,TRUE,"OUTPUT 2.7 Total Programmes";#N/A,#N/A,TRUE,"Sales P1 Vs P2";#N/A,#N/A,TRUE,"Profit P1 Vs P2";#N/A,#N/A,TRUE,"Order Intake P1 Vs P2";#N/A,#N/A,TRUE,"OCF P1 Vs P2";#N/A,#N/A,TRUE,"Sales 99 Vs 00";#N/A,#N/A,TRUE,"Profit 99 Vs 00";#N/A,#N/A,TRUE,"Order Intake 99 Vs 00";#N/A,#N/A,TRUE,"ProfitvSLMTarget";#N/A,#N/A,TRUE,"OCFvSLMTarget";#N/A,#N/A,TRUE,"Orders Analysis";#N/A,#N/A,TRUE,"Output 2.12";#N/A,#N/A,TRUE,"OUTPUT 2.7A Total Programmes";#N/A,#N/A,TRUE,"OUTPUT 2.8 Total Programmes"}</definedName>
    <definedName name="wrn.Supplemental._.Information." localSheetId="14">{#N/A,#N/A,FALSE,"Assumptions";#N/A,#N/A,FALSE,"DNP Expense Summary";#N/A,#N/A,FALSE,"Sensitivity Analysis"}</definedName>
    <definedName name="wrn.Supplemental._.Information.">{#N/A,#N/A,FALSE,"Assumptions";#N/A,#N/A,FALSE,"DNP Expense Summary";#N/A,#N/A,FALSE,"Sensitivity Analysis"}</definedName>
    <definedName name="wrn.Supporting._.Calculations." localSheetId="14">{#N/A,#N/A,FALSE,"Work performed";#N/A,#N/A,FALSE,"Resources"}</definedName>
    <definedName name="wrn.Supporting._.Calculations.">{#N/A,#N/A,FALSE,"Work performed";#N/A,#N/A,FALSE,"Resources"}</definedName>
    <definedName name="wrn.Tax._.Accrual." localSheetId="14">{#N/A,#N/A,TRUE,"TAXPROV";#N/A,#N/A,TRUE,"FLOWTHRU";#N/A,#N/A,TRUE,"SCHEDULE M'S";#N/A,#N/A,TRUE,"PLANT M'S";#N/A,#N/A,TRUE,"TAXJE"}</definedName>
    <definedName name="wrn.Tax._.Accrual.">{#N/A,#N/A,TRUE,"TAXPROV";#N/A,#N/A,TRUE,"FLOWTHRU";#N/A,#N/A,TRUE,"SCHEDULE M'S";#N/A,#N/A,TRUE,"PLANT M'S";#N/A,#N/A,TRUE,"TAXJE"}</definedName>
    <definedName name="wrn.Tax._.Computation._.Current._.Month." localSheetId="14">{"Tax Computation Current Month",#N/A,FALSE,"TAX COMPUTATION"}</definedName>
    <definedName name="wrn.Tax._.Computation._.Current._.Month.">{"Tax Computation Current Month",#N/A,FALSE,"TAX COMPUTATION"}</definedName>
    <definedName name="wrn.Tax._.Computation._.Current._.Period." localSheetId="14">{"Tax Computation Current Period",#N/A,FALSE,"TAX COMPUTATION"}</definedName>
    <definedName name="wrn.Tax._.Computation._.Current._.Period.">{"Tax Computation Current Period",#N/A,FALSE,"TAX COMPUTATION"}</definedName>
    <definedName name="wrn.Tax._.Computation._.Report._.Current._.Month." localSheetId="14">{"Tax Computation Current Month",#N/A,FALSE,"TAX COMPUTATION"}</definedName>
    <definedName name="wrn.Tax._.Computation._.Report._.Current._.Month.">{"Tax Computation Current Month",#N/A,FALSE,"TAX COMPUTATION"}</definedName>
    <definedName name="wrn.test." localSheetId="14">{"Page 5",#N/A,TRUE,"Page 5"}</definedName>
    <definedName name="wrn.test.">{"Page 5",#N/A,TRUE,"Page 5"}</definedName>
    <definedName name="wrn.TNECO._.Detailed._.Report." localSheetId="14">{"TNECo Summary",#N/A,FALSE,"TNECo Billing";"TNECO Details",#N/A,FALSE,"TNECo Billing"}</definedName>
    <definedName name="wrn.TNECO._.Detailed._.Report.">{"TNECo Summary",#N/A,FALSE,"TNECo Billing";"TNECO Details",#N/A,FALSE,"TNECo Billing"}</definedName>
    <definedName name="wrn.USIM_Data." localSheetId="14">{#N/A,#N/A,FALSE,"Expenditures";#N/A,#N/A,FALSE,"Property Placed In-Service";#N/A,#N/A,FALSE,"Removals";#N/A,#N/A,FALSE,"Retirements";#N/A,#N/A,FALSE,"CWIP Balances";#N/A,#N/A,FALSE,"CWIP_Expend_Ratios";#N/A,#N/A,FALSE,"CWIP_Yr_End";#N/A,#N/A,FALSE,"Nuc_Fuel";#N/A,#N/A,FALSE,"New_Gen";#N/A,#N/A,FALSE,"New_Trans";#N/A,#N/A,FALSE,"DSM";#N/A,#N/A,FALSE,"Factors"}</definedName>
    <definedName name="wrn.USIM_Data.">{#N/A,#N/A,FALSE,"Expenditures";#N/A,#N/A,FALSE,"Property Placed In-Service";#N/A,#N/A,FALSE,"Removals";#N/A,#N/A,FALSE,"Retirements";#N/A,#N/A,FALSE,"CWIP Balances";#N/A,#N/A,FALSE,"CWIP_Expend_Ratios";#N/A,#N/A,FALSE,"CWIP_Yr_End";#N/A,#N/A,FALSE,"Nuc_Fuel";#N/A,#N/A,FALSE,"New_Gen";#N/A,#N/A,FALSE,"New_Trans";#N/A,#N/A,FALSE,"DSM";#N/A,#N/A,FALSE,"Factors"}</definedName>
    <definedName name="wrn.USIM_Data._1" localSheetId="14">{#N/A,#N/A,FALSE,"Expenditures";#N/A,#N/A,FALSE,"Property Placed In-Service";#N/A,#N/A,FALSE,"Removals";#N/A,#N/A,FALSE,"Retirements";#N/A,#N/A,FALSE,"CWIP Balances";#N/A,#N/A,FALSE,"CWIP_Expend_Ratios";#N/A,#N/A,FALSE,"CWIP_Yr_End";#N/A,#N/A,FALSE,"Nuc_Fuel";#N/A,#N/A,FALSE,"New_Gen";#N/A,#N/A,FALSE,"New_Trans";#N/A,#N/A,FALSE,"DSM";#N/A,#N/A,FALSE,"Factors"}</definedName>
    <definedName name="wrn.USIM_Data._1">{#N/A,#N/A,FALSE,"Expenditures";#N/A,#N/A,FALSE,"Property Placed In-Service";#N/A,#N/A,FALSE,"Removals";#N/A,#N/A,FALSE,"Retirements";#N/A,#N/A,FALSE,"CWIP Balances";#N/A,#N/A,FALSE,"CWIP_Expend_Ratios";#N/A,#N/A,FALSE,"CWIP_Yr_End";#N/A,#N/A,FALSE,"Nuc_Fuel";#N/A,#N/A,FALSE,"New_Gen";#N/A,#N/A,FALSE,"New_Trans";#N/A,#N/A,FALSE,"DSM";#N/A,#N/A,FALSE,"Factors"}</definedName>
    <definedName name="wrn.USIM_Data._1_1" localSheetId="14">{#N/A,#N/A,FALSE,"Expenditures";#N/A,#N/A,FALSE,"Property Placed In-Service";#N/A,#N/A,FALSE,"Removals";#N/A,#N/A,FALSE,"Retirements";#N/A,#N/A,FALSE,"CWIP Balances";#N/A,#N/A,FALSE,"CWIP_Expend_Ratios";#N/A,#N/A,FALSE,"CWIP_Yr_End";#N/A,#N/A,FALSE,"Nuc_Fuel";#N/A,#N/A,FALSE,"New_Gen";#N/A,#N/A,FALSE,"New_Trans";#N/A,#N/A,FALSE,"DSM";#N/A,#N/A,FALSE,"Factors"}</definedName>
    <definedName name="wrn.USIM_Data._1_1">{#N/A,#N/A,FALSE,"Expenditures";#N/A,#N/A,FALSE,"Property Placed In-Service";#N/A,#N/A,FALSE,"Removals";#N/A,#N/A,FALSE,"Retirements";#N/A,#N/A,FALSE,"CWIP Balances";#N/A,#N/A,FALSE,"CWIP_Expend_Ratios";#N/A,#N/A,FALSE,"CWIP_Yr_End";#N/A,#N/A,FALSE,"Nuc_Fuel";#N/A,#N/A,FALSE,"New_Gen";#N/A,#N/A,FALSE,"New_Trans";#N/A,#N/A,FALSE,"DSM";#N/A,#N/A,FALSE,"Factors"}</definedName>
    <definedName name="wrn.USIM_Data._2" localSheetId="14">{#N/A,#N/A,FALSE,"Expenditures";#N/A,#N/A,FALSE,"Property Placed In-Service";#N/A,#N/A,FALSE,"Removals";#N/A,#N/A,FALSE,"Retirements";#N/A,#N/A,FALSE,"CWIP Balances";#N/A,#N/A,FALSE,"CWIP_Expend_Ratios";#N/A,#N/A,FALSE,"CWIP_Yr_End";#N/A,#N/A,FALSE,"Nuc_Fuel";#N/A,#N/A,FALSE,"New_Gen";#N/A,#N/A,FALSE,"New_Trans";#N/A,#N/A,FALSE,"DSM";#N/A,#N/A,FALSE,"Factors"}</definedName>
    <definedName name="wrn.USIM_Data._2">{#N/A,#N/A,FALSE,"Expenditures";#N/A,#N/A,FALSE,"Property Placed In-Service";#N/A,#N/A,FALSE,"Removals";#N/A,#N/A,FALSE,"Retirements";#N/A,#N/A,FALSE,"CWIP Balances";#N/A,#N/A,FALSE,"CWIP_Expend_Ratios";#N/A,#N/A,FALSE,"CWIP_Yr_End";#N/A,#N/A,FALSE,"Nuc_Fuel";#N/A,#N/A,FALSE,"New_Gen";#N/A,#N/A,FALSE,"New_Trans";#N/A,#N/A,FALSE,"DSM";#N/A,#N/A,FALSE,"Factors"}</definedName>
    <definedName name="wrn.USIM_Data_Abbrev." localSheetId="14">{#N/A,#N/A,FALSE,"Expenditures";#N/A,#N/A,FALSE,"Property Placed In-Service";#N/A,#N/A,FALSE,"Removals";#N/A,#N/A,FALSE,"Retirements";#N/A,#N/A,FALSE,"CWIP Balances";#N/A,#N/A,FALSE,"CWIP_Expend_Ratios";#N/A,#N/A,FALSE,"CWIP_Yr_End"}</definedName>
    <definedName name="wrn.USIM_Data_Abbrev.">{#N/A,#N/A,FALSE,"Expenditures";#N/A,#N/A,FALSE,"Property Placed In-Service";#N/A,#N/A,FALSE,"Removals";#N/A,#N/A,FALSE,"Retirements";#N/A,#N/A,FALSE,"CWIP Balances";#N/A,#N/A,FALSE,"CWIP_Expend_Ratios";#N/A,#N/A,FALSE,"CWIP_Yr_End"}</definedName>
    <definedName name="wrn.USIM_Data_Abbrev._1" localSheetId="14">{#N/A,#N/A,FALSE,"Expenditures";#N/A,#N/A,FALSE,"Property Placed In-Service";#N/A,#N/A,FALSE,"Removals";#N/A,#N/A,FALSE,"Retirements";#N/A,#N/A,FALSE,"CWIP Balances";#N/A,#N/A,FALSE,"CWIP_Expend_Ratios";#N/A,#N/A,FALSE,"CWIP_Yr_End"}</definedName>
    <definedName name="wrn.USIM_Data_Abbrev._1">{#N/A,#N/A,FALSE,"Expenditures";#N/A,#N/A,FALSE,"Property Placed In-Service";#N/A,#N/A,FALSE,"Removals";#N/A,#N/A,FALSE,"Retirements";#N/A,#N/A,FALSE,"CWIP Balances";#N/A,#N/A,FALSE,"CWIP_Expend_Ratios";#N/A,#N/A,FALSE,"CWIP_Yr_End"}</definedName>
    <definedName name="wrn.USIM_Data_Abbrev._1_1" localSheetId="14">{#N/A,#N/A,FALSE,"Expenditures";#N/A,#N/A,FALSE,"Property Placed In-Service";#N/A,#N/A,FALSE,"Removals";#N/A,#N/A,FALSE,"Retirements";#N/A,#N/A,FALSE,"CWIP Balances";#N/A,#N/A,FALSE,"CWIP_Expend_Ratios";#N/A,#N/A,FALSE,"CWIP_Yr_End"}</definedName>
    <definedName name="wrn.USIM_Data_Abbrev._1_1">{#N/A,#N/A,FALSE,"Expenditures";#N/A,#N/A,FALSE,"Property Placed In-Service";#N/A,#N/A,FALSE,"Removals";#N/A,#N/A,FALSE,"Retirements";#N/A,#N/A,FALSE,"CWIP Balances";#N/A,#N/A,FALSE,"CWIP_Expend_Ratios";#N/A,#N/A,FALSE,"CWIP_Yr_End"}</definedName>
    <definedName name="wrn.USIM_Data_Abbrev._2" localSheetId="14">{#N/A,#N/A,FALSE,"Expenditures";#N/A,#N/A,FALSE,"Property Placed In-Service";#N/A,#N/A,FALSE,"Removals";#N/A,#N/A,FALSE,"Retirements";#N/A,#N/A,FALSE,"CWIP Balances";#N/A,#N/A,FALSE,"CWIP_Expend_Ratios";#N/A,#N/A,FALSE,"CWIP_Yr_End"}</definedName>
    <definedName name="wrn.USIM_Data_Abbrev._2">{#N/A,#N/A,FALSE,"Expenditures";#N/A,#N/A,FALSE,"Property Placed In-Service";#N/A,#N/A,FALSE,"Removals";#N/A,#N/A,FALSE,"Retirements";#N/A,#N/A,FALSE,"CWIP Balances";#N/A,#N/A,FALSE,"CWIP_Expend_Ratios";#N/A,#N/A,FALSE,"CWIP_Yr_End"}</definedName>
    <definedName name="wrn.USIM_Data_Abbrev3." localSheetId="14">{#N/A,#N/A,FALSE,"Expenditures";#N/A,#N/A,FALSE,"Property Placed In-Service";#N/A,#N/A,FALSE,"CWIP Balances"}</definedName>
    <definedName name="wrn.USIM_Data_Abbrev3.">{#N/A,#N/A,FALSE,"Expenditures";#N/A,#N/A,FALSE,"Property Placed In-Service";#N/A,#N/A,FALSE,"CWIP Balances"}</definedName>
    <definedName name="wrn.USIM_Data_Abbrev3._1" localSheetId="14">{#N/A,#N/A,FALSE,"Expenditures";#N/A,#N/A,FALSE,"Property Placed In-Service";#N/A,#N/A,FALSE,"CWIP Balances"}</definedName>
    <definedName name="wrn.USIM_Data_Abbrev3._1">{#N/A,#N/A,FALSE,"Expenditures";#N/A,#N/A,FALSE,"Property Placed In-Service";#N/A,#N/A,FALSE,"CWIP Balances"}</definedName>
    <definedName name="wrn.USIM_Data_Abbrev3._1_1" localSheetId="14">{#N/A,#N/A,FALSE,"Expenditures";#N/A,#N/A,FALSE,"Property Placed In-Service";#N/A,#N/A,FALSE,"CWIP Balances"}</definedName>
    <definedName name="wrn.USIM_Data_Abbrev3._1_1">{#N/A,#N/A,FALSE,"Expenditures";#N/A,#N/A,FALSE,"Property Placed In-Service";#N/A,#N/A,FALSE,"CWIP Balances"}</definedName>
    <definedName name="wrn.USIM_Data_Abbrev3._2" localSheetId="14">{#N/A,#N/A,FALSE,"Expenditures";#N/A,#N/A,FALSE,"Property Placed In-Service";#N/A,#N/A,FALSE,"CWIP Balances"}</definedName>
    <definedName name="wrn.USIM_Data_Abbrev3._2">{#N/A,#N/A,FALSE,"Expenditures";#N/A,#N/A,FALSE,"Property Placed In-Service";#N/A,#N/A,FALSE,"CWIP Balances"}</definedName>
    <definedName name="wrn.Variance._.Report." localSheetId="14">{#N/A,#N/A,TRUE,"Sheet5";#N/A,#N/A,TRUE,"Sheet5"}</definedName>
    <definedName name="wrn.Variance._.Report.">{#N/A,#N/A,TRUE,"Sheet5";#N/A,#N/A,TRUE,"Sheet5"}</definedName>
    <definedName name="wrn.wamr." localSheetId="14">{#N/A,#N/A,FALSE,"Header";#N/A,#N/A,FALSE,"Assumptions";#N/A,#N/A,FALSE,"Summary";#N/A,#N/A,FALSE,"Client Cost Baseline";#N/A,#N/A,FALSE,"Service Delivery ";#N/A,#N/A,FALSE,"Service Management";#N/A,#N/A,FALSE,"Transition";#N/A,#N/A,FALSE,"Business Integration";#N/A,#N/A,FALSE,"Operating Costs";#N/A,#N/A,FALSE,"Capex";#N/A,#N/A,FALSE,"Accommodation";#N/A,#N/A,FALSE,"Telecommunications";#N/A,#N/A,FALSE,"LAN Server";#N/A,#N/A,FALSE,"Payslip Processing";#N/A,#N/A,FALSE,"Trans Non Payroll";#N/A,#N/A,FALSE,"HRMIS"}</definedName>
    <definedName name="wrn.wamr.">{#N/A,#N/A,FALSE,"Header";#N/A,#N/A,FALSE,"Assumptions";#N/A,#N/A,FALSE,"Summary";#N/A,#N/A,FALSE,"Client Cost Baseline";#N/A,#N/A,FALSE,"Service Delivery ";#N/A,#N/A,FALSE,"Service Management";#N/A,#N/A,FALSE,"Transition";#N/A,#N/A,FALSE,"Business Integration";#N/A,#N/A,FALSE,"Operating Costs";#N/A,#N/A,FALSE,"Capex";#N/A,#N/A,FALSE,"Accommodation";#N/A,#N/A,FALSE,"Telecommunications";#N/A,#N/A,FALSE,"LAN Server";#N/A,#N/A,FALSE,"Payslip Processing";#N/A,#N/A,FALSE,"Trans Non Payroll";#N/A,#N/A,FALSE,"HRMIS"}</definedName>
    <definedName name="wrn.year._.2004." localSheetId="14">{"2004 4 April",#N/A,FALSE,"Apr2004";"2004 5 May",#N/A,FALSE,"May2004";"2004 6 June",#N/A,FALSE,"Jun2004";"2004 7 July",#N/A,FALSE,"Jul2004";"2004 8 August",#N/A,FALSE,"Aug2004";"2004 9 Sept",#N/A,FALSE,"Sep2004";"2004 10 Oct",#N/A,FALSE,"Oct2004";#N/A,#N/A,FALSE,"Nov2004";#N/A,#N/A,FALSE,"Dec2004"}</definedName>
    <definedName name="wrn.year._.2004.">{"2004 4 April",#N/A,FALSE,"Apr2004";"2004 5 May",#N/A,FALSE,"May2004";"2004 6 June",#N/A,FALSE,"Jun2004";"2004 7 July",#N/A,FALSE,"Jul2004";"2004 8 August",#N/A,FALSE,"Aug2004";"2004 9 Sept",#N/A,FALSE,"Sep2004";"2004 10 Oct",#N/A,FALSE,"Oct2004";#N/A,#N/A,FALSE,"Nov2004";#N/A,#N/A,FALSE,"Dec2004"}</definedName>
    <definedName name="wrn.year._.2004._1" localSheetId="14">{"2004 4 April",#N/A,FALSE,"Apr2004";"2004 5 May",#N/A,FALSE,"May2004";"2004 6 June",#N/A,FALSE,"Jun2004";"2004 7 July",#N/A,FALSE,"Jul2004";"2004 8 August",#N/A,FALSE,"Aug2004";"2004 9 Sept",#N/A,FALSE,"Sep2004";"2004 10 Oct",#N/A,FALSE,"Oct2004";#N/A,#N/A,FALSE,"Nov2004";#N/A,#N/A,FALSE,"Dec2004"}</definedName>
    <definedName name="wrn.year._.2004._1">{"2004 4 April",#N/A,FALSE,"Apr2004";"2004 5 May",#N/A,FALSE,"May2004";"2004 6 June",#N/A,FALSE,"Jun2004";"2004 7 July",#N/A,FALSE,"Jul2004";"2004 8 August",#N/A,FALSE,"Aug2004";"2004 9 Sept",#N/A,FALSE,"Sep2004";"2004 10 Oct",#N/A,FALSE,"Oct2004";#N/A,#N/A,FALSE,"Nov2004";#N/A,#N/A,FALSE,"Dec2004"}</definedName>
    <definedName name="wrn.year._.2004._1_2" localSheetId="14">{"2004 4 April",#N/A,FALSE,"Apr2004";"2004 5 May",#N/A,FALSE,"May2004";"2004 6 June",#N/A,FALSE,"Jun2004";"2004 7 July",#N/A,FALSE,"Jul2004";"2004 8 August",#N/A,FALSE,"Aug2004";"2004 9 Sept",#N/A,FALSE,"Sep2004";"2004 10 Oct",#N/A,FALSE,"Oct2004";#N/A,#N/A,FALSE,"Nov2004";#N/A,#N/A,FALSE,"Dec2004"}</definedName>
    <definedName name="wrn.year._.2004._1_2">{"2004 4 April",#N/A,FALSE,"Apr2004";"2004 5 May",#N/A,FALSE,"May2004";"2004 6 June",#N/A,FALSE,"Jun2004";"2004 7 July",#N/A,FALSE,"Jul2004";"2004 8 August",#N/A,FALSE,"Aug2004";"2004 9 Sept",#N/A,FALSE,"Sep2004";"2004 10 Oct",#N/A,FALSE,"Oct2004";#N/A,#N/A,FALSE,"Nov2004";#N/A,#N/A,FALSE,"Dec2004"}</definedName>
    <definedName name="wrn.year._.2004._1_2_1" localSheetId="14">{"2004 4 April",#N/A,FALSE,"Apr2004";"2004 5 May",#N/A,FALSE,"May2004";"2004 6 June",#N/A,FALSE,"Jun2004";"2004 7 July",#N/A,FALSE,"Jul2004";"2004 8 August",#N/A,FALSE,"Aug2004";"2004 9 Sept",#N/A,FALSE,"Sep2004";"2004 10 Oct",#N/A,FALSE,"Oct2004";#N/A,#N/A,FALSE,"Nov2004";#N/A,#N/A,FALSE,"Dec2004"}</definedName>
    <definedName name="wrn.year._.2004._1_2_1">{"2004 4 April",#N/A,FALSE,"Apr2004";"2004 5 May",#N/A,FALSE,"May2004";"2004 6 June",#N/A,FALSE,"Jun2004";"2004 7 July",#N/A,FALSE,"Jul2004";"2004 8 August",#N/A,FALSE,"Aug2004";"2004 9 Sept",#N/A,FALSE,"Sep2004";"2004 10 Oct",#N/A,FALSE,"Oct2004";#N/A,#N/A,FALSE,"Nov2004";#N/A,#N/A,FALSE,"Dec2004"}</definedName>
    <definedName name="wrn.year._.2004._2" localSheetId="14">{"2004 4 April",#N/A,FALSE,"Apr2004";"2004 5 May",#N/A,FALSE,"May2004";"2004 6 June",#N/A,FALSE,"Jun2004";"2004 7 July",#N/A,FALSE,"Jul2004";"2004 8 August",#N/A,FALSE,"Aug2004";"2004 9 Sept",#N/A,FALSE,"Sep2004";"2004 10 Oct",#N/A,FALSE,"Oct2004";#N/A,#N/A,FALSE,"Nov2004";#N/A,#N/A,FALSE,"Dec2004"}</definedName>
    <definedName name="wrn.year._.2004._2">{"2004 4 April",#N/A,FALSE,"Apr2004";"2004 5 May",#N/A,FALSE,"May2004";"2004 6 June",#N/A,FALSE,"Jun2004";"2004 7 July",#N/A,FALSE,"Jul2004";"2004 8 August",#N/A,FALSE,"Aug2004";"2004 9 Sept",#N/A,FALSE,"Sep2004";"2004 10 Oct",#N/A,FALSE,"Oct2004";#N/A,#N/A,FALSE,"Nov2004";#N/A,#N/A,FALSE,"Dec2004"}</definedName>
    <definedName name="wrn.year._.2004._2_1" localSheetId="14">{"2004 4 April",#N/A,FALSE,"Apr2004";"2004 5 May",#N/A,FALSE,"May2004";"2004 6 June",#N/A,FALSE,"Jun2004";"2004 7 July",#N/A,FALSE,"Jul2004";"2004 8 August",#N/A,FALSE,"Aug2004";"2004 9 Sept",#N/A,FALSE,"Sep2004";"2004 10 Oct",#N/A,FALSE,"Oct2004";#N/A,#N/A,FALSE,"Nov2004";#N/A,#N/A,FALSE,"Dec2004"}</definedName>
    <definedName name="wrn.year._.2004._2_1">{"2004 4 April",#N/A,FALSE,"Apr2004";"2004 5 May",#N/A,FALSE,"May2004";"2004 6 June",#N/A,FALSE,"Jun2004";"2004 7 July",#N/A,FALSE,"Jul2004";"2004 8 August",#N/A,FALSE,"Aug2004";"2004 9 Sept",#N/A,FALSE,"Sep2004";"2004 10 Oct",#N/A,FALSE,"Oct2004";#N/A,#N/A,FALSE,"Nov2004";#N/A,#N/A,FALSE,"Dec2004"}</definedName>
    <definedName name="wrn.year._.2004._2_1_1" localSheetId="14">{"2004 4 April",#N/A,FALSE,"Apr2004";"2004 5 May",#N/A,FALSE,"May2004";"2004 6 June",#N/A,FALSE,"Jun2004";"2004 7 July",#N/A,FALSE,"Jul2004";"2004 8 August",#N/A,FALSE,"Aug2004";"2004 9 Sept",#N/A,FALSE,"Sep2004";"2004 10 Oct",#N/A,FALSE,"Oct2004";#N/A,#N/A,FALSE,"Nov2004";#N/A,#N/A,FALSE,"Dec2004"}</definedName>
    <definedName name="wrn.year._.2004._2_1_1">{"2004 4 April",#N/A,FALSE,"Apr2004";"2004 5 May",#N/A,FALSE,"May2004";"2004 6 June",#N/A,FALSE,"Jun2004";"2004 7 July",#N/A,FALSE,"Jul2004";"2004 8 August",#N/A,FALSE,"Aug2004";"2004 9 Sept",#N/A,FALSE,"Sep2004";"2004 10 Oct",#N/A,FALSE,"Oct2004";#N/A,#N/A,FALSE,"Nov2004";#N/A,#N/A,FALSE,"Dec2004"}</definedName>
    <definedName name="wrn.year._.2004._2_1_1_1" localSheetId="14">{"2004 4 April",#N/A,FALSE,"Apr2004";"2004 5 May",#N/A,FALSE,"May2004";"2004 6 June",#N/A,FALSE,"Jun2004";"2004 7 July",#N/A,FALSE,"Jul2004";"2004 8 August",#N/A,FALSE,"Aug2004";"2004 9 Sept",#N/A,FALSE,"Sep2004";"2004 10 Oct",#N/A,FALSE,"Oct2004";#N/A,#N/A,FALSE,"Nov2004";#N/A,#N/A,FALSE,"Dec2004"}</definedName>
    <definedName name="wrn.year._.2004._2_1_1_1">{"2004 4 April",#N/A,FALSE,"Apr2004";"2004 5 May",#N/A,FALSE,"May2004";"2004 6 June",#N/A,FALSE,"Jun2004";"2004 7 July",#N/A,FALSE,"Jul2004";"2004 8 August",#N/A,FALSE,"Aug2004";"2004 9 Sept",#N/A,FALSE,"Sep2004";"2004 10 Oct",#N/A,FALSE,"Oct2004";#N/A,#N/A,FALSE,"Nov2004";#N/A,#N/A,FALSE,"Dec2004"}</definedName>
    <definedName name="wrn.year._.2004._2_1_2" localSheetId="14">{"2004 4 April",#N/A,FALSE,"Apr2004";"2004 5 May",#N/A,FALSE,"May2004";"2004 6 June",#N/A,FALSE,"Jun2004";"2004 7 July",#N/A,FALSE,"Jul2004";"2004 8 August",#N/A,FALSE,"Aug2004";"2004 9 Sept",#N/A,FALSE,"Sep2004";"2004 10 Oct",#N/A,FALSE,"Oct2004";#N/A,#N/A,FALSE,"Nov2004";#N/A,#N/A,FALSE,"Dec2004"}</definedName>
    <definedName name="wrn.year._.2004._2_1_2">{"2004 4 April",#N/A,FALSE,"Apr2004";"2004 5 May",#N/A,FALSE,"May2004";"2004 6 June",#N/A,FALSE,"Jun2004";"2004 7 July",#N/A,FALSE,"Jul2004";"2004 8 August",#N/A,FALSE,"Aug2004";"2004 9 Sept",#N/A,FALSE,"Sep2004";"2004 10 Oct",#N/A,FALSE,"Oct2004";#N/A,#N/A,FALSE,"Nov2004";#N/A,#N/A,FALSE,"Dec2004"}</definedName>
    <definedName name="wrn.year._.2004._2_2" localSheetId="14">{"2004 4 April",#N/A,FALSE,"Apr2004";"2004 5 May",#N/A,FALSE,"May2004";"2004 6 June",#N/A,FALSE,"Jun2004";"2004 7 July",#N/A,FALSE,"Jul2004";"2004 8 August",#N/A,FALSE,"Aug2004";"2004 9 Sept",#N/A,FALSE,"Sep2004";"2004 10 Oct",#N/A,FALSE,"Oct2004";#N/A,#N/A,FALSE,"Nov2004";#N/A,#N/A,FALSE,"Dec2004"}</definedName>
    <definedName name="wrn.year._.2004._2_2">{"2004 4 April",#N/A,FALSE,"Apr2004";"2004 5 May",#N/A,FALSE,"May2004";"2004 6 June",#N/A,FALSE,"Jun2004";"2004 7 July",#N/A,FALSE,"Jul2004";"2004 8 August",#N/A,FALSE,"Aug2004";"2004 9 Sept",#N/A,FALSE,"Sep2004";"2004 10 Oct",#N/A,FALSE,"Oct2004";#N/A,#N/A,FALSE,"Nov2004";#N/A,#N/A,FALSE,"Dec2004"}</definedName>
    <definedName name="wrn.year._.2004._2_2_1" localSheetId="14">{"2004 4 April",#N/A,FALSE,"Apr2004";"2004 5 May",#N/A,FALSE,"May2004";"2004 6 June",#N/A,FALSE,"Jun2004";"2004 7 July",#N/A,FALSE,"Jul2004";"2004 8 August",#N/A,FALSE,"Aug2004";"2004 9 Sept",#N/A,FALSE,"Sep2004";"2004 10 Oct",#N/A,FALSE,"Oct2004";#N/A,#N/A,FALSE,"Nov2004";#N/A,#N/A,FALSE,"Dec2004"}</definedName>
    <definedName name="wrn.year._.2004._2_2_1">{"2004 4 April",#N/A,FALSE,"Apr2004";"2004 5 May",#N/A,FALSE,"May2004";"2004 6 June",#N/A,FALSE,"Jun2004";"2004 7 July",#N/A,FALSE,"Jul2004";"2004 8 August",#N/A,FALSE,"Aug2004";"2004 9 Sept",#N/A,FALSE,"Sep2004";"2004 10 Oct",#N/A,FALSE,"Oct2004";#N/A,#N/A,FALSE,"Nov2004";#N/A,#N/A,FALSE,"Dec2004"}</definedName>
    <definedName name="wrn.year._.2004._2_3" localSheetId="14">{"2004 4 April",#N/A,FALSE,"Apr2004";"2004 5 May",#N/A,FALSE,"May2004";"2004 6 June",#N/A,FALSE,"Jun2004";"2004 7 July",#N/A,FALSE,"Jul2004";"2004 8 August",#N/A,FALSE,"Aug2004";"2004 9 Sept",#N/A,FALSE,"Sep2004";"2004 10 Oct",#N/A,FALSE,"Oct2004";#N/A,#N/A,FALSE,"Nov2004";#N/A,#N/A,FALSE,"Dec2004"}</definedName>
    <definedName name="wrn.year._.2004._2_3">{"2004 4 April",#N/A,FALSE,"Apr2004";"2004 5 May",#N/A,FALSE,"May2004";"2004 6 June",#N/A,FALSE,"Jun2004";"2004 7 July",#N/A,FALSE,"Jul2004";"2004 8 August",#N/A,FALSE,"Aug2004";"2004 9 Sept",#N/A,FALSE,"Sep2004";"2004 10 Oct",#N/A,FALSE,"Oct2004";#N/A,#N/A,FALSE,"Nov2004";#N/A,#N/A,FALSE,"Dec2004"}</definedName>
    <definedName name="wrn.year._.2004._2_3_1" localSheetId="14">{"2004 4 April",#N/A,FALSE,"Apr2004";"2004 5 May",#N/A,FALSE,"May2004";"2004 6 June",#N/A,FALSE,"Jun2004";"2004 7 July",#N/A,FALSE,"Jul2004";"2004 8 August",#N/A,FALSE,"Aug2004";"2004 9 Sept",#N/A,FALSE,"Sep2004";"2004 10 Oct",#N/A,FALSE,"Oct2004";#N/A,#N/A,FALSE,"Nov2004";#N/A,#N/A,FALSE,"Dec2004"}</definedName>
    <definedName name="wrn.year._.2004._2_3_1">{"2004 4 April",#N/A,FALSE,"Apr2004";"2004 5 May",#N/A,FALSE,"May2004";"2004 6 June",#N/A,FALSE,"Jun2004";"2004 7 July",#N/A,FALSE,"Jul2004";"2004 8 August",#N/A,FALSE,"Aug2004";"2004 9 Sept",#N/A,FALSE,"Sep2004";"2004 10 Oct",#N/A,FALSE,"Oct2004";#N/A,#N/A,FALSE,"Nov2004";#N/A,#N/A,FALSE,"Dec2004"}</definedName>
    <definedName name="wrn.year._.2004._2_4" localSheetId="14">{"2004 4 April",#N/A,FALSE,"Apr2004";"2004 5 May",#N/A,FALSE,"May2004";"2004 6 June",#N/A,FALSE,"Jun2004";"2004 7 July",#N/A,FALSE,"Jul2004";"2004 8 August",#N/A,FALSE,"Aug2004";"2004 9 Sept",#N/A,FALSE,"Sep2004";"2004 10 Oct",#N/A,FALSE,"Oct2004";#N/A,#N/A,FALSE,"Nov2004";#N/A,#N/A,FALSE,"Dec2004"}</definedName>
    <definedName name="wrn.year._.2004._2_4">{"2004 4 April",#N/A,FALSE,"Apr2004";"2004 5 May",#N/A,FALSE,"May2004";"2004 6 June",#N/A,FALSE,"Jun2004";"2004 7 July",#N/A,FALSE,"Jul2004";"2004 8 August",#N/A,FALSE,"Aug2004";"2004 9 Sept",#N/A,FALSE,"Sep2004";"2004 10 Oct",#N/A,FALSE,"Oct2004";#N/A,#N/A,FALSE,"Nov2004";#N/A,#N/A,FALSE,"Dec2004"}</definedName>
    <definedName name="wrn.year._.2004._2_4_1" localSheetId="14">{"2004 4 April",#N/A,FALSE,"Apr2004";"2004 5 May",#N/A,FALSE,"May2004";"2004 6 June",#N/A,FALSE,"Jun2004";"2004 7 July",#N/A,FALSE,"Jul2004";"2004 8 August",#N/A,FALSE,"Aug2004";"2004 9 Sept",#N/A,FALSE,"Sep2004";"2004 10 Oct",#N/A,FALSE,"Oct2004";#N/A,#N/A,FALSE,"Nov2004";#N/A,#N/A,FALSE,"Dec2004"}</definedName>
    <definedName name="wrn.year._.2004._2_4_1">{"2004 4 April",#N/A,FALSE,"Apr2004";"2004 5 May",#N/A,FALSE,"May2004";"2004 6 June",#N/A,FALSE,"Jun2004";"2004 7 July",#N/A,FALSE,"Jul2004";"2004 8 August",#N/A,FALSE,"Aug2004";"2004 9 Sept",#N/A,FALSE,"Sep2004";"2004 10 Oct",#N/A,FALSE,"Oct2004";#N/A,#N/A,FALSE,"Nov2004";#N/A,#N/A,FALSE,"Dec2004"}</definedName>
    <definedName name="wrn.year._.2004._2_5" localSheetId="14">{"2004 4 April",#N/A,FALSE,"Apr2004";"2004 5 May",#N/A,FALSE,"May2004";"2004 6 June",#N/A,FALSE,"Jun2004";"2004 7 July",#N/A,FALSE,"Jul2004";"2004 8 August",#N/A,FALSE,"Aug2004";"2004 9 Sept",#N/A,FALSE,"Sep2004";"2004 10 Oct",#N/A,FALSE,"Oct2004";#N/A,#N/A,FALSE,"Nov2004";#N/A,#N/A,FALSE,"Dec2004"}</definedName>
    <definedName name="wrn.year._.2004._2_5">{"2004 4 April",#N/A,FALSE,"Apr2004";"2004 5 May",#N/A,FALSE,"May2004";"2004 6 June",#N/A,FALSE,"Jun2004";"2004 7 July",#N/A,FALSE,"Jul2004";"2004 8 August",#N/A,FALSE,"Aug2004";"2004 9 Sept",#N/A,FALSE,"Sep2004";"2004 10 Oct",#N/A,FALSE,"Oct2004";#N/A,#N/A,FALSE,"Nov2004";#N/A,#N/A,FALSE,"Dec2004"}</definedName>
    <definedName name="wrn.year._.2004._3" localSheetId="14">{"2004 4 April",#N/A,FALSE,"Apr2004";"2004 5 May",#N/A,FALSE,"May2004";"2004 6 June",#N/A,FALSE,"Jun2004";"2004 7 July",#N/A,FALSE,"Jul2004";"2004 8 August",#N/A,FALSE,"Aug2004";"2004 9 Sept",#N/A,FALSE,"Sep2004";"2004 10 Oct",#N/A,FALSE,"Oct2004";#N/A,#N/A,FALSE,"Nov2004";#N/A,#N/A,FALSE,"Dec2004"}</definedName>
    <definedName name="wrn.year._.2004._3">{"2004 4 April",#N/A,FALSE,"Apr2004";"2004 5 May",#N/A,FALSE,"May2004";"2004 6 June",#N/A,FALSE,"Jun2004";"2004 7 July",#N/A,FALSE,"Jul2004";"2004 8 August",#N/A,FALSE,"Aug2004";"2004 9 Sept",#N/A,FALSE,"Sep2004";"2004 10 Oct",#N/A,FALSE,"Oct2004";#N/A,#N/A,FALSE,"Nov2004";#N/A,#N/A,FALSE,"Dec2004"}</definedName>
    <definedName name="wrn.year._.2004._3_1" localSheetId="14">{"2004 4 April",#N/A,FALSE,"Apr2004";"2004 5 May",#N/A,FALSE,"May2004";"2004 6 June",#N/A,FALSE,"Jun2004";"2004 7 July",#N/A,FALSE,"Jul2004";"2004 8 August",#N/A,FALSE,"Aug2004";"2004 9 Sept",#N/A,FALSE,"Sep2004";"2004 10 Oct",#N/A,FALSE,"Oct2004";#N/A,#N/A,FALSE,"Nov2004";#N/A,#N/A,FALSE,"Dec2004"}</definedName>
    <definedName name="wrn.year._.2004._3_1">{"2004 4 April",#N/A,FALSE,"Apr2004";"2004 5 May",#N/A,FALSE,"May2004";"2004 6 June",#N/A,FALSE,"Jun2004";"2004 7 July",#N/A,FALSE,"Jul2004";"2004 8 August",#N/A,FALSE,"Aug2004";"2004 9 Sept",#N/A,FALSE,"Sep2004";"2004 10 Oct",#N/A,FALSE,"Oct2004";#N/A,#N/A,FALSE,"Nov2004";#N/A,#N/A,FALSE,"Dec2004"}</definedName>
    <definedName name="wrn.year._.2004._3_1_1" localSheetId="14">{"2004 4 April",#N/A,FALSE,"Apr2004";"2004 5 May",#N/A,FALSE,"May2004";"2004 6 June",#N/A,FALSE,"Jun2004";"2004 7 July",#N/A,FALSE,"Jul2004";"2004 8 August",#N/A,FALSE,"Aug2004";"2004 9 Sept",#N/A,FALSE,"Sep2004";"2004 10 Oct",#N/A,FALSE,"Oct2004";#N/A,#N/A,FALSE,"Nov2004";#N/A,#N/A,FALSE,"Dec2004"}</definedName>
    <definedName name="wrn.year._.2004._3_1_1">{"2004 4 April",#N/A,FALSE,"Apr2004";"2004 5 May",#N/A,FALSE,"May2004";"2004 6 June",#N/A,FALSE,"Jun2004";"2004 7 July",#N/A,FALSE,"Jul2004";"2004 8 August",#N/A,FALSE,"Aug2004";"2004 9 Sept",#N/A,FALSE,"Sep2004";"2004 10 Oct",#N/A,FALSE,"Oct2004";#N/A,#N/A,FALSE,"Nov2004";#N/A,#N/A,FALSE,"Dec2004"}</definedName>
    <definedName name="wrn.year._.2004._3_1_1_1" localSheetId="14">{"2004 4 April",#N/A,FALSE,"Apr2004";"2004 5 May",#N/A,FALSE,"May2004";"2004 6 June",#N/A,FALSE,"Jun2004";"2004 7 July",#N/A,FALSE,"Jul2004";"2004 8 August",#N/A,FALSE,"Aug2004";"2004 9 Sept",#N/A,FALSE,"Sep2004";"2004 10 Oct",#N/A,FALSE,"Oct2004";#N/A,#N/A,FALSE,"Nov2004";#N/A,#N/A,FALSE,"Dec2004"}</definedName>
    <definedName name="wrn.year._.2004._3_1_1_1">{"2004 4 April",#N/A,FALSE,"Apr2004";"2004 5 May",#N/A,FALSE,"May2004";"2004 6 June",#N/A,FALSE,"Jun2004";"2004 7 July",#N/A,FALSE,"Jul2004";"2004 8 August",#N/A,FALSE,"Aug2004";"2004 9 Sept",#N/A,FALSE,"Sep2004";"2004 10 Oct",#N/A,FALSE,"Oct2004";#N/A,#N/A,FALSE,"Nov2004";#N/A,#N/A,FALSE,"Dec2004"}</definedName>
    <definedName name="wrn.year._.2004._3_1_2" localSheetId="14">{"2004 4 April",#N/A,FALSE,"Apr2004";"2004 5 May",#N/A,FALSE,"May2004";"2004 6 June",#N/A,FALSE,"Jun2004";"2004 7 July",#N/A,FALSE,"Jul2004";"2004 8 August",#N/A,FALSE,"Aug2004";"2004 9 Sept",#N/A,FALSE,"Sep2004";"2004 10 Oct",#N/A,FALSE,"Oct2004";#N/A,#N/A,FALSE,"Nov2004";#N/A,#N/A,FALSE,"Dec2004"}</definedName>
    <definedName name="wrn.year._.2004._3_1_2">{"2004 4 April",#N/A,FALSE,"Apr2004";"2004 5 May",#N/A,FALSE,"May2004";"2004 6 June",#N/A,FALSE,"Jun2004";"2004 7 July",#N/A,FALSE,"Jul2004";"2004 8 August",#N/A,FALSE,"Aug2004";"2004 9 Sept",#N/A,FALSE,"Sep2004";"2004 10 Oct",#N/A,FALSE,"Oct2004";#N/A,#N/A,FALSE,"Nov2004";#N/A,#N/A,FALSE,"Dec2004"}</definedName>
    <definedName name="wrn.year._.2004._3_2" localSheetId="14">{"2004 4 April",#N/A,FALSE,"Apr2004";"2004 5 May",#N/A,FALSE,"May2004";"2004 6 June",#N/A,FALSE,"Jun2004";"2004 7 July",#N/A,FALSE,"Jul2004";"2004 8 August",#N/A,FALSE,"Aug2004";"2004 9 Sept",#N/A,FALSE,"Sep2004";"2004 10 Oct",#N/A,FALSE,"Oct2004";#N/A,#N/A,FALSE,"Nov2004";#N/A,#N/A,FALSE,"Dec2004"}</definedName>
    <definedName name="wrn.year._.2004._3_2">{"2004 4 April",#N/A,FALSE,"Apr2004";"2004 5 May",#N/A,FALSE,"May2004";"2004 6 June",#N/A,FALSE,"Jun2004";"2004 7 July",#N/A,FALSE,"Jul2004";"2004 8 August",#N/A,FALSE,"Aug2004";"2004 9 Sept",#N/A,FALSE,"Sep2004";"2004 10 Oct",#N/A,FALSE,"Oct2004";#N/A,#N/A,FALSE,"Nov2004";#N/A,#N/A,FALSE,"Dec2004"}</definedName>
    <definedName name="wrn.year._.2004._3_2_1" localSheetId="14">{"2004 4 April",#N/A,FALSE,"Apr2004";"2004 5 May",#N/A,FALSE,"May2004";"2004 6 June",#N/A,FALSE,"Jun2004";"2004 7 July",#N/A,FALSE,"Jul2004";"2004 8 August",#N/A,FALSE,"Aug2004";"2004 9 Sept",#N/A,FALSE,"Sep2004";"2004 10 Oct",#N/A,FALSE,"Oct2004";#N/A,#N/A,FALSE,"Nov2004";#N/A,#N/A,FALSE,"Dec2004"}</definedName>
    <definedName name="wrn.year._.2004._3_2_1">{"2004 4 April",#N/A,FALSE,"Apr2004";"2004 5 May",#N/A,FALSE,"May2004";"2004 6 June",#N/A,FALSE,"Jun2004";"2004 7 July",#N/A,FALSE,"Jul2004";"2004 8 August",#N/A,FALSE,"Aug2004";"2004 9 Sept",#N/A,FALSE,"Sep2004";"2004 10 Oct",#N/A,FALSE,"Oct2004";#N/A,#N/A,FALSE,"Nov2004";#N/A,#N/A,FALSE,"Dec2004"}</definedName>
    <definedName name="wrn.year._.2004._3_3" localSheetId="14">{"2004 4 April",#N/A,FALSE,"Apr2004";"2004 5 May",#N/A,FALSE,"May2004";"2004 6 June",#N/A,FALSE,"Jun2004";"2004 7 July",#N/A,FALSE,"Jul2004";"2004 8 August",#N/A,FALSE,"Aug2004";"2004 9 Sept",#N/A,FALSE,"Sep2004";"2004 10 Oct",#N/A,FALSE,"Oct2004";#N/A,#N/A,FALSE,"Nov2004";#N/A,#N/A,FALSE,"Dec2004"}</definedName>
    <definedName name="wrn.year._.2004._3_3">{"2004 4 April",#N/A,FALSE,"Apr2004";"2004 5 May",#N/A,FALSE,"May2004";"2004 6 June",#N/A,FALSE,"Jun2004";"2004 7 July",#N/A,FALSE,"Jul2004";"2004 8 August",#N/A,FALSE,"Aug2004";"2004 9 Sept",#N/A,FALSE,"Sep2004";"2004 10 Oct",#N/A,FALSE,"Oct2004";#N/A,#N/A,FALSE,"Nov2004";#N/A,#N/A,FALSE,"Dec2004"}</definedName>
    <definedName name="wrn.year._.2004._3_3_1" localSheetId="14">{"2004 4 April",#N/A,FALSE,"Apr2004";"2004 5 May",#N/A,FALSE,"May2004";"2004 6 June",#N/A,FALSE,"Jun2004";"2004 7 July",#N/A,FALSE,"Jul2004";"2004 8 August",#N/A,FALSE,"Aug2004";"2004 9 Sept",#N/A,FALSE,"Sep2004";"2004 10 Oct",#N/A,FALSE,"Oct2004";#N/A,#N/A,FALSE,"Nov2004";#N/A,#N/A,FALSE,"Dec2004"}</definedName>
    <definedName name="wrn.year._.2004._3_3_1">{"2004 4 April",#N/A,FALSE,"Apr2004";"2004 5 May",#N/A,FALSE,"May2004";"2004 6 June",#N/A,FALSE,"Jun2004";"2004 7 July",#N/A,FALSE,"Jul2004";"2004 8 August",#N/A,FALSE,"Aug2004";"2004 9 Sept",#N/A,FALSE,"Sep2004";"2004 10 Oct",#N/A,FALSE,"Oct2004";#N/A,#N/A,FALSE,"Nov2004";#N/A,#N/A,FALSE,"Dec2004"}</definedName>
    <definedName name="wrn.year._.2004._3_4" localSheetId="14">{"2004 4 April",#N/A,FALSE,"Apr2004";"2004 5 May",#N/A,FALSE,"May2004";"2004 6 June",#N/A,FALSE,"Jun2004";"2004 7 July",#N/A,FALSE,"Jul2004";"2004 8 August",#N/A,FALSE,"Aug2004";"2004 9 Sept",#N/A,FALSE,"Sep2004";"2004 10 Oct",#N/A,FALSE,"Oct2004";#N/A,#N/A,FALSE,"Nov2004";#N/A,#N/A,FALSE,"Dec2004"}</definedName>
    <definedName name="wrn.year._.2004._3_4">{"2004 4 April",#N/A,FALSE,"Apr2004";"2004 5 May",#N/A,FALSE,"May2004";"2004 6 June",#N/A,FALSE,"Jun2004";"2004 7 July",#N/A,FALSE,"Jul2004";"2004 8 August",#N/A,FALSE,"Aug2004";"2004 9 Sept",#N/A,FALSE,"Sep2004";"2004 10 Oct",#N/A,FALSE,"Oct2004";#N/A,#N/A,FALSE,"Nov2004";#N/A,#N/A,FALSE,"Dec2004"}</definedName>
    <definedName name="wrn.year._.2004._3_4_1" localSheetId="14">{"2004 4 April",#N/A,FALSE,"Apr2004";"2004 5 May",#N/A,FALSE,"May2004";"2004 6 June",#N/A,FALSE,"Jun2004";"2004 7 July",#N/A,FALSE,"Jul2004";"2004 8 August",#N/A,FALSE,"Aug2004";"2004 9 Sept",#N/A,FALSE,"Sep2004";"2004 10 Oct",#N/A,FALSE,"Oct2004";#N/A,#N/A,FALSE,"Nov2004";#N/A,#N/A,FALSE,"Dec2004"}</definedName>
    <definedName name="wrn.year._.2004._3_4_1">{"2004 4 April",#N/A,FALSE,"Apr2004";"2004 5 May",#N/A,FALSE,"May2004";"2004 6 June",#N/A,FALSE,"Jun2004";"2004 7 July",#N/A,FALSE,"Jul2004";"2004 8 August",#N/A,FALSE,"Aug2004";"2004 9 Sept",#N/A,FALSE,"Sep2004";"2004 10 Oct",#N/A,FALSE,"Oct2004";#N/A,#N/A,FALSE,"Nov2004";#N/A,#N/A,FALSE,"Dec2004"}</definedName>
    <definedName name="wrn.year._.2004._3_5" localSheetId="14">{"2004 4 April",#N/A,FALSE,"Apr2004";"2004 5 May",#N/A,FALSE,"May2004";"2004 6 June",#N/A,FALSE,"Jun2004";"2004 7 July",#N/A,FALSE,"Jul2004";"2004 8 August",#N/A,FALSE,"Aug2004";"2004 9 Sept",#N/A,FALSE,"Sep2004";"2004 10 Oct",#N/A,FALSE,"Oct2004";#N/A,#N/A,FALSE,"Nov2004";#N/A,#N/A,FALSE,"Dec2004"}</definedName>
    <definedName name="wrn.year._.2004._3_5">{"2004 4 April",#N/A,FALSE,"Apr2004";"2004 5 May",#N/A,FALSE,"May2004";"2004 6 June",#N/A,FALSE,"Jun2004";"2004 7 July",#N/A,FALSE,"Jul2004";"2004 8 August",#N/A,FALSE,"Aug2004";"2004 9 Sept",#N/A,FALSE,"Sep2004";"2004 10 Oct",#N/A,FALSE,"Oct2004";#N/A,#N/A,FALSE,"Nov2004";#N/A,#N/A,FALSE,"Dec2004"}</definedName>
    <definedName name="wrn.year._.2004._4" localSheetId="14">{"2004 4 April",#N/A,FALSE,"Apr2004";"2004 5 May",#N/A,FALSE,"May2004";"2004 6 June",#N/A,FALSE,"Jun2004";"2004 7 July",#N/A,FALSE,"Jul2004";"2004 8 August",#N/A,FALSE,"Aug2004";"2004 9 Sept",#N/A,FALSE,"Sep2004";"2004 10 Oct",#N/A,FALSE,"Oct2004";#N/A,#N/A,FALSE,"Nov2004";#N/A,#N/A,FALSE,"Dec2004"}</definedName>
    <definedName name="wrn.year._.2004._4">{"2004 4 April",#N/A,FALSE,"Apr2004";"2004 5 May",#N/A,FALSE,"May2004";"2004 6 June",#N/A,FALSE,"Jun2004";"2004 7 July",#N/A,FALSE,"Jul2004";"2004 8 August",#N/A,FALSE,"Aug2004";"2004 9 Sept",#N/A,FALSE,"Sep2004";"2004 10 Oct",#N/A,FALSE,"Oct2004";#N/A,#N/A,FALSE,"Nov2004";#N/A,#N/A,FALSE,"Dec2004"}</definedName>
    <definedName name="wrn.year._.2004._4_1" localSheetId="14">{"2004 4 April",#N/A,FALSE,"Apr2004";"2004 5 May",#N/A,FALSE,"May2004";"2004 6 June",#N/A,FALSE,"Jun2004";"2004 7 July",#N/A,FALSE,"Jul2004";"2004 8 August",#N/A,FALSE,"Aug2004";"2004 9 Sept",#N/A,FALSE,"Sep2004";"2004 10 Oct",#N/A,FALSE,"Oct2004";#N/A,#N/A,FALSE,"Nov2004";#N/A,#N/A,FALSE,"Dec2004"}</definedName>
    <definedName name="wrn.year._.2004._4_1">{"2004 4 April",#N/A,FALSE,"Apr2004";"2004 5 May",#N/A,FALSE,"May2004";"2004 6 June",#N/A,FALSE,"Jun2004";"2004 7 July",#N/A,FALSE,"Jul2004";"2004 8 August",#N/A,FALSE,"Aug2004";"2004 9 Sept",#N/A,FALSE,"Sep2004";"2004 10 Oct",#N/A,FALSE,"Oct2004";#N/A,#N/A,FALSE,"Nov2004";#N/A,#N/A,FALSE,"Dec2004"}</definedName>
    <definedName name="wrn.year._.2004._4_1_1" localSheetId="14">{"2004 4 April",#N/A,FALSE,"Apr2004";"2004 5 May",#N/A,FALSE,"May2004";"2004 6 June",#N/A,FALSE,"Jun2004";"2004 7 July",#N/A,FALSE,"Jul2004";"2004 8 August",#N/A,FALSE,"Aug2004";"2004 9 Sept",#N/A,FALSE,"Sep2004";"2004 10 Oct",#N/A,FALSE,"Oct2004";#N/A,#N/A,FALSE,"Nov2004";#N/A,#N/A,FALSE,"Dec2004"}</definedName>
    <definedName name="wrn.year._.2004._4_1_1">{"2004 4 April",#N/A,FALSE,"Apr2004";"2004 5 May",#N/A,FALSE,"May2004";"2004 6 June",#N/A,FALSE,"Jun2004";"2004 7 July",#N/A,FALSE,"Jul2004";"2004 8 August",#N/A,FALSE,"Aug2004";"2004 9 Sept",#N/A,FALSE,"Sep2004";"2004 10 Oct",#N/A,FALSE,"Oct2004";#N/A,#N/A,FALSE,"Nov2004";#N/A,#N/A,FALSE,"Dec2004"}</definedName>
    <definedName name="wrn.year._.2004._4_1_1_1" localSheetId="14">{"2004 4 April",#N/A,FALSE,"Apr2004";"2004 5 May",#N/A,FALSE,"May2004";"2004 6 June",#N/A,FALSE,"Jun2004";"2004 7 July",#N/A,FALSE,"Jul2004";"2004 8 August",#N/A,FALSE,"Aug2004";"2004 9 Sept",#N/A,FALSE,"Sep2004";"2004 10 Oct",#N/A,FALSE,"Oct2004";#N/A,#N/A,FALSE,"Nov2004";#N/A,#N/A,FALSE,"Dec2004"}</definedName>
    <definedName name="wrn.year._.2004._4_1_1_1">{"2004 4 April",#N/A,FALSE,"Apr2004";"2004 5 May",#N/A,FALSE,"May2004";"2004 6 June",#N/A,FALSE,"Jun2004";"2004 7 July",#N/A,FALSE,"Jul2004";"2004 8 August",#N/A,FALSE,"Aug2004";"2004 9 Sept",#N/A,FALSE,"Sep2004";"2004 10 Oct",#N/A,FALSE,"Oct2004";#N/A,#N/A,FALSE,"Nov2004";#N/A,#N/A,FALSE,"Dec2004"}</definedName>
    <definedName name="wrn.year._.2004._4_1_2" localSheetId="14">{"2004 4 April",#N/A,FALSE,"Apr2004";"2004 5 May",#N/A,FALSE,"May2004";"2004 6 June",#N/A,FALSE,"Jun2004";"2004 7 July",#N/A,FALSE,"Jul2004";"2004 8 August",#N/A,FALSE,"Aug2004";"2004 9 Sept",#N/A,FALSE,"Sep2004";"2004 10 Oct",#N/A,FALSE,"Oct2004";#N/A,#N/A,FALSE,"Nov2004";#N/A,#N/A,FALSE,"Dec2004"}</definedName>
    <definedName name="wrn.year._.2004._4_1_2">{"2004 4 April",#N/A,FALSE,"Apr2004";"2004 5 May",#N/A,FALSE,"May2004";"2004 6 June",#N/A,FALSE,"Jun2004";"2004 7 July",#N/A,FALSE,"Jul2004";"2004 8 August",#N/A,FALSE,"Aug2004";"2004 9 Sept",#N/A,FALSE,"Sep2004";"2004 10 Oct",#N/A,FALSE,"Oct2004";#N/A,#N/A,FALSE,"Nov2004";#N/A,#N/A,FALSE,"Dec2004"}</definedName>
    <definedName name="wrn.year._.2004._4_2" localSheetId="14">{"2004 4 April",#N/A,FALSE,"Apr2004";"2004 5 May",#N/A,FALSE,"May2004";"2004 6 June",#N/A,FALSE,"Jun2004";"2004 7 July",#N/A,FALSE,"Jul2004";"2004 8 August",#N/A,FALSE,"Aug2004";"2004 9 Sept",#N/A,FALSE,"Sep2004";"2004 10 Oct",#N/A,FALSE,"Oct2004";#N/A,#N/A,FALSE,"Nov2004";#N/A,#N/A,FALSE,"Dec2004"}</definedName>
    <definedName name="wrn.year._.2004._4_2">{"2004 4 April",#N/A,FALSE,"Apr2004";"2004 5 May",#N/A,FALSE,"May2004";"2004 6 June",#N/A,FALSE,"Jun2004";"2004 7 July",#N/A,FALSE,"Jul2004";"2004 8 August",#N/A,FALSE,"Aug2004";"2004 9 Sept",#N/A,FALSE,"Sep2004";"2004 10 Oct",#N/A,FALSE,"Oct2004";#N/A,#N/A,FALSE,"Nov2004";#N/A,#N/A,FALSE,"Dec2004"}</definedName>
    <definedName name="wrn.year._.2004._4_2_1" localSheetId="14">{"2004 4 April",#N/A,FALSE,"Apr2004";"2004 5 May",#N/A,FALSE,"May2004";"2004 6 June",#N/A,FALSE,"Jun2004";"2004 7 July",#N/A,FALSE,"Jul2004";"2004 8 August",#N/A,FALSE,"Aug2004";"2004 9 Sept",#N/A,FALSE,"Sep2004";"2004 10 Oct",#N/A,FALSE,"Oct2004";#N/A,#N/A,FALSE,"Nov2004";#N/A,#N/A,FALSE,"Dec2004"}</definedName>
    <definedName name="wrn.year._.2004._4_2_1">{"2004 4 April",#N/A,FALSE,"Apr2004";"2004 5 May",#N/A,FALSE,"May2004";"2004 6 June",#N/A,FALSE,"Jun2004";"2004 7 July",#N/A,FALSE,"Jul2004";"2004 8 August",#N/A,FALSE,"Aug2004";"2004 9 Sept",#N/A,FALSE,"Sep2004";"2004 10 Oct",#N/A,FALSE,"Oct2004";#N/A,#N/A,FALSE,"Nov2004";#N/A,#N/A,FALSE,"Dec2004"}</definedName>
    <definedName name="wrn.year._.2004._4_3" localSheetId="14">{"2004 4 April",#N/A,FALSE,"Apr2004";"2004 5 May",#N/A,FALSE,"May2004";"2004 6 June",#N/A,FALSE,"Jun2004";"2004 7 July",#N/A,FALSE,"Jul2004";"2004 8 August",#N/A,FALSE,"Aug2004";"2004 9 Sept",#N/A,FALSE,"Sep2004";"2004 10 Oct",#N/A,FALSE,"Oct2004";#N/A,#N/A,FALSE,"Nov2004";#N/A,#N/A,FALSE,"Dec2004"}</definedName>
    <definedName name="wrn.year._.2004._4_3">{"2004 4 April",#N/A,FALSE,"Apr2004";"2004 5 May",#N/A,FALSE,"May2004";"2004 6 June",#N/A,FALSE,"Jun2004";"2004 7 July",#N/A,FALSE,"Jul2004";"2004 8 August",#N/A,FALSE,"Aug2004";"2004 9 Sept",#N/A,FALSE,"Sep2004";"2004 10 Oct",#N/A,FALSE,"Oct2004";#N/A,#N/A,FALSE,"Nov2004";#N/A,#N/A,FALSE,"Dec2004"}</definedName>
    <definedName name="wrn.year._.2004._4_3_1" localSheetId="14">{"2004 4 April",#N/A,FALSE,"Apr2004";"2004 5 May",#N/A,FALSE,"May2004";"2004 6 June",#N/A,FALSE,"Jun2004";"2004 7 July",#N/A,FALSE,"Jul2004";"2004 8 August",#N/A,FALSE,"Aug2004";"2004 9 Sept",#N/A,FALSE,"Sep2004";"2004 10 Oct",#N/A,FALSE,"Oct2004";#N/A,#N/A,FALSE,"Nov2004";#N/A,#N/A,FALSE,"Dec2004"}</definedName>
    <definedName name="wrn.year._.2004._4_3_1">{"2004 4 April",#N/A,FALSE,"Apr2004";"2004 5 May",#N/A,FALSE,"May2004";"2004 6 June",#N/A,FALSE,"Jun2004";"2004 7 July",#N/A,FALSE,"Jul2004";"2004 8 August",#N/A,FALSE,"Aug2004";"2004 9 Sept",#N/A,FALSE,"Sep2004";"2004 10 Oct",#N/A,FALSE,"Oct2004";#N/A,#N/A,FALSE,"Nov2004";#N/A,#N/A,FALSE,"Dec2004"}</definedName>
    <definedName name="wrn.year._.2004._4_4" localSheetId="14">{"2004 4 April",#N/A,FALSE,"Apr2004";"2004 5 May",#N/A,FALSE,"May2004";"2004 6 June",#N/A,FALSE,"Jun2004";"2004 7 July",#N/A,FALSE,"Jul2004";"2004 8 August",#N/A,FALSE,"Aug2004";"2004 9 Sept",#N/A,FALSE,"Sep2004";"2004 10 Oct",#N/A,FALSE,"Oct2004";#N/A,#N/A,FALSE,"Nov2004";#N/A,#N/A,FALSE,"Dec2004"}</definedName>
    <definedName name="wrn.year._.2004._4_4">{"2004 4 April",#N/A,FALSE,"Apr2004";"2004 5 May",#N/A,FALSE,"May2004";"2004 6 June",#N/A,FALSE,"Jun2004";"2004 7 July",#N/A,FALSE,"Jul2004";"2004 8 August",#N/A,FALSE,"Aug2004";"2004 9 Sept",#N/A,FALSE,"Sep2004";"2004 10 Oct",#N/A,FALSE,"Oct2004";#N/A,#N/A,FALSE,"Nov2004";#N/A,#N/A,FALSE,"Dec2004"}</definedName>
    <definedName name="wrn.year._.2004._4_4_1" localSheetId="14">{"2004 4 April",#N/A,FALSE,"Apr2004";"2004 5 May",#N/A,FALSE,"May2004";"2004 6 June",#N/A,FALSE,"Jun2004";"2004 7 July",#N/A,FALSE,"Jul2004";"2004 8 August",#N/A,FALSE,"Aug2004";"2004 9 Sept",#N/A,FALSE,"Sep2004";"2004 10 Oct",#N/A,FALSE,"Oct2004";#N/A,#N/A,FALSE,"Nov2004";#N/A,#N/A,FALSE,"Dec2004"}</definedName>
    <definedName name="wrn.year._.2004._4_4_1">{"2004 4 April",#N/A,FALSE,"Apr2004";"2004 5 May",#N/A,FALSE,"May2004";"2004 6 June",#N/A,FALSE,"Jun2004";"2004 7 July",#N/A,FALSE,"Jul2004";"2004 8 August",#N/A,FALSE,"Aug2004";"2004 9 Sept",#N/A,FALSE,"Sep2004";"2004 10 Oct",#N/A,FALSE,"Oct2004";#N/A,#N/A,FALSE,"Nov2004";#N/A,#N/A,FALSE,"Dec2004"}</definedName>
    <definedName name="wrn.year._.2004._4_5" localSheetId="14">{"2004 4 April",#N/A,FALSE,"Apr2004";"2004 5 May",#N/A,FALSE,"May2004";"2004 6 June",#N/A,FALSE,"Jun2004";"2004 7 July",#N/A,FALSE,"Jul2004";"2004 8 August",#N/A,FALSE,"Aug2004";"2004 9 Sept",#N/A,FALSE,"Sep2004";"2004 10 Oct",#N/A,FALSE,"Oct2004";#N/A,#N/A,FALSE,"Nov2004";#N/A,#N/A,FALSE,"Dec2004"}</definedName>
    <definedName name="wrn.year._.2004._4_5">{"2004 4 April",#N/A,FALSE,"Apr2004";"2004 5 May",#N/A,FALSE,"May2004";"2004 6 June",#N/A,FALSE,"Jun2004";"2004 7 July",#N/A,FALSE,"Jul2004";"2004 8 August",#N/A,FALSE,"Aug2004";"2004 9 Sept",#N/A,FALSE,"Sep2004";"2004 10 Oct",#N/A,FALSE,"Oct2004";#N/A,#N/A,FALSE,"Nov2004";#N/A,#N/A,FALSE,"Dec2004"}</definedName>
    <definedName name="wrn.year._.2004._5" localSheetId="14">{"2004 4 April",#N/A,FALSE,"Apr2004";"2004 5 May",#N/A,FALSE,"May2004";"2004 6 June",#N/A,FALSE,"Jun2004";"2004 7 July",#N/A,FALSE,"Jul2004";"2004 8 August",#N/A,FALSE,"Aug2004";"2004 9 Sept",#N/A,FALSE,"Sep2004";"2004 10 Oct",#N/A,FALSE,"Oct2004";#N/A,#N/A,FALSE,"Nov2004";#N/A,#N/A,FALSE,"Dec2004"}</definedName>
    <definedName name="wrn.year._.2004._5">{"2004 4 April",#N/A,FALSE,"Apr2004";"2004 5 May",#N/A,FALSE,"May2004";"2004 6 June",#N/A,FALSE,"Jun2004";"2004 7 July",#N/A,FALSE,"Jul2004";"2004 8 August",#N/A,FALSE,"Aug2004";"2004 9 Sept",#N/A,FALSE,"Sep2004";"2004 10 Oct",#N/A,FALSE,"Oct2004";#N/A,#N/A,FALSE,"Nov2004";#N/A,#N/A,FALSE,"Dec2004"}</definedName>
    <definedName name="wrn.year._.2004._5_1" localSheetId="14">{"2004 4 April",#N/A,FALSE,"Apr2004";"2004 5 May",#N/A,FALSE,"May2004";"2004 6 June",#N/A,FALSE,"Jun2004";"2004 7 July",#N/A,FALSE,"Jul2004";"2004 8 August",#N/A,FALSE,"Aug2004";"2004 9 Sept",#N/A,FALSE,"Sep2004";"2004 10 Oct",#N/A,FALSE,"Oct2004";#N/A,#N/A,FALSE,"Nov2004";#N/A,#N/A,FALSE,"Dec2004"}</definedName>
    <definedName name="wrn.year._.2004._5_1">{"2004 4 April",#N/A,FALSE,"Apr2004";"2004 5 May",#N/A,FALSE,"May2004";"2004 6 June",#N/A,FALSE,"Jun2004";"2004 7 July",#N/A,FALSE,"Jul2004";"2004 8 August",#N/A,FALSE,"Aug2004";"2004 9 Sept",#N/A,FALSE,"Sep2004";"2004 10 Oct",#N/A,FALSE,"Oct2004";#N/A,#N/A,FALSE,"Nov2004";#N/A,#N/A,FALSE,"Dec2004"}</definedName>
    <definedName name="wrn.year._.2004._5_1_1" localSheetId="14">{"2004 4 April",#N/A,FALSE,"Apr2004";"2004 5 May",#N/A,FALSE,"May2004";"2004 6 June",#N/A,FALSE,"Jun2004";"2004 7 July",#N/A,FALSE,"Jul2004";"2004 8 August",#N/A,FALSE,"Aug2004";"2004 9 Sept",#N/A,FALSE,"Sep2004";"2004 10 Oct",#N/A,FALSE,"Oct2004";#N/A,#N/A,FALSE,"Nov2004";#N/A,#N/A,FALSE,"Dec2004"}</definedName>
    <definedName name="wrn.year._.2004._5_1_1">{"2004 4 April",#N/A,FALSE,"Apr2004";"2004 5 May",#N/A,FALSE,"May2004";"2004 6 June",#N/A,FALSE,"Jun2004";"2004 7 July",#N/A,FALSE,"Jul2004";"2004 8 August",#N/A,FALSE,"Aug2004";"2004 9 Sept",#N/A,FALSE,"Sep2004";"2004 10 Oct",#N/A,FALSE,"Oct2004";#N/A,#N/A,FALSE,"Nov2004";#N/A,#N/A,FALSE,"Dec2004"}</definedName>
    <definedName name="wrn.year._.2004._5_1_1_1" localSheetId="14">{"2004 4 April",#N/A,FALSE,"Apr2004";"2004 5 May",#N/A,FALSE,"May2004";"2004 6 June",#N/A,FALSE,"Jun2004";"2004 7 July",#N/A,FALSE,"Jul2004";"2004 8 August",#N/A,FALSE,"Aug2004";"2004 9 Sept",#N/A,FALSE,"Sep2004";"2004 10 Oct",#N/A,FALSE,"Oct2004";#N/A,#N/A,FALSE,"Nov2004";#N/A,#N/A,FALSE,"Dec2004"}</definedName>
    <definedName name="wrn.year._.2004._5_1_1_1">{"2004 4 April",#N/A,FALSE,"Apr2004";"2004 5 May",#N/A,FALSE,"May2004";"2004 6 June",#N/A,FALSE,"Jun2004";"2004 7 July",#N/A,FALSE,"Jul2004";"2004 8 August",#N/A,FALSE,"Aug2004";"2004 9 Sept",#N/A,FALSE,"Sep2004";"2004 10 Oct",#N/A,FALSE,"Oct2004";#N/A,#N/A,FALSE,"Nov2004";#N/A,#N/A,FALSE,"Dec2004"}</definedName>
    <definedName name="wrn.year._.2004._5_1_2" localSheetId="14">{"2004 4 April",#N/A,FALSE,"Apr2004";"2004 5 May",#N/A,FALSE,"May2004";"2004 6 June",#N/A,FALSE,"Jun2004";"2004 7 July",#N/A,FALSE,"Jul2004";"2004 8 August",#N/A,FALSE,"Aug2004";"2004 9 Sept",#N/A,FALSE,"Sep2004";"2004 10 Oct",#N/A,FALSE,"Oct2004";#N/A,#N/A,FALSE,"Nov2004";#N/A,#N/A,FALSE,"Dec2004"}</definedName>
    <definedName name="wrn.year._.2004._5_1_2">{"2004 4 April",#N/A,FALSE,"Apr2004";"2004 5 May",#N/A,FALSE,"May2004";"2004 6 June",#N/A,FALSE,"Jun2004";"2004 7 July",#N/A,FALSE,"Jul2004";"2004 8 August",#N/A,FALSE,"Aug2004";"2004 9 Sept",#N/A,FALSE,"Sep2004";"2004 10 Oct",#N/A,FALSE,"Oct2004";#N/A,#N/A,FALSE,"Nov2004";#N/A,#N/A,FALSE,"Dec2004"}</definedName>
    <definedName name="wrn.year._.2004._5_2" localSheetId="14">{"2004 4 April",#N/A,FALSE,"Apr2004";"2004 5 May",#N/A,FALSE,"May2004";"2004 6 June",#N/A,FALSE,"Jun2004";"2004 7 July",#N/A,FALSE,"Jul2004";"2004 8 August",#N/A,FALSE,"Aug2004";"2004 9 Sept",#N/A,FALSE,"Sep2004";"2004 10 Oct",#N/A,FALSE,"Oct2004";#N/A,#N/A,FALSE,"Nov2004";#N/A,#N/A,FALSE,"Dec2004"}</definedName>
    <definedName name="wrn.year._.2004._5_2">{"2004 4 April",#N/A,FALSE,"Apr2004";"2004 5 May",#N/A,FALSE,"May2004";"2004 6 June",#N/A,FALSE,"Jun2004";"2004 7 July",#N/A,FALSE,"Jul2004";"2004 8 August",#N/A,FALSE,"Aug2004";"2004 9 Sept",#N/A,FALSE,"Sep2004";"2004 10 Oct",#N/A,FALSE,"Oct2004";#N/A,#N/A,FALSE,"Nov2004";#N/A,#N/A,FALSE,"Dec2004"}</definedName>
    <definedName name="wrn.year._.2004._5_2_1" localSheetId="14">{"2004 4 April",#N/A,FALSE,"Apr2004";"2004 5 May",#N/A,FALSE,"May2004";"2004 6 June",#N/A,FALSE,"Jun2004";"2004 7 July",#N/A,FALSE,"Jul2004";"2004 8 August",#N/A,FALSE,"Aug2004";"2004 9 Sept",#N/A,FALSE,"Sep2004";"2004 10 Oct",#N/A,FALSE,"Oct2004";#N/A,#N/A,FALSE,"Nov2004";#N/A,#N/A,FALSE,"Dec2004"}</definedName>
    <definedName name="wrn.year._.2004._5_2_1">{"2004 4 April",#N/A,FALSE,"Apr2004";"2004 5 May",#N/A,FALSE,"May2004";"2004 6 June",#N/A,FALSE,"Jun2004";"2004 7 July",#N/A,FALSE,"Jul2004";"2004 8 August",#N/A,FALSE,"Aug2004";"2004 9 Sept",#N/A,FALSE,"Sep2004";"2004 10 Oct",#N/A,FALSE,"Oct2004";#N/A,#N/A,FALSE,"Nov2004";#N/A,#N/A,FALSE,"Dec2004"}</definedName>
    <definedName name="wrn.year._.2004._5_3" localSheetId="14">{"2004 4 April",#N/A,FALSE,"Apr2004";"2004 5 May",#N/A,FALSE,"May2004";"2004 6 June",#N/A,FALSE,"Jun2004";"2004 7 July",#N/A,FALSE,"Jul2004";"2004 8 August",#N/A,FALSE,"Aug2004";"2004 9 Sept",#N/A,FALSE,"Sep2004";"2004 10 Oct",#N/A,FALSE,"Oct2004";#N/A,#N/A,FALSE,"Nov2004";#N/A,#N/A,FALSE,"Dec2004"}</definedName>
    <definedName name="wrn.year._.2004._5_3">{"2004 4 April",#N/A,FALSE,"Apr2004";"2004 5 May",#N/A,FALSE,"May2004";"2004 6 June",#N/A,FALSE,"Jun2004";"2004 7 July",#N/A,FALSE,"Jul2004";"2004 8 August",#N/A,FALSE,"Aug2004";"2004 9 Sept",#N/A,FALSE,"Sep2004";"2004 10 Oct",#N/A,FALSE,"Oct2004";#N/A,#N/A,FALSE,"Nov2004";#N/A,#N/A,FALSE,"Dec2004"}</definedName>
    <definedName name="wrn.year._.2004._5_3_1" localSheetId="14">{"2004 4 April",#N/A,FALSE,"Apr2004";"2004 5 May",#N/A,FALSE,"May2004";"2004 6 June",#N/A,FALSE,"Jun2004";"2004 7 July",#N/A,FALSE,"Jul2004";"2004 8 August",#N/A,FALSE,"Aug2004";"2004 9 Sept",#N/A,FALSE,"Sep2004";"2004 10 Oct",#N/A,FALSE,"Oct2004";#N/A,#N/A,FALSE,"Nov2004";#N/A,#N/A,FALSE,"Dec2004"}</definedName>
    <definedName name="wrn.year._.2004._5_3_1">{"2004 4 April",#N/A,FALSE,"Apr2004";"2004 5 May",#N/A,FALSE,"May2004";"2004 6 June",#N/A,FALSE,"Jun2004";"2004 7 July",#N/A,FALSE,"Jul2004";"2004 8 August",#N/A,FALSE,"Aug2004";"2004 9 Sept",#N/A,FALSE,"Sep2004";"2004 10 Oct",#N/A,FALSE,"Oct2004";#N/A,#N/A,FALSE,"Nov2004";#N/A,#N/A,FALSE,"Dec2004"}</definedName>
    <definedName name="wrn.year._.2004._5_4" localSheetId="14">{"2004 4 April",#N/A,FALSE,"Apr2004";"2004 5 May",#N/A,FALSE,"May2004";"2004 6 June",#N/A,FALSE,"Jun2004";"2004 7 July",#N/A,FALSE,"Jul2004";"2004 8 August",#N/A,FALSE,"Aug2004";"2004 9 Sept",#N/A,FALSE,"Sep2004";"2004 10 Oct",#N/A,FALSE,"Oct2004";#N/A,#N/A,FALSE,"Nov2004";#N/A,#N/A,FALSE,"Dec2004"}</definedName>
    <definedName name="wrn.year._.2004._5_4">{"2004 4 April",#N/A,FALSE,"Apr2004";"2004 5 May",#N/A,FALSE,"May2004";"2004 6 June",#N/A,FALSE,"Jun2004";"2004 7 July",#N/A,FALSE,"Jul2004";"2004 8 August",#N/A,FALSE,"Aug2004";"2004 9 Sept",#N/A,FALSE,"Sep2004";"2004 10 Oct",#N/A,FALSE,"Oct2004";#N/A,#N/A,FALSE,"Nov2004";#N/A,#N/A,FALSE,"Dec2004"}</definedName>
    <definedName name="wrn.year._.2004._5_4_1" localSheetId="14">{"2004 4 April",#N/A,FALSE,"Apr2004";"2004 5 May",#N/A,FALSE,"May2004";"2004 6 June",#N/A,FALSE,"Jun2004";"2004 7 July",#N/A,FALSE,"Jul2004";"2004 8 August",#N/A,FALSE,"Aug2004";"2004 9 Sept",#N/A,FALSE,"Sep2004";"2004 10 Oct",#N/A,FALSE,"Oct2004";#N/A,#N/A,FALSE,"Nov2004";#N/A,#N/A,FALSE,"Dec2004"}</definedName>
    <definedName name="wrn.year._.2004._5_4_1">{"2004 4 April",#N/A,FALSE,"Apr2004";"2004 5 May",#N/A,FALSE,"May2004";"2004 6 June",#N/A,FALSE,"Jun2004";"2004 7 July",#N/A,FALSE,"Jul2004";"2004 8 August",#N/A,FALSE,"Aug2004";"2004 9 Sept",#N/A,FALSE,"Sep2004";"2004 10 Oct",#N/A,FALSE,"Oct2004";#N/A,#N/A,FALSE,"Nov2004";#N/A,#N/A,FALSE,"Dec2004"}</definedName>
    <definedName name="wrn.year._.2004._5_5" localSheetId="14">{"2004 4 April",#N/A,FALSE,"Apr2004";"2004 5 May",#N/A,FALSE,"May2004";"2004 6 June",#N/A,FALSE,"Jun2004";"2004 7 July",#N/A,FALSE,"Jul2004";"2004 8 August",#N/A,FALSE,"Aug2004";"2004 9 Sept",#N/A,FALSE,"Sep2004";"2004 10 Oct",#N/A,FALSE,"Oct2004";#N/A,#N/A,FALSE,"Nov2004";#N/A,#N/A,FALSE,"Dec2004"}</definedName>
    <definedName name="wrn.year._.2004._5_5">{"2004 4 April",#N/A,FALSE,"Apr2004";"2004 5 May",#N/A,FALSE,"May2004";"2004 6 June",#N/A,FALSE,"Jun2004";"2004 7 July",#N/A,FALSE,"Jul2004";"2004 8 August",#N/A,FALSE,"Aug2004";"2004 9 Sept",#N/A,FALSE,"Sep2004";"2004 10 Oct",#N/A,FALSE,"Oct2004";#N/A,#N/A,FALSE,"Nov2004";#N/A,#N/A,FALSE,"Dec2004"}</definedName>
    <definedName name="wrn.Yr._.1._.Del._.Rev._.Monthly." localSheetId="14">{"Yr 1 Conso Del Rev Monthly",#N/A,FALSE,"Del Rev Summary";"Yr 1 O&amp;R Del Rev Monthly",#N/A,FALSE,"Del Rev Summary";"Yr 1 RE Del Rev Monthly",#N/A,FALSE,"Del Rev Summary";"Yr 1 PK Del Rev Monthly",#N/A,FALSE,"Del Rev Summary";"Yr 1 O&amp;R Billed Dev Rev Monthly",#N/A,FALSE,"Del Rev Summary";"Yr 1 O&amp;R Unbilled Del Rev Monthly",#N/A,FALSE,"Del Rev Summary";"Yr 1 RE Billed Del Rev Monthly",#N/A,FALSE,"Del Rev Summary";"Yr 1 RE Unbilled Del Rev Monthly",#N/A,FALSE,"Del Rev Summary";"Yr 1 PK Billed Del Rev Monthly",#N/A,FALSE,"Del Rev Summary";"Yr 1 PK Unbilled Del Rev Monthly",#N/A,FALSE,"Del Rev Summary"}</definedName>
    <definedName name="wrn.Yr._.1._.Del._.Rev._.Monthly.">{"Yr 1 Conso Del Rev Monthly",#N/A,FALSE,"Del Rev Summary";"Yr 1 O&amp;R Del Rev Monthly",#N/A,FALSE,"Del Rev Summary";"Yr 1 RE Del Rev Monthly",#N/A,FALSE,"Del Rev Summary";"Yr 1 PK Del Rev Monthly",#N/A,FALSE,"Del Rev Summary";"Yr 1 O&amp;R Billed Dev Rev Monthly",#N/A,FALSE,"Del Rev Summary";"Yr 1 O&amp;R Unbilled Del Rev Monthly",#N/A,FALSE,"Del Rev Summary";"Yr 1 RE Billed Del Rev Monthly",#N/A,FALSE,"Del Rev Summary";"Yr 1 RE Unbilled Del Rev Monthly",#N/A,FALSE,"Del Rev Summary";"Yr 1 PK Billed Del Rev Monthly",#N/A,FALSE,"Del Rev Summary";"Yr 1 PK Unbilled Del Rev Monthly",#N/A,FALSE,"Del Rev Summary"}</definedName>
    <definedName name="wrn.Yr._.1._.Del._.Sales._.Monthly." localSheetId="14">{"Yr 1 Consol Del Sales Monthly",#N/A,FALSE,"Del Rev Summary";"Yr 1 O&amp;R Del Sales Monthly",#N/A,FALSE,"Del Rev Summary";"Yr 1 RE Dev Sales Monthly",#N/A,FALSE,"Del Rev Summary";"Yr 1 PK Del Sales Monthly",#N/A,FALSE,"Del Rev Summary";"Yr 1 O&amp;R Billed Del Sales Monthly",#N/A,FALSE,"Del Rev Summary";"Yr 1 O&amp;R Unbilled Del Sales Monthly",#N/A,FALSE,"Del Rev Summary";"Yr 1 RE Billed Del Sales Monthly",#N/A,FALSE,"Del Rev Summary";"Yr 1 RE Unbilled Del Sales Monthly",#N/A,FALSE,"RECO Unbilled Sales";"Yr 1 PK Billed Del Sales Monthly",#N/A,FALSE,"Del Rev Summary";"Yr 1 PK Unbilled Del Sales Monthly",#N/A,FALSE,"Del Rev Summary"}</definedName>
    <definedName name="wrn.Yr._.1._.Del._.Sales._.Monthly.">{"Yr 1 Consol Del Sales Monthly",#N/A,FALSE,"Del Rev Summary";"Yr 1 O&amp;R Del Sales Monthly",#N/A,FALSE,"Del Rev Summary";"Yr 1 RE Dev Sales Monthly",#N/A,FALSE,"Del Rev Summary";"Yr 1 PK Del Sales Monthly",#N/A,FALSE,"Del Rev Summary";"Yr 1 O&amp;R Billed Del Sales Monthly",#N/A,FALSE,"Del Rev Summary";"Yr 1 O&amp;R Unbilled Del Sales Monthly",#N/A,FALSE,"Del Rev Summary";"Yr 1 RE Billed Del Sales Monthly",#N/A,FALSE,"Del Rev Summary";"Yr 1 RE Unbilled Del Sales Monthly",#N/A,FALSE,"RECO Unbilled Sales";"Yr 1 PK Billed Del Sales Monthly",#N/A,FALSE,"Del Rev Summary";"Yr 1 PK Unbilled Del Sales Monthly",#N/A,FALSE,"Del Rev Summary"}</definedName>
    <definedName name="wrn.Yr._.1._.Monthly." localSheetId="14">{"Yr 1 Consol",#N/A,FALSE,"Consolidated Report";"Yr 1 O&amp;R",#N/A,FALSE,"Consolidated Report";"Yr 1 RE Monthly",#N/A,FALSE,"Consolidated Report";"Yr 1 PK",#N/A,FALSE,"Consolidated Report"}</definedName>
    <definedName name="wrn.Yr._.1._.Monthly.">{"Yr 1 Consol",#N/A,FALSE,"Consolidated Report";"Yr 1 O&amp;R",#N/A,FALSE,"Consolidated Report";"Yr 1 RE Monthly",#N/A,FALSE,"Consolidated Report";"Yr 1 PK",#N/A,FALSE,"Consolidated Report"}</definedName>
    <definedName name="wrn.Yr._.2._.Del._.Rev._.Monthly." localSheetId="14">{"Yr 2 RE Del Rev Monthly",#N/A,FALSE,"Del Rev Summary";"Yr 2 Consol Del Rev Monthly",#N/A,FALSE,"Del Rev Summary";"Yr 2 PK Del Rev Monthly",#N/A,FALSE,"Del Rev Summary";"Yr 2 O&amp;R Unbilled Del Rev Monthly",#N/A,FALSE,"Del Rev Summary";"Yr 2 Del Rev Monthly",#N/A,FALSE,"Del Rev Summary";"Yr 2 O&amp;R Billed Del Rev Monthly",#N/A,FALSE,"Del Rev Summary";"Yr 2 RE Billed Del Rev Monthly",#N/A,FALSE,"Del Rev Summary";"Yr 2 RE Unbilled Del Rev Monthly",#N/A,FALSE,"Del Rev Summary";"Yr 2 PK Billed Del Rev Monthly",#N/A,FALSE,"Del Rev Summary";"Yr 2 PK Unbilled Del Rev Monthly",#N/A,FALSE,"Del Rev Summary"}</definedName>
    <definedName name="wrn.Yr._.2._.Del._.Rev._.Monthly.">{"Yr 2 RE Del Rev Monthly",#N/A,FALSE,"Del Rev Summary";"Yr 2 Consol Del Rev Monthly",#N/A,FALSE,"Del Rev Summary";"Yr 2 PK Del Rev Monthly",#N/A,FALSE,"Del Rev Summary";"Yr 2 O&amp;R Unbilled Del Rev Monthly",#N/A,FALSE,"Del Rev Summary";"Yr 2 Del Rev Monthly",#N/A,FALSE,"Del Rev Summary";"Yr 2 O&amp;R Billed Del Rev Monthly",#N/A,FALSE,"Del Rev Summary";"Yr 2 RE Billed Del Rev Monthly",#N/A,FALSE,"Del Rev Summary";"Yr 2 RE Unbilled Del Rev Monthly",#N/A,FALSE,"Del Rev Summary";"Yr 2 PK Billed Del Rev Monthly",#N/A,FALSE,"Del Rev Summary";"Yr 2 PK Unbilled Del Rev Monthly",#N/A,FALSE,"Del Rev Summary"}</definedName>
    <definedName name="wrn.Yr._.2._.Del._.Sales._.Monthly." localSheetId="14">{"Yr 2 ConsolDel Sales Monthly",#N/A,FALSE,"Del Rev Summary";"Yr 2 O&amp;R Del Sales Monthly",#N/A,FALSE,"Del Rev Summary";"Yr 2 RE Del Sales Monthly",#N/A,FALSE,"Del Rev Summary";"Yr 2 PK Del Sales Monthly",#N/A,FALSE,"Del Rev Summary";"Yr 2 O&amp;R Billed Del Sales Monthly",#N/A,FALSE,"Del Rev Summary";"Yr 2 O&amp;R Unbilled Del Sales Monthly",#N/A,FALSE,"Del Rev Summary";"Yr 2 RE Billed Del Sales Monthly",#N/A,FALSE,"Del Rev Summary";"Yr 2 RE Unbilled Del Sales Monthly",#N/A,FALSE,"Del Rev Summary";"Yr 2 PK Billed Del Sales Monthly",#N/A,FALSE,"Del Rev Summary";"Yr 2 PK Unbilled Del Sales Monthly",#N/A,FALSE,"Del Rev Summary"}</definedName>
    <definedName name="wrn.Yr._.2._.Del._.Sales._.Monthly.">{"Yr 2 ConsolDel Sales Monthly",#N/A,FALSE,"Del Rev Summary";"Yr 2 O&amp;R Del Sales Monthly",#N/A,FALSE,"Del Rev Summary";"Yr 2 RE Del Sales Monthly",#N/A,FALSE,"Del Rev Summary";"Yr 2 PK Del Sales Monthly",#N/A,FALSE,"Del Rev Summary";"Yr 2 O&amp;R Billed Del Sales Monthly",#N/A,FALSE,"Del Rev Summary";"Yr 2 O&amp;R Unbilled Del Sales Monthly",#N/A,FALSE,"Del Rev Summary";"Yr 2 RE Billed Del Sales Monthly",#N/A,FALSE,"Del Rev Summary";"Yr 2 RE Unbilled Del Sales Monthly",#N/A,FALSE,"Del Rev Summary";"Yr 2 PK Billed Del Sales Monthly",#N/A,FALSE,"Del Rev Summary";"Yr 2 PK Unbilled Del Sales Monthly",#N/A,FALSE,"Del Rev Summary"}</definedName>
    <definedName name="wrn.Yr._.2._.Inc._.Stmt." localSheetId="14">{"Yr 2 Consol Monthly",#N/A,FALSE,"O&amp;R";"Yr 2 Elim Monthly",#N/A,FALSE,"O&amp;R";"Yr 2 O&amp;R Monthly",#N/A,FALSE,"O&amp;R";"Yr 2 OG Monthly",#N/A,FALSE,"O&amp;R";"Yr 2 OE Monthly",#N/A,FALSE,"O&amp;R";"Yr 2 RE Monthly",#N/A,FALSE,"O&amp;R";"Yr 2 Pike Monthly",#N/A,FALSE,"O&amp;R";"Yr 2 PE Monthly",#N/A,FALSE,"O&amp;R";"Yr 2 PG Monthly",#N/A,FALSE,"O&amp;R";"Yr 2 Clove Monthly",#N/A,FALSE,"O&amp;R";"Yr 2 Unreg Monthly",#N/A,FALSE,"O&amp;R"}</definedName>
    <definedName name="wrn.Yr._.2._.Inc._.Stmt.">{"Yr 2 Consol Monthly",#N/A,FALSE,"O&amp;R";"Yr 2 Elim Monthly",#N/A,FALSE,"O&amp;R";"Yr 2 O&amp;R Monthly",#N/A,FALSE,"O&amp;R";"Yr 2 OG Monthly",#N/A,FALSE,"O&amp;R";"Yr 2 OE Monthly",#N/A,FALSE,"O&amp;R";"Yr 2 RE Monthly",#N/A,FALSE,"O&amp;R";"Yr 2 Pike Monthly",#N/A,FALSE,"O&amp;R";"Yr 2 PE Monthly",#N/A,FALSE,"O&amp;R";"Yr 2 PG Monthly",#N/A,FALSE,"O&amp;R";"Yr 2 Clove Monthly",#N/A,FALSE,"O&amp;R";"Yr 2 Unreg Monthly",#N/A,FALSE,"O&amp;R"}</definedName>
    <definedName name="wrn.Yr._.2._.Monthly." localSheetId="14">{"Yr 2 Consol",#N/A,FALSE,"Consolidated Report";"Yr 2 O&amp;R",#N/A,FALSE,"Consolidated Report";"Yr 2 RE Monthly",#N/A,FALSE,"Consolidated Report";"Yr 2 PK",#N/A,FALSE,"Consolidated Report"}</definedName>
    <definedName name="wrn.Yr._.2._.Monthly.">{"Yr 2 Consol",#N/A,FALSE,"Consolidated Report";"Yr 2 O&amp;R",#N/A,FALSE,"Consolidated Report";"Yr 2 RE Monthly",#N/A,FALSE,"Consolidated Report";"Yr 2 PK",#N/A,FALSE,"Consolidated Report"}</definedName>
    <definedName name="wrn.Yr1._.Inc._.Stmt." localSheetId="14">{"YR 1 Consol Monthly",#N/A,FALSE,"O&amp;R";"Yr 1 Elim Monthly",#N/A,FALSE,"O&amp;R";"Yr 1 O&amp;R Monthly",#N/A,FALSE,"O&amp;R";"Yr 1 OE Monthly",#N/A,FALSE,"O&amp;R";"Yr 1 OG Monthly",#N/A,FALSE,"O&amp;R";"Yr 1 RE Monthly",#N/A,FALSE,"O&amp;R";"Yr 1 Pike Monthly",#N/A,FALSE,"O&amp;R";"Yr 1 PE Monthly",#N/A,FALSE,"O&amp;R";"Yr 1 PG Monthly",#N/A,FALSE,"O&amp;R";"Yr 1 Clove Monthly",#N/A,FALSE,"O&amp;R";"Yr 1 Unreg Monthly",#N/A,FALSE,"O&amp;R"}</definedName>
    <definedName name="wrn.Yr1._.Inc._.Stmt.">{"YR 1 Consol Monthly",#N/A,FALSE,"O&amp;R";"Yr 1 Elim Monthly",#N/A,FALSE,"O&amp;R";"Yr 1 O&amp;R Monthly",#N/A,FALSE,"O&amp;R";"Yr 1 OE Monthly",#N/A,FALSE,"O&amp;R";"Yr 1 OG Monthly",#N/A,FALSE,"O&amp;R";"Yr 1 RE Monthly",#N/A,FALSE,"O&amp;R";"Yr 1 Pike Monthly",#N/A,FALSE,"O&amp;R";"Yr 1 PE Monthly",#N/A,FALSE,"O&amp;R";"Yr 1 PG Monthly",#N/A,FALSE,"O&amp;R";"Yr 1 Clove Monthly",#N/A,FALSE,"O&amp;R";"Yr 1 Unreg Monthly",#N/A,FALSE,"O&amp;R"}</definedName>
    <definedName name="wrn.Yr1._.Monthly." localSheetId="14">{"Consol Yr1",#N/A,FALSE,"Pike Report";"ONR Yr1",#N/A,FALSE,"Pike Report";"RECO Yr1",#N/A,FALSE,"Pike Report";"Pike Yr1",#N/A,FALSE,"Pike Report"}</definedName>
    <definedName name="wrn.Yr1._.Monthly.">{"Consol Yr1",#N/A,FALSE,"Pike Report";"ONR Yr1",#N/A,FALSE,"Pike Report";"RECO Yr1",#N/A,FALSE,"Pike Report";"Pike Yr1",#N/A,FALSE,"Pike Report"}</definedName>
    <definedName name="wrn.Yr3._.Inc._.Stmt." localSheetId="14">{"Yr 3 Consol Monthly",#N/A,FALSE,"O&amp;R";"Yr 3 Elim Monthly",#N/A,FALSE,"O&amp;R";"Yr 3 O&amp;R Monthly",#N/A,FALSE,"O&amp;R";"Yr 3 OE Monthly",#N/A,FALSE,"O&amp;R";"Yr 3 OG Monthly",#N/A,FALSE,"O&amp;R";"Yr 3 RE Monthly",#N/A,FALSE,"O&amp;R";"Yr 3 Pike Monthly",#N/A,FALSE,"O&amp;R";"Yr 3 PE Monthly",#N/A,FALSE,"O&amp;R";"Yr 3 PG Monthly",#N/A,FALSE,"O&amp;R";"Yr 3 Clove Monthly",#N/A,FALSE,"O&amp;R";"Yr 3 Unreg Monthly",#N/A,FALSE,"O&amp;R"}</definedName>
    <definedName name="wrn.Yr3._.Inc._.Stmt.">{"Yr 3 Consol Monthly",#N/A,FALSE,"O&amp;R";"Yr 3 Elim Monthly",#N/A,FALSE,"O&amp;R";"Yr 3 O&amp;R Monthly",#N/A,FALSE,"O&amp;R";"Yr 3 OE Monthly",#N/A,FALSE,"O&amp;R";"Yr 3 OG Monthly",#N/A,FALSE,"O&amp;R";"Yr 3 RE Monthly",#N/A,FALSE,"O&amp;R";"Yr 3 Pike Monthly",#N/A,FALSE,"O&amp;R";"Yr 3 PE Monthly",#N/A,FALSE,"O&amp;R";"Yr 3 PG Monthly",#N/A,FALSE,"O&amp;R";"Yr 3 Clove Monthly",#N/A,FALSE,"O&amp;R";"Yr 3 Unreg Monthly",#N/A,FALSE,"O&amp;R"}</definedName>
    <definedName name="wrn.Yr4._.Inc._.Stmt." localSheetId="14">{"Yr 4 Consol Monthly",#N/A,FALSE,"O&amp;R";"Yr 4 Elim Monthly",#N/A,FALSE,"O&amp;R";"Yr 4 O&amp;R Monthly",#N/A,FALSE,"O&amp;R";"Yr OE Monthly",#N/A,FALSE,"O&amp;R";"Yr 4 OG Monthly",#N/A,FALSE,"O&amp;R";"Yr 4 RE Monthly",#N/A,FALSE,"O&amp;R";"Yr4 Pike Monthly",#N/A,FALSE,"O&amp;R";"Yr 4 PE Monthly",#N/A,FALSE,"O&amp;R";"Yr 4 PG Monthly",#N/A,FALSE,"O&amp;R";"Yr 4 Clove Monthly",#N/A,FALSE,"O&amp;R";"Yr 4 Unreg Monthly",#N/A,FALSE,"O&amp;R"}</definedName>
    <definedName name="wrn.Yr4._.Inc._.Stmt.">{"Yr 4 Consol Monthly",#N/A,FALSE,"O&amp;R";"Yr 4 Elim Monthly",#N/A,FALSE,"O&amp;R";"Yr 4 O&amp;R Monthly",#N/A,FALSE,"O&amp;R";"Yr OE Monthly",#N/A,FALSE,"O&amp;R";"Yr 4 OG Monthly",#N/A,FALSE,"O&amp;R";"Yr 4 RE Monthly",#N/A,FALSE,"O&amp;R";"Yr4 Pike Monthly",#N/A,FALSE,"O&amp;R";"Yr 4 PE Monthly",#N/A,FALSE,"O&amp;R";"Yr 4 PG Monthly",#N/A,FALSE,"O&amp;R";"Yr 4 Clove Monthly",#N/A,FALSE,"O&amp;R";"Yr 4 Unreg Monthly",#N/A,FALSE,"O&amp;R"}</definedName>
    <definedName name="wrn.Yr5._.Inc._.Stmt." localSheetId="14">{"Yr 5 Consol Monthly",#N/A,FALSE,"O&amp;R";"Yr 5 Elim Monthly",#N/A,FALSE,"O&amp;R";"Yr 5 O&amp;R Monthly",#N/A,FALSE,"O&amp;R";"Yr 5 OE Monthly",#N/A,FALSE,"O&amp;R";"Yr 5 OG Monthly",#N/A,FALSE,"O&amp;R";"Yr 5 RE Monthly",#N/A,FALSE,"O&amp;R";"Yr 5 Pike Monthly",#N/A,FALSE,"O&amp;R";"Yr 5 PE Monthly",#N/A,FALSE,"O&amp;R";"Yr 5 PG Monthly",#N/A,FALSE,"O&amp;R";"Yr 5 Clove Monthly",#N/A,FALSE,"O&amp;R";"Yr 5 Unreg Monthly",#N/A,FALSE,"O&amp;R"}</definedName>
    <definedName name="wrn.Yr5._.Inc._.Stmt.">{"Yr 5 Consol Monthly",#N/A,FALSE,"O&amp;R";"Yr 5 Elim Monthly",#N/A,FALSE,"O&amp;R";"Yr 5 O&amp;R Monthly",#N/A,FALSE,"O&amp;R";"Yr 5 OE Monthly",#N/A,FALSE,"O&amp;R";"Yr 5 OG Monthly",#N/A,FALSE,"O&amp;R";"Yr 5 RE Monthly",#N/A,FALSE,"O&amp;R";"Yr 5 Pike Monthly",#N/A,FALSE,"O&amp;R";"Yr 5 PE Monthly",#N/A,FALSE,"O&amp;R";"Yr 5 PG Monthly",#N/A,FALSE,"O&amp;R";"Yr 5 Clove Monthly",#N/A,FALSE,"O&amp;R";"Yr 5 Unreg Monthly",#N/A,FALSE,"O&amp;R"}</definedName>
    <definedName name="wrn.YTD._.2003._.2004." localSheetId="14">{"YTD Therms",#N/A,FALSE,"YTD";"YTD Gas Gross Margin Actual vs Actual",#N/A,FALSE,"YTD";"YTD Gas Gross Margin Actual vs Budget",#N/A,FALSE,"YTD";"YTD Normalized vs Normalized WNA",#N/A,FALSE,"YTD";"YTD Actual vs Actual WNA",#N/A,FALSE,"YTD";"YTD Budget vs Normalized WNA",#N/A,FALSE,"YTD";"YTD Budget vs Actual WNA",#N/A,FALSE,"YTD";"YTD Weather Normalization",#N/A,FALSE,"YTD";"YTD Variance Analysis by Components",#N/A,FALSE,"YTD";"YTD Budget Breakdown",#N/A,FALSE,"YTD";"YTD Actual Margin Calculation",#N/A,FALSE,"YTD"}</definedName>
    <definedName name="wrn.YTD._.2003._.2004.">{"YTD Therms",#N/A,FALSE,"YTD";"YTD Gas Gross Margin Actual vs Actual",#N/A,FALSE,"YTD";"YTD Gas Gross Margin Actual vs Budget",#N/A,FALSE,"YTD";"YTD Normalized vs Normalized WNA",#N/A,FALSE,"YTD";"YTD Actual vs Actual WNA",#N/A,FALSE,"YTD";"YTD Budget vs Normalized WNA",#N/A,FALSE,"YTD";"YTD Budget vs Actual WNA",#N/A,FALSE,"YTD";"YTD Weather Normalization",#N/A,FALSE,"YTD";"YTD Variance Analysis by Components",#N/A,FALSE,"YTD";"YTD Budget Breakdown",#N/A,FALSE,"YTD";"YTD Actual Margin Calculation",#N/A,FALSE,"YTD"}</definedName>
    <definedName name="wvu.CapersView." localSheetId="14">{TRUE,TRUE,-2.75,-17,772.5,449.25,FALSE,TRUE,TRUE,TRUE,0,19,#N/A,30,#N/A,7.04065040650407,10.9795918367347,1,FALSE,FALSE,3,FALSE,1,FALSE,100,"Swvu.CapersView.","ACwvu.CapersView.",#N/A,FALSE,FALSE,0,0,0,0,2,"","&amp;R&amp;""Arial,Bold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wvu.CapersView.">{TRUE,TRUE,-2.75,-17,772.5,449.25,FALSE,TRUE,TRUE,TRUE,0,19,#N/A,30,#N/A,7.04065040650407,10.9795918367347,1,FALSE,FALSE,3,FALSE,1,FALSE,100,"Swvu.CapersView.","ACwvu.CapersView.",#N/A,FALSE,FALSE,0,0,0,0,2,"","&amp;R&amp;""Arial,Bold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wvu.Japan_Capers_Ed_Pub." localSheetId="14">{TRUE,TRUE,-2.75,-17,772.5,449.25,FALSE,TRUE,TRUE,TRUE,0,18,#N/A,1,#N/A,80.75,104.2,1,FALSE,FALSE,3,FALSE,1,FALSE,10,"Swvu.Japan_Capers_Ed_Pub.","ACwvu.Japan_Capers_Ed_Pub.",#N/A,FALSE,FALSE,0,0,0,0,2,"","&amp;R&amp;""Arial,Bold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wvu.Japan_Capers_Ed_Pub.">{TRUE,TRUE,-2.75,-17,772.5,449.25,FALSE,TRUE,TRUE,TRUE,0,18,#N/A,1,#N/A,80.75,104.2,1,FALSE,FALSE,3,FALSE,1,FALSE,10,"Swvu.Japan_Capers_Ed_Pub.","ACwvu.Japan_Capers_Ed_Pub.",#N/A,FALSE,FALSE,0,0,0,0,2,"","&amp;R&amp;""Arial,Bold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wvu.KJP_CC." localSheetId="14">{TRUE,TRUE,-2.75,-17,964.5,641.25,FALSE,TRUE,TRUE,TRUE,0,18,#N/A,11,#N/A,22.5227272727273,72.25,1,FALSE,FALSE,3,TRUE,1,FALSE,40,"Swvu.KJP_CC.","ACwvu.KJP_CC.",#N/A,FALSE,FALSE,0,0,0,0,2,"&amp;C&amp;""Arial,Bold""&amp;72Actual Production vs. Projected ","&amp;R&amp;""Arial,Bold Italic""&amp;8&amp;F&amp;A&amp;D",TRUE,TRUE,FALSE,FALSE,1,#N/A,1,1,"=R13C18:R168C107",FALSE,"Rwvu.KJP_CC.","Cwvu.KJP_CC.",FALSE,FALSE,FALSE,263,600,600,FALSE,FALSE,TRUE,TRUE,TRUE}</definedName>
    <definedName name="wvu.KJP_CC.">{TRUE,TRUE,-2.75,-17,964.5,641.25,FALSE,TRUE,TRUE,TRUE,0,18,#N/A,11,#N/A,22.5227272727273,72.25,1,FALSE,FALSE,3,TRUE,1,FALSE,40,"Swvu.KJP_CC.","ACwvu.KJP_CC.",#N/A,FALSE,FALSE,0,0,0,0,2,"&amp;C&amp;""Arial,Bold""&amp;72Actual Production vs. Projected ","&amp;R&amp;""Arial,Bold Italic""&amp;8&amp;F&amp;A&amp;D",TRUE,TRUE,FALSE,FALSE,1,#N/A,1,1,"=R13C18:R168C107",FALSE,"Rwvu.KJP_CC.","Cwvu.KJP_CC.",FALSE,FALSE,FALSE,263,600,600,FALSE,FALSE,TRUE,TRUE,TRUE}</definedName>
    <definedName name="www" localSheetId="14">{#N/A,#N/A,FALSE,"schA"}</definedName>
    <definedName name="www">{#N/A,#N/A,FALSE,"schA"}</definedName>
    <definedName name="www_1" localSheetId="14">{#N/A,#N/A,FALSE,"schA"}</definedName>
    <definedName name="www_1">{#N/A,#N/A,FALSE,"schA"}</definedName>
    <definedName name="www_1_1" localSheetId="14">{#N/A,#N/A,FALSE,"schA"}</definedName>
    <definedName name="www_1_1">{#N/A,#N/A,FALSE,"schA"}</definedName>
    <definedName name="www_2" localSheetId="14">{#N/A,#N/A,FALSE,"schA"}</definedName>
    <definedName name="www_2">{#N/A,#N/A,FALSE,"schA"}</definedName>
    <definedName name="x" localSheetId="14">{#N/A,#N/A,FALSE,"OIT ee contribs 00";#N/A,#N/A,FALSE,"OITeecontribs-DentalVision";#N/A,#N/A,FALSE,"OIT-pc01";#N/A,#N/A,FALSE,"pc-dent&amp;vision01";#N/A,#N/A,FALSE,"OIT-tc01";#N/A,#N/A,FALSE,"tc-dent&amp;vision01"}</definedName>
    <definedName name="x">{#N/A,#N/A,FALSE,"OIT ee contribs 00";#N/A,#N/A,FALSE,"OITeecontribs-DentalVision";#N/A,#N/A,FALSE,"OIT-pc01";#N/A,#N/A,FALSE,"pc-dent&amp;vision01";#N/A,#N/A,FALSE,"OIT-tc01";#N/A,#N/A,FALSE,"tc-dent&amp;vision01"}</definedName>
    <definedName name="xa" localSheetId="14">{"'Metretek HTML'!$A$7:$W$42"}</definedName>
    <definedName name="xa">{"'Metretek HTML'!$A$7:$W$42"}</definedName>
    <definedName name="Xaxix_new">#REF!</definedName>
    <definedName name="xcccv" localSheetId="14">{#N/A,#N/A,FALSE,"Expenditures";#N/A,#N/A,FALSE,"Property Placed In-Service";#N/A,#N/A,FALSE,"Removals";#N/A,#N/A,FALSE,"Retirements";#N/A,#N/A,FALSE,"CWIP Balances";#N/A,#N/A,FALSE,"CWIP_Expend_Ratios";#N/A,#N/A,FALSE,"CWIP_Yr_End";#N/A,#N/A,FALSE,"Nuc_Fuel";#N/A,#N/A,FALSE,"New_Gen";#N/A,#N/A,FALSE,"New_Trans";#N/A,#N/A,FALSE,"DSM";#N/A,#N/A,FALSE,"Factors"}</definedName>
    <definedName name="xcccv">{#N/A,#N/A,FALSE,"Expenditures";#N/A,#N/A,FALSE,"Property Placed In-Service";#N/A,#N/A,FALSE,"Removals";#N/A,#N/A,FALSE,"Retirements";#N/A,#N/A,FALSE,"CWIP Balances";#N/A,#N/A,FALSE,"CWIP_Expend_Ratios";#N/A,#N/A,FALSE,"CWIP_Yr_End";#N/A,#N/A,FALSE,"Nuc_Fuel";#N/A,#N/A,FALSE,"New_Gen";#N/A,#N/A,FALSE,"New_Trans";#N/A,#N/A,FALSE,"DSM";#N/A,#N/A,FALSE,"Factors"}</definedName>
    <definedName name="xcdffff" localSheetId="14">{#N/A,#N/A,FALSE,"schA"}</definedName>
    <definedName name="xcdffff">{#N/A,#N/A,FALSE,"schA"}</definedName>
    <definedName name="xdsdd" localSheetId="14">{#N/A,#N/A,FALSE,"schA"}</definedName>
    <definedName name="xdsdd">{#N/A,#N/A,FALSE,"schA"}</definedName>
    <definedName name="xdsseerf" localSheetId="14">{#N/A,#N/A,FALSE,"Expenditures";#N/A,#N/A,FALSE,"Property Placed In-Service";#N/A,#N/A,FALSE,"CWIP Balances"}</definedName>
    <definedName name="xdsseerf">{#N/A,#N/A,FALSE,"Expenditures";#N/A,#N/A,FALSE,"Property Placed In-Service";#N/A,#N/A,FALSE,"CWIP Balances"}</definedName>
    <definedName name="xfghfghygjytj">40269.094375</definedName>
    <definedName name="xls" localSheetId="14">{"'Metretek HTML'!$A$7:$W$42"}</definedName>
    <definedName name="xls">{"'Metretek HTML'!$A$7:$W$42"}</definedName>
    <definedName name="XO" localSheetId="14">{"'Metretek HTML'!$A$7:$W$42"}</definedName>
    <definedName name="XO">{"'Metretek HTML'!$A$7:$W$42"}</definedName>
    <definedName name="XoXo">1</definedName>
    <definedName name="xs" localSheetId="14">{"'Metretek HTML'!$A$7:$W$42"}</definedName>
    <definedName name="xs">{"'Metretek HTML'!$A$7:$W$42"}</definedName>
    <definedName name="xx" localSheetId="14">YTD #REF!</definedName>
    <definedName name="xx" localSheetId="25">YTD #REF!</definedName>
    <definedName name="xx" localSheetId="4">YTD #REF!</definedName>
    <definedName name="xx" localSheetId="33">YTD #REF!</definedName>
    <definedName name="xx">YTD #REF!</definedName>
    <definedName name="xxccc" localSheetId="14">{#N/A,#N/A,FALSE,"Expenditures";#N/A,#N/A,FALSE,"Property Placed In-Service";#N/A,#N/A,FALSE,"Removals";#N/A,#N/A,FALSE,"Retirements";#N/A,#N/A,FALSE,"CWIP Balances";#N/A,#N/A,FALSE,"CWIP_Expend_Ratios";#N/A,#N/A,FALSE,"CWIP_Yr_End"}</definedName>
    <definedName name="xxccc">{#N/A,#N/A,FALSE,"Expenditures";#N/A,#N/A,FALSE,"Property Placed In-Service";#N/A,#N/A,FALSE,"Removals";#N/A,#N/A,FALSE,"Retirements";#N/A,#N/A,FALSE,"CWIP Balances";#N/A,#N/A,FALSE,"CWIP_Expend_Ratios";#N/A,#N/A,FALSE,"CWIP_Yr_End"}</definedName>
    <definedName name="xxx">#REF!</definedName>
    <definedName name="xxxx" localSheetId="14">{#N/A,#N/A,FALSE,"O&amp;M by processes";#N/A,#N/A,FALSE,"Elec Act vs Bud";#N/A,#N/A,FALSE,"G&amp;A";#N/A,#N/A,FALSE,"BGS";#N/A,#N/A,FALSE,"Res Cost"}</definedName>
    <definedName name="xxxx">{#N/A,#N/A,FALSE,"O&amp;M by processes";#N/A,#N/A,FALSE,"Elec Act vs Bud";#N/A,#N/A,FALSE,"G&amp;A";#N/A,#N/A,FALSE,"BGS";#N/A,#N/A,FALSE,"Res Cost"}</definedName>
    <definedName name="xxxxx">#REF!</definedName>
    <definedName name="xxxxxxx" localSheetId="14">{"'Metretek HTML'!$A$7:$W$42"}</definedName>
    <definedName name="xxxxxxx">{"'Metretek HTML'!$A$7:$W$42"}</definedName>
    <definedName name="XXXXXXXXXXXXXX" localSheetId="14">{"'Metretek HTML'!$A$7:$W$42"}</definedName>
    <definedName name="XXXXXXXXXXXXXX">{"'Metretek HTML'!$A$7:$W$42"}</definedName>
    <definedName name="xy" localSheetId="14">{"'Metretek HTML'!$A$7:$W$42"}</definedName>
    <definedName name="xy">{"'Metretek HTML'!$A$7:$W$42"}</definedName>
    <definedName name="xyz" localSheetId="14">{#N/A,#N/A,FALSE,"Distribution";#N/A,#N/A,FALSE,"Transmission";#N/A,#N/A,FALSE,"KWH"}</definedName>
    <definedName name="xyz">{#N/A,#N/A,FALSE,"Distribution";#N/A,#N/A,FALSE,"Transmission";#N/A,#N/A,FALSE,"KWH"}</definedName>
    <definedName name="XZ" localSheetId="14">{"'Metretek HTML'!$A$7:$W$42"}</definedName>
    <definedName name="XZ">{"'Metretek HTML'!$A$7:$W$42"}</definedName>
    <definedName name="y" localSheetId="14">{"'PRODUCTIONCOST SHEET'!$B$3:$G$48"}</definedName>
    <definedName name="y">{"'PRODUCTIONCOST SHEET'!$B$3:$G$48"}</definedName>
    <definedName name="yAxix_new">#REF!</definedName>
    <definedName name="YEAR">#REF!</definedName>
    <definedName name="year_out">#REF!</definedName>
    <definedName name="YearUnwindPP">#REF!</definedName>
    <definedName name="YEPMAR">#REF!</definedName>
    <definedName name="YEPVOL">#REF!</definedName>
    <definedName name="YesNo">#REF!</definedName>
    <definedName name="yjuyyukyukyukuk">"V2010-03-31"</definedName>
    <definedName name="yjyujuyjfuyjf">"V00005"</definedName>
    <definedName name="YN">#REF!</definedName>
    <definedName name="YR">#REF!</definedName>
    <definedName name="Yr_Name">#REF!</definedName>
    <definedName name="yrtodate">#REF!</definedName>
    <definedName name="yryryrr" localSheetId="14">{#N/A,#N/A,FALSE,"Monthly SAIFI";#N/A,#N/A,FALSE,"Yearly SAIFI";#N/A,#N/A,FALSE,"Monthly CAIDI";#N/A,#N/A,FALSE,"Yearly CAIDI";#N/A,#N/A,FALSE,"Monthly SAIDI";#N/A,#N/A,FALSE,"Yearly SAIDI";#N/A,#N/A,FALSE,"Monthly MAIFI";#N/A,#N/A,FALSE,"Yearly MAIFI";#N/A,#N/A,FALSE,"Monthly Cust &gt;=4 Int"}</definedName>
    <definedName name="yryryrr">{#N/A,#N/A,FALSE,"Monthly SAIFI";#N/A,#N/A,FALSE,"Yearly SAIFI";#N/A,#N/A,FALSE,"Monthly CAIDI";#N/A,#N/A,FALSE,"Yearly CAIDI";#N/A,#N/A,FALSE,"Monthly SAIDI";#N/A,#N/A,FALSE,"Yearly SAIDI";#N/A,#N/A,FALSE,"Monthly MAIFI";#N/A,#N/A,FALSE,"Yearly MAIFI";#N/A,#N/A,FALSE,"Monthly Cust &gt;=4 Int"}</definedName>
    <definedName name="ytjtyjtyjytj">"V2003-07-01"</definedName>
    <definedName name="ytyyyyyyyyyyyyy" localSheetId="14">{#N/A,#N/A,FALSE,"Aging Summary";#N/A,#N/A,FALSE,"Ratio Analysis";#N/A,#N/A,FALSE,"Test 120 Day Accts";#N/A,#N/A,FALSE,"Tickmarks"}</definedName>
    <definedName name="ytyyyyyyyyyyyyy">{#N/A,#N/A,FALSE,"Aging Summary";#N/A,#N/A,FALSE,"Ratio Analysis";#N/A,#N/A,FALSE,"Test 120 Day Accts";#N/A,#N/A,FALSE,"Tickmarks"}</definedName>
    <definedName name="yy" localSheetId="14">{TRUE,TRUE,-2.75,-17,964.5,641.25,FALSE,TRUE,TRUE,TRUE,0,18,#N/A,11,#N/A,22.5227272727273,72.25,1,FALSE,FALSE,3,TRUE,1,FALSE,40,"Swvu.KJP_CC.","ACwvu.KJP_CC.",#N/A,FALSE,FALSE,0,0,0,0,2,"&amp;C&amp;""Arial,Bold""&amp;72Actual Production vs. Projected ","&amp;R&amp;""Arial,Bold Italic""&amp;8&amp;F&amp;A&amp;D",TRUE,TRUE,FALSE,FALSE,1,#N/A,1,1,"=R13C18:R168C107",FALSE,"Rwvu.KJP_CC.","Cwvu.KJP_CC.",FALSE,FALSE,FALSE,263,600,600,FALSE,FALSE,TRUE,TRUE,TRUE}</definedName>
    <definedName name="yy">{TRUE,TRUE,-2.75,-17,964.5,641.25,FALSE,TRUE,TRUE,TRUE,0,18,#N/A,11,#N/A,22.5227272727273,72.25,1,FALSE,FALSE,3,TRUE,1,FALSE,40,"Swvu.KJP_CC.","ACwvu.KJP_CC.",#N/A,FALSE,FALSE,0,0,0,0,2,"&amp;C&amp;""Arial,Bold""&amp;72Actual Production vs. Projected ","&amp;R&amp;""Arial,Bold Italic""&amp;8&amp;F&amp;A&amp;D",TRUE,TRUE,FALSE,FALSE,1,#N/A,1,1,"=R13C18:R168C107",FALSE,"Rwvu.KJP_CC.","Cwvu.KJP_CC.",FALSE,FALSE,FALSE,263,600,600,FALSE,FALSE,TRUE,TRUE,TRUE}</definedName>
    <definedName name="yyhtrt" localSheetId="14">{#N/A,#N/A,FALSE,"schA"}</definedName>
    <definedName name="yyhtrt">{#N/A,#N/A,FALSE,"schA"}</definedName>
    <definedName name="yyy" localSheetId="14">{#N/A,#N/A,FALSE,"Sheet1"}</definedName>
    <definedName name="yyy">{#N/A,#N/A,FALSE,"Sheet1"}</definedName>
    <definedName name="z" localSheetId="14">{#N/A,#N/A,FALSE,"DI 2 YEAR MASTER SCHEDULE"}</definedName>
    <definedName name="z">{#N/A,#N/A,FALSE,"DI 2 YEAR MASTER SCHEDULE"}</definedName>
    <definedName name="Z_2AB7E035_F651_11D6_AD9F_005004545556_.wvu.PrintTitles">#REF!,#REF!</definedName>
    <definedName name="Z_9A428CE1_B4D9_11D0_A8AA_0000C071AEE7_.wvu.Cols">#REF!,#REF!</definedName>
    <definedName name="Z_B7A05E1E_93CE_40AF_8215_EED8EE94C1F4_.wvu.PrintArea">#REF!</definedName>
    <definedName name="ZN0">#REF!</definedName>
    <definedName name="zssd" localSheetId="14">{#N/A,#N/A,FALSE,"schA"}</definedName>
    <definedName name="zssd">{#N/A,#N/A,FALSE,"schA"}</definedName>
    <definedName name="zzasdd" localSheetId="14">{#N/A,#N/A,FALSE,"Expenditures";#N/A,#N/A,FALSE,"Property Placed In-Service";#N/A,#N/A,FALSE,"CWIP Balances"}</definedName>
    <definedName name="zzasdd">{#N/A,#N/A,FALSE,"Expenditures";#N/A,#N/A,FALSE,"Property Placed In-Service";#N/A,#N/A,FALSE,"CWIP Balances"}</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ARRAYTEXT_WF"/>
        <xcalcf:feature name="microsoft.com:CNMTM"/>
        <xcalcf:feature name="microsoft.com:LAMBDA_WF"/>
        <xcalcf:feature name="microsoft.com:LET_WF"/>
      </xcalcf:calcFeatures>
    </ext>
  </extLst>
</workbook>
</file>

<file path=xl/calcChain.xml><?xml version="1.0" encoding="utf-8"?>
<calcChain xmlns="http://schemas.openxmlformats.org/spreadsheetml/2006/main">
  <c r="G52" i="10" l="1"/>
  <c r="G55" i="5" l="1"/>
  <c r="G54" i="5" l="1"/>
  <c r="G43" i="10" l="1"/>
  <c r="E46" i="10" l="1"/>
  <c r="G46" i="10" s="1"/>
  <c r="G42" i="10" l="1"/>
  <c r="G51" i="10"/>
  <c r="C50" i="10"/>
  <c r="C45" i="10"/>
  <c r="G45" i="10" s="1"/>
  <c r="C41" i="10"/>
  <c r="G41" i="10" s="1"/>
  <c r="C56" i="10"/>
  <c r="C62" i="10"/>
  <c r="C38" i="10"/>
  <c r="G50" i="10" l="1"/>
  <c r="H20" i="45" l="1"/>
  <c r="F39" i="12" l="1"/>
  <c r="A35" i="108" l="1"/>
  <c r="E32" i="108"/>
  <c r="F32" i="108" s="1"/>
  <c r="G32" i="108" s="1"/>
  <c r="H32" i="108" s="1"/>
  <c r="D22" i="108"/>
  <c r="G22" i="108" s="1"/>
  <c r="G26" i="108" s="1"/>
  <c r="D21" i="108"/>
  <c r="G21" i="108" s="1"/>
  <c r="D48" i="108" s="1"/>
  <c r="D18" i="108"/>
  <c r="E49" i="108" l="1"/>
  <c r="E50" i="108" s="1"/>
  <c r="E48" i="108"/>
  <c r="F48" i="108" s="1"/>
  <c r="D49" i="108"/>
  <c r="F49" i="108" l="1"/>
  <c r="G46" i="5"/>
  <c r="G43" i="5"/>
  <c r="G37" i="5"/>
  <c r="G24" i="5"/>
  <c r="G22" i="5"/>
  <c r="G44" i="5"/>
  <c r="F22" i="11"/>
  <c r="B16" i="109" l="1"/>
  <c r="B15" i="109"/>
  <c r="H12" i="109" s="1"/>
  <c r="B14" i="109"/>
  <c r="H10" i="109"/>
  <c r="H8" i="109"/>
  <c r="H7" i="109"/>
  <c r="H6" i="109"/>
  <c r="H4" i="109"/>
  <c r="H3" i="109"/>
  <c r="H2" i="109"/>
  <c r="H1" i="109"/>
  <c r="E27" i="109"/>
  <c r="E28" i="109" s="1"/>
  <c r="E29" i="109" s="1"/>
  <c r="E30" i="109" s="1"/>
  <c r="E31" i="109" s="1"/>
  <c r="E32" i="109" s="1"/>
  <c r="E33" i="109" s="1"/>
  <c r="E34" i="109" s="1"/>
  <c r="E35" i="109" s="1"/>
  <c r="E36" i="109" s="1"/>
  <c r="E37" i="109" s="1"/>
  <c r="E38" i="109" s="1"/>
  <c r="A24" i="109"/>
  <c r="A25" i="109" s="1"/>
  <c r="A26" i="109" s="1"/>
  <c r="A27" i="109" s="1"/>
  <c r="A28" i="109" s="1"/>
  <c r="A29" i="109" s="1"/>
  <c r="A30" i="109" s="1"/>
  <c r="A31" i="109" s="1"/>
  <c r="A32" i="109" s="1"/>
  <c r="A33" i="109" s="1"/>
  <c r="A34" i="109" s="1"/>
  <c r="A35" i="109" s="1"/>
  <c r="A36" i="109" s="1"/>
  <c r="A37" i="109" s="1"/>
  <c r="A38" i="109" s="1"/>
  <c r="A39" i="109" s="1"/>
  <c r="A40" i="109" s="1"/>
  <c r="G27" i="109" l="1"/>
  <c r="G28" i="109" s="1"/>
  <c r="G29" i="109" s="1"/>
  <c r="G30" i="109" s="1"/>
  <c r="G31" i="109" s="1"/>
  <c r="G32" i="109" s="1"/>
  <c r="G33" i="109" s="1"/>
  <c r="G34" i="109" s="1"/>
  <c r="G35" i="109" s="1"/>
  <c r="G36" i="109" s="1"/>
  <c r="G37" i="109" s="1"/>
  <c r="G38" i="109" s="1"/>
  <c r="G40" i="109" l="1"/>
  <c r="I7" i="108" l="1"/>
  <c r="I5" i="108"/>
  <c r="I3" i="108"/>
  <c r="I2" i="108"/>
  <c r="I1" i="108"/>
  <c r="H37" i="108"/>
  <c r="G37" i="108"/>
  <c r="F37" i="108"/>
  <c r="E37" i="108"/>
  <c r="D37" i="108"/>
  <c r="I36" i="108"/>
  <c r="I37" i="108" s="1"/>
  <c r="E25" i="7" s="1"/>
  <c r="I35" i="108"/>
  <c r="E43" i="108" s="1"/>
  <c r="D20" i="108"/>
  <c r="A18" i="108"/>
  <c r="A19" i="108" s="1"/>
  <c r="A20" i="108" s="1"/>
  <c r="A21" i="108" s="1"/>
  <c r="A22" i="108" s="1"/>
  <c r="A23" i="108" s="1"/>
  <c r="A25" i="108" l="1"/>
  <c r="D43" i="108"/>
  <c r="D45" i="108" s="1"/>
  <c r="E44" i="108"/>
  <c r="F44" i="108" s="1"/>
  <c r="D23" i="108"/>
  <c r="A36" i="108" l="1"/>
  <c r="A37" i="108" s="1"/>
  <c r="A43" i="108" s="1"/>
  <c r="A44" i="108" s="1"/>
  <c r="A45" i="108" s="1"/>
  <c r="A47" i="108" s="1"/>
  <c r="A48" i="108" s="1"/>
  <c r="A49" i="108" s="1"/>
  <c r="A50" i="108" s="1"/>
  <c r="A51" i="108" s="1"/>
  <c r="A53" i="108" s="1"/>
  <c r="A55" i="108" s="1"/>
  <c r="A56" i="108" s="1"/>
  <c r="A57" i="108" s="1"/>
  <c r="A58" i="108" s="1"/>
  <c r="A26" i="108"/>
  <c r="A27" i="108" s="1"/>
  <c r="F43" i="108"/>
  <c r="D50" i="108"/>
  <c r="F50" i="108" s="1"/>
  <c r="E45" i="108"/>
  <c r="F45" i="108" l="1"/>
  <c r="B34" i="1" l="1"/>
  <c r="A34" i="1"/>
  <c r="I56" i="5" l="1"/>
  <c r="H41" i="45" l="1"/>
  <c r="F43" i="12" l="1"/>
  <c r="H64" i="45" l="1"/>
  <c r="E62" i="10" l="1"/>
  <c r="B49" i="13" l="1"/>
  <c r="A27" i="13"/>
  <c r="A26" i="13"/>
  <c r="H26" i="13"/>
  <c r="I26" i="13" l="1"/>
  <c r="A25" i="9" l="1"/>
  <c r="A24" i="9"/>
  <c r="F36" i="102" l="1"/>
  <c r="F35" i="102"/>
  <c r="U33" i="102"/>
  <c r="T33" i="102"/>
  <c r="S33" i="102"/>
  <c r="R33" i="102"/>
  <c r="Q33" i="102"/>
  <c r="P33" i="102"/>
  <c r="O33" i="102"/>
  <c r="N33" i="102"/>
  <c r="M33" i="102"/>
  <c r="L33" i="102"/>
  <c r="V33" i="102" s="1"/>
  <c r="G33" i="102"/>
  <c r="F33" i="102"/>
  <c r="B26" i="102"/>
  <c r="B25" i="102"/>
  <c r="B20" i="102"/>
  <c r="B27" i="102" l="1"/>
  <c r="F32" i="13" l="1"/>
  <c r="H67" i="45" l="1"/>
  <c r="G123" i="94" l="1"/>
  <c r="G122" i="94"/>
  <c r="G111" i="94"/>
  <c r="G109" i="94"/>
  <c r="G101" i="94"/>
  <c r="G100" i="94"/>
  <c r="G99" i="94"/>
  <c r="G98" i="94"/>
  <c r="G97" i="94"/>
  <c r="G96" i="94"/>
  <c r="G95" i="94"/>
  <c r="G94" i="94"/>
  <c r="G91" i="94"/>
  <c r="B71" i="94"/>
  <c r="A71" i="94"/>
  <c r="A69" i="94"/>
  <c r="I62" i="94"/>
  <c r="G62" i="94"/>
  <c r="K62" i="94" s="1"/>
  <c r="G45" i="94"/>
  <c r="K45" i="94" s="1"/>
  <c r="G44" i="94"/>
  <c r="K44" i="94" s="1"/>
  <c r="I39" i="94"/>
  <c r="K29" i="94"/>
  <c r="A27" i="94"/>
  <c r="A28" i="94" s="1"/>
  <c r="A29" i="94" s="1"/>
  <c r="A30" i="94" s="1"/>
  <c r="A31" i="94" s="1"/>
  <c r="A32" i="94" s="1"/>
  <c r="A33" i="94" s="1"/>
  <c r="A34" i="94" s="1"/>
  <c r="A35" i="94" s="1"/>
  <c r="A36" i="94" s="1"/>
  <c r="A37" i="94" s="1"/>
  <c r="A38" i="94" s="1"/>
  <c r="A39" i="94" s="1"/>
  <c r="A40" i="94" s="1"/>
  <c r="A26" i="94"/>
  <c r="A23" i="94"/>
  <c r="A24" i="94" s="1"/>
  <c r="A72" i="94" s="1"/>
  <c r="A22" i="94"/>
  <c r="K19" i="94"/>
  <c r="A16" i="94"/>
  <c r="A14" i="94"/>
  <c r="K12" i="94"/>
  <c r="K10" i="94"/>
  <c r="K8" i="94"/>
  <c r="K7" i="94"/>
  <c r="K6" i="94"/>
  <c r="K4" i="94"/>
  <c r="K3" i="94"/>
  <c r="K2" i="94"/>
  <c r="K1" i="94"/>
  <c r="A70" i="94" l="1"/>
  <c r="A41" i="94"/>
  <c r="A42" i="94" s="1"/>
  <c r="A43" i="94" s="1"/>
  <c r="A44" i="94" s="1"/>
  <c r="G392" i="86"/>
  <c r="B16" i="89"/>
  <c r="A73" i="94" l="1"/>
  <c r="A45" i="94"/>
  <c r="B80" i="89"/>
  <c r="A76" i="89"/>
  <c r="B75" i="89"/>
  <c r="A75" i="89"/>
  <c r="B74" i="89"/>
  <c r="A74" i="89"/>
  <c r="A73" i="89"/>
  <c r="A72" i="89"/>
  <c r="B64" i="89"/>
  <c r="B63" i="89"/>
  <c r="B76" i="89" s="1"/>
  <c r="B59" i="89"/>
  <c r="B58" i="89"/>
  <c r="B60" i="89" s="1"/>
  <c r="B50" i="89"/>
  <c r="B43" i="89"/>
  <c r="B42" i="89"/>
  <c r="B73" i="89" s="1"/>
  <c r="B38" i="89"/>
  <c r="B37" i="89"/>
  <c r="B39" i="89" s="1"/>
  <c r="B34" i="89"/>
  <c r="M32" i="89"/>
  <c r="M31" i="89"/>
  <c r="M33" i="89" s="1"/>
  <c r="B29" i="89"/>
  <c r="B28" i="89"/>
  <c r="B27" i="89"/>
  <c r="B17" i="89"/>
  <c r="B14" i="89"/>
  <c r="B19" i="89" s="1"/>
  <c r="B52" i="89" s="1"/>
  <c r="B11" i="20"/>
  <c r="A74" i="94" l="1"/>
  <c r="A46" i="94"/>
  <c r="B44" i="89"/>
  <c r="B65" i="89"/>
  <c r="B67" i="89" s="1"/>
  <c r="B78" i="89" s="1"/>
  <c r="B72" i="89"/>
  <c r="B77" i="89" s="1"/>
  <c r="A47" i="94" l="1"/>
  <c r="A48" i="94" s="1"/>
  <c r="A49" i="94" s="1"/>
  <c r="A50" i="94" s="1"/>
  <c r="A51" i="94" s="1"/>
  <c r="A52" i="94" s="1"/>
  <c r="A75" i="94"/>
  <c r="B79" i="89"/>
  <c r="B81" i="89" s="1"/>
  <c r="A76" i="94" l="1"/>
  <c r="A53" i="94"/>
  <c r="B26" i="19"/>
  <c r="B28" i="19"/>
  <c r="D10" i="19"/>
  <c r="D9" i="19"/>
  <c r="D8" i="19"/>
  <c r="D7" i="19"/>
  <c r="D6" i="19"/>
  <c r="C8" i="19"/>
  <c r="A77" i="94" l="1"/>
  <c r="A54" i="94"/>
  <c r="A55" i="94" l="1"/>
  <c r="A78" i="94"/>
  <c r="A79" i="94" l="1"/>
  <c r="A56" i="94"/>
  <c r="A57" i="94" s="1"/>
  <c r="A58" i="94" s="1"/>
  <c r="A59" i="94" s="1"/>
  <c r="A60" i="94" s="1"/>
  <c r="A61" i="94" s="1"/>
  <c r="A80" i="94" l="1"/>
  <c r="A62" i="94"/>
  <c r="A63" i="94" s="1"/>
  <c r="A64" i="94" s="1"/>
  <c r="A25" i="7"/>
  <c r="A26" i="7" s="1"/>
  <c r="A27" i="7" l="1"/>
  <c r="A28" i="7" s="1"/>
  <c r="A29" i="7" s="1"/>
  <c r="G22" i="94"/>
  <c r="G23" i="94"/>
  <c r="K23" i="94" s="1"/>
  <c r="G24" i="94"/>
  <c r="G33" i="94"/>
  <c r="K33" i="5"/>
  <c r="G34" i="94"/>
  <c r="K34" i="94" s="1"/>
  <c r="K34" i="5"/>
  <c r="G35" i="94"/>
  <c r="K35" i="94" s="1"/>
  <c r="K35" i="5"/>
  <c r="G36" i="94"/>
  <c r="K36" i="94" s="1"/>
  <c r="K36" i="5"/>
  <c r="G37" i="94"/>
  <c r="K38" i="5"/>
  <c r="G39" i="94"/>
  <c r="K39" i="94" s="1"/>
  <c r="G43" i="94"/>
  <c r="K43" i="5"/>
  <c r="K45" i="5"/>
  <c r="D26" i="6" s="1"/>
  <c r="G54" i="94"/>
  <c r="G56" i="94"/>
  <c r="K56" i="94" s="1"/>
  <c r="K56" i="5"/>
  <c r="D30" i="6" s="1"/>
  <c r="G46" i="94"/>
  <c r="D24" i="11"/>
  <c r="D45" i="12"/>
  <c r="H395" i="86"/>
  <c r="C54" i="10"/>
  <c r="E54" i="10" s="1"/>
  <c r="C48" i="10"/>
  <c r="E48" i="10" s="1"/>
  <c r="C36" i="10"/>
  <c r="F393" i="86"/>
  <c r="F394" i="86" s="1"/>
  <c r="F396" i="86" s="1"/>
  <c r="G393" i="86"/>
  <c r="G391" i="86"/>
  <c r="G390" i="86"/>
  <c r="F392" i="70"/>
  <c r="G60" i="85"/>
  <c r="S23" i="77"/>
  <c r="N93" i="83"/>
  <c r="N95" i="83"/>
  <c r="N94" i="83"/>
  <c r="E78" i="84"/>
  <c r="E82" i="84"/>
  <c r="E84" i="84"/>
  <c r="G23" i="84"/>
  <c r="G24" i="84"/>
  <c r="G25" i="84"/>
  <c r="B20" i="22"/>
  <c r="B25" i="22" s="1"/>
  <c r="F33" i="22"/>
  <c r="G33" i="22"/>
  <c r="L33" i="22"/>
  <c r="M33" i="22"/>
  <c r="N33" i="22"/>
  <c r="O33" i="22"/>
  <c r="P33" i="22"/>
  <c r="Q33" i="22"/>
  <c r="R33" i="22"/>
  <c r="S33" i="22"/>
  <c r="T33" i="22"/>
  <c r="U33" i="22"/>
  <c r="V33" i="22"/>
  <c r="S21" i="77"/>
  <c r="O24" i="83"/>
  <c r="O27" i="83"/>
  <c r="O30" i="83"/>
  <c r="O33" i="83"/>
  <c r="O36" i="83"/>
  <c r="O39" i="83"/>
  <c r="O42" i="83"/>
  <c r="O45" i="83"/>
  <c r="O48" i="83"/>
  <c r="O51" i="83"/>
  <c r="O54" i="83"/>
  <c r="O57" i="83"/>
  <c r="O61" i="83"/>
  <c r="O63" i="83"/>
  <c r="O65" i="83"/>
  <c r="O68" i="83"/>
  <c r="O71" i="83"/>
  <c r="O74" i="83"/>
  <c r="O77" i="83"/>
  <c r="O79" i="83"/>
  <c r="O81" i="83"/>
  <c r="O83" i="83"/>
  <c r="O85" i="83"/>
  <c r="O88" i="83"/>
  <c r="O89" i="83"/>
  <c r="O9" i="83"/>
  <c r="J10" i="83"/>
  <c r="O10" i="83"/>
  <c r="J11" i="83"/>
  <c r="O11" i="83"/>
  <c r="J12" i="83"/>
  <c r="J13" i="83"/>
  <c r="O13" i="83"/>
  <c r="J15" i="83"/>
  <c r="N24" i="83"/>
  <c r="P24" i="83"/>
  <c r="N27" i="83"/>
  <c r="P27" i="83"/>
  <c r="N30" i="83"/>
  <c r="P30" i="83"/>
  <c r="N33" i="83"/>
  <c r="P33" i="83"/>
  <c r="N36" i="83"/>
  <c r="P36" i="83"/>
  <c r="N39" i="83"/>
  <c r="P39" i="83"/>
  <c r="N42" i="83"/>
  <c r="P42" i="83"/>
  <c r="N45" i="83"/>
  <c r="P45" i="83"/>
  <c r="N48" i="83"/>
  <c r="P48" i="83"/>
  <c r="N51" i="83"/>
  <c r="P51" i="83"/>
  <c r="N54" i="83"/>
  <c r="P54" i="83"/>
  <c r="N57" i="83"/>
  <c r="P57" i="83"/>
  <c r="N61" i="83"/>
  <c r="P61" i="83"/>
  <c r="N63" i="83"/>
  <c r="P63" i="83"/>
  <c r="N65" i="83"/>
  <c r="P65" i="83"/>
  <c r="N68" i="83"/>
  <c r="P68" i="83"/>
  <c r="N71" i="83"/>
  <c r="P71" i="83"/>
  <c r="N74" i="83"/>
  <c r="P74" i="83"/>
  <c r="N77" i="83"/>
  <c r="P77" i="83"/>
  <c r="N79" i="83"/>
  <c r="P79" i="83"/>
  <c r="N81" i="83"/>
  <c r="P81" i="83"/>
  <c r="N83" i="83"/>
  <c r="P83" i="83"/>
  <c r="N85" i="83"/>
  <c r="P85" i="83"/>
  <c r="N88" i="83"/>
  <c r="P88" i="83"/>
  <c r="K89" i="83"/>
  <c r="N89" i="83"/>
  <c r="P89" i="83"/>
  <c r="K44" i="5"/>
  <c r="B11" i="19"/>
  <c r="Y531" i="64"/>
  <c r="B15" i="19"/>
  <c r="B27" i="19" s="1"/>
  <c r="B26" i="22"/>
  <c r="B17" i="21"/>
  <c r="S22" i="77"/>
  <c r="S20" i="77"/>
  <c r="S19" i="77"/>
  <c r="A23" i="13"/>
  <c r="B48" i="7"/>
  <c r="B40" i="7"/>
  <c r="L408" i="24"/>
  <c r="L389" i="70"/>
  <c r="N27" i="75"/>
  <c r="N28" i="75"/>
  <c r="N29" i="75"/>
  <c r="N30" i="75"/>
  <c r="O79" i="74"/>
  <c r="N79" i="74"/>
  <c r="P79" i="74"/>
  <c r="O76" i="74"/>
  <c r="N76" i="74"/>
  <c r="P76" i="74"/>
  <c r="O74" i="74"/>
  <c r="N74" i="74"/>
  <c r="O72" i="74"/>
  <c r="N72" i="74"/>
  <c r="O70" i="74"/>
  <c r="N70" i="74"/>
  <c r="O68" i="74"/>
  <c r="N68" i="74"/>
  <c r="O65" i="74"/>
  <c r="N65" i="74"/>
  <c r="P65" i="74"/>
  <c r="O62" i="74"/>
  <c r="N62" i="74"/>
  <c r="P62" i="74"/>
  <c r="O59" i="74"/>
  <c r="N59" i="74"/>
  <c r="P59" i="74"/>
  <c r="O56" i="74"/>
  <c r="N56" i="74"/>
  <c r="O54" i="74"/>
  <c r="N54" i="74"/>
  <c r="P54" i="74"/>
  <c r="O51" i="74"/>
  <c r="N51" i="74"/>
  <c r="O48" i="74"/>
  <c r="N48" i="74"/>
  <c r="P48" i="74"/>
  <c r="O46" i="74"/>
  <c r="N46" i="74"/>
  <c r="P46" i="74"/>
  <c r="O44" i="74"/>
  <c r="N44" i="74"/>
  <c r="P44" i="74"/>
  <c r="O42" i="74"/>
  <c r="N42" i="74"/>
  <c r="O40" i="74"/>
  <c r="N40" i="74"/>
  <c r="P40" i="74"/>
  <c r="O38" i="74"/>
  <c r="N38" i="74"/>
  <c r="O35" i="74"/>
  <c r="N35" i="74"/>
  <c r="P35" i="74"/>
  <c r="O32" i="74"/>
  <c r="N32" i="74"/>
  <c r="P32" i="74"/>
  <c r="O30" i="74"/>
  <c r="N30" i="74"/>
  <c r="P30" i="74"/>
  <c r="O28" i="74"/>
  <c r="N28" i="74"/>
  <c r="O25" i="74"/>
  <c r="N25" i="74"/>
  <c r="P25" i="74"/>
  <c r="N22" i="74"/>
  <c r="O22" i="74"/>
  <c r="J13" i="74"/>
  <c r="J12" i="74"/>
  <c r="O11" i="74"/>
  <c r="J11" i="74"/>
  <c r="O10" i="74"/>
  <c r="J10" i="74"/>
  <c r="O9" i="74"/>
  <c r="F388" i="70"/>
  <c r="F393" i="70"/>
  <c r="F395" i="70"/>
  <c r="O13" i="74"/>
  <c r="N80" i="74"/>
  <c r="J15" i="74"/>
  <c r="P70" i="74"/>
  <c r="O80" i="74"/>
  <c r="P38" i="74"/>
  <c r="P51" i="74"/>
  <c r="P68" i="74"/>
  <c r="P28" i="74"/>
  <c r="P42" i="74"/>
  <c r="P56" i="74"/>
  <c r="P72" i="74"/>
  <c r="P22" i="74"/>
  <c r="P80" i="74"/>
  <c r="P74" i="74"/>
  <c r="B14" i="21"/>
  <c r="B7" i="20"/>
  <c r="H19" i="11"/>
  <c r="W530" i="64"/>
  <c r="V529" i="64"/>
  <c r="U529" i="64"/>
  <c r="T529" i="64"/>
  <c r="S529" i="64"/>
  <c r="W529" i="64"/>
  <c r="W528" i="64"/>
  <c r="W527" i="64"/>
  <c r="W526" i="64"/>
  <c r="W525" i="64"/>
  <c r="V524" i="64"/>
  <c r="U524" i="64"/>
  <c r="T524" i="64"/>
  <c r="S524" i="64"/>
  <c r="W524" i="64"/>
  <c r="W523" i="64"/>
  <c r="W522" i="64"/>
  <c r="W520" i="64"/>
  <c r="T519" i="64"/>
  <c r="T521" i="64"/>
  <c r="W518" i="64"/>
  <c r="V518" i="64"/>
  <c r="U518" i="64"/>
  <c r="T518" i="64"/>
  <c r="S518" i="64"/>
  <c r="W517" i="64"/>
  <c r="V516" i="64"/>
  <c r="U516" i="64"/>
  <c r="T516" i="64"/>
  <c r="S516" i="64"/>
  <c r="W516" i="64"/>
  <c r="W515" i="64"/>
  <c r="V514" i="64"/>
  <c r="U514" i="64"/>
  <c r="T514" i="64"/>
  <c r="S514" i="64"/>
  <c r="W514" i="64"/>
  <c r="W513" i="64"/>
  <c r="V512" i="64"/>
  <c r="U512" i="64"/>
  <c r="T512" i="64"/>
  <c r="S512" i="64"/>
  <c r="W512" i="64"/>
  <c r="W511" i="64"/>
  <c r="Y516" i="64"/>
  <c r="W510" i="64"/>
  <c r="V509" i="64"/>
  <c r="U509" i="64"/>
  <c r="T509" i="64"/>
  <c r="S509" i="64"/>
  <c r="W509" i="64"/>
  <c r="Y508" i="64"/>
  <c r="W508" i="64"/>
  <c r="W507" i="64"/>
  <c r="V506" i="64"/>
  <c r="V519" i="64"/>
  <c r="V521" i="64"/>
  <c r="U506" i="64"/>
  <c r="U519" i="64"/>
  <c r="U521" i="64"/>
  <c r="T506" i="64"/>
  <c r="S506" i="64"/>
  <c r="S519" i="64"/>
  <c r="W505" i="64"/>
  <c r="W504" i="64"/>
  <c r="W502" i="64"/>
  <c r="T500" i="64"/>
  <c r="V499" i="64"/>
  <c r="U499" i="64"/>
  <c r="U500" i="64"/>
  <c r="T499" i="64"/>
  <c r="S499" i="64"/>
  <c r="W499" i="64"/>
  <c r="W498" i="64"/>
  <c r="W497" i="64"/>
  <c r="W496" i="64"/>
  <c r="W495" i="64"/>
  <c r="W494" i="64"/>
  <c r="V493" i="64"/>
  <c r="U493" i="64"/>
  <c r="T493" i="64"/>
  <c r="S493" i="64"/>
  <c r="W493" i="64"/>
  <c r="W492" i="64"/>
  <c r="V491" i="64"/>
  <c r="V500" i="64"/>
  <c r="V501" i="64"/>
  <c r="V503" i="64"/>
  <c r="U491" i="64"/>
  <c r="T491" i="64"/>
  <c r="S491" i="64"/>
  <c r="W491" i="64"/>
  <c r="W490" i="64"/>
  <c r="V489" i="64"/>
  <c r="U489" i="64"/>
  <c r="T489" i="64"/>
  <c r="S489" i="64"/>
  <c r="W489" i="64"/>
  <c r="W488" i="64"/>
  <c r="V487" i="64"/>
  <c r="U487" i="64"/>
  <c r="T487" i="64"/>
  <c r="S487" i="64"/>
  <c r="W487" i="64"/>
  <c r="W486" i="64"/>
  <c r="V485" i="64"/>
  <c r="U485" i="64"/>
  <c r="T485" i="64"/>
  <c r="S485" i="64"/>
  <c r="W485" i="64"/>
  <c r="W484" i="64"/>
  <c r="V483" i="64"/>
  <c r="U483" i="64"/>
  <c r="T483" i="64"/>
  <c r="S483" i="64"/>
  <c r="W483" i="64"/>
  <c r="Z482" i="64"/>
  <c r="W482" i="64"/>
  <c r="V481" i="64"/>
  <c r="U481" i="64"/>
  <c r="T481" i="64"/>
  <c r="W481" i="64"/>
  <c r="S481" i="64"/>
  <c r="W480" i="64"/>
  <c r="V479" i="64"/>
  <c r="U479" i="64"/>
  <c r="T479" i="64"/>
  <c r="S479" i="64"/>
  <c r="W479" i="64"/>
  <c r="W478" i="64"/>
  <c r="W477" i="64"/>
  <c r="V476" i="64"/>
  <c r="U476" i="64"/>
  <c r="U501" i="64"/>
  <c r="U503" i="64"/>
  <c r="V475" i="64"/>
  <c r="U475" i="64"/>
  <c r="T475" i="64"/>
  <c r="S475" i="64"/>
  <c r="S476" i="64"/>
  <c r="W474" i="64"/>
  <c r="V473" i="64"/>
  <c r="U473" i="64"/>
  <c r="T473" i="64"/>
  <c r="T476" i="64"/>
  <c r="T501" i="64"/>
  <c r="T503" i="64"/>
  <c r="S473" i="64"/>
  <c r="W472" i="64"/>
  <c r="W471" i="64"/>
  <c r="W470" i="64"/>
  <c r="W469" i="64"/>
  <c r="W468" i="64"/>
  <c r="W467" i="64"/>
  <c r="V467" i="64"/>
  <c r="U467" i="64"/>
  <c r="T467" i="64"/>
  <c r="S467" i="64"/>
  <c r="W466" i="64"/>
  <c r="W465" i="64"/>
  <c r="V464" i="64"/>
  <c r="U464" i="64"/>
  <c r="T464" i="64"/>
  <c r="S464" i="64"/>
  <c r="W464" i="64"/>
  <c r="W463" i="64"/>
  <c r="Y518" i="64"/>
  <c r="W462" i="64"/>
  <c r="W460" i="64"/>
  <c r="V458" i="64"/>
  <c r="U458" i="64"/>
  <c r="T458" i="64"/>
  <c r="S458" i="64"/>
  <c r="W458" i="64"/>
  <c r="W457" i="64"/>
  <c r="W456" i="64"/>
  <c r="W455" i="64"/>
  <c r="W454" i="64"/>
  <c r="V453" i="64"/>
  <c r="U453" i="64"/>
  <c r="T453" i="64"/>
  <c r="W453" i="64"/>
  <c r="S453" i="64"/>
  <c r="W452" i="64"/>
  <c r="W451" i="64"/>
  <c r="V450" i="64"/>
  <c r="U450" i="64"/>
  <c r="T450" i="64"/>
  <c r="S450" i="64"/>
  <c r="W450" i="64"/>
  <c r="W449" i="64"/>
  <c r="W448" i="64"/>
  <c r="W447" i="64"/>
  <c r="W446" i="64"/>
  <c r="V445" i="64"/>
  <c r="W445" i="64"/>
  <c r="U445" i="64"/>
  <c r="T445" i="64"/>
  <c r="S445" i="64"/>
  <c r="W444" i="64"/>
  <c r="W443" i="64"/>
  <c r="W442" i="64"/>
  <c r="Z441" i="64"/>
  <c r="W441" i="64"/>
  <c r="Z440" i="64"/>
  <c r="V440" i="64"/>
  <c r="U440" i="64"/>
  <c r="T440" i="64"/>
  <c r="S440" i="64"/>
  <c r="Z439" i="64"/>
  <c r="W439" i="64"/>
  <c r="Y459" i="64"/>
  <c r="Z438" i="64"/>
  <c r="V438" i="64"/>
  <c r="W438" i="64"/>
  <c r="U438" i="64"/>
  <c r="T438" i="64"/>
  <c r="S438" i="64"/>
  <c r="W437" i="64"/>
  <c r="W436" i="64"/>
  <c r="Y435" i="64"/>
  <c r="W435" i="64"/>
  <c r="W434" i="64"/>
  <c r="W433" i="64"/>
  <c r="S432" i="64"/>
  <c r="V431" i="64"/>
  <c r="W431" i="64"/>
  <c r="U431" i="64"/>
  <c r="T431" i="64"/>
  <c r="S431" i="64"/>
  <c r="W430" i="64"/>
  <c r="W429" i="64"/>
  <c r="W428" i="64"/>
  <c r="W427" i="64"/>
  <c r="W426" i="64"/>
  <c r="W425" i="64"/>
  <c r="V424" i="64"/>
  <c r="V432" i="64"/>
  <c r="U424" i="64"/>
  <c r="U432" i="64"/>
  <c r="T424" i="64"/>
  <c r="T432" i="64"/>
  <c r="S424" i="64"/>
  <c r="W423" i="64"/>
  <c r="W422" i="64"/>
  <c r="V420" i="64"/>
  <c r="U420" i="64"/>
  <c r="V419" i="64"/>
  <c r="U419" i="64"/>
  <c r="T419" i="64"/>
  <c r="T420" i="64"/>
  <c r="S419" i="64"/>
  <c r="W418" i="64"/>
  <c r="W417" i="64"/>
  <c r="W416" i="64"/>
  <c r="W415" i="64"/>
  <c r="V415" i="64"/>
  <c r="U415" i="64"/>
  <c r="T415" i="64"/>
  <c r="S415" i="64"/>
  <c r="S420" i="64"/>
  <c r="W414" i="64"/>
  <c r="W413" i="64"/>
  <c r="W412" i="64"/>
  <c r="W411" i="64"/>
  <c r="W410" i="64"/>
  <c r="W409" i="64"/>
  <c r="W408" i="64"/>
  <c r="W407" i="64"/>
  <c r="W406" i="64"/>
  <c r="W405" i="64"/>
  <c r="W404" i="64"/>
  <c r="W403" i="64"/>
  <c r="W402" i="64"/>
  <c r="W401" i="64"/>
  <c r="W400" i="64"/>
  <c r="W399" i="64"/>
  <c r="U398" i="64"/>
  <c r="T398" i="64"/>
  <c r="V397" i="64"/>
  <c r="V398" i="64"/>
  <c r="U397" i="64"/>
  <c r="T397" i="64"/>
  <c r="S397" i="64"/>
  <c r="W397" i="64"/>
  <c r="W396" i="64"/>
  <c r="W395" i="64"/>
  <c r="W394" i="64"/>
  <c r="W393" i="64"/>
  <c r="W392" i="64"/>
  <c r="W391" i="64"/>
  <c r="W390" i="64"/>
  <c r="W389" i="64"/>
  <c r="W388" i="64"/>
  <c r="W387" i="64"/>
  <c r="W386" i="64"/>
  <c r="V386" i="64"/>
  <c r="U386" i="64"/>
  <c r="T386" i="64"/>
  <c r="S386" i="64"/>
  <c r="S398" i="64"/>
  <c r="W398" i="64"/>
  <c r="W385" i="64"/>
  <c r="Y392" i="64"/>
  <c r="W384" i="64"/>
  <c r="W383" i="64"/>
  <c r="W382" i="64"/>
  <c r="W381" i="64"/>
  <c r="U380" i="64"/>
  <c r="V379" i="64"/>
  <c r="U379" i="64"/>
  <c r="W379" i="64"/>
  <c r="T379" i="64"/>
  <c r="S379" i="64"/>
  <c r="W378" i="64"/>
  <c r="W377" i="64"/>
  <c r="W376" i="64"/>
  <c r="W375" i="64"/>
  <c r="W374" i="64"/>
  <c r="W373" i="64"/>
  <c r="W372" i="64"/>
  <c r="W371" i="64"/>
  <c r="W370" i="64"/>
  <c r="W369" i="64"/>
  <c r="W368" i="64"/>
  <c r="W367" i="64"/>
  <c r="W366" i="64"/>
  <c r="W365" i="64"/>
  <c r="W364" i="64"/>
  <c r="W363" i="64"/>
  <c r="W362" i="64"/>
  <c r="W361" i="64"/>
  <c r="W360" i="64"/>
  <c r="W359" i="64"/>
  <c r="W358" i="64"/>
  <c r="W357" i="64"/>
  <c r="W356" i="64"/>
  <c r="W355" i="64"/>
  <c r="W354" i="64"/>
  <c r="W353" i="64"/>
  <c r="W352" i="64"/>
  <c r="W351" i="64"/>
  <c r="W350" i="64"/>
  <c r="W349" i="64"/>
  <c r="W348" i="64"/>
  <c r="W347" i="64"/>
  <c r="V346" i="64"/>
  <c r="U346" i="64"/>
  <c r="T346" i="64"/>
  <c r="S346" i="64"/>
  <c r="W346" i="64"/>
  <c r="W345" i="64"/>
  <c r="W344" i="64"/>
  <c r="W343" i="64"/>
  <c r="W342" i="64"/>
  <c r="W341" i="64"/>
  <c r="W340" i="64"/>
  <c r="W339" i="64"/>
  <c r="W338" i="64"/>
  <c r="W337" i="64"/>
  <c r="W336" i="64"/>
  <c r="W335" i="64"/>
  <c r="W334" i="64"/>
  <c r="W333" i="64"/>
  <c r="W332" i="64"/>
  <c r="W331" i="64"/>
  <c r="W330" i="64"/>
  <c r="W329" i="64"/>
  <c r="W328" i="64"/>
  <c r="W327" i="64"/>
  <c r="W326" i="64"/>
  <c r="W325" i="64"/>
  <c r="W324" i="64"/>
  <c r="W323" i="64"/>
  <c r="W322" i="64"/>
  <c r="W321" i="64"/>
  <c r="W320" i="64"/>
  <c r="W319" i="64"/>
  <c r="W318" i="64"/>
  <c r="W317" i="64"/>
  <c r="W316" i="64"/>
  <c r="W315" i="64"/>
  <c r="W314" i="64"/>
  <c r="W313" i="64"/>
  <c r="W312" i="64"/>
  <c r="W311" i="64"/>
  <c r="W310" i="64"/>
  <c r="W309" i="64"/>
  <c r="W308" i="64"/>
  <c r="W307" i="64"/>
  <c r="W306" i="64"/>
  <c r="W305" i="64"/>
  <c r="W304" i="64"/>
  <c r="W303" i="64"/>
  <c r="W302" i="64"/>
  <c r="W301" i="64"/>
  <c r="W300" i="64"/>
  <c r="W299" i="64"/>
  <c r="W298" i="64"/>
  <c r="W297" i="64"/>
  <c r="W296" i="64"/>
  <c r="W295" i="64"/>
  <c r="W294" i="64"/>
  <c r="W293" i="64"/>
  <c r="W292" i="64"/>
  <c r="V292" i="64"/>
  <c r="V380" i="64"/>
  <c r="U292" i="64"/>
  <c r="T292" i="64"/>
  <c r="T380" i="64"/>
  <c r="S292" i="64"/>
  <c r="S380" i="64"/>
  <c r="W380" i="64"/>
  <c r="W291" i="64"/>
  <c r="W290" i="64"/>
  <c r="W289" i="64"/>
  <c r="W288" i="64"/>
  <c r="W287" i="64"/>
  <c r="W286" i="64"/>
  <c r="W285" i="64"/>
  <c r="W284" i="64"/>
  <c r="W283" i="64"/>
  <c r="W282" i="64"/>
  <c r="W281" i="64"/>
  <c r="W280" i="64"/>
  <c r="W279" i="64"/>
  <c r="W278" i="64"/>
  <c r="W277" i="64"/>
  <c r="W276" i="64"/>
  <c r="W275" i="64"/>
  <c r="W274" i="64"/>
  <c r="W273" i="64"/>
  <c r="W272" i="64"/>
  <c r="W271" i="64"/>
  <c r="W270" i="64"/>
  <c r="W269" i="64"/>
  <c r="W268" i="64"/>
  <c r="W267" i="64"/>
  <c r="W266" i="64"/>
  <c r="W265" i="64"/>
  <c r="W264" i="64"/>
  <c r="W263" i="64"/>
  <c r="W262" i="64"/>
  <c r="W261" i="64"/>
  <c r="W260" i="64"/>
  <c r="W259" i="64"/>
  <c r="W258" i="64"/>
  <c r="W257" i="64"/>
  <c r="W256" i="64"/>
  <c r="W255" i="64"/>
  <c r="W254" i="64"/>
  <c r="W253" i="64"/>
  <c r="W252" i="64"/>
  <c r="W251" i="64"/>
  <c r="W250" i="64"/>
  <c r="W249" i="64"/>
  <c r="W248" i="64"/>
  <c r="W247" i="64"/>
  <c r="W246" i="64"/>
  <c r="W245" i="64"/>
  <c r="W244" i="64"/>
  <c r="W243" i="64"/>
  <c r="W242" i="64"/>
  <c r="W241" i="64"/>
  <c r="W240" i="64"/>
  <c r="W239" i="64"/>
  <c r="W238" i="64"/>
  <c r="W237" i="64"/>
  <c r="W236" i="64"/>
  <c r="W235" i="64"/>
  <c r="W234" i="64"/>
  <c r="W233" i="64"/>
  <c r="W232" i="64"/>
  <c r="W231" i="64"/>
  <c r="W230" i="64"/>
  <c r="W229" i="64"/>
  <c r="W228" i="64"/>
  <c r="W227" i="64"/>
  <c r="W226" i="64"/>
  <c r="W225" i="64"/>
  <c r="W224" i="64"/>
  <c r="W223" i="64"/>
  <c r="W222" i="64"/>
  <c r="W221" i="64"/>
  <c r="V220" i="64"/>
  <c r="V219" i="64"/>
  <c r="U219" i="64"/>
  <c r="U220" i="64"/>
  <c r="T219" i="64"/>
  <c r="S219" i="64"/>
  <c r="W219" i="64"/>
  <c r="W218" i="64"/>
  <c r="W217" i="64"/>
  <c r="W216" i="64"/>
  <c r="W215" i="64"/>
  <c r="W214" i="64"/>
  <c r="W213" i="64"/>
  <c r="W212" i="64"/>
  <c r="W211" i="64"/>
  <c r="W210" i="64"/>
  <c r="W209" i="64"/>
  <c r="W208" i="64"/>
  <c r="V207" i="64"/>
  <c r="U207" i="64"/>
  <c r="T207" i="64"/>
  <c r="T220" i="64"/>
  <c r="S207" i="64"/>
  <c r="W207" i="64"/>
  <c r="W206" i="64"/>
  <c r="W205" i="64"/>
  <c r="W204" i="64"/>
  <c r="W203" i="64"/>
  <c r="W202" i="64"/>
  <c r="W201" i="64"/>
  <c r="W200" i="64"/>
  <c r="W199" i="64"/>
  <c r="W198" i="64"/>
  <c r="W197" i="64"/>
  <c r="W196" i="64"/>
  <c r="V194" i="64"/>
  <c r="V195" i="64"/>
  <c r="U194" i="64"/>
  <c r="U195" i="64"/>
  <c r="T194" i="64"/>
  <c r="T195" i="64"/>
  <c r="S194" i="64"/>
  <c r="W193" i="64"/>
  <c r="W192" i="64"/>
  <c r="W191" i="64"/>
  <c r="W190" i="64"/>
  <c r="W189" i="64"/>
  <c r="W188" i="64"/>
  <c r="W187" i="64"/>
  <c r="W186" i="64"/>
  <c r="W185" i="64"/>
  <c r="W184" i="64"/>
  <c r="W183" i="64"/>
  <c r="W182" i="64"/>
  <c r="W181" i="64"/>
  <c r="W180" i="64"/>
  <c r="W179" i="64"/>
  <c r="W178" i="64"/>
  <c r="W177" i="64"/>
  <c r="W176" i="64"/>
  <c r="W175" i="64"/>
  <c r="W174" i="64"/>
  <c r="W173" i="64"/>
  <c r="W172" i="64"/>
  <c r="W171" i="64"/>
  <c r="W170" i="64"/>
  <c r="V169" i="64"/>
  <c r="U169" i="64"/>
  <c r="T169" i="64"/>
  <c r="W169" i="64"/>
  <c r="S169" i="64"/>
  <c r="W168" i="64"/>
  <c r="W167" i="64"/>
  <c r="W166" i="64"/>
  <c r="W165" i="64"/>
  <c r="W164" i="64"/>
  <c r="W163" i="64"/>
  <c r="W162" i="64"/>
  <c r="W161" i="64"/>
  <c r="W160" i="64"/>
  <c r="W159" i="64"/>
  <c r="W158" i="64"/>
  <c r="W157" i="64"/>
  <c r="W156" i="64"/>
  <c r="W155" i="64"/>
  <c r="W154" i="64"/>
  <c r="W153" i="64"/>
  <c r="W152" i="64"/>
  <c r="W151" i="64"/>
  <c r="W150" i="64"/>
  <c r="W149" i="64"/>
  <c r="V148" i="64"/>
  <c r="V147" i="64"/>
  <c r="U147" i="64"/>
  <c r="U148" i="64"/>
  <c r="T147" i="64"/>
  <c r="T148" i="64"/>
  <c r="S147" i="64"/>
  <c r="S148" i="64"/>
  <c r="W148" i="64"/>
  <c r="W146" i="64"/>
  <c r="W145" i="64"/>
  <c r="W144" i="64"/>
  <c r="W143" i="64"/>
  <c r="W142" i="64"/>
  <c r="W141" i="64"/>
  <c r="W140" i="64"/>
  <c r="W139" i="64"/>
  <c r="W138" i="64"/>
  <c r="W137" i="64"/>
  <c r="W136" i="64"/>
  <c r="W135" i="64"/>
  <c r="W134" i="64"/>
  <c r="W133" i="64"/>
  <c r="W132" i="64"/>
  <c r="W131" i="64"/>
  <c r="W130" i="64"/>
  <c r="V130" i="64"/>
  <c r="U130" i="64"/>
  <c r="T130" i="64"/>
  <c r="S130" i="64"/>
  <c r="W129" i="64"/>
  <c r="W128" i="64"/>
  <c r="W127" i="64"/>
  <c r="W126" i="64"/>
  <c r="W125" i="64"/>
  <c r="W124" i="64"/>
  <c r="W123" i="64"/>
  <c r="W122" i="64"/>
  <c r="W121" i="64"/>
  <c r="W120" i="64"/>
  <c r="W119" i="64"/>
  <c r="W118" i="64"/>
  <c r="W117" i="64"/>
  <c r="W116" i="64"/>
  <c r="W115" i="64"/>
  <c r="W114" i="64"/>
  <c r="W113" i="64"/>
  <c r="W112" i="64"/>
  <c r="W111" i="64"/>
  <c r="W110" i="64"/>
  <c r="W109" i="64"/>
  <c r="W108" i="64"/>
  <c r="V107" i="64"/>
  <c r="U107" i="64"/>
  <c r="T107" i="64"/>
  <c r="V106" i="64"/>
  <c r="U106" i="64"/>
  <c r="T106" i="64"/>
  <c r="S106" i="64"/>
  <c r="W106" i="64"/>
  <c r="W105" i="64"/>
  <c r="W104" i="64"/>
  <c r="W103" i="64"/>
  <c r="W102" i="64"/>
  <c r="W101" i="64"/>
  <c r="W100" i="64"/>
  <c r="V99" i="64"/>
  <c r="U99" i="64"/>
  <c r="T99" i="64"/>
  <c r="S99" i="64"/>
  <c r="S107" i="64"/>
  <c r="W98" i="64"/>
  <c r="W97" i="64"/>
  <c r="W96" i="64"/>
  <c r="W95" i="64"/>
  <c r="W94" i="64"/>
  <c r="W93" i="64"/>
  <c r="W92" i="64"/>
  <c r="W91" i="64"/>
  <c r="W90" i="64"/>
  <c r="V89" i="64"/>
  <c r="U89" i="64"/>
  <c r="T89" i="64"/>
  <c r="W89" i="64"/>
  <c r="S89" i="64"/>
  <c r="W88" i="64"/>
  <c r="W87" i="64"/>
  <c r="V86" i="64"/>
  <c r="U86" i="64"/>
  <c r="T86" i="64"/>
  <c r="S86" i="64"/>
  <c r="W85" i="64"/>
  <c r="W84" i="64"/>
  <c r="W83" i="64"/>
  <c r="W82" i="64"/>
  <c r="W81" i="64"/>
  <c r="W80" i="64"/>
  <c r="W79" i="64"/>
  <c r="W78" i="64"/>
  <c r="W77" i="64"/>
  <c r="W76" i="64"/>
  <c r="W75" i="64"/>
  <c r="W74" i="64"/>
  <c r="W73" i="64"/>
  <c r="W72" i="64"/>
  <c r="W71" i="64"/>
  <c r="W70" i="64"/>
  <c r="W69" i="64"/>
  <c r="W68" i="64"/>
  <c r="W67" i="64"/>
  <c r="W66" i="64"/>
  <c r="W65" i="64"/>
  <c r="W64" i="64"/>
  <c r="W63" i="64"/>
  <c r="W62" i="64"/>
  <c r="W61" i="64"/>
  <c r="W60" i="64"/>
  <c r="W59" i="64"/>
  <c r="W58" i="64"/>
  <c r="W57" i="64"/>
  <c r="T56" i="64"/>
  <c r="V55" i="64"/>
  <c r="U55" i="64"/>
  <c r="T55" i="64"/>
  <c r="W55" i="64"/>
  <c r="S55" i="64"/>
  <c r="W54" i="64"/>
  <c r="W53" i="64"/>
  <c r="W52" i="64"/>
  <c r="W51" i="64"/>
  <c r="W50" i="64"/>
  <c r="W49" i="64"/>
  <c r="W48" i="64"/>
  <c r="W47" i="64"/>
  <c r="W46" i="64"/>
  <c r="W45" i="64"/>
  <c r="W44" i="64"/>
  <c r="W43" i="64"/>
  <c r="W42" i="64"/>
  <c r="V41" i="64"/>
  <c r="V56" i="64"/>
  <c r="U41" i="64"/>
  <c r="U56" i="64"/>
  <c r="T41" i="64"/>
  <c r="S41" i="64"/>
  <c r="S56" i="64"/>
  <c r="W56" i="64"/>
  <c r="W40" i="64"/>
  <c r="W39" i="64"/>
  <c r="W38" i="64"/>
  <c r="W37" i="64"/>
  <c r="W36" i="64"/>
  <c r="W35" i="64"/>
  <c r="W34" i="64"/>
  <c r="W33" i="64"/>
  <c r="W32" i="64"/>
  <c r="W31" i="64"/>
  <c r="W30" i="64"/>
  <c r="W29" i="64"/>
  <c r="W28" i="64"/>
  <c r="W27" i="64"/>
  <c r="W26" i="64"/>
  <c r="W25" i="64"/>
  <c r="V24" i="64"/>
  <c r="U24" i="64"/>
  <c r="T24" i="64"/>
  <c r="S24" i="64"/>
  <c r="W24" i="64"/>
  <c r="W23" i="64"/>
  <c r="W22" i="64"/>
  <c r="W21" i="64"/>
  <c r="W20" i="64"/>
  <c r="W19" i="64"/>
  <c r="Y24" i="64"/>
  <c r="W18" i="64"/>
  <c r="V18" i="64"/>
  <c r="U18" i="64"/>
  <c r="T18" i="64"/>
  <c r="S18" i="64"/>
  <c r="W17" i="64"/>
  <c r="W16" i="64"/>
  <c r="W15" i="64"/>
  <c r="W14" i="64"/>
  <c r="W13" i="64"/>
  <c r="W12" i="64"/>
  <c r="W11" i="64"/>
  <c r="W10" i="64"/>
  <c r="W9" i="64"/>
  <c r="W440" i="64"/>
  <c r="S195" i="64"/>
  <c r="Y55" i="64"/>
  <c r="Y379" i="64"/>
  <c r="Y499" i="64"/>
  <c r="Y431" i="64"/>
  <c r="Y366" i="64"/>
  <c r="Y271" i="64"/>
  <c r="Y47" i="64"/>
  <c r="Y369" i="64"/>
  <c r="Y397" i="64"/>
  <c r="Y419" i="64"/>
  <c r="T421" i="64"/>
  <c r="S521" i="64"/>
  <c r="W521" i="64"/>
  <c r="W519" i="64"/>
  <c r="W420" i="64"/>
  <c r="V421" i="64"/>
  <c r="U421" i="64"/>
  <c r="U459" i="64"/>
  <c r="U461" i="64"/>
  <c r="U531" i="64"/>
  <c r="W195" i="64"/>
  <c r="W432" i="64"/>
  <c r="T459" i="64"/>
  <c r="T461" i="64"/>
  <c r="T531" i="64"/>
  <c r="V459" i="64"/>
  <c r="V461" i="64"/>
  <c r="V531" i="64"/>
  <c r="W476" i="64"/>
  <c r="W107" i="64"/>
  <c r="W506" i="64"/>
  <c r="W86" i="64"/>
  <c r="W194" i="64"/>
  <c r="S220" i="64"/>
  <c r="W220" i="64"/>
  <c r="W473" i="64"/>
  <c r="W41" i="64"/>
  <c r="W147" i="64"/>
  <c r="W424" i="64"/>
  <c r="S500" i="64"/>
  <c r="W500" i="64"/>
  <c r="W419" i="64"/>
  <c r="W475" i="64"/>
  <c r="W99" i="64"/>
  <c r="Y56" i="64"/>
  <c r="S421" i="64"/>
  <c r="S501" i="64"/>
  <c r="S503" i="64"/>
  <c r="W503" i="64"/>
  <c r="W501" i="64"/>
  <c r="W421" i="64"/>
  <c r="S459" i="64"/>
  <c r="S461" i="64"/>
  <c r="W459" i="64"/>
  <c r="Y460" i="64"/>
  <c r="S531" i="64"/>
  <c r="W531" i="64"/>
  <c r="W461" i="64"/>
  <c r="K19" i="8"/>
  <c r="I19" i="8"/>
  <c r="G19" i="8"/>
  <c r="E20" i="8"/>
  <c r="E19" i="8"/>
  <c r="C19" i="8"/>
  <c r="K20" i="8"/>
  <c r="I20" i="8"/>
  <c r="G20" i="8"/>
  <c r="C20" i="8"/>
  <c r="G50" i="59"/>
  <c r="G28" i="59"/>
  <c r="G27" i="59"/>
  <c r="G26" i="59"/>
  <c r="G25" i="59"/>
  <c r="G24" i="59"/>
  <c r="G23" i="59"/>
  <c r="G22" i="59"/>
  <c r="G21" i="59"/>
  <c r="F9" i="59"/>
  <c r="F8" i="59"/>
  <c r="F7" i="59"/>
  <c r="F6" i="59"/>
  <c r="D79" i="59"/>
  <c r="E76" i="59"/>
  <c r="F76" i="59"/>
  <c r="D75" i="59"/>
  <c r="F72" i="59"/>
  <c r="E71" i="59"/>
  <c r="F71" i="59"/>
  <c r="D73" i="59"/>
  <c r="F73" i="59"/>
  <c r="D42" i="59"/>
  <c r="C42" i="59"/>
  <c r="E77" i="59"/>
  <c r="C35" i="59"/>
  <c r="C58" i="59"/>
  <c r="D34" i="59"/>
  <c r="D35" i="59"/>
  <c r="D58" i="59"/>
  <c r="C29" i="59"/>
  <c r="E78" i="59"/>
  <c r="D24" i="59"/>
  <c r="D29" i="59"/>
  <c r="D17" i="59"/>
  <c r="C14" i="59"/>
  <c r="C17" i="59"/>
  <c r="C31" i="59"/>
  <c r="E10" i="59"/>
  <c r="G10" i="59"/>
  <c r="G76" i="59"/>
  <c r="E75" i="59"/>
  <c r="F75" i="59"/>
  <c r="G75" i="59"/>
  <c r="F10" i="59"/>
  <c r="D31" i="59"/>
  <c r="C60" i="59"/>
  <c r="C44" i="59"/>
  <c r="C45" i="59"/>
  <c r="D64" i="59"/>
  <c r="D60" i="59"/>
  <c r="D44" i="59"/>
  <c r="D45" i="59"/>
  <c r="C48" i="59"/>
  <c r="D48" i="59"/>
  <c r="D52" i="59"/>
  <c r="C52" i="59"/>
  <c r="C61" i="59"/>
  <c r="D65" i="59"/>
  <c r="D61" i="59"/>
  <c r="B52" i="13"/>
  <c r="A52" i="13"/>
  <c r="A51" i="13"/>
  <c r="B51" i="13"/>
  <c r="B44" i="13"/>
  <c r="H25" i="13"/>
  <c r="I25" i="13" s="1"/>
  <c r="H27" i="13"/>
  <c r="I27" i="13" s="1"/>
  <c r="B53" i="12"/>
  <c r="A53" i="12"/>
  <c r="A49" i="12"/>
  <c r="B29" i="11"/>
  <c r="A30" i="11"/>
  <c r="A29" i="11"/>
  <c r="A28" i="11"/>
  <c r="B73" i="10"/>
  <c r="A73" i="10"/>
  <c r="A72" i="10"/>
  <c r="A71" i="10"/>
  <c r="B71" i="5"/>
  <c r="A71" i="5"/>
  <c r="A69" i="5"/>
  <c r="G15" i="39"/>
  <c r="G14" i="39"/>
  <c r="G13" i="39"/>
  <c r="G12" i="39"/>
  <c r="G11" i="39"/>
  <c r="B4" i="53"/>
  <c r="AB537" i="24"/>
  <c r="AB533" i="24"/>
  <c r="O20" i="39"/>
  <c r="N20" i="39"/>
  <c r="M20" i="39"/>
  <c r="L20" i="39"/>
  <c r="K20" i="39"/>
  <c r="B13" i="39"/>
  <c r="B12" i="39"/>
  <c r="F15" i="39"/>
  <c r="F14" i="39"/>
  <c r="F13" i="39"/>
  <c r="F12" i="39"/>
  <c r="F11" i="39"/>
  <c r="D15" i="39"/>
  <c r="D14" i="39"/>
  <c r="D13" i="39"/>
  <c r="D12" i="39"/>
  <c r="D11" i="39"/>
  <c r="B11" i="39"/>
  <c r="B14" i="39"/>
  <c r="B15" i="39"/>
  <c r="A22" i="12"/>
  <c r="A23" i="12" s="1"/>
  <c r="A24" i="12" s="1"/>
  <c r="A25" i="12" s="1"/>
  <c r="A26" i="12" s="1"/>
  <c r="A27" i="12" s="1"/>
  <c r="A28" i="12" s="1"/>
  <c r="A29" i="12" s="1"/>
  <c r="A30" i="12" s="1"/>
  <c r="A31" i="12" s="1"/>
  <c r="A32" i="12" s="1"/>
  <c r="A33" i="12" s="1"/>
  <c r="A34" i="12" s="1"/>
  <c r="A35" i="12" s="1"/>
  <c r="A36" i="12" s="1"/>
  <c r="N12" i="53"/>
  <c r="M12" i="53"/>
  <c r="P15" i="53"/>
  <c r="P13" i="53"/>
  <c r="O13" i="53"/>
  <c r="N13" i="53"/>
  <c r="M13" i="53"/>
  <c r="L13" i="53"/>
  <c r="K13" i="53"/>
  <c r="J13" i="53"/>
  <c r="I13" i="53"/>
  <c r="H13" i="53"/>
  <c r="G13" i="53"/>
  <c r="F13" i="53"/>
  <c r="E13" i="53"/>
  <c r="P12" i="53"/>
  <c r="O12" i="53"/>
  <c r="L12" i="53"/>
  <c r="K12" i="53"/>
  <c r="J12" i="53"/>
  <c r="I12" i="53"/>
  <c r="H12" i="53"/>
  <c r="G12" i="53"/>
  <c r="F12" i="53"/>
  <c r="E12" i="53"/>
  <c r="P11" i="53"/>
  <c r="O11" i="53"/>
  <c r="N11" i="53"/>
  <c r="M11" i="53"/>
  <c r="Q11" i="53"/>
  <c r="M4" i="53"/>
  <c r="N4" i="53"/>
  <c r="P178" i="46"/>
  <c r="O178" i="46"/>
  <c r="N178" i="46"/>
  <c r="V379" i="3"/>
  <c r="U379" i="3"/>
  <c r="T379" i="3"/>
  <c r="S379" i="3"/>
  <c r="W378" i="3"/>
  <c r="W278" i="3"/>
  <c r="W178" i="3"/>
  <c r="W78" i="3"/>
  <c r="V479" i="3"/>
  <c r="U479" i="3"/>
  <c r="T479" i="3"/>
  <c r="S479" i="3"/>
  <c r="W478" i="3"/>
  <c r="V31" i="25"/>
  <c r="D57" i="53"/>
  <c r="O56" i="53"/>
  <c r="I56" i="53"/>
  <c r="H56" i="53"/>
  <c r="B56" i="53"/>
  <c r="B53" i="53"/>
  <c r="B5" i="53"/>
  <c r="O52" i="53"/>
  <c r="M50" i="53"/>
  <c r="L50" i="53"/>
  <c r="K50" i="53"/>
  <c r="J50" i="53"/>
  <c r="I50" i="53"/>
  <c r="H50" i="53"/>
  <c r="E50" i="53"/>
  <c r="J49" i="53"/>
  <c r="I49" i="53"/>
  <c r="H49" i="53"/>
  <c r="E49" i="53"/>
  <c r="M49" i="53"/>
  <c r="D46" i="53"/>
  <c r="O45" i="53"/>
  <c r="I45" i="53"/>
  <c r="H45" i="53"/>
  <c r="B45" i="53"/>
  <c r="B42" i="53"/>
  <c r="O41" i="53"/>
  <c r="I39" i="53"/>
  <c r="H39" i="53"/>
  <c r="E39" i="53"/>
  <c r="M39" i="53"/>
  <c r="I38" i="53"/>
  <c r="H38" i="53"/>
  <c r="E38" i="53"/>
  <c r="L38" i="53"/>
  <c r="B32" i="53"/>
  <c r="B27" i="53"/>
  <c r="Q12" i="53"/>
  <c r="Q13" i="53"/>
  <c r="K38" i="53"/>
  <c r="M38" i="53"/>
  <c r="O4" i="53"/>
  <c r="P4" i="53"/>
  <c r="E5" i="53"/>
  <c r="F5" i="53"/>
  <c r="G5" i="53"/>
  <c r="H5" i="53"/>
  <c r="I5" i="53"/>
  <c r="J5" i="53"/>
  <c r="K5" i="53"/>
  <c r="L5" i="53"/>
  <c r="M5" i="53"/>
  <c r="N5" i="53"/>
  <c r="J56" i="53"/>
  <c r="E56" i="53"/>
  <c r="M56" i="53"/>
  <c r="B57" i="53"/>
  <c r="E45" i="53"/>
  <c r="B46" i="53"/>
  <c r="J39" i="53"/>
  <c r="K39" i="53"/>
  <c r="D51" i="53"/>
  <c r="E52" i="53"/>
  <c r="M52" i="53"/>
  <c r="H52" i="53"/>
  <c r="H61" i="53"/>
  <c r="K49" i="53"/>
  <c r="I52" i="53"/>
  <c r="I61" i="53"/>
  <c r="D40" i="53"/>
  <c r="E41" i="53"/>
  <c r="J41" i="53"/>
  <c r="L49" i="53"/>
  <c r="J52" i="53"/>
  <c r="L39" i="53"/>
  <c r="J38" i="53"/>
  <c r="H41" i="53"/>
  <c r="I41" i="53"/>
  <c r="L52" i="53"/>
  <c r="K56" i="53"/>
  <c r="J45" i="53"/>
  <c r="M45" i="53"/>
  <c r="L45" i="53"/>
  <c r="K45" i="53"/>
  <c r="L56" i="53"/>
  <c r="K52" i="53"/>
  <c r="L51" i="53"/>
  <c r="L53" i="53"/>
  <c r="J51" i="53"/>
  <c r="J53" i="53"/>
  <c r="J57" i="53"/>
  <c r="I51" i="53"/>
  <c r="I53" i="53"/>
  <c r="I57" i="53"/>
  <c r="H51" i="53"/>
  <c r="H53" i="53"/>
  <c r="H57" i="53"/>
  <c r="E51" i="53"/>
  <c r="E53" i="53"/>
  <c r="O51" i="53"/>
  <c r="I40" i="53"/>
  <c r="I42" i="53"/>
  <c r="H40" i="53"/>
  <c r="H42" i="53"/>
  <c r="E40" i="53"/>
  <c r="E42" i="53"/>
  <c r="E46" i="53"/>
  <c r="O40" i="53"/>
  <c r="M41" i="53"/>
  <c r="K41" i="53"/>
  <c r="L41" i="53"/>
  <c r="E57" i="53"/>
  <c r="B6" i="53"/>
  <c r="O5" i="53"/>
  <c r="P5" i="53"/>
  <c r="J40" i="53"/>
  <c r="J42" i="53"/>
  <c r="J60" i="53"/>
  <c r="E6" i="53"/>
  <c r="F6" i="53"/>
  <c r="J62" i="53"/>
  <c r="K61" i="53"/>
  <c r="Q45" i="53"/>
  <c r="Q41" i="53"/>
  <c r="P41" i="53"/>
  <c r="M61" i="53"/>
  <c r="R45" i="53"/>
  <c r="H60" i="53"/>
  <c r="H62" i="53"/>
  <c r="H46" i="53"/>
  <c r="L61" i="53"/>
  <c r="O53" i="53"/>
  <c r="K40" i="53"/>
  <c r="M51" i="53"/>
  <c r="M53" i="53"/>
  <c r="Q56" i="53"/>
  <c r="L57" i="53"/>
  <c r="I60" i="53"/>
  <c r="I62" i="53"/>
  <c r="I46" i="53"/>
  <c r="J61" i="53"/>
  <c r="L40" i="53"/>
  <c r="L42" i="53"/>
  <c r="L60" i="53"/>
  <c r="M40" i="53"/>
  <c r="M42" i="53"/>
  <c r="M46" i="53"/>
  <c r="K51" i="53"/>
  <c r="R56" i="53"/>
  <c r="Q40" i="53"/>
  <c r="O42" i="53"/>
  <c r="Q52" i="53"/>
  <c r="P52" i="53"/>
  <c r="Q42" i="53"/>
  <c r="G6" i="53"/>
  <c r="H6" i="53"/>
  <c r="J46" i="53"/>
  <c r="L62" i="53"/>
  <c r="I63" i="53"/>
  <c r="J63" i="53"/>
  <c r="M57" i="53"/>
  <c r="L46" i="53"/>
  <c r="H63" i="53"/>
  <c r="K42" i="53"/>
  <c r="P40" i="53"/>
  <c r="P42" i="53"/>
  <c r="P51" i="53"/>
  <c r="P53" i="53"/>
  <c r="K53" i="53"/>
  <c r="K57" i="53"/>
  <c r="Q51" i="53"/>
  <c r="Q53" i="53"/>
  <c r="M60" i="53"/>
  <c r="M62" i="53"/>
  <c r="I6" i="53"/>
  <c r="M63" i="53"/>
  <c r="R53" i="53"/>
  <c r="K60" i="53"/>
  <c r="K62" i="53"/>
  <c r="K46" i="53"/>
  <c r="L63" i="53"/>
  <c r="R42" i="53"/>
  <c r="K63" i="53"/>
  <c r="J6" i="53"/>
  <c r="K6" i="53"/>
  <c r="E65" i="10"/>
  <c r="G65" i="10" s="1"/>
  <c r="A22" i="10"/>
  <c r="A34" i="10" s="1"/>
  <c r="A35" i="10" s="1"/>
  <c r="A36" i="10" s="1"/>
  <c r="A37" i="10" s="1"/>
  <c r="A38" i="10" s="1"/>
  <c r="A39" i="10" s="1"/>
  <c r="A40" i="10" s="1"/>
  <c r="L6" i="53"/>
  <c r="C59" i="10"/>
  <c r="G59" i="10" s="1"/>
  <c r="M6" i="53"/>
  <c r="E56" i="10"/>
  <c r="E57" i="10"/>
  <c r="G57" i="10" s="1"/>
  <c r="G38" i="10"/>
  <c r="H36" i="12"/>
  <c r="D33" i="45"/>
  <c r="P8" i="53"/>
  <c r="N6" i="53"/>
  <c r="O6" i="53"/>
  <c r="P6" i="53"/>
  <c r="B59" i="27"/>
  <c r="V30" i="25"/>
  <c r="V29" i="25"/>
  <c r="V28" i="25"/>
  <c r="B43" i="27"/>
  <c r="G23" i="23"/>
  <c r="G22" i="23"/>
  <c r="G21" i="23"/>
  <c r="B28" i="27"/>
  <c r="H23" i="13"/>
  <c r="P228" i="46"/>
  <c r="O228" i="46"/>
  <c r="N228" i="46"/>
  <c r="P225" i="46"/>
  <c r="O225" i="46"/>
  <c r="N225" i="46"/>
  <c r="P224" i="46"/>
  <c r="O224" i="46"/>
  <c r="N224" i="46"/>
  <c r="P223" i="46"/>
  <c r="O223" i="46"/>
  <c r="N223" i="46"/>
  <c r="P222" i="46"/>
  <c r="O222" i="46"/>
  <c r="N222" i="46"/>
  <c r="P221" i="46"/>
  <c r="O221" i="46"/>
  <c r="N221" i="46"/>
  <c r="P220" i="46"/>
  <c r="O220" i="46"/>
  <c r="N220" i="46"/>
  <c r="P219" i="46"/>
  <c r="O219" i="46"/>
  <c r="N219" i="46"/>
  <c r="P218" i="46"/>
  <c r="O218" i="46"/>
  <c r="N218" i="46"/>
  <c r="P217" i="46"/>
  <c r="O217" i="46"/>
  <c r="N217" i="46"/>
  <c r="P216" i="46"/>
  <c r="O216" i="46"/>
  <c r="N216" i="46"/>
  <c r="P215" i="46"/>
  <c r="O215" i="46"/>
  <c r="N215" i="46"/>
  <c r="P214" i="46"/>
  <c r="O214" i="46"/>
  <c r="N214" i="46"/>
  <c r="P213" i="46"/>
  <c r="O213" i="46"/>
  <c r="N213" i="46"/>
  <c r="P212" i="46"/>
  <c r="O212" i="46"/>
  <c r="N212" i="46"/>
  <c r="P211" i="46"/>
  <c r="O211" i="46"/>
  <c r="N211" i="46"/>
  <c r="P210" i="46"/>
  <c r="O210" i="46"/>
  <c r="N210" i="46"/>
  <c r="P209" i="46"/>
  <c r="O209" i="46"/>
  <c r="N209" i="46"/>
  <c r="P208" i="46"/>
  <c r="O208" i="46"/>
  <c r="N208" i="46"/>
  <c r="P207" i="46"/>
  <c r="O207" i="46"/>
  <c r="N207" i="46"/>
  <c r="P206" i="46"/>
  <c r="O206" i="46"/>
  <c r="N206" i="46"/>
  <c r="P205" i="46"/>
  <c r="O205" i="46"/>
  <c r="N205" i="46"/>
  <c r="P204" i="46"/>
  <c r="O204" i="46"/>
  <c r="N204" i="46"/>
  <c r="P203" i="46"/>
  <c r="O203" i="46"/>
  <c r="N203" i="46"/>
  <c r="P202" i="46"/>
  <c r="O202" i="46"/>
  <c r="N202" i="46"/>
  <c r="P201" i="46"/>
  <c r="O201" i="46"/>
  <c r="N201" i="46"/>
  <c r="P200" i="46"/>
  <c r="O200" i="46"/>
  <c r="N200" i="46"/>
  <c r="P199" i="46"/>
  <c r="O199" i="46"/>
  <c r="N199" i="46"/>
  <c r="P198" i="46"/>
  <c r="O198" i="46"/>
  <c r="N198" i="46"/>
  <c r="P197" i="46"/>
  <c r="O197" i="46"/>
  <c r="N197" i="46"/>
  <c r="P196" i="46"/>
  <c r="O196" i="46"/>
  <c r="N196" i="46"/>
  <c r="P195" i="46"/>
  <c r="O195" i="46"/>
  <c r="N195" i="46"/>
  <c r="P194" i="46"/>
  <c r="O194" i="46"/>
  <c r="N194" i="46"/>
  <c r="P193" i="46"/>
  <c r="O193" i="46"/>
  <c r="N193" i="46"/>
  <c r="P192" i="46"/>
  <c r="O192" i="46"/>
  <c r="N192" i="46"/>
  <c r="P191" i="46"/>
  <c r="O191" i="46"/>
  <c r="N191" i="46"/>
  <c r="P190" i="46"/>
  <c r="O190" i="46"/>
  <c r="N190" i="46"/>
  <c r="P189" i="46"/>
  <c r="O189" i="46"/>
  <c r="N189" i="46"/>
  <c r="P188" i="46"/>
  <c r="O188" i="46"/>
  <c r="N188" i="46"/>
  <c r="P187" i="46"/>
  <c r="O187" i="46"/>
  <c r="N187" i="46"/>
  <c r="P186" i="46"/>
  <c r="O186" i="46"/>
  <c r="N186" i="46"/>
  <c r="P185" i="46"/>
  <c r="O185" i="46"/>
  <c r="N185" i="46"/>
  <c r="P184" i="46"/>
  <c r="O184" i="46"/>
  <c r="N184" i="46"/>
  <c r="P183" i="46"/>
  <c r="O183" i="46"/>
  <c r="N183" i="46"/>
  <c r="P182" i="46"/>
  <c r="O182" i="46"/>
  <c r="N182" i="46"/>
  <c r="P181" i="46"/>
  <c r="O181" i="46"/>
  <c r="N181" i="46"/>
  <c r="P180" i="46"/>
  <c r="O180" i="46"/>
  <c r="N180" i="46"/>
  <c r="P179" i="46"/>
  <c r="O179" i="46"/>
  <c r="N179" i="46"/>
  <c r="P177" i="46"/>
  <c r="O177" i="46"/>
  <c r="N177" i="46"/>
  <c r="P176" i="46"/>
  <c r="O176" i="46"/>
  <c r="N176" i="46"/>
  <c r="P175" i="46"/>
  <c r="O175" i="46"/>
  <c r="N175" i="46"/>
  <c r="P174" i="46"/>
  <c r="O174" i="46"/>
  <c r="N174" i="46"/>
  <c r="P173" i="46"/>
  <c r="O173" i="46"/>
  <c r="N173" i="46"/>
  <c r="P172" i="46"/>
  <c r="O172" i="46"/>
  <c r="N172" i="46"/>
  <c r="P171" i="46"/>
  <c r="O171" i="46"/>
  <c r="N171" i="46"/>
  <c r="P170" i="46"/>
  <c r="O170" i="46"/>
  <c r="N170" i="46"/>
  <c r="P169" i="46"/>
  <c r="O169" i="46"/>
  <c r="N169" i="46"/>
  <c r="P168" i="46"/>
  <c r="O168" i="46"/>
  <c r="N168" i="46"/>
  <c r="P167" i="46"/>
  <c r="O167" i="46"/>
  <c r="N167" i="46"/>
  <c r="P166" i="46"/>
  <c r="O166" i="46"/>
  <c r="N166" i="46"/>
  <c r="P165" i="46"/>
  <c r="O165" i="46"/>
  <c r="N165" i="46"/>
  <c r="P164" i="46"/>
  <c r="O164" i="46"/>
  <c r="N164" i="46"/>
  <c r="P163" i="46"/>
  <c r="O163" i="46"/>
  <c r="N163" i="46"/>
  <c r="P162" i="46"/>
  <c r="O162" i="46"/>
  <c r="N162" i="46"/>
  <c r="P161" i="46"/>
  <c r="O161" i="46"/>
  <c r="N161" i="46"/>
  <c r="P160" i="46"/>
  <c r="O160" i="46"/>
  <c r="N160" i="46"/>
  <c r="P159" i="46"/>
  <c r="O159" i="46"/>
  <c r="N159" i="46"/>
  <c r="P158" i="46"/>
  <c r="O158" i="46"/>
  <c r="N158" i="46"/>
  <c r="P157" i="46"/>
  <c r="O157" i="46"/>
  <c r="N157" i="46"/>
  <c r="P156" i="46"/>
  <c r="O156" i="46"/>
  <c r="N156" i="46"/>
  <c r="P155" i="46"/>
  <c r="O155" i="46"/>
  <c r="N155" i="46"/>
  <c r="P154" i="46"/>
  <c r="O154" i="46"/>
  <c r="N154" i="46"/>
  <c r="P153" i="46"/>
  <c r="O153" i="46"/>
  <c r="N153" i="46"/>
  <c r="P152" i="46"/>
  <c r="O152" i="46"/>
  <c r="N152" i="46"/>
  <c r="P151" i="46"/>
  <c r="O151" i="46"/>
  <c r="N151" i="46"/>
  <c r="P150" i="46"/>
  <c r="O150" i="46"/>
  <c r="N150" i="46"/>
  <c r="P149" i="46"/>
  <c r="O149" i="46"/>
  <c r="N149" i="46"/>
  <c r="P148" i="46"/>
  <c r="O148" i="46"/>
  <c r="N148" i="46"/>
  <c r="P147" i="46"/>
  <c r="O147" i="46"/>
  <c r="N147" i="46"/>
  <c r="P146" i="46"/>
  <c r="O146" i="46"/>
  <c r="N146" i="46"/>
  <c r="P145" i="46"/>
  <c r="O145" i="46"/>
  <c r="N145" i="46"/>
  <c r="P144" i="46"/>
  <c r="O144" i="46"/>
  <c r="N144" i="46"/>
  <c r="P143" i="46"/>
  <c r="O143" i="46"/>
  <c r="N143" i="46"/>
  <c r="P142" i="46"/>
  <c r="O142" i="46"/>
  <c r="N142" i="46"/>
  <c r="P141" i="46"/>
  <c r="O141" i="46"/>
  <c r="N141" i="46"/>
  <c r="P140" i="46"/>
  <c r="O140" i="46"/>
  <c r="N140" i="46"/>
  <c r="P139" i="46"/>
  <c r="O139" i="46"/>
  <c r="N139" i="46"/>
  <c r="P138" i="46"/>
  <c r="O138" i="46"/>
  <c r="N138" i="46"/>
  <c r="P137" i="46"/>
  <c r="O137" i="46"/>
  <c r="N137" i="46"/>
  <c r="P136" i="46"/>
  <c r="O136" i="46"/>
  <c r="N136" i="46"/>
  <c r="P135" i="46"/>
  <c r="O135" i="46"/>
  <c r="N135" i="46"/>
  <c r="P134" i="46"/>
  <c r="O134" i="46"/>
  <c r="N134" i="46"/>
  <c r="P133" i="46"/>
  <c r="O133" i="46"/>
  <c r="N133" i="46"/>
  <c r="P132" i="46"/>
  <c r="O132" i="46"/>
  <c r="N132" i="46"/>
  <c r="P131" i="46"/>
  <c r="O131" i="46"/>
  <c r="N131" i="46"/>
  <c r="P130" i="46"/>
  <c r="O130" i="46"/>
  <c r="N130" i="46"/>
  <c r="P129" i="46"/>
  <c r="O129" i="46"/>
  <c r="N129" i="46"/>
  <c r="P128" i="46"/>
  <c r="O128" i="46"/>
  <c r="N128" i="46"/>
  <c r="P127" i="46"/>
  <c r="O127" i="46"/>
  <c r="N127" i="46"/>
  <c r="P126" i="46"/>
  <c r="O126" i="46"/>
  <c r="N126" i="46"/>
  <c r="P125" i="46"/>
  <c r="O125" i="46"/>
  <c r="N125" i="46"/>
  <c r="P124" i="46"/>
  <c r="O124" i="46"/>
  <c r="N124" i="46"/>
  <c r="P123" i="46"/>
  <c r="O123" i="46"/>
  <c r="N123" i="46"/>
  <c r="P122" i="46"/>
  <c r="O122" i="46"/>
  <c r="N122" i="46"/>
  <c r="P121" i="46"/>
  <c r="O121" i="46"/>
  <c r="N121" i="46"/>
  <c r="P120" i="46"/>
  <c r="O120" i="46"/>
  <c r="N120" i="46"/>
  <c r="P119" i="46"/>
  <c r="O119" i="46"/>
  <c r="N119" i="46"/>
  <c r="P118" i="46"/>
  <c r="O118" i="46"/>
  <c r="N118" i="46"/>
  <c r="P117" i="46"/>
  <c r="O117" i="46"/>
  <c r="N117" i="46"/>
  <c r="P116" i="46"/>
  <c r="O116" i="46"/>
  <c r="N116" i="46"/>
  <c r="P115" i="46"/>
  <c r="O115" i="46"/>
  <c r="N115" i="46"/>
  <c r="P114" i="46"/>
  <c r="O114" i="46"/>
  <c r="N114" i="46"/>
  <c r="P113" i="46"/>
  <c r="O113" i="46"/>
  <c r="N113" i="46"/>
  <c r="P112" i="46"/>
  <c r="O112" i="46"/>
  <c r="N112" i="46"/>
  <c r="P111" i="46"/>
  <c r="O111" i="46"/>
  <c r="N111" i="46"/>
  <c r="P110" i="46"/>
  <c r="O110" i="46"/>
  <c r="N110" i="46"/>
  <c r="P109" i="46"/>
  <c r="O109" i="46"/>
  <c r="N109" i="46"/>
  <c r="P108" i="46"/>
  <c r="O108" i="46"/>
  <c r="N108" i="46"/>
  <c r="P107" i="46"/>
  <c r="O107" i="46"/>
  <c r="N107" i="46"/>
  <c r="P106" i="46"/>
  <c r="O106" i="46"/>
  <c r="N106" i="46"/>
  <c r="P105" i="46"/>
  <c r="O105" i="46"/>
  <c r="N105" i="46"/>
  <c r="P104" i="46"/>
  <c r="O104" i="46"/>
  <c r="N104" i="46"/>
  <c r="P103" i="46"/>
  <c r="O103" i="46"/>
  <c r="N103" i="46"/>
  <c r="P102" i="46"/>
  <c r="O102" i="46"/>
  <c r="N102" i="46"/>
  <c r="P101" i="46"/>
  <c r="O101" i="46"/>
  <c r="N101" i="46"/>
  <c r="P100" i="46"/>
  <c r="O100" i="46"/>
  <c r="N100" i="46"/>
  <c r="P99" i="46"/>
  <c r="O99" i="46"/>
  <c r="N99" i="46"/>
  <c r="P98" i="46"/>
  <c r="O98" i="46"/>
  <c r="N98" i="46"/>
  <c r="P97" i="46"/>
  <c r="O97" i="46"/>
  <c r="N97" i="46"/>
  <c r="P96" i="46"/>
  <c r="O96" i="46"/>
  <c r="N96" i="46"/>
  <c r="P95" i="46"/>
  <c r="O95" i="46"/>
  <c r="N95" i="46"/>
  <c r="P94" i="46"/>
  <c r="O94" i="46"/>
  <c r="N94" i="46"/>
  <c r="P93" i="46"/>
  <c r="O93" i="46"/>
  <c r="N93" i="46"/>
  <c r="P92" i="46"/>
  <c r="O92" i="46"/>
  <c r="N92" i="46"/>
  <c r="P91" i="46"/>
  <c r="O91" i="46"/>
  <c r="N91" i="46"/>
  <c r="P90" i="46"/>
  <c r="O90" i="46"/>
  <c r="N90" i="46"/>
  <c r="P89" i="46"/>
  <c r="O89" i="46"/>
  <c r="N89" i="46"/>
  <c r="P88" i="46"/>
  <c r="O88" i="46"/>
  <c r="N88" i="46"/>
  <c r="P87" i="46"/>
  <c r="O87" i="46"/>
  <c r="N87" i="46"/>
  <c r="P86" i="46"/>
  <c r="O86" i="46"/>
  <c r="N86" i="46"/>
  <c r="P85" i="46"/>
  <c r="O85" i="46"/>
  <c r="N85" i="46"/>
  <c r="P84" i="46"/>
  <c r="O84" i="46"/>
  <c r="N84" i="46"/>
  <c r="P83" i="46"/>
  <c r="O83" i="46"/>
  <c r="N83" i="46"/>
  <c r="P82" i="46"/>
  <c r="O82" i="46"/>
  <c r="N82" i="46"/>
  <c r="P81" i="46"/>
  <c r="O81" i="46"/>
  <c r="N81" i="46"/>
  <c r="P80" i="46"/>
  <c r="O80" i="46"/>
  <c r="N80" i="46"/>
  <c r="P79" i="46"/>
  <c r="O79" i="46"/>
  <c r="N79" i="46"/>
  <c r="P78" i="46"/>
  <c r="O78" i="46"/>
  <c r="N78" i="46"/>
  <c r="P77" i="46"/>
  <c r="O77" i="46"/>
  <c r="N77" i="46"/>
  <c r="P76" i="46"/>
  <c r="O76" i="46"/>
  <c r="N76" i="46"/>
  <c r="P75" i="46"/>
  <c r="O75" i="46"/>
  <c r="N75" i="46"/>
  <c r="P74" i="46"/>
  <c r="O74" i="46"/>
  <c r="N74" i="46"/>
  <c r="P73" i="46"/>
  <c r="O73" i="46"/>
  <c r="N73" i="46"/>
  <c r="P72" i="46"/>
  <c r="O72" i="46"/>
  <c r="N72" i="46"/>
  <c r="P71" i="46"/>
  <c r="O71" i="46"/>
  <c r="N71" i="46"/>
  <c r="P70" i="46"/>
  <c r="O70" i="46"/>
  <c r="N70" i="46"/>
  <c r="P69" i="46"/>
  <c r="O69" i="46"/>
  <c r="N69" i="46"/>
  <c r="P68" i="46"/>
  <c r="O68" i="46"/>
  <c r="N68" i="46"/>
  <c r="P67" i="46"/>
  <c r="O67" i="46"/>
  <c r="N67" i="46"/>
  <c r="P66" i="46"/>
  <c r="O66" i="46"/>
  <c r="N66" i="46"/>
  <c r="P65" i="46"/>
  <c r="O65" i="46"/>
  <c r="N65" i="46"/>
  <c r="P64" i="46"/>
  <c r="O64" i="46"/>
  <c r="N64" i="46"/>
  <c r="P63" i="46"/>
  <c r="O63" i="46"/>
  <c r="N63" i="46"/>
  <c r="P62" i="46"/>
  <c r="O62" i="46"/>
  <c r="N62" i="46"/>
  <c r="P61" i="46"/>
  <c r="O61" i="46"/>
  <c r="N61" i="46"/>
  <c r="P60" i="46"/>
  <c r="O60" i="46"/>
  <c r="N60" i="46"/>
  <c r="P59" i="46"/>
  <c r="O59" i="46"/>
  <c r="N59" i="46"/>
  <c r="P58" i="46"/>
  <c r="O58" i="46"/>
  <c r="N58" i="46"/>
  <c r="P57" i="46"/>
  <c r="O57" i="46"/>
  <c r="N57" i="46"/>
  <c r="P56" i="46"/>
  <c r="O56" i="46"/>
  <c r="N56" i="46"/>
  <c r="P55" i="46"/>
  <c r="O55" i="46"/>
  <c r="N55" i="46"/>
  <c r="P54" i="46"/>
  <c r="O54" i="46"/>
  <c r="N54" i="46"/>
  <c r="P53" i="46"/>
  <c r="O53" i="46"/>
  <c r="N53" i="46"/>
  <c r="P52" i="46"/>
  <c r="O52" i="46"/>
  <c r="N52" i="46"/>
  <c r="P51" i="46"/>
  <c r="O51" i="46"/>
  <c r="N51" i="46"/>
  <c r="P50" i="46"/>
  <c r="O50" i="46"/>
  <c r="N50" i="46"/>
  <c r="P49" i="46"/>
  <c r="O49" i="46"/>
  <c r="N49" i="46"/>
  <c r="P48" i="46"/>
  <c r="O48" i="46"/>
  <c r="N48" i="46"/>
  <c r="P47" i="46"/>
  <c r="O47" i="46"/>
  <c r="N47" i="46"/>
  <c r="P46" i="46"/>
  <c r="O46" i="46"/>
  <c r="N46" i="46"/>
  <c r="P45" i="46"/>
  <c r="O45" i="46"/>
  <c r="N45" i="46"/>
  <c r="P44" i="46"/>
  <c r="O44" i="46"/>
  <c r="N44" i="46"/>
  <c r="P43" i="46"/>
  <c r="O43" i="46"/>
  <c r="N43" i="46"/>
  <c r="P42" i="46"/>
  <c r="O42" i="46"/>
  <c r="N42" i="46"/>
  <c r="P41" i="46"/>
  <c r="O41" i="46"/>
  <c r="N41" i="46"/>
  <c r="P40" i="46"/>
  <c r="O40" i="46"/>
  <c r="N40" i="46"/>
  <c r="P39" i="46"/>
  <c r="O39" i="46"/>
  <c r="N39" i="46"/>
  <c r="P38" i="46"/>
  <c r="O38" i="46"/>
  <c r="N38" i="46"/>
  <c r="P37" i="46"/>
  <c r="O37" i="46"/>
  <c r="N37" i="46"/>
  <c r="P36" i="46"/>
  <c r="O36" i="46"/>
  <c r="N36" i="46"/>
  <c r="P35" i="46"/>
  <c r="O35" i="46"/>
  <c r="N35" i="46"/>
  <c r="P34" i="46"/>
  <c r="O34" i="46"/>
  <c r="N34" i="46"/>
  <c r="P33" i="46"/>
  <c r="O33" i="46"/>
  <c r="N33" i="46"/>
  <c r="P32" i="46"/>
  <c r="O32" i="46"/>
  <c r="N32" i="46"/>
  <c r="P31" i="46"/>
  <c r="O31" i="46"/>
  <c r="N31" i="46"/>
  <c r="P30" i="46"/>
  <c r="O30" i="46"/>
  <c r="N30" i="46"/>
  <c r="P29" i="46"/>
  <c r="O29" i="46"/>
  <c r="N29" i="46"/>
  <c r="P28" i="46"/>
  <c r="O28" i="46"/>
  <c r="N28" i="46"/>
  <c r="P27" i="46"/>
  <c r="O27" i="46"/>
  <c r="N27" i="46"/>
  <c r="P26" i="46"/>
  <c r="O26" i="46"/>
  <c r="N26" i="46"/>
  <c r="P25" i="46"/>
  <c r="O25" i="46"/>
  <c r="N25" i="46"/>
  <c r="P24" i="46"/>
  <c r="O24" i="46"/>
  <c r="N24" i="46"/>
  <c r="P23" i="46"/>
  <c r="O23" i="46"/>
  <c r="N23" i="46"/>
  <c r="P22" i="46"/>
  <c r="O22" i="46"/>
  <c r="N22" i="46"/>
  <c r="P21" i="46"/>
  <c r="O21" i="46"/>
  <c r="N21" i="46"/>
  <c r="P20" i="46"/>
  <c r="O20" i="46"/>
  <c r="N20" i="46"/>
  <c r="P19" i="46"/>
  <c r="O19" i="46"/>
  <c r="N19" i="46"/>
  <c r="P18" i="46"/>
  <c r="O18" i="46"/>
  <c r="N18" i="46"/>
  <c r="P17" i="46"/>
  <c r="O17" i="46"/>
  <c r="N17" i="46"/>
  <c r="P16" i="46"/>
  <c r="O16" i="46"/>
  <c r="N16" i="46"/>
  <c r="P15" i="46"/>
  <c r="O15" i="46"/>
  <c r="N15" i="46"/>
  <c r="P14" i="46"/>
  <c r="O14" i="46"/>
  <c r="N14" i="46"/>
  <c r="P13" i="46"/>
  <c r="O13" i="46"/>
  <c r="N13" i="46"/>
  <c r="P12" i="46"/>
  <c r="O12" i="46"/>
  <c r="N12" i="46"/>
  <c r="P11" i="46"/>
  <c r="O11" i="46"/>
  <c r="N11" i="46"/>
  <c r="P10" i="46"/>
  <c r="O10" i="46"/>
  <c r="N10" i="46"/>
  <c r="P9" i="46"/>
  <c r="O9" i="46"/>
  <c r="N9" i="46"/>
  <c r="P8" i="46"/>
  <c r="O8" i="46"/>
  <c r="N8" i="46"/>
  <c r="P7" i="46"/>
  <c r="O7" i="46"/>
  <c r="N7" i="46"/>
  <c r="P6" i="46"/>
  <c r="O6" i="46"/>
  <c r="N6" i="46"/>
  <c r="P5" i="46"/>
  <c r="O5" i="46"/>
  <c r="N5" i="46"/>
  <c r="P4" i="46"/>
  <c r="O4" i="46"/>
  <c r="N4" i="46"/>
  <c r="N227" i="46"/>
  <c r="O227" i="46"/>
  <c r="P227" i="46"/>
  <c r="R12" i="26"/>
  <c r="R11" i="26"/>
  <c r="R93" i="26"/>
  <c r="Q93" i="26"/>
  <c r="R92" i="26"/>
  <c r="Q92" i="26"/>
  <c r="R87" i="26"/>
  <c r="Q87" i="26"/>
  <c r="R86" i="26"/>
  <c r="Q86" i="26"/>
  <c r="R81" i="26"/>
  <c r="Q81" i="26"/>
  <c r="S81" i="26"/>
  <c r="R80" i="26"/>
  <c r="Q80" i="26"/>
  <c r="R75" i="26"/>
  <c r="Q75" i="26"/>
  <c r="R74" i="26"/>
  <c r="Q74" i="26"/>
  <c r="R69" i="26"/>
  <c r="Q69" i="26"/>
  <c r="R68" i="26"/>
  <c r="Q68" i="26"/>
  <c r="R63" i="26"/>
  <c r="Q63" i="26"/>
  <c r="S63" i="26"/>
  <c r="R62" i="26"/>
  <c r="Q62" i="26"/>
  <c r="R57" i="26"/>
  <c r="Q57" i="26"/>
  <c r="R56" i="26"/>
  <c r="Q56" i="26"/>
  <c r="R51" i="26"/>
  <c r="Q51" i="26"/>
  <c r="S51" i="26"/>
  <c r="R50" i="26"/>
  <c r="Q50" i="26"/>
  <c r="R45" i="26"/>
  <c r="Q45" i="26"/>
  <c r="R44" i="26"/>
  <c r="Q44" i="26"/>
  <c r="R39" i="26"/>
  <c r="Q39" i="26"/>
  <c r="R36" i="26"/>
  <c r="Q36" i="26"/>
  <c r="R33" i="26"/>
  <c r="Q33" i="26"/>
  <c r="S33" i="26"/>
  <c r="R30" i="26"/>
  <c r="Q30" i="26"/>
  <c r="R27" i="26"/>
  <c r="Q27" i="26"/>
  <c r="R10" i="26"/>
  <c r="M13" i="26"/>
  <c r="M12" i="26"/>
  <c r="M11" i="26"/>
  <c r="M10" i="26"/>
  <c r="L409" i="24"/>
  <c r="L407" i="24"/>
  <c r="L406" i="24"/>
  <c r="S50" i="26"/>
  <c r="S68" i="26"/>
  <c r="S86" i="26"/>
  <c r="S69" i="26"/>
  <c r="S87" i="26"/>
  <c r="S57" i="26"/>
  <c r="S75" i="26"/>
  <c r="S56" i="26"/>
  <c r="S74" i="26"/>
  <c r="S92" i="26"/>
  <c r="S93" i="26"/>
  <c r="S44" i="26"/>
  <c r="S62" i="26"/>
  <c r="S80" i="26"/>
  <c r="S36" i="26"/>
  <c r="S39" i="26"/>
  <c r="S27" i="26"/>
  <c r="S45" i="26"/>
  <c r="S30" i="26"/>
  <c r="Z482" i="3"/>
  <c r="Z441" i="3"/>
  <c r="Z440" i="3"/>
  <c r="Z439" i="3"/>
  <c r="Z438" i="3"/>
  <c r="W530" i="3"/>
  <c r="W528" i="3"/>
  <c r="W527" i="3"/>
  <c r="W526" i="3"/>
  <c r="W525" i="3"/>
  <c r="W523" i="3"/>
  <c r="W522" i="3"/>
  <c r="W520" i="3"/>
  <c r="W517" i="3"/>
  <c r="W515" i="3"/>
  <c r="W513" i="3"/>
  <c r="W511" i="3"/>
  <c r="W510" i="3"/>
  <c r="W508" i="3"/>
  <c r="W507" i="3"/>
  <c r="W505" i="3"/>
  <c r="W504" i="3"/>
  <c r="W502" i="3"/>
  <c r="W498" i="3"/>
  <c r="H41" i="12"/>
  <c r="W497" i="3"/>
  <c r="W496" i="3"/>
  <c r="W495" i="3"/>
  <c r="W494" i="3"/>
  <c r="W492" i="3"/>
  <c r="W490" i="3"/>
  <c r="W488" i="3"/>
  <c r="W486" i="3"/>
  <c r="W484" i="3"/>
  <c r="H38" i="12"/>
  <c r="W482" i="3"/>
  <c r="H35" i="12"/>
  <c r="W480" i="3"/>
  <c r="W477" i="3"/>
  <c r="W474" i="3"/>
  <c r="W472" i="3"/>
  <c r="W471" i="3"/>
  <c r="W470" i="3"/>
  <c r="W469" i="3"/>
  <c r="W468" i="3"/>
  <c r="W466" i="3"/>
  <c r="W465" i="3"/>
  <c r="W463" i="3"/>
  <c r="W462" i="3"/>
  <c r="W460" i="3"/>
  <c r="W457" i="3"/>
  <c r="W456" i="3"/>
  <c r="W455" i="3"/>
  <c r="W454" i="3"/>
  <c r="W452" i="3"/>
  <c r="W451" i="3"/>
  <c r="W449" i="3"/>
  <c r="W448" i="3"/>
  <c r="W447" i="3"/>
  <c r="W446" i="3"/>
  <c r="W444" i="3"/>
  <c r="W443" i="3"/>
  <c r="W442" i="3"/>
  <c r="W441" i="3"/>
  <c r="W439" i="3"/>
  <c r="W437" i="3"/>
  <c r="W436" i="3"/>
  <c r="W435" i="3"/>
  <c r="W434" i="3"/>
  <c r="W433" i="3"/>
  <c r="W430" i="3"/>
  <c r="W429" i="3"/>
  <c r="W428" i="3"/>
  <c r="W427" i="3"/>
  <c r="W426" i="3"/>
  <c r="W425" i="3"/>
  <c r="W423" i="3"/>
  <c r="W422" i="3"/>
  <c r="W418" i="3"/>
  <c r="W417" i="3"/>
  <c r="W416" i="3"/>
  <c r="W414" i="3"/>
  <c r="W413" i="3"/>
  <c r="W412" i="3"/>
  <c r="W411" i="3"/>
  <c r="W410" i="3"/>
  <c r="W409" i="3"/>
  <c r="W408" i="3"/>
  <c r="W407" i="3"/>
  <c r="W406" i="3"/>
  <c r="W405" i="3"/>
  <c r="W404" i="3"/>
  <c r="W403" i="3"/>
  <c r="W402" i="3"/>
  <c r="W401" i="3"/>
  <c r="W400" i="3"/>
  <c r="W399" i="3"/>
  <c r="W396" i="3"/>
  <c r="W395" i="3"/>
  <c r="W394" i="3"/>
  <c r="W393" i="3"/>
  <c r="W392" i="3"/>
  <c r="W391" i="3"/>
  <c r="W390" i="3"/>
  <c r="W389" i="3"/>
  <c r="W388" i="3"/>
  <c r="W387" i="3"/>
  <c r="W385" i="3"/>
  <c r="W384" i="3"/>
  <c r="W383" i="3"/>
  <c r="W382" i="3"/>
  <c r="W381" i="3"/>
  <c r="W377" i="3"/>
  <c r="W376" i="3"/>
  <c r="W375" i="3"/>
  <c r="W374" i="3"/>
  <c r="W373" i="3"/>
  <c r="W372" i="3"/>
  <c r="W371" i="3"/>
  <c r="W370" i="3"/>
  <c r="W369" i="3"/>
  <c r="W368" i="3"/>
  <c r="W367" i="3"/>
  <c r="W366" i="3"/>
  <c r="W365" i="3"/>
  <c r="W364" i="3"/>
  <c r="W363" i="3"/>
  <c r="W362" i="3"/>
  <c r="W361" i="3"/>
  <c r="W360" i="3"/>
  <c r="W359" i="3"/>
  <c r="W358" i="3"/>
  <c r="W357" i="3"/>
  <c r="W356" i="3"/>
  <c r="W355" i="3"/>
  <c r="W354" i="3"/>
  <c r="W353" i="3"/>
  <c r="W352" i="3"/>
  <c r="W351" i="3"/>
  <c r="W350" i="3"/>
  <c r="W349" i="3"/>
  <c r="W348" i="3"/>
  <c r="W347" i="3"/>
  <c r="W345" i="3"/>
  <c r="W344" i="3"/>
  <c r="W343" i="3"/>
  <c r="W342" i="3"/>
  <c r="W341" i="3"/>
  <c r="W340" i="3"/>
  <c r="W339" i="3"/>
  <c r="W338" i="3"/>
  <c r="W337" i="3"/>
  <c r="W336" i="3"/>
  <c r="W335" i="3"/>
  <c r="W334" i="3"/>
  <c r="W333" i="3"/>
  <c r="W332" i="3"/>
  <c r="W331" i="3"/>
  <c r="W330" i="3"/>
  <c r="W329" i="3"/>
  <c r="W328" i="3"/>
  <c r="W327" i="3"/>
  <c r="W326" i="3"/>
  <c r="W325" i="3"/>
  <c r="W324" i="3"/>
  <c r="W323" i="3"/>
  <c r="W322" i="3"/>
  <c r="W321" i="3"/>
  <c r="W320" i="3"/>
  <c r="W319" i="3"/>
  <c r="W318" i="3"/>
  <c r="W317" i="3"/>
  <c r="W316" i="3"/>
  <c r="W315" i="3"/>
  <c r="W314" i="3"/>
  <c r="W313" i="3"/>
  <c r="W312" i="3"/>
  <c r="W311" i="3"/>
  <c r="W310" i="3"/>
  <c r="W309" i="3"/>
  <c r="W308" i="3"/>
  <c r="W307" i="3"/>
  <c r="W306" i="3"/>
  <c r="W305" i="3"/>
  <c r="W304" i="3"/>
  <c r="W303" i="3"/>
  <c r="W302" i="3"/>
  <c r="W301" i="3"/>
  <c r="W300" i="3"/>
  <c r="W299" i="3"/>
  <c r="W298" i="3"/>
  <c r="W297" i="3"/>
  <c r="W296" i="3"/>
  <c r="W295" i="3"/>
  <c r="W294" i="3"/>
  <c r="W293" i="3"/>
  <c r="W291" i="3"/>
  <c r="W290" i="3"/>
  <c r="W289" i="3"/>
  <c r="W288" i="3"/>
  <c r="W287" i="3"/>
  <c r="W286" i="3"/>
  <c r="W285" i="3"/>
  <c r="W284" i="3"/>
  <c r="W283" i="3"/>
  <c r="W282" i="3"/>
  <c r="W281" i="3"/>
  <c r="W280" i="3"/>
  <c r="W279" i="3"/>
  <c r="W277" i="3"/>
  <c r="W276" i="3"/>
  <c r="W275" i="3"/>
  <c r="W274" i="3"/>
  <c r="W273" i="3"/>
  <c r="W272" i="3"/>
  <c r="W271" i="3"/>
  <c r="W270" i="3"/>
  <c r="W269" i="3"/>
  <c r="W268" i="3"/>
  <c r="W267" i="3"/>
  <c r="W266" i="3"/>
  <c r="W265" i="3"/>
  <c r="W264" i="3"/>
  <c r="W263" i="3"/>
  <c r="W262" i="3"/>
  <c r="W261" i="3"/>
  <c r="W260" i="3"/>
  <c r="W259" i="3"/>
  <c r="W258" i="3"/>
  <c r="W257" i="3"/>
  <c r="W256" i="3"/>
  <c r="W255" i="3"/>
  <c r="W254" i="3"/>
  <c r="W253" i="3"/>
  <c r="W252" i="3"/>
  <c r="W251" i="3"/>
  <c r="W250" i="3"/>
  <c r="W249" i="3"/>
  <c r="W248" i="3"/>
  <c r="W247" i="3"/>
  <c r="W246" i="3"/>
  <c r="W245" i="3"/>
  <c r="W244" i="3"/>
  <c r="W243" i="3"/>
  <c r="W242" i="3"/>
  <c r="W241" i="3"/>
  <c r="W240" i="3"/>
  <c r="W239" i="3"/>
  <c r="W238" i="3"/>
  <c r="W237" i="3"/>
  <c r="W236" i="3"/>
  <c r="W235" i="3"/>
  <c r="W234" i="3"/>
  <c r="W233" i="3"/>
  <c r="W232" i="3"/>
  <c r="W231" i="3"/>
  <c r="W230" i="3"/>
  <c r="W229" i="3"/>
  <c r="W228" i="3"/>
  <c r="W227" i="3"/>
  <c r="W226" i="3"/>
  <c r="W225" i="3"/>
  <c r="W224" i="3"/>
  <c r="W223" i="3"/>
  <c r="W222" i="3"/>
  <c r="W221" i="3"/>
  <c r="W218" i="3"/>
  <c r="W217" i="3"/>
  <c r="W216" i="3"/>
  <c r="W215" i="3"/>
  <c r="W214" i="3"/>
  <c r="W213" i="3"/>
  <c r="W212" i="3"/>
  <c r="W211" i="3"/>
  <c r="W210" i="3"/>
  <c r="W209" i="3"/>
  <c r="W208" i="3"/>
  <c r="W206" i="3"/>
  <c r="W205" i="3"/>
  <c r="W204" i="3"/>
  <c r="W203" i="3"/>
  <c r="W202" i="3"/>
  <c r="W201" i="3"/>
  <c r="W200" i="3"/>
  <c r="W199" i="3"/>
  <c r="W198" i="3"/>
  <c r="W197" i="3"/>
  <c r="W196" i="3"/>
  <c r="W193" i="3"/>
  <c r="W192" i="3"/>
  <c r="W191" i="3"/>
  <c r="W190" i="3"/>
  <c r="W189" i="3"/>
  <c r="W188" i="3"/>
  <c r="W187" i="3"/>
  <c r="W186" i="3"/>
  <c r="W185" i="3"/>
  <c r="W184" i="3"/>
  <c r="W183" i="3"/>
  <c r="W182" i="3"/>
  <c r="W181" i="3"/>
  <c r="W180" i="3"/>
  <c r="W179" i="3"/>
  <c r="W177" i="3"/>
  <c r="W176" i="3"/>
  <c r="W175" i="3"/>
  <c r="W174" i="3"/>
  <c r="W173" i="3"/>
  <c r="W172" i="3"/>
  <c r="W171" i="3"/>
  <c r="W170" i="3"/>
  <c r="W168" i="3"/>
  <c r="W167" i="3"/>
  <c r="W166" i="3"/>
  <c r="W165" i="3"/>
  <c r="W164" i="3"/>
  <c r="W163" i="3"/>
  <c r="W162" i="3"/>
  <c r="W161" i="3"/>
  <c r="W160" i="3"/>
  <c r="W159" i="3"/>
  <c r="W158" i="3"/>
  <c r="W157" i="3"/>
  <c r="W156" i="3"/>
  <c r="W155" i="3"/>
  <c r="W154" i="3"/>
  <c r="W153" i="3"/>
  <c r="W152" i="3"/>
  <c r="W151" i="3"/>
  <c r="W150" i="3"/>
  <c r="W149" i="3"/>
  <c r="W146" i="3"/>
  <c r="W145" i="3"/>
  <c r="W144" i="3"/>
  <c r="W143" i="3"/>
  <c r="W142" i="3"/>
  <c r="W141" i="3"/>
  <c r="W140" i="3"/>
  <c r="W139" i="3"/>
  <c r="W138" i="3"/>
  <c r="W137" i="3"/>
  <c r="W136" i="3"/>
  <c r="W135" i="3"/>
  <c r="W134" i="3"/>
  <c r="W133" i="3"/>
  <c r="W132" i="3"/>
  <c r="W131" i="3"/>
  <c r="W129" i="3"/>
  <c r="W128" i="3"/>
  <c r="W127" i="3"/>
  <c r="W126" i="3"/>
  <c r="W125" i="3"/>
  <c r="W124" i="3"/>
  <c r="W123" i="3"/>
  <c r="W122" i="3"/>
  <c r="W121" i="3"/>
  <c r="W120" i="3"/>
  <c r="W119" i="3"/>
  <c r="W118" i="3"/>
  <c r="W117" i="3"/>
  <c r="W116" i="3"/>
  <c r="W115" i="3"/>
  <c r="W114" i="3"/>
  <c r="W113" i="3"/>
  <c r="W112" i="3"/>
  <c r="W111" i="3"/>
  <c r="W110" i="3"/>
  <c r="W109" i="3"/>
  <c r="W108" i="3"/>
  <c r="W105" i="3"/>
  <c r="W104" i="3"/>
  <c r="W103" i="3"/>
  <c r="W102" i="3"/>
  <c r="W101" i="3"/>
  <c r="W100" i="3"/>
  <c r="W98" i="3"/>
  <c r="W97" i="3"/>
  <c r="W96" i="3"/>
  <c r="W95" i="3"/>
  <c r="W94" i="3"/>
  <c r="W93" i="3"/>
  <c r="W92" i="3"/>
  <c r="W91" i="3"/>
  <c r="W90" i="3"/>
  <c r="W88" i="3"/>
  <c r="W87" i="3"/>
  <c r="W85" i="3"/>
  <c r="W84" i="3"/>
  <c r="W83" i="3"/>
  <c r="W82" i="3"/>
  <c r="W81" i="3"/>
  <c r="W80" i="3"/>
  <c r="W79" i="3"/>
  <c r="W77" i="3"/>
  <c r="W76" i="3"/>
  <c r="W75" i="3"/>
  <c r="W74" i="3"/>
  <c r="W73" i="3"/>
  <c r="W72" i="3"/>
  <c r="W71" i="3"/>
  <c r="W70" i="3"/>
  <c r="W69" i="3"/>
  <c r="W68" i="3"/>
  <c r="W67" i="3"/>
  <c r="W66" i="3"/>
  <c r="W65" i="3"/>
  <c r="W64" i="3"/>
  <c r="W63" i="3"/>
  <c r="W62" i="3"/>
  <c r="W61" i="3"/>
  <c r="W60" i="3"/>
  <c r="W59" i="3"/>
  <c r="W58" i="3"/>
  <c r="W57" i="3"/>
  <c r="W54" i="3"/>
  <c r="W53" i="3"/>
  <c r="W52" i="3"/>
  <c r="W51" i="3"/>
  <c r="W50" i="3"/>
  <c r="W49" i="3"/>
  <c r="W48" i="3"/>
  <c r="W47" i="3"/>
  <c r="W46" i="3"/>
  <c r="F95" i="47"/>
  <c r="F96" i="47"/>
  <c r="W45" i="3"/>
  <c r="W44" i="3"/>
  <c r="W43" i="3"/>
  <c r="W42" i="3"/>
  <c r="W40" i="3"/>
  <c r="W39" i="3"/>
  <c r="W38" i="3"/>
  <c r="W37" i="3"/>
  <c r="W36" i="3"/>
  <c r="W35" i="3"/>
  <c r="W34" i="3"/>
  <c r="W33" i="3"/>
  <c r="W32" i="3"/>
  <c r="W31" i="3"/>
  <c r="W30" i="3"/>
  <c r="W29" i="3"/>
  <c r="W28" i="3"/>
  <c r="W27" i="3"/>
  <c r="W26" i="3"/>
  <c r="W25" i="3"/>
  <c r="W23" i="3"/>
  <c r="W22" i="3"/>
  <c r="W21" i="3"/>
  <c r="W20" i="3"/>
  <c r="W19" i="3"/>
  <c r="W17" i="3"/>
  <c r="W16" i="3"/>
  <c r="W15" i="3"/>
  <c r="W14" i="3"/>
  <c r="W13" i="3"/>
  <c r="W12" i="3"/>
  <c r="W11" i="3"/>
  <c r="W10" i="3"/>
  <c r="W9" i="3"/>
  <c r="H39" i="12"/>
  <c r="H21" i="12"/>
  <c r="A35" i="4"/>
  <c r="A33" i="1"/>
  <c r="A22" i="4"/>
  <c r="C15" i="45"/>
  <c r="B11" i="1"/>
  <c r="B10" i="1"/>
  <c r="H10" i="12"/>
  <c r="B9" i="1"/>
  <c r="M9" i="8" s="1"/>
  <c r="B8" i="1"/>
  <c r="I8" i="13" s="1"/>
  <c r="B7" i="1"/>
  <c r="F8" i="14"/>
  <c r="B6" i="1"/>
  <c r="F7" i="14"/>
  <c r="B4" i="1"/>
  <c r="H4" i="11"/>
  <c r="B3" i="1"/>
  <c r="F3" i="16"/>
  <c r="B2" i="1"/>
  <c r="M2" i="8"/>
  <c r="H6" i="45"/>
  <c r="F4" i="16"/>
  <c r="H10" i="45"/>
  <c r="D6" i="6"/>
  <c r="E7" i="7"/>
  <c r="D3" i="9"/>
  <c r="D4" i="9"/>
  <c r="H6" i="11"/>
  <c r="F4" i="14"/>
  <c r="G10" i="10"/>
  <c r="F5" i="14"/>
  <c r="M4" i="8"/>
  <c r="H6" i="12"/>
  <c r="D6" i="2"/>
  <c r="D10" i="2"/>
  <c r="K10" i="5"/>
  <c r="K2" i="5"/>
  <c r="D10" i="9"/>
  <c r="I3" i="13"/>
  <c r="K3" i="5"/>
  <c r="M6" i="8"/>
  <c r="G2" i="10"/>
  <c r="H8" i="11"/>
  <c r="I4" i="13"/>
  <c r="F11" i="14"/>
  <c r="F7" i="16"/>
  <c r="D7" i="6"/>
  <c r="F6" i="16"/>
  <c r="K4" i="5"/>
  <c r="M7" i="8"/>
  <c r="F8" i="16"/>
  <c r="E2" i="7"/>
  <c r="D2" i="2"/>
  <c r="K7" i="5"/>
  <c r="E3" i="7"/>
  <c r="G6" i="10"/>
  <c r="H2" i="12"/>
  <c r="H2" i="45"/>
  <c r="D10" i="6"/>
  <c r="G3" i="10"/>
  <c r="I6" i="13"/>
  <c r="M8" i="8"/>
  <c r="I7" i="13"/>
  <c r="D3" i="2"/>
  <c r="K8" i="5"/>
  <c r="E4" i="7"/>
  <c r="M10" i="8"/>
  <c r="G7" i="10"/>
  <c r="H3" i="12"/>
  <c r="I10" i="13"/>
  <c r="H3" i="45"/>
  <c r="M3" i="8"/>
  <c r="D8" i="9"/>
  <c r="I2" i="13"/>
  <c r="F9" i="14"/>
  <c r="H7" i="11"/>
  <c r="K6" i="5"/>
  <c r="G4" i="10"/>
  <c r="H10" i="11"/>
  <c r="F10" i="16"/>
  <c r="D4" i="2"/>
  <c r="E6" i="7"/>
  <c r="D2" i="9"/>
  <c r="G8" i="10"/>
  <c r="H4" i="12"/>
  <c r="F3" i="14"/>
  <c r="H4" i="45"/>
  <c r="D7" i="2"/>
  <c r="D8" i="2"/>
  <c r="D3" i="6"/>
  <c r="E10" i="7"/>
  <c r="D6" i="9"/>
  <c r="H3" i="11"/>
  <c r="H8" i="12"/>
  <c r="F2" i="16"/>
  <c r="H8" i="45"/>
  <c r="D2" i="6"/>
  <c r="H2" i="11"/>
  <c r="H7" i="12"/>
  <c r="H7" i="45"/>
  <c r="D4" i="6"/>
  <c r="D7" i="9"/>
  <c r="G36" i="13"/>
  <c r="E36" i="13"/>
  <c r="B1" i="1"/>
  <c r="O26" i="39"/>
  <c r="N26" i="39"/>
  <c r="M26" i="39"/>
  <c r="L26" i="39"/>
  <c r="O24" i="39"/>
  <c r="N24" i="39"/>
  <c r="M24" i="39"/>
  <c r="L24" i="39"/>
  <c r="O22" i="39"/>
  <c r="N22" i="39"/>
  <c r="M22" i="39"/>
  <c r="L22" i="39"/>
  <c r="K26" i="39"/>
  <c r="K24" i="39"/>
  <c r="K22" i="39"/>
  <c r="K31" i="39"/>
  <c r="K32" i="39"/>
  <c r="L31" i="39"/>
  <c r="L32" i="39"/>
  <c r="M31" i="39"/>
  <c r="M32" i="39"/>
  <c r="O31" i="39"/>
  <c r="O32" i="39"/>
  <c r="N31" i="39"/>
  <c r="N32" i="39"/>
  <c r="G32" i="13"/>
  <c r="C336" i="46"/>
  <c r="D30" i="9"/>
  <c r="A27" i="16"/>
  <c r="A28" i="16"/>
  <c r="A29" i="16"/>
  <c r="A30" i="16"/>
  <c r="A31" i="16"/>
  <c r="A32" i="16"/>
  <c r="A33" i="16"/>
  <c r="A34" i="16"/>
  <c r="A35" i="16"/>
  <c r="A36" i="16"/>
  <c r="A37" i="16"/>
  <c r="A38" i="16"/>
  <c r="A39" i="16"/>
  <c r="A40" i="16"/>
  <c r="A41" i="16"/>
  <c r="A42" i="16"/>
  <c r="D42" i="16"/>
  <c r="F42" i="16"/>
  <c r="D41" i="16"/>
  <c r="F41" i="16"/>
  <c r="D40" i="16"/>
  <c r="F40" i="16"/>
  <c r="D39" i="16"/>
  <c r="F39" i="16"/>
  <c r="D38" i="16"/>
  <c r="F38" i="16"/>
  <c r="D37" i="16"/>
  <c r="F37" i="16"/>
  <c r="D36" i="16"/>
  <c r="F36" i="16"/>
  <c r="D35" i="16"/>
  <c r="F35" i="16"/>
  <c r="D34" i="16"/>
  <c r="F34" i="16"/>
  <c r="D33" i="16"/>
  <c r="F33" i="16"/>
  <c r="D32" i="16"/>
  <c r="F32" i="16"/>
  <c r="D31" i="16"/>
  <c r="F31" i="16"/>
  <c r="D30" i="16"/>
  <c r="F30" i="16"/>
  <c r="D29" i="16"/>
  <c r="F29" i="16"/>
  <c r="D28" i="16"/>
  <c r="F28" i="16"/>
  <c r="D27" i="16"/>
  <c r="F27" i="16"/>
  <c r="D26" i="16"/>
  <c r="F26" i="16"/>
  <c r="A24" i="14"/>
  <c r="A25" i="14"/>
  <c r="A26" i="14"/>
  <c r="A27" i="14"/>
  <c r="A28" i="14"/>
  <c r="A29" i="14"/>
  <c r="A30" i="14"/>
  <c r="A31" i="14"/>
  <c r="A32" i="14"/>
  <c r="A33" i="14"/>
  <c r="A34" i="14"/>
  <c r="A35" i="14"/>
  <c r="A36" i="14"/>
  <c r="A23" i="11"/>
  <c r="A24" i="11" s="1"/>
  <c r="A20" i="9"/>
  <c r="A21" i="9"/>
  <c r="A22" i="9" s="1"/>
  <c r="A23" i="9" s="1"/>
  <c r="A30" i="7"/>
  <c r="A20" i="6"/>
  <c r="A21" i="6"/>
  <c r="A22" i="6"/>
  <c r="A23" i="6"/>
  <c r="A24" i="6"/>
  <c r="A25" i="6"/>
  <c r="A26" i="6"/>
  <c r="A27" i="6"/>
  <c r="A28" i="6"/>
  <c r="A29" i="6"/>
  <c r="A30" i="6"/>
  <c r="A31" i="6"/>
  <c r="A32" i="6"/>
  <c r="A33" i="6"/>
  <c r="A34" i="6"/>
  <c r="A35" i="6"/>
  <c r="A36" i="6"/>
  <c r="A37" i="6"/>
  <c r="A38" i="6"/>
  <c r="A39" i="6"/>
  <c r="A40" i="6"/>
  <c r="A41" i="6"/>
  <c r="A42" i="6"/>
  <c r="A35" i="2"/>
  <c r="A36" i="2"/>
  <c r="A37" i="2"/>
  <c r="A38" i="2"/>
  <c r="A39" i="2"/>
  <c r="A40" i="2"/>
  <c r="A41" i="2"/>
  <c r="A42" i="2"/>
  <c r="A43" i="2"/>
  <c r="A44" i="2"/>
  <c r="A45" i="2"/>
  <c r="A46" i="2"/>
  <c r="A47" i="2"/>
  <c r="A48" i="2"/>
  <c r="A49" i="2"/>
  <c r="A50" i="2"/>
  <c r="A51" i="2"/>
  <c r="A52" i="2"/>
  <c r="A53" i="2"/>
  <c r="A54" i="2"/>
  <c r="A55" i="2"/>
  <c r="A56" i="2"/>
  <c r="A57" i="2"/>
  <c r="A58" i="2"/>
  <c r="A59" i="2"/>
  <c r="A60" i="2"/>
  <c r="A15" i="2"/>
  <c r="B33" i="1"/>
  <c r="B32" i="1"/>
  <c r="A32" i="1"/>
  <c r="B31" i="1"/>
  <c r="A31" i="1"/>
  <c r="B30" i="1"/>
  <c r="A30" i="1"/>
  <c r="B29" i="1"/>
  <c r="A29" i="1"/>
  <c r="B28" i="1"/>
  <c r="A28" i="1"/>
  <c r="B27" i="1"/>
  <c r="A27" i="1"/>
  <c r="B26" i="1"/>
  <c r="A26" i="1"/>
  <c r="B25" i="1"/>
  <c r="A25" i="1"/>
  <c r="B24" i="1"/>
  <c r="B23" i="1"/>
  <c r="B22" i="1"/>
  <c r="B21" i="1"/>
  <c r="B20" i="1"/>
  <c r="A24" i="1"/>
  <c r="A23" i="1"/>
  <c r="A22" i="1"/>
  <c r="A21" i="1"/>
  <c r="A20" i="1"/>
  <c r="H57" i="45"/>
  <c r="E12" i="39"/>
  <c r="E15" i="39"/>
  <c r="H15" i="39"/>
  <c r="E14" i="39"/>
  <c r="H14" i="39"/>
  <c r="E13" i="39"/>
  <c r="H13" i="39"/>
  <c r="H12" i="39"/>
  <c r="C36" i="14"/>
  <c r="S41" i="3"/>
  <c r="T453" i="3"/>
  <c r="C45" i="2"/>
  <c r="M15" i="26"/>
  <c r="B29" i="27"/>
  <c r="S24" i="3"/>
  <c r="E336" i="46"/>
  <c r="H30" i="13"/>
  <c r="I30" i="13" s="1"/>
  <c r="F36" i="13"/>
  <c r="G336" i="46"/>
  <c r="H336" i="46"/>
  <c r="S18" i="3"/>
  <c r="B38" i="27"/>
  <c r="Q26" i="26"/>
  <c r="Q95" i="26"/>
  <c r="R26" i="26"/>
  <c r="R95" i="26"/>
  <c r="B17" i="27"/>
  <c r="S26" i="26"/>
  <c r="S95" i="26"/>
  <c r="D38" i="7"/>
  <c r="H12" i="45"/>
  <c r="G18" i="10"/>
  <c r="H18" i="12"/>
  <c r="I12" i="13"/>
  <c r="A14" i="1"/>
  <c r="E11" i="39"/>
  <c r="H11" i="39"/>
  <c r="B34" i="27"/>
  <c r="B16" i="27"/>
  <c r="B76" i="27"/>
  <c r="A76" i="27"/>
  <c r="B75" i="27"/>
  <c r="A75" i="27"/>
  <c r="A74" i="27"/>
  <c r="B73" i="27"/>
  <c r="A73" i="27"/>
  <c r="A72" i="27"/>
  <c r="B65" i="27"/>
  <c r="B60" i="27"/>
  <c r="B50" i="27"/>
  <c r="B44" i="27"/>
  <c r="B37" i="27"/>
  <c r="B72" i="27"/>
  <c r="B14" i="27"/>
  <c r="V529" i="3"/>
  <c r="U529" i="3"/>
  <c r="T529" i="3"/>
  <c r="S529" i="3"/>
  <c r="V524" i="3"/>
  <c r="U524" i="3"/>
  <c r="T524" i="3"/>
  <c r="S524" i="3"/>
  <c r="V518" i="3"/>
  <c r="U518" i="3"/>
  <c r="T518" i="3"/>
  <c r="S518" i="3"/>
  <c r="V516" i="3"/>
  <c r="U516" i="3"/>
  <c r="T516" i="3"/>
  <c r="S516" i="3"/>
  <c r="V514" i="3"/>
  <c r="U514" i="3"/>
  <c r="T514" i="3"/>
  <c r="S514" i="3"/>
  <c r="V512" i="3"/>
  <c r="U512" i="3"/>
  <c r="T512" i="3"/>
  <c r="S512" i="3"/>
  <c r="V509" i="3"/>
  <c r="U509" i="3"/>
  <c r="T509" i="3"/>
  <c r="S509" i="3"/>
  <c r="V506" i="3"/>
  <c r="U506" i="3"/>
  <c r="T506" i="3"/>
  <c r="S506" i="3"/>
  <c r="V499" i="3"/>
  <c r="U499" i="3"/>
  <c r="T499" i="3"/>
  <c r="S499" i="3"/>
  <c r="H27" i="12"/>
  <c r="H25" i="12"/>
  <c r="V493" i="3"/>
  <c r="U493" i="3"/>
  <c r="T493" i="3"/>
  <c r="S493" i="3"/>
  <c r="V491" i="3"/>
  <c r="U491" i="3"/>
  <c r="T491" i="3"/>
  <c r="S491" i="3"/>
  <c r="V489" i="3"/>
  <c r="U489" i="3"/>
  <c r="T489" i="3"/>
  <c r="S489" i="3"/>
  <c r="V487" i="3"/>
  <c r="U487" i="3"/>
  <c r="T487" i="3"/>
  <c r="S487" i="3"/>
  <c r="V485" i="3"/>
  <c r="U485" i="3"/>
  <c r="T485" i="3"/>
  <c r="S485" i="3"/>
  <c r="V483" i="3"/>
  <c r="U483" i="3"/>
  <c r="T483" i="3"/>
  <c r="S483" i="3"/>
  <c r="V481" i="3"/>
  <c r="U481" i="3"/>
  <c r="T481" i="3"/>
  <c r="S481" i="3"/>
  <c r="H31" i="12"/>
  <c r="V475" i="3"/>
  <c r="U475" i="3"/>
  <c r="T475" i="3"/>
  <c r="S475" i="3"/>
  <c r="V473" i="3"/>
  <c r="U473" i="3"/>
  <c r="T473" i="3"/>
  <c r="S473" i="3"/>
  <c r="V467" i="3"/>
  <c r="U467" i="3"/>
  <c r="T467" i="3"/>
  <c r="S467" i="3"/>
  <c r="V464" i="3"/>
  <c r="U464" i="3"/>
  <c r="T464" i="3"/>
  <c r="S464" i="3"/>
  <c r="V458" i="3"/>
  <c r="U458" i="3"/>
  <c r="T458" i="3"/>
  <c r="S458" i="3"/>
  <c r="V453" i="3"/>
  <c r="U453" i="3"/>
  <c r="S453" i="3"/>
  <c r="V450" i="3"/>
  <c r="U450" i="3"/>
  <c r="T450" i="3"/>
  <c r="S450" i="3"/>
  <c r="V445" i="3"/>
  <c r="U445" i="3"/>
  <c r="T445" i="3"/>
  <c r="S445" i="3"/>
  <c r="V440" i="3"/>
  <c r="U440" i="3"/>
  <c r="T440" i="3"/>
  <c r="S440" i="3"/>
  <c r="V438" i="3"/>
  <c r="U438" i="3"/>
  <c r="T438" i="3"/>
  <c r="S438" i="3"/>
  <c r="Y435" i="3"/>
  <c r="V431" i="3"/>
  <c r="U431" i="3"/>
  <c r="T431" i="3"/>
  <c r="S431" i="3"/>
  <c r="V424" i="3"/>
  <c r="U424" i="3"/>
  <c r="T424" i="3"/>
  <c r="S424" i="3"/>
  <c r="V419" i="3"/>
  <c r="U419" i="3"/>
  <c r="T419" i="3"/>
  <c r="S419" i="3"/>
  <c r="V415" i="3"/>
  <c r="U415" i="3"/>
  <c r="T415" i="3"/>
  <c r="S415" i="3"/>
  <c r="V397" i="3"/>
  <c r="U397" i="3"/>
  <c r="T397" i="3"/>
  <c r="S397" i="3"/>
  <c r="V386" i="3"/>
  <c r="U386" i="3"/>
  <c r="T386" i="3"/>
  <c r="S386" i="3"/>
  <c r="V346" i="3"/>
  <c r="U346" i="3"/>
  <c r="T346" i="3"/>
  <c r="S346" i="3"/>
  <c r="V292" i="3"/>
  <c r="U292" i="3"/>
  <c r="T292" i="3"/>
  <c r="S292" i="3"/>
  <c r="V219" i="3"/>
  <c r="U219" i="3"/>
  <c r="T219" i="3"/>
  <c r="S219" i="3"/>
  <c r="V207" i="3"/>
  <c r="U207" i="3"/>
  <c r="T207" i="3"/>
  <c r="S207" i="3"/>
  <c r="V194" i="3"/>
  <c r="U194" i="3"/>
  <c r="T194" i="3"/>
  <c r="S194" i="3"/>
  <c r="V169" i="3"/>
  <c r="U169" i="3"/>
  <c r="T169" i="3"/>
  <c r="S169" i="3"/>
  <c r="V147" i="3"/>
  <c r="U147" i="3"/>
  <c r="T147" i="3"/>
  <c r="S147" i="3"/>
  <c r="V130" i="3"/>
  <c r="U130" i="3"/>
  <c r="T130" i="3"/>
  <c r="S130" i="3"/>
  <c r="V106" i="3"/>
  <c r="U106" i="3"/>
  <c r="T106" i="3"/>
  <c r="S106" i="3"/>
  <c r="V99" i="3"/>
  <c r="U99" i="3"/>
  <c r="T99" i="3"/>
  <c r="S99" i="3"/>
  <c r="V89" i="3"/>
  <c r="U89" i="3"/>
  <c r="T89" i="3"/>
  <c r="S89" i="3"/>
  <c r="V86" i="3"/>
  <c r="U86" i="3"/>
  <c r="T86" i="3"/>
  <c r="S86" i="3"/>
  <c r="V55" i="3"/>
  <c r="U55" i="3"/>
  <c r="T55" i="3"/>
  <c r="S55" i="3"/>
  <c r="G21" i="10"/>
  <c r="V41" i="3"/>
  <c r="U41" i="3"/>
  <c r="T41" i="3"/>
  <c r="V24" i="3"/>
  <c r="U24" i="3"/>
  <c r="T24" i="3"/>
  <c r="E93" i="23"/>
  <c r="E94" i="23"/>
  <c r="E96" i="23"/>
  <c r="V18" i="3"/>
  <c r="U18" i="3"/>
  <c r="T18" i="3"/>
  <c r="H68" i="45"/>
  <c r="D62" i="45"/>
  <c r="H54" i="45"/>
  <c r="H51" i="45"/>
  <c r="H48" i="45"/>
  <c r="B20" i="45"/>
  <c r="B21" i="45" s="1"/>
  <c r="B22" i="45" s="1"/>
  <c r="F12" i="16"/>
  <c r="E36" i="14"/>
  <c r="A17" i="14"/>
  <c r="C16" i="45" s="1"/>
  <c r="A15" i="14"/>
  <c r="F13" i="14"/>
  <c r="B71" i="7" s="1"/>
  <c r="A16" i="13"/>
  <c r="A14" i="13"/>
  <c r="H33" i="12"/>
  <c r="A16" i="12"/>
  <c r="A14" i="12"/>
  <c r="H12" i="12"/>
  <c r="A16" i="11"/>
  <c r="A14" i="11"/>
  <c r="H12" i="11"/>
  <c r="A16" i="10"/>
  <c r="A14" i="10"/>
  <c r="G12" i="10"/>
  <c r="A16" i="9"/>
  <c r="A14" i="9"/>
  <c r="D12" i="9"/>
  <c r="B74" i="5" s="1"/>
  <c r="B60" i="8"/>
  <c r="B56" i="8"/>
  <c r="B54" i="8"/>
  <c r="B52" i="8"/>
  <c r="A25" i="8"/>
  <c r="A16" i="8"/>
  <c r="A14" i="8"/>
  <c r="M12" i="8"/>
  <c r="B59" i="7"/>
  <c r="D55" i="7"/>
  <c r="B50" i="7"/>
  <c r="D46" i="7"/>
  <c r="B42" i="7"/>
  <c r="D34" i="7"/>
  <c r="A16" i="7"/>
  <c r="A14" i="7"/>
  <c r="E12" i="7"/>
  <c r="A16" i="6"/>
  <c r="A14" i="6"/>
  <c r="D12" i="6"/>
  <c r="B75" i="94" s="1"/>
  <c r="A26" i="5"/>
  <c r="A27" i="5" s="1"/>
  <c r="A28" i="5" s="1"/>
  <c r="A22" i="5"/>
  <c r="A23" i="5" s="1"/>
  <c r="A24" i="5" s="1"/>
  <c r="A72" i="5" s="1"/>
  <c r="K19" i="5"/>
  <c r="A16" i="5"/>
  <c r="A14" i="5"/>
  <c r="K12" i="5"/>
  <c r="C24" i="2"/>
  <c r="C23" i="2"/>
  <c r="C22" i="2"/>
  <c r="C21" i="2"/>
  <c r="C35" i="2" s="1"/>
  <c r="A16" i="2"/>
  <c r="D12" i="2"/>
  <c r="A14" i="2"/>
  <c r="M19" i="8"/>
  <c r="H23" i="12"/>
  <c r="H32" i="12"/>
  <c r="W493" i="3"/>
  <c r="W529" i="3"/>
  <c r="W207" i="3"/>
  <c r="W292" i="3"/>
  <c r="W24" i="3"/>
  <c r="W219" i="3"/>
  <c r="W419" i="3"/>
  <c r="W99" i="3"/>
  <c r="W397" i="3"/>
  <c r="W481" i="3"/>
  <c r="W509" i="3"/>
  <c r="W453" i="3"/>
  <c r="W475" i="3"/>
  <c r="W491" i="3"/>
  <c r="W524" i="3"/>
  <c r="W86" i="3"/>
  <c r="W438" i="3"/>
  <c r="W499" i="3"/>
  <c r="W194" i="3"/>
  <c r="W41" i="3"/>
  <c r="W147" i="3"/>
  <c r="W424" i="3"/>
  <c r="W445" i="3"/>
  <c r="W467" i="3"/>
  <c r="W487" i="3"/>
  <c r="W516" i="3"/>
  <c r="W106" i="3"/>
  <c r="W415" i="3"/>
  <c r="W458" i="3"/>
  <c r="Y459" i="3"/>
  <c r="W483" i="3"/>
  <c r="W512" i="3"/>
  <c r="W18" i="3"/>
  <c r="W89" i="3"/>
  <c r="W386" i="3"/>
  <c r="W506" i="3"/>
  <c r="W431" i="3"/>
  <c r="W450" i="3"/>
  <c r="W473" i="3"/>
  <c r="W489" i="3"/>
  <c r="W518" i="3"/>
  <c r="W55" i="3"/>
  <c r="W169" i="3"/>
  <c r="W130" i="3"/>
  <c r="W346" i="3"/>
  <c r="W440" i="3"/>
  <c r="W464" i="3"/>
  <c r="W485" i="3"/>
  <c r="W514" i="3"/>
  <c r="U220" i="3"/>
  <c r="B19" i="27"/>
  <c r="B52" i="27"/>
  <c r="F409" i="24"/>
  <c r="F410" i="24"/>
  <c r="F412" i="24"/>
  <c r="F1" i="16"/>
  <c r="D1" i="2"/>
  <c r="Y55" i="3"/>
  <c r="A26" i="8"/>
  <c r="A27" i="8" s="1"/>
  <c r="A28" i="8" s="1"/>
  <c r="A29" i="8" s="1"/>
  <c r="Y369" i="3"/>
  <c r="Y47" i="3"/>
  <c r="T220" i="3"/>
  <c r="T500" i="3"/>
  <c r="H43" i="12"/>
  <c r="B18" i="21"/>
  <c r="Y518" i="3"/>
  <c r="T420" i="3"/>
  <c r="V420" i="3"/>
  <c r="U519" i="3"/>
  <c r="U521" i="3"/>
  <c r="U432" i="3"/>
  <c r="V432" i="3"/>
  <c r="U398" i="3"/>
  <c r="S398" i="3"/>
  <c r="T432" i="3"/>
  <c r="S476" i="3"/>
  <c r="U148" i="3"/>
  <c r="T195" i="3"/>
  <c r="U476" i="3"/>
  <c r="S195" i="3"/>
  <c r="V220" i="3"/>
  <c r="S148" i="3"/>
  <c r="V148" i="3"/>
  <c r="V476" i="3"/>
  <c r="V519" i="3"/>
  <c r="V521" i="3"/>
  <c r="V56" i="3"/>
  <c r="U420" i="3"/>
  <c r="T476" i="3"/>
  <c r="S107" i="3"/>
  <c r="S420" i="3"/>
  <c r="T148" i="3"/>
  <c r="U195" i="3"/>
  <c r="T398" i="3"/>
  <c r="Y397" i="3"/>
  <c r="V195" i="3"/>
  <c r="S500" i="3"/>
  <c r="T107" i="3"/>
  <c r="S519" i="3"/>
  <c r="S521" i="3"/>
  <c r="U107" i="3"/>
  <c r="U500" i="3"/>
  <c r="T519" i="3"/>
  <c r="T521" i="3"/>
  <c r="U56" i="3"/>
  <c r="V107" i="3"/>
  <c r="V500" i="3"/>
  <c r="Y24" i="3"/>
  <c r="Y508" i="3"/>
  <c r="S432" i="3"/>
  <c r="Y366" i="3"/>
  <c r="Y431" i="3"/>
  <c r="Y271" i="3"/>
  <c r="B12" i="20"/>
  <c r="Y516" i="3"/>
  <c r="T56" i="3"/>
  <c r="V398" i="3"/>
  <c r="S220" i="3"/>
  <c r="Y499" i="3"/>
  <c r="Y419" i="3"/>
  <c r="Y392" i="3"/>
  <c r="Y379" i="3"/>
  <c r="S56" i="3"/>
  <c r="B39" i="27"/>
  <c r="R14" i="26"/>
  <c r="B74" i="27"/>
  <c r="B77" i="27"/>
  <c r="G1" i="10"/>
  <c r="B66" i="2"/>
  <c r="D1" i="9"/>
  <c r="K1" i="5"/>
  <c r="D1" i="6"/>
  <c r="E1" i="7"/>
  <c r="M1" i="8"/>
  <c r="H1" i="11"/>
  <c r="H1" i="12"/>
  <c r="I1" i="13"/>
  <c r="F2" i="14"/>
  <c r="H1" i="45"/>
  <c r="M20" i="8"/>
  <c r="H29" i="12"/>
  <c r="G62" i="10"/>
  <c r="W148" i="3"/>
  <c r="W107" i="3"/>
  <c r="W56" i="3"/>
  <c r="Y56" i="3"/>
  <c r="W519" i="3"/>
  <c r="W476" i="3"/>
  <c r="W220" i="3"/>
  <c r="W500" i="3"/>
  <c r="W420" i="3"/>
  <c r="W195" i="3"/>
  <c r="W432" i="3"/>
  <c r="W398" i="3"/>
  <c r="W521" i="3"/>
  <c r="B67" i="27"/>
  <c r="B78" i="27"/>
  <c r="B79" i="27"/>
  <c r="B54" i="6"/>
  <c r="B55" i="6"/>
  <c r="B68" i="2"/>
  <c r="B57" i="6"/>
  <c r="A58" i="6"/>
  <c r="B59" i="6"/>
  <c r="A59" i="6"/>
  <c r="B67" i="2"/>
  <c r="B73" i="2"/>
  <c r="B75" i="2"/>
  <c r="B76" i="2"/>
  <c r="B78" i="2"/>
  <c r="B79" i="2"/>
  <c r="B80" i="2"/>
  <c r="W379" i="3"/>
  <c r="U501" i="3"/>
  <c r="U503" i="3"/>
  <c r="V501" i="3"/>
  <c r="V503" i="3"/>
  <c r="B81" i="27"/>
  <c r="V380" i="3"/>
  <c r="V421" i="3"/>
  <c r="V459" i="3"/>
  <c r="V461" i="3"/>
  <c r="T380" i="3"/>
  <c r="T421" i="3"/>
  <c r="T459" i="3"/>
  <c r="T461" i="3"/>
  <c r="S380" i="3"/>
  <c r="S421" i="3"/>
  <c r="T501" i="3"/>
  <c r="T503" i="3"/>
  <c r="W479" i="3"/>
  <c r="S501" i="3"/>
  <c r="S503" i="3"/>
  <c r="U380" i="3"/>
  <c r="U421" i="3"/>
  <c r="U459" i="3"/>
  <c r="U461" i="3"/>
  <c r="W503" i="3"/>
  <c r="U531" i="3"/>
  <c r="V531" i="3"/>
  <c r="W501" i="3"/>
  <c r="S459" i="3"/>
  <c r="W421" i="3"/>
  <c r="T531" i="3"/>
  <c r="W380" i="3"/>
  <c r="S461" i="3"/>
  <c r="W459" i="3"/>
  <c r="Y460" i="3"/>
  <c r="S531" i="3"/>
  <c r="W531" i="3"/>
  <c r="W461" i="3"/>
  <c r="Y531" i="3"/>
  <c r="B79" i="94" l="1"/>
  <c r="D19" i="9"/>
  <c r="D34" i="45"/>
  <c r="D35" i="45" s="1"/>
  <c r="D36" i="45" s="1"/>
  <c r="C34" i="10"/>
  <c r="C67" i="10" s="1"/>
  <c r="A41" i="10"/>
  <c r="A42" i="10" s="1"/>
  <c r="B16" i="19"/>
  <c r="G52" i="5"/>
  <c r="F9" i="16"/>
  <c r="K11" i="94"/>
  <c r="H11" i="109"/>
  <c r="I6" i="108"/>
  <c r="I11" i="13"/>
  <c r="D9" i="9"/>
  <c r="H9" i="11"/>
  <c r="I9" i="13"/>
  <c r="H9" i="45"/>
  <c r="K9" i="5"/>
  <c r="F10" i="14"/>
  <c r="K9" i="94"/>
  <c r="H9" i="109"/>
  <c r="I4" i="108"/>
  <c r="H9" i="12"/>
  <c r="B75" i="5"/>
  <c r="B79" i="5"/>
  <c r="B72" i="10"/>
  <c r="B70" i="94"/>
  <c r="B23" i="45"/>
  <c r="B24" i="45" s="1"/>
  <c r="B25" i="45" s="1"/>
  <c r="B26" i="45" s="1"/>
  <c r="B27" i="45" s="1"/>
  <c r="B28" i="45" s="1"/>
  <c r="B29" i="45" s="1"/>
  <c r="B30" i="45" s="1"/>
  <c r="B31" i="45" s="1"/>
  <c r="B32" i="45" s="1"/>
  <c r="B33" i="45" s="1"/>
  <c r="D36" i="14"/>
  <c r="E48" i="7" s="1"/>
  <c r="E19" i="108" s="1"/>
  <c r="F19" i="108" s="1"/>
  <c r="K37" i="94"/>
  <c r="A24" i="13"/>
  <c r="K24" i="5"/>
  <c r="B40" i="9"/>
  <c r="A26" i="9"/>
  <c r="A27" i="9" s="1"/>
  <c r="A28" i="9" s="1"/>
  <c r="B73" i="94"/>
  <c r="B74" i="94"/>
  <c r="B73" i="5"/>
  <c r="D9" i="6"/>
  <c r="D9" i="2"/>
  <c r="G9" i="10"/>
  <c r="E9" i="7"/>
  <c r="A37" i="12"/>
  <c r="A38" i="12" s="1"/>
  <c r="A39" i="12" s="1"/>
  <c r="A50" i="12"/>
  <c r="E29" i="8"/>
  <c r="G128" i="94"/>
  <c r="G55" i="94"/>
  <c r="I55" i="94"/>
  <c r="K55" i="94" s="1"/>
  <c r="G121" i="94"/>
  <c r="G38" i="94"/>
  <c r="I38" i="94" s="1"/>
  <c r="G108" i="94"/>
  <c r="G25" i="94"/>
  <c r="G30" i="94" s="1"/>
  <c r="K33" i="94"/>
  <c r="K43" i="94"/>
  <c r="G47" i="94"/>
  <c r="G118" i="94"/>
  <c r="G52" i="94"/>
  <c r="I52" i="94" s="1"/>
  <c r="K52" i="94" s="1"/>
  <c r="F45" i="12"/>
  <c r="H45" i="12"/>
  <c r="G29" i="8"/>
  <c r="B27" i="22"/>
  <c r="K29" i="8"/>
  <c r="E32" i="13"/>
  <c r="E34" i="13" s="1"/>
  <c r="M33" i="8"/>
  <c r="G56" i="10"/>
  <c r="A25" i="13"/>
  <c r="H36" i="13"/>
  <c r="I36" i="13" s="1"/>
  <c r="D11" i="6"/>
  <c r="M11" i="8"/>
  <c r="H11" i="45"/>
  <c r="D11" i="9"/>
  <c r="D11" i="2"/>
  <c r="H11" i="12"/>
  <c r="E11" i="7"/>
  <c r="F11" i="16"/>
  <c r="G11" i="10"/>
  <c r="K11" i="5"/>
  <c r="H11" i="11"/>
  <c r="F12" i="14"/>
  <c r="G39" i="10"/>
  <c r="H26" i="45"/>
  <c r="G60" i="10"/>
  <c r="K23" i="5"/>
  <c r="H22" i="45"/>
  <c r="C37" i="8"/>
  <c r="M25" i="8"/>
  <c r="C29" i="8"/>
  <c r="M24" i="8"/>
  <c r="G54" i="10"/>
  <c r="M34" i="8"/>
  <c r="A29" i="5"/>
  <c r="A30" i="5" s="1"/>
  <c r="A31" i="5" s="1"/>
  <c r="A32" i="5" s="1"/>
  <c r="A33" i="5" s="1"/>
  <c r="A31" i="7"/>
  <c r="A32" i="7" s="1"/>
  <c r="A33" i="7" s="1"/>
  <c r="A34" i="7" s="1"/>
  <c r="A35" i="7" s="1"/>
  <c r="A36" i="7" s="1"/>
  <c r="A37" i="7" s="1"/>
  <c r="A38" i="7" s="1"/>
  <c r="B53" i="8"/>
  <c r="M27" i="8"/>
  <c r="D40" i="6"/>
  <c r="M32" i="8"/>
  <c r="M31" i="8"/>
  <c r="I29" i="8"/>
  <c r="M26" i="8"/>
  <c r="M43" i="8"/>
  <c r="M42" i="8"/>
  <c r="A30" i="8"/>
  <c r="A31" i="8" s="1"/>
  <c r="C45" i="8"/>
  <c r="D8" i="6"/>
  <c r="E8" i="7"/>
  <c r="G25" i="5"/>
  <c r="G30" i="5" s="1"/>
  <c r="B70" i="5"/>
  <c r="H74" i="45"/>
  <c r="K55" i="5"/>
  <c r="K37" i="5"/>
  <c r="G48" i="10"/>
  <c r="E36" i="10"/>
  <c r="G36" i="10" s="1"/>
  <c r="K62" i="5"/>
  <c r="D25" i="6"/>
  <c r="E13" i="59"/>
  <c r="D24" i="6"/>
  <c r="E12" i="59"/>
  <c r="I40" i="5"/>
  <c r="G47" i="5"/>
  <c r="G40" i="5"/>
  <c r="K39" i="5"/>
  <c r="I23" i="13"/>
  <c r="K45" i="8"/>
  <c r="M41" i="8"/>
  <c r="M39" i="8"/>
  <c r="E45" i="8"/>
  <c r="G45" i="8"/>
  <c r="I45" i="8"/>
  <c r="M40" i="8"/>
  <c r="B66" i="7" l="1"/>
  <c r="D37" i="45"/>
  <c r="D38" i="45" s="1"/>
  <c r="D39" i="45" s="1"/>
  <c r="D40" i="45" s="1"/>
  <c r="B34" i="45"/>
  <c r="B35" i="45" s="1"/>
  <c r="B36" i="45" s="1"/>
  <c r="A43" i="10"/>
  <c r="A44" i="10" s="1"/>
  <c r="A45" i="10" s="1"/>
  <c r="A46" i="10" s="1"/>
  <c r="A47" i="10" s="1"/>
  <c r="A48" i="10" s="1"/>
  <c r="A49" i="10" s="1"/>
  <c r="I52" i="5"/>
  <c r="K52" i="5" s="1"/>
  <c r="E37" i="13"/>
  <c r="E35" i="13" s="1"/>
  <c r="E39" i="13" s="1"/>
  <c r="G34" i="13"/>
  <c r="G37" i="13" s="1"/>
  <c r="G35" i="13" s="1"/>
  <c r="G39" i="13" s="1"/>
  <c r="I22" i="94"/>
  <c r="K22" i="94" s="1"/>
  <c r="K24" i="94"/>
  <c r="A29" i="9"/>
  <c r="A30" i="9" s="1"/>
  <c r="A31" i="9" s="1"/>
  <c r="A32" i="9" s="1"/>
  <c r="B57" i="8" s="1"/>
  <c r="G57" i="5"/>
  <c r="A51" i="12"/>
  <c r="A40" i="12"/>
  <c r="A41" i="12" s="1"/>
  <c r="G57" i="94"/>
  <c r="G40" i="94"/>
  <c r="G49" i="94" s="1"/>
  <c r="G59" i="94" s="1"/>
  <c r="G64" i="94" s="1"/>
  <c r="K38" i="94"/>
  <c r="K40" i="94" s="1"/>
  <c r="I40" i="94"/>
  <c r="F24" i="11"/>
  <c r="H22" i="11"/>
  <c r="H24" i="11" s="1"/>
  <c r="F34" i="13"/>
  <c r="F37" i="13" s="1"/>
  <c r="F35" i="13" s="1"/>
  <c r="H24" i="13"/>
  <c r="H32" i="13" s="1"/>
  <c r="A29" i="13"/>
  <c r="A30" i="13" s="1"/>
  <c r="A32" i="13" s="1"/>
  <c r="G34" i="10"/>
  <c r="G67" i="10" s="1"/>
  <c r="E67" i="10"/>
  <c r="I25" i="5"/>
  <c r="K22" i="5"/>
  <c r="B45" i="6"/>
  <c r="M29" i="8"/>
  <c r="C47" i="8"/>
  <c r="C50" i="8" s="1"/>
  <c r="A34" i="5"/>
  <c r="B36" i="9"/>
  <c r="B65" i="2"/>
  <c r="A39" i="7"/>
  <c r="A40" i="7" s="1"/>
  <c r="A41" i="7" s="1"/>
  <c r="A42" i="7" s="1"/>
  <c r="B78" i="94" s="1"/>
  <c r="A32" i="8"/>
  <c r="A33" i="8" s="1"/>
  <c r="A34" i="8" s="1"/>
  <c r="A35" i="8" s="1"/>
  <c r="A36" i="8" s="1"/>
  <c r="A37" i="8" s="1"/>
  <c r="D29" i="6"/>
  <c r="D20" i="9"/>
  <c r="D26" i="9" s="1"/>
  <c r="D28" i="9" s="1"/>
  <c r="D32" i="9" s="1"/>
  <c r="G49" i="5"/>
  <c r="F13" i="59"/>
  <c r="G13" i="59"/>
  <c r="K40" i="5"/>
  <c r="D23" i="6" s="1"/>
  <c r="F12" i="59"/>
  <c r="G12" i="59"/>
  <c r="M45" i="8"/>
  <c r="K25" i="5" l="1"/>
  <c r="B37" i="45"/>
  <c r="B38" i="45" s="1"/>
  <c r="B39" i="45" s="1"/>
  <c r="A50" i="10"/>
  <c r="K25" i="94"/>
  <c r="H35" i="13"/>
  <c r="I35" i="13" s="1"/>
  <c r="E40" i="7" s="1"/>
  <c r="E18" i="108" s="1"/>
  <c r="F18" i="108" s="1"/>
  <c r="F20" i="108" s="1"/>
  <c r="G20" i="108" s="1"/>
  <c r="I25" i="94"/>
  <c r="B45" i="9"/>
  <c r="B52" i="12"/>
  <c r="A42" i="12"/>
  <c r="A43" i="12" s="1"/>
  <c r="A34" i="13"/>
  <c r="A44" i="13"/>
  <c r="F39" i="13"/>
  <c r="H37" i="13"/>
  <c r="I37" i="13" s="1"/>
  <c r="H34" i="13"/>
  <c r="I34" i="13" s="1"/>
  <c r="I24" i="13"/>
  <c r="I32" i="13"/>
  <c r="G59" i="5"/>
  <c r="G64" i="5" s="1"/>
  <c r="E37" i="8"/>
  <c r="E47" i="8" s="1"/>
  <c r="A35" i="5"/>
  <c r="A36" i="5" s="1"/>
  <c r="A37" i="5" s="1"/>
  <c r="A38" i="5" s="1"/>
  <c r="A39" i="5" s="1"/>
  <c r="A40" i="5" s="1"/>
  <c r="B69" i="7"/>
  <c r="B78" i="5"/>
  <c r="A43" i="7"/>
  <c r="A44" i="7" s="1"/>
  <c r="A45" i="7" s="1"/>
  <c r="A46" i="7" s="1"/>
  <c r="B58" i="8"/>
  <c r="A38" i="8"/>
  <c r="A39" i="8" s="1"/>
  <c r="G37" i="8"/>
  <c r="G47" i="8" s="1"/>
  <c r="K37" i="8"/>
  <c r="K47" i="8" s="1"/>
  <c r="I37" i="8"/>
  <c r="I47" i="8" s="1"/>
  <c r="E11" i="59"/>
  <c r="G11" i="59" s="1"/>
  <c r="E47" i="108" l="1"/>
  <c r="E51" i="108" s="1"/>
  <c r="E55" i="108" s="1"/>
  <c r="D56" i="108"/>
  <c r="G25" i="108"/>
  <c r="G27" i="108" s="1"/>
  <c r="D53" i="108" s="1"/>
  <c r="F53" i="108" s="1"/>
  <c r="K29" i="5" s="1"/>
  <c r="E56" i="108"/>
  <c r="D47" i="108"/>
  <c r="B40" i="45"/>
  <c r="B41" i="45" s="1"/>
  <c r="B42" i="45" s="1"/>
  <c r="B43" i="45" s="1"/>
  <c r="B44" i="45" s="1"/>
  <c r="B45" i="45" s="1"/>
  <c r="B46" i="45" s="1"/>
  <c r="B47" i="45" s="1"/>
  <c r="B48" i="45" s="1"/>
  <c r="B49" i="45" s="1"/>
  <c r="B50" i="45" s="1"/>
  <c r="B51" i="45" s="1"/>
  <c r="B52" i="45" s="1"/>
  <c r="B53" i="45" s="1"/>
  <c r="B54" i="45" s="1"/>
  <c r="B55" i="45" s="1"/>
  <c r="B56" i="45" s="1"/>
  <c r="B57" i="45" s="1"/>
  <c r="B58" i="45" s="1"/>
  <c r="B59" i="45" s="1"/>
  <c r="B60" i="45" s="1"/>
  <c r="B61" i="45" s="1"/>
  <c r="B62" i="45" s="1"/>
  <c r="B63" i="45" s="1"/>
  <c r="B64" i="45" s="1"/>
  <c r="B65" i="45" s="1"/>
  <c r="B66" i="45" s="1"/>
  <c r="B67" i="45" s="1"/>
  <c r="B68" i="45" s="1"/>
  <c r="B69" i="45" s="1"/>
  <c r="B70" i="45" s="1"/>
  <c r="B71" i="45" s="1"/>
  <c r="B72" i="45" s="1"/>
  <c r="A51" i="10"/>
  <c r="E57" i="108"/>
  <c r="B47" i="13"/>
  <c r="B46" i="13"/>
  <c r="A52" i="12"/>
  <c r="A44" i="12"/>
  <c r="A45" i="12" s="1"/>
  <c r="B45" i="13"/>
  <c r="B50" i="13"/>
  <c r="A35" i="13"/>
  <c r="A47" i="13"/>
  <c r="A46" i="13"/>
  <c r="A45" i="13"/>
  <c r="H39" i="13"/>
  <c r="I39" i="13" s="1"/>
  <c r="B37" i="9"/>
  <c r="A70" i="5"/>
  <c r="A41" i="5"/>
  <c r="A42" i="5" s="1"/>
  <c r="A43" i="5" s="1"/>
  <c r="B46" i="6"/>
  <c r="A47" i="7"/>
  <c r="A48" i="7" s="1"/>
  <c r="A49" i="7" s="1"/>
  <c r="A50" i="7" s="1"/>
  <c r="B77" i="94" s="1"/>
  <c r="A40" i="8"/>
  <c r="F11" i="59"/>
  <c r="M37" i="8"/>
  <c r="M47" i="8" s="1"/>
  <c r="C19" i="2" s="1"/>
  <c r="C26" i="2" s="1"/>
  <c r="M35" i="8"/>
  <c r="E58" i="108" l="1"/>
  <c r="D51" i="108"/>
  <c r="D55" i="108" s="1"/>
  <c r="F47" i="108"/>
  <c r="F51" i="108" s="1"/>
  <c r="F56" i="108"/>
  <c r="A52" i="10"/>
  <c r="A53" i="10" s="1"/>
  <c r="A54" i="10" s="1"/>
  <c r="A55" i="10" s="1"/>
  <c r="A56" i="10" s="1"/>
  <c r="A57" i="10" s="1"/>
  <c r="A58" i="10" s="1"/>
  <c r="A59" i="10" s="1"/>
  <c r="A60" i="10" s="1"/>
  <c r="A61" i="10" s="1"/>
  <c r="B73" i="45"/>
  <c r="B74" i="45" s="1"/>
  <c r="G103" i="94"/>
  <c r="B76" i="94"/>
  <c r="B76" i="5"/>
  <c r="A48" i="13"/>
  <c r="B68" i="7"/>
  <c r="A36" i="13"/>
  <c r="C28" i="2"/>
  <c r="C34" i="2"/>
  <c r="E33" i="59" s="1"/>
  <c r="A44" i="5"/>
  <c r="B47" i="6"/>
  <c r="B72" i="7"/>
  <c r="A51" i="7"/>
  <c r="A52" i="7" s="1"/>
  <c r="A53" i="7" s="1"/>
  <c r="A54" i="7" s="1"/>
  <c r="A55" i="7" s="1"/>
  <c r="B77" i="5"/>
  <c r="A61" i="8"/>
  <c r="A41" i="8"/>
  <c r="E24" i="7"/>
  <c r="C27" i="2"/>
  <c r="D57" i="108" l="1"/>
  <c r="F55" i="108"/>
  <c r="A62" i="10"/>
  <c r="B51" i="12" s="1"/>
  <c r="K28" i="94"/>
  <c r="K30" i="94" s="1"/>
  <c r="I30" i="94"/>
  <c r="A49" i="13"/>
  <c r="A37" i="13"/>
  <c r="K28" i="5"/>
  <c r="K30" i="5" s="1"/>
  <c r="I30" i="5"/>
  <c r="D78" i="59" s="1"/>
  <c r="F78" i="59" s="1"/>
  <c r="G78" i="59" s="1"/>
  <c r="B48" i="6"/>
  <c r="A45" i="5"/>
  <c r="A73" i="5"/>
  <c r="B38" i="9"/>
  <c r="E26" i="7"/>
  <c r="A56" i="7"/>
  <c r="A57" i="7" s="1"/>
  <c r="A58" i="7" s="1"/>
  <c r="A59" i="7" s="1"/>
  <c r="C36" i="2"/>
  <c r="C29" i="2"/>
  <c r="A62" i="8"/>
  <c r="A42" i="8"/>
  <c r="G33" i="59"/>
  <c r="C63" i="59" s="1"/>
  <c r="C64" i="59" s="1"/>
  <c r="C65" i="59" s="1"/>
  <c r="G79" i="59" s="1"/>
  <c r="E79" i="59"/>
  <c r="F79" i="59" s="1"/>
  <c r="E35" i="59"/>
  <c r="E58" i="59" s="1"/>
  <c r="F33" i="59"/>
  <c r="B80" i="5" l="1"/>
  <c r="B80" i="94"/>
  <c r="D58" i="108"/>
  <c r="F58" i="108" s="1"/>
  <c r="F57" i="108"/>
  <c r="A63" i="10"/>
  <c r="A64" i="10" s="1"/>
  <c r="A65" i="10" s="1"/>
  <c r="A50" i="13"/>
  <c r="A38" i="13"/>
  <c r="A39" i="13" s="1"/>
  <c r="D19" i="6"/>
  <c r="E5" i="59"/>
  <c r="A74" i="5"/>
  <c r="A46" i="5"/>
  <c r="B49" i="6"/>
  <c r="B39" i="9"/>
  <c r="E33" i="7"/>
  <c r="E32" i="7"/>
  <c r="E55" i="7" s="1"/>
  <c r="E59" i="7" s="1"/>
  <c r="E31" i="7"/>
  <c r="E38" i="7" s="1"/>
  <c r="E42" i="7" s="1"/>
  <c r="E30" i="7"/>
  <c r="E46" i="7" s="1"/>
  <c r="E50" i="7" s="1"/>
  <c r="B75" i="7"/>
  <c r="A43" i="8"/>
  <c r="A63" i="8"/>
  <c r="B50" i="12" l="1"/>
  <c r="A66" i="10"/>
  <c r="A67" i="10" s="1"/>
  <c r="G124" i="94"/>
  <c r="I61" i="94"/>
  <c r="K61" i="94" s="1"/>
  <c r="G120" i="94"/>
  <c r="I54" i="94"/>
  <c r="K54" i="94" s="1"/>
  <c r="I53" i="5"/>
  <c r="K53" i="5" s="1"/>
  <c r="D27" i="6" s="1"/>
  <c r="I53" i="94"/>
  <c r="G119" i="94"/>
  <c r="F5" i="59"/>
  <c r="G5" i="59"/>
  <c r="A47" i="5"/>
  <c r="A48" i="5" s="1"/>
  <c r="A49" i="5" s="1"/>
  <c r="A50" i="5" s="1"/>
  <c r="A51" i="5" s="1"/>
  <c r="A52" i="5" s="1"/>
  <c r="A75" i="5"/>
  <c r="I61" i="5"/>
  <c r="K61" i="5" s="1"/>
  <c r="E20" i="59" s="1"/>
  <c r="E29" i="59" s="1"/>
  <c r="G29" i="59" s="1"/>
  <c r="E34" i="7"/>
  <c r="I54" i="5"/>
  <c r="K54" i="5" s="1"/>
  <c r="D28" i="6" s="1"/>
  <c r="A44" i="8"/>
  <c r="A45" i="8" s="1"/>
  <c r="B64" i="8"/>
  <c r="B72" i="94" l="1"/>
  <c r="B72" i="5"/>
  <c r="K53" i="94"/>
  <c r="K57" i="94" s="1"/>
  <c r="I57" i="94"/>
  <c r="D32" i="6"/>
  <c r="D34" i="6" s="1"/>
  <c r="D38" i="6" s="1"/>
  <c r="D42" i="6" s="1"/>
  <c r="F20" i="59"/>
  <c r="F29" i="59"/>
  <c r="E77" i="7"/>
  <c r="G20" i="59"/>
  <c r="A76" i="5"/>
  <c r="A53" i="5"/>
  <c r="K57" i="5"/>
  <c r="E42" i="59" s="1"/>
  <c r="D77" i="59" s="1"/>
  <c r="F77" i="59" s="1"/>
  <c r="G77" i="59" s="1"/>
  <c r="G82" i="59" s="1"/>
  <c r="I57" i="5"/>
  <c r="A64" i="8"/>
  <c r="A46" i="8"/>
  <c r="A47" i="8" s="1"/>
  <c r="B65" i="8"/>
  <c r="I46" i="5" l="1"/>
  <c r="I46" i="94"/>
  <c r="G42" i="59"/>
  <c r="A54" i="5"/>
  <c r="A77" i="5"/>
  <c r="B50" i="6"/>
  <c r="F42" i="59"/>
  <c r="A65" i="8"/>
  <c r="B63" i="7"/>
  <c r="B64" i="2"/>
  <c r="K46" i="5" l="1"/>
  <c r="K47" i="5" s="1"/>
  <c r="K49" i="5" s="1"/>
  <c r="I47" i="5"/>
  <c r="I49" i="5" s="1"/>
  <c r="I59" i="5" s="1"/>
  <c r="I64" i="5" s="1"/>
  <c r="G114" i="94"/>
  <c r="K46" i="94"/>
  <c r="K47" i="94" s="1"/>
  <c r="K49" i="94" s="1"/>
  <c r="K59" i="94" s="1"/>
  <c r="K64" i="94" s="1"/>
  <c r="G86" i="94" s="1"/>
  <c r="I47" i="94"/>
  <c r="I49" i="94" s="1"/>
  <c r="I59" i="94" s="1"/>
  <c r="I64" i="94" s="1"/>
  <c r="A78" i="5"/>
  <c r="A55" i="5"/>
  <c r="B51" i="6"/>
  <c r="G126" i="94" l="1"/>
  <c r="G130" i="94" s="1"/>
  <c r="E44" i="59"/>
  <c r="F44" i="59" s="1"/>
  <c r="A56" i="5"/>
  <c r="B52" i="6"/>
  <c r="A79" i="5"/>
  <c r="K59" i="5"/>
  <c r="K64" i="5" s="1"/>
  <c r="E14" i="59"/>
  <c r="C47" i="2" l="1"/>
  <c r="G44" i="59"/>
  <c r="A57" i="5"/>
  <c r="A58" i="5" s="1"/>
  <c r="A59" i="5" s="1"/>
  <c r="A60" i="5" s="1"/>
  <c r="A61" i="5" s="1"/>
  <c r="B53" i="6"/>
  <c r="F14" i="59"/>
  <c r="E17" i="59"/>
  <c r="G14" i="59"/>
  <c r="A62" i="5" l="1"/>
  <c r="A63" i="5" s="1"/>
  <c r="A64" i="5" s="1"/>
  <c r="B72" i="2" s="1"/>
  <c r="A80" i="5"/>
  <c r="C48" i="2"/>
  <c r="C50" i="2" s="1"/>
  <c r="C38" i="2"/>
  <c r="C39" i="2" s="1"/>
  <c r="F17" i="59"/>
  <c r="G17" i="59"/>
  <c r="E31" i="59"/>
  <c r="E60" i="59" l="1"/>
  <c r="E45" i="59"/>
  <c r="F31" i="59"/>
  <c r="G31" i="59"/>
  <c r="C51" i="2"/>
  <c r="C52" i="2" s="1"/>
  <c r="C54" i="2"/>
  <c r="C55" i="2" s="1"/>
  <c r="C56" i="2" s="1"/>
  <c r="C58" i="2" l="1"/>
  <c r="C60" i="2" s="1"/>
  <c r="E48" i="59"/>
  <c r="E61" i="59" s="1"/>
  <c r="F45" i="59"/>
  <c r="G45" i="59"/>
  <c r="G48" i="59" l="1"/>
  <c r="F48" i="59"/>
  <c r="E52" i="59"/>
  <c r="G52" i="59" l="1"/>
  <c r="F52" i="59"/>
</calcChain>
</file>

<file path=xl/sharedStrings.xml><?xml version="1.0" encoding="utf-8"?>
<sst xmlns="http://schemas.openxmlformats.org/spreadsheetml/2006/main" count="26851" uniqueCount="6203">
  <si>
    <t>The Narragansett Electric Company</t>
  </si>
  <si>
    <t>d/b/a National Grid</t>
  </si>
  <si>
    <t>RIPUC Docket No. 4770</t>
  </si>
  <si>
    <t>Gas Earnings Sharing Mechanism</t>
  </si>
  <si>
    <t>d/b/a Rhode Island Energy</t>
  </si>
  <si>
    <t>CY 2025 Gas Earnings Report</t>
  </si>
  <si>
    <t>Schedule NECO-1</t>
  </si>
  <si>
    <t>June 15, 2026</t>
  </si>
  <si>
    <t>December</t>
  </si>
  <si>
    <t>March</t>
  </si>
  <si>
    <t>June</t>
  </si>
  <si>
    <t>September</t>
  </si>
  <si>
    <t>Title</t>
  </si>
  <si>
    <t>Number</t>
  </si>
  <si>
    <t>Pages</t>
  </si>
  <si>
    <t>Page 1 of 15</t>
  </si>
  <si>
    <t>Income Statement</t>
  </si>
  <si>
    <t>Page 2 of 15</t>
  </si>
  <si>
    <t>Federal Income Tax Calculation</t>
  </si>
  <si>
    <t>Page 3 of 15</t>
  </si>
  <si>
    <t>Applicable Capital Structure, Interest Expense and Preferred Dividends</t>
  </si>
  <si>
    <t>Page 4 of 15</t>
  </si>
  <si>
    <t>Rate Base</t>
  </si>
  <si>
    <t>Page 5 of 15</t>
  </si>
  <si>
    <t>Cash Working Capital Calculation</t>
  </si>
  <si>
    <t>Page 6 of 15</t>
  </si>
  <si>
    <t>Detail Other Revenue/(Expense)</t>
  </si>
  <si>
    <t>Page 7 of 15</t>
  </si>
  <si>
    <t>Detail Other Interest Expense</t>
  </si>
  <si>
    <t>Page 8 of 15</t>
  </si>
  <si>
    <t>Detail Non-Operating Income / (Expense)</t>
  </si>
  <si>
    <t>Page 9 of 15</t>
  </si>
  <si>
    <t>Calculation of Average Long-Term Debt Interest Rate</t>
  </si>
  <si>
    <t>Page 10 of 15</t>
  </si>
  <si>
    <t>Calculation of Average Short-Term Debt Interest Rate</t>
  </si>
  <si>
    <t>Page 11 of 15</t>
  </si>
  <si>
    <t>Merger Hold Harmless Rate Base Credit</t>
  </si>
  <si>
    <t>Page 12 of 15</t>
  </si>
  <si>
    <t>Projected Deferred Tax Schedule</t>
  </si>
  <si>
    <t>Page 13 of 15</t>
  </si>
  <si>
    <t>Page 14 of 15</t>
  </si>
  <si>
    <t>Hold Harmless</t>
  </si>
  <si>
    <t>Page 15 of 15</t>
  </si>
  <si>
    <t>Rhode Island Energy - RI Gas</t>
  </si>
  <si>
    <t>For the Twelve Months ended December 31, 2025</t>
  </si>
  <si>
    <t>Table of Contents</t>
  </si>
  <si>
    <t>Common Equity</t>
  </si>
  <si>
    <t>Debt Cost - Long Term</t>
  </si>
  <si>
    <t>Debt Cost - Short Term</t>
  </si>
  <si>
    <t>Preferred Stock</t>
  </si>
  <si>
    <t>Debt</t>
  </si>
  <si>
    <t xml:space="preserve">     Total</t>
  </si>
  <si>
    <t>Average Rate Base</t>
  </si>
  <si>
    <t>Equity Component of Rate Base</t>
  </si>
  <si>
    <t>Average Common Equity</t>
  </si>
  <si>
    <t>Actual Total Earnings</t>
  </si>
  <si>
    <t>Return on Common Equity with Incentives</t>
  </si>
  <si>
    <t>Less incentives:</t>
  </si>
  <si>
    <t>Energy Efficiency shareholder incentive</t>
  </si>
  <si>
    <t>Natural Gas Portfolio Management Plan</t>
  </si>
  <si>
    <t>Gas Procurement Incentive Plan</t>
  </si>
  <si>
    <t>Base Earnings</t>
  </si>
  <si>
    <t>Return on Common Equity without Incentives</t>
  </si>
  <si>
    <t>Return on Equity &gt; 9.275% and &lt; 10.275%</t>
  </si>
  <si>
    <t>Earnings to be Shared</t>
  </si>
  <si>
    <t>Earnings to Customers - 50%</t>
  </si>
  <si>
    <t>Return on Equity &gt; 10.275%</t>
  </si>
  <si>
    <t>Earnings to Customers - 75%</t>
  </si>
  <si>
    <t>Total After tax Earnings Credited to Customers</t>
  </si>
  <si>
    <t>Total Earnings Credited to DAC</t>
  </si>
  <si>
    <t>Notes:</t>
  </si>
  <si>
    <t>Line 25 divided by 79%</t>
  </si>
  <si>
    <t>Adjustments</t>
  </si>
  <si>
    <t>(a)</t>
  </si>
  <si>
    <t>(b)</t>
  </si>
  <si>
    <t>(c)</t>
  </si>
  <si>
    <t>Operating Revenues</t>
  </si>
  <si>
    <t>Total Firm Gas</t>
  </si>
  <si>
    <t>a1-a4</t>
  </si>
  <si>
    <t>Remove (Unbilled Margin &amp; Unbilled Energy Eff from roll Forward); subtract Prior Periods ISR Property Tax Adjustment; add back one time bill credits</t>
  </si>
  <si>
    <t>Transportation</t>
  </si>
  <si>
    <t>b1</t>
  </si>
  <si>
    <t>Pull from Rollforward</t>
  </si>
  <si>
    <t>Other Revenues</t>
  </si>
  <si>
    <t>Remove (energy efficiency incentives + contract sharing + excess sharing + off system gas sales + DAC unbilled + RDM Unbilled + Forfeited discounts + Gas Misc Service Revenues)</t>
  </si>
  <si>
    <t>Total Operating Revenues</t>
  </si>
  <si>
    <t>Adjustment to Operating Revenue:</t>
  </si>
  <si>
    <t>Inventory Financing</t>
  </si>
  <si>
    <t>d</t>
  </si>
  <si>
    <t>Remove total GCR Inventory Financing Costs</t>
  </si>
  <si>
    <t>Hold Harmless Adjustment</t>
  </si>
  <si>
    <t>Total Adjusted Operating Revenues</t>
  </si>
  <si>
    <t>Operating Expenses</t>
  </si>
  <si>
    <t>Production (Gas Costs)</t>
  </si>
  <si>
    <t>Storage</t>
  </si>
  <si>
    <t>Transmission</t>
  </si>
  <si>
    <t>Distribution</t>
  </si>
  <si>
    <t>Customer Accounts</t>
  </si>
  <si>
    <t>Sales</t>
  </si>
  <si>
    <t>f</t>
  </si>
  <si>
    <t>Administrative and General</t>
  </si>
  <si>
    <t>g1-g3</t>
  </si>
  <si>
    <t>Remove Band A Variable pay and IT/TSA Special Items</t>
  </si>
  <si>
    <t>Total Operating Expenses</t>
  </si>
  <si>
    <t>Other Expenses</t>
  </si>
  <si>
    <t>Depreciation and Amortization</t>
  </si>
  <si>
    <t>Local and Other Taxes</t>
  </si>
  <si>
    <t>Revenue Related Taxes (Gross Earnings Tax - GET)</t>
  </si>
  <si>
    <t>Federal Income Taxes @ 21%</t>
  </si>
  <si>
    <t>h</t>
  </si>
  <si>
    <t>- Fed Income Tax G45 + Fed Income Tax on FIT Calculation tab</t>
  </si>
  <si>
    <t>Total Other Expenses</t>
  </si>
  <si>
    <t>Income Before Interest Expense</t>
  </si>
  <si>
    <t>Interest Expense</t>
  </si>
  <si>
    <t>Other Income/Expenses</t>
  </si>
  <si>
    <t>i</t>
  </si>
  <si>
    <t>Short-Term Debt</t>
  </si>
  <si>
    <t>j</t>
  </si>
  <si>
    <t>Long-Term Debt</t>
  </si>
  <si>
    <t>k</t>
  </si>
  <si>
    <t>Other Interest Expense</t>
  </si>
  <si>
    <t>l1-l2</t>
  </si>
  <si>
    <t>AFUDC</t>
  </si>
  <si>
    <t>Total Interest Expense</t>
  </si>
  <si>
    <t>Net Income / (Loss)</t>
  </si>
  <si>
    <t>Preferred Dividends</t>
  </si>
  <si>
    <t>m</t>
  </si>
  <si>
    <t>Extraordinary Deductions</t>
  </si>
  <si>
    <t>n</t>
  </si>
  <si>
    <t>Net Income / (Loss) Applicable to Common Equity</t>
  </si>
  <si>
    <t>From Company Financial Statements</t>
  </si>
  <si>
    <t>INCOME RECONCILIATION</t>
  </si>
  <si>
    <t>Net Income ROE</t>
  </si>
  <si>
    <t>OPERATING REVENUE ADJUSTMENTS - dr/(cr)</t>
  </si>
  <si>
    <t>Unbilled Margin</t>
  </si>
  <si>
    <t>-a1</t>
  </si>
  <si>
    <t>Ö</t>
  </si>
  <si>
    <t>Unbilled Energy Efficiency</t>
  </si>
  <si>
    <t>-a2</t>
  </si>
  <si>
    <t>-a3</t>
  </si>
  <si>
    <t>One Time Settlement Bill Credits</t>
  </si>
  <si>
    <t>-a4</t>
  </si>
  <si>
    <t>Unbilled Transportation</t>
  </si>
  <si>
    <t>-b1</t>
  </si>
  <si>
    <t>Excess Sharing</t>
  </si>
  <si>
    <t>-c1</t>
  </si>
  <si>
    <t>tie to annual report pg 308</t>
  </si>
  <si>
    <t>ok</t>
  </si>
  <si>
    <t>Off System Gas Sales</t>
  </si>
  <si>
    <t>-c2</t>
  </si>
  <si>
    <t>Contract Sharing</t>
  </si>
  <si>
    <t>-c3</t>
  </si>
  <si>
    <t>Unbilled DAC</t>
  </si>
  <si>
    <t>-c4</t>
  </si>
  <si>
    <t>Unbilled RDM</t>
  </si>
  <si>
    <t>-c5</t>
  </si>
  <si>
    <t>misc service revenues</t>
  </si>
  <si>
    <t>-c6</t>
  </si>
  <si>
    <t>css revenue - cust arrears</t>
  </si>
  <si>
    <t>-c7</t>
  </si>
  <si>
    <t>Energy Efficiency Incentives- acct 495</t>
  </si>
  <si>
    <t>-c8</t>
  </si>
  <si>
    <t>-d</t>
  </si>
  <si>
    <t>OPERATING EXPENSE ADJUSTMENTS - dr/(cr)</t>
  </si>
  <si>
    <t>Bad Debt Charge-Offs per FERC 904 less change in FERC 144</t>
  </si>
  <si>
    <t>Exclude Advertising Expense</t>
  </si>
  <si>
    <t>+f</t>
  </si>
  <si>
    <t>Exclude Executive Variable Compensation not charged to customers</t>
  </si>
  <si>
    <t>+g1</t>
  </si>
  <si>
    <t>Service Company Excess ADIT</t>
  </si>
  <si>
    <t>+g2</t>
  </si>
  <si>
    <t>Excess ADIT file is no longer applicable per tax department</t>
  </si>
  <si>
    <t>Removal of IT/TSA Special Items</t>
  </si>
  <si>
    <t>+g3</t>
  </si>
  <si>
    <t>OTHER EXPENSE ADJUSTMENTS - dr/(cr)</t>
  </si>
  <si>
    <t>+h</t>
  </si>
  <si>
    <t>INTEREST EXPENSE ADJUSTMENTS - dr/(cr)</t>
  </si>
  <si>
    <t>Detail Non-Op Income from IS</t>
  </si>
  <si>
    <t>+i</t>
  </si>
  <si>
    <t>+j</t>
  </si>
  <si>
    <t>Long-term Debt</t>
  </si>
  <si>
    <t>+k</t>
  </si>
  <si>
    <t>+l1</t>
  </si>
  <si>
    <t>Customer Deposits Interest Expense</t>
  </si>
  <si>
    <t>+l2</t>
  </si>
  <si>
    <t>AFUDC (zero out if positive)</t>
  </si>
  <si>
    <t>+m</t>
  </si>
  <si>
    <t>+n</t>
  </si>
  <si>
    <t>Total</t>
  </si>
  <si>
    <t>Net Income Available for Common per Financials</t>
  </si>
  <si>
    <t>Difference</t>
  </si>
  <si>
    <t>Adjustments to Retained Earnings</t>
  </si>
  <si>
    <t>AA</t>
  </si>
  <si>
    <t>BB</t>
  </si>
  <si>
    <t>CC</t>
  </si>
  <si>
    <t>c1-c8</t>
  </si>
  <si>
    <t>Adjustment to offset the decrease in ROE from the increase in rate base due to the elimination of accumulated deferred income taxes as a result of PPL's acqusition of the Company.</t>
  </si>
  <si>
    <t>A</t>
  </si>
  <si>
    <t>B</t>
  </si>
  <si>
    <t>T</t>
  </si>
  <si>
    <t>D</t>
  </si>
  <si>
    <t>F</t>
  </si>
  <si>
    <t>e</t>
  </si>
  <si>
    <t>Remove (Uncollectible Accounts from PJ1 + Bad Debt from Bad Debt Writeoff tab)</t>
  </si>
  <si>
    <t>E</t>
  </si>
  <si>
    <t>M</t>
  </si>
  <si>
    <t>G</t>
  </si>
  <si>
    <t>H</t>
  </si>
  <si>
    <t>O</t>
  </si>
  <si>
    <t>N</t>
  </si>
  <si>
    <t>P</t>
  </si>
  <si>
    <t>Q</t>
  </si>
  <si>
    <t>R</t>
  </si>
  <si>
    <t>Property Tax Adjustment</t>
  </si>
  <si>
    <t>+e</t>
  </si>
  <si>
    <t>no adjustment for CY 2022</t>
  </si>
  <si>
    <t>Reverse write-off of the GBE &amp; IS MOD Investments per settlement agreement</t>
  </si>
  <si>
    <t>Less:</t>
  </si>
  <si>
    <t>Revenue Related Taxes (GET)</t>
  </si>
  <si>
    <t>Interest - Short-Term Debt</t>
  </si>
  <si>
    <t>Interest - Long-Term Debt</t>
  </si>
  <si>
    <t>Other Interest</t>
  </si>
  <si>
    <t>Total Deductions</t>
  </si>
  <si>
    <t>Taxable Income</t>
  </si>
  <si>
    <t xml:space="preserve">Federal Income Tax Rate </t>
  </si>
  <si>
    <t>Imputed Federal Income Tax Expense</t>
  </si>
  <si>
    <t>Amortization of EDIT</t>
  </si>
  <si>
    <t>Net Federal Income Tax Expense</t>
  </si>
  <si>
    <t>Federal income Tax Rate: rate of 21%</t>
  </si>
  <si>
    <t>check:</t>
  </si>
  <si>
    <t>%</t>
  </si>
  <si>
    <t>$</t>
  </si>
  <si>
    <t>Adjustment</t>
  </si>
  <si>
    <t>Adjusted Rate Base</t>
  </si>
  <si>
    <t>Capital Structure</t>
  </si>
  <si>
    <t>Docket 4770</t>
  </si>
  <si>
    <t>Long-Term Debt Portion</t>
  </si>
  <si>
    <t>Short-Term Debt Portion</t>
  </si>
  <si>
    <t>Preferred Stock Portion</t>
  </si>
  <si>
    <t xml:space="preserve">Cost of Preferred Stock </t>
  </si>
  <si>
    <t>1(b)</t>
  </si>
  <si>
    <t>7(a)-10(a)</t>
  </si>
  <si>
    <t>Docket 4770 Compliance Filing dated August 16, 2018, Compliance Filing Attachment 2, Schedule 1-GAS, Page 4</t>
  </si>
  <si>
    <t>7(b)-10(b)</t>
  </si>
  <si>
    <t>Docket 4770 Compliance Filing dated August 16, 2018, Compliance Attachment 2, Schedule 1-GAS, Page 4, Line 5</t>
  </si>
  <si>
    <t>5 Quarter</t>
  </si>
  <si>
    <t>Average</t>
  </si>
  <si>
    <t>(d)</t>
  </si>
  <si>
    <t>(e)</t>
  </si>
  <si>
    <t>(f)</t>
  </si>
  <si>
    <t>Gas Plant In Service</t>
  </si>
  <si>
    <t>√</t>
  </si>
  <si>
    <t>CWIP</t>
  </si>
  <si>
    <t>Less:  Accumulated Depreciation</t>
  </si>
  <si>
    <t>Less:  Contribution in Aid of Construction</t>
  </si>
  <si>
    <t>Net Plant</t>
  </si>
  <si>
    <t>Materials and Supplies</t>
  </si>
  <si>
    <t>Prepaid Expenses, Excluding Taxes</t>
  </si>
  <si>
    <t xml:space="preserve">Deferred Debits </t>
  </si>
  <si>
    <t>Unamortized debt expense and Interest Rate Lock</t>
  </si>
  <si>
    <t xml:space="preserve">Cash Working Capital  </t>
  </si>
  <si>
    <t>Subtotal</t>
  </si>
  <si>
    <t xml:space="preserve">Accumulated Deferred FIT </t>
  </si>
  <si>
    <t>Excess Deferred Tax</t>
  </si>
  <si>
    <t>Excess Deferred Tax Amortization</t>
  </si>
  <si>
    <t xml:space="preserve">Hold Harmless  </t>
  </si>
  <si>
    <t>Customer Deposits</t>
  </si>
  <si>
    <t>1(a)-4(e)</t>
  </si>
  <si>
    <t>1(f)-4(f)</t>
  </si>
  <si>
    <t>6(a)-6(e)</t>
  </si>
  <si>
    <t>6(f)</t>
  </si>
  <si>
    <t>8(a)-11(e)</t>
  </si>
  <si>
    <t>8(f)-11(f)</t>
  </si>
  <si>
    <t>12(b)-12(e)</t>
  </si>
  <si>
    <t>14</t>
  </si>
  <si>
    <t>16(a)-21(e)</t>
  </si>
  <si>
    <t>16(f)-21(f)</t>
  </si>
  <si>
    <t>Excess Deferred Tax for change in tax rate from 35% to 21%, adjusted for IRS audit findings</t>
  </si>
  <si>
    <t>Per Docket No. 4770, Excess Deferred Income Tax True-Up – Second Compliance Filing dated May 30, 2019, Second Compliance Attachment 31, Page 1</t>
  </si>
  <si>
    <t>Hold Harmless rate base credit per Docket No. 3859</t>
  </si>
  <si>
    <t>Gas Costs</t>
  </si>
  <si>
    <t>Payroll Taxes</t>
  </si>
  <si>
    <t>Property Taxes</t>
  </si>
  <si>
    <t>State Taxes Other</t>
  </si>
  <si>
    <t>Federal Excise Tax</t>
  </si>
  <si>
    <t>Daily Cash Requirement</t>
  </si>
  <si>
    <t xml:space="preserve">   </t>
  </si>
  <si>
    <t xml:space="preserve">                                            </t>
  </si>
  <si>
    <t>Net Lag Days</t>
  </si>
  <si>
    <t>Total Working Capital</t>
  </si>
  <si>
    <t>3-6</t>
  </si>
  <si>
    <t>Line 8 divided by 365 days</t>
  </si>
  <si>
    <t>Per Docket No. 4770, Compliance Filing dated August 16, 2018,</t>
  </si>
  <si>
    <t>Compliance Attachment 2, Schedule 42,</t>
  </si>
  <si>
    <t>(Page 3 of 29, Line 18 - Page 2 of 29, Line 1)</t>
  </si>
  <si>
    <t>Rent from Gas Property</t>
  </si>
  <si>
    <t>Other Revenue/(Expense)</t>
  </si>
  <si>
    <t>RDM Revenue</t>
  </si>
  <si>
    <t>Unbilled RDM Revenue</t>
  </si>
  <si>
    <t>Energy Efficiency Shareholder Incentives</t>
  </si>
  <si>
    <t>Other Revenue - Off System Gas Sales</t>
  </si>
  <si>
    <t>Other Gas Rev Contract Sharing</t>
  </si>
  <si>
    <t>Other Deferred Revenue</t>
  </si>
  <si>
    <t>LIHEAP Revenue</t>
  </si>
  <si>
    <t>Unbilled DAC Revenue</t>
  </si>
  <si>
    <t>Misc Revenue</t>
  </si>
  <si>
    <t>Interest on Customer Arrears</t>
  </si>
  <si>
    <t>Total Other Revenue</t>
  </si>
  <si>
    <t>Interest on Customer Deposits</t>
  </si>
  <si>
    <t>Total Other Interest Expense</t>
  </si>
  <si>
    <t>Donations</t>
  </si>
  <si>
    <t>Deferred Compensation - Life Insurance</t>
  </si>
  <si>
    <t>Penalties</t>
  </si>
  <si>
    <t>C</t>
  </si>
  <si>
    <t>Lobbying / Legal and Political Expense</t>
  </si>
  <si>
    <t>Federal Income Taxes on Non-Operating Income</t>
  </si>
  <si>
    <t>Revenue from Non-Utility Operations</t>
  </si>
  <si>
    <t>Expenses of Non-Utility Operations</t>
  </si>
  <si>
    <t>Share Awards</t>
  </si>
  <si>
    <t>CSS Revenue - Customer Arrears</t>
  </si>
  <si>
    <t>Misc Non-Operating Income</t>
  </si>
  <si>
    <t>Miscellaneous Service Revenues</t>
  </si>
  <si>
    <t>Other Deductions</t>
  </si>
  <si>
    <t>Zero out Non-Operating Income / (Expense)</t>
  </si>
  <si>
    <t>Total Non-Operating Income/(Expense)</t>
  </si>
  <si>
    <t>CY 2022</t>
  </si>
  <si>
    <t>Reference</t>
  </si>
  <si>
    <t>Rev from Merch, Jobbing, Contract Work</t>
  </si>
  <si>
    <t>Exp of Merch, Jobbing, Contract Work</t>
  </si>
  <si>
    <t>Rev from Non-Utility Operations</t>
  </si>
  <si>
    <t>Non-Operating Rental Income</t>
  </si>
  <si>
    <t>Interest and Dividend Income</t>
  </si>
  <si>
    <t>Gain on Disposition of Property</t>
  </si>
  <si>
    <t>Other Income Deductions</t>
  </si>
  <si>
    <t>Loss on Disposition of Property</t>
  </si>
  <si>
    <t>Misc Amortization</t>
  </si>
  <si>
    <t>[Reserved]</t>
  </si>
  <si>
    <t>Life insurance</t>
  </si>
  <si>
    <t>Exp Certain Civic, Political &amp; Related</t>
  </si>
  <si>
    <t>Other deductions</t>
  </si>
  <si>
    <t>Taxes Other Than Inc Tax-Other Inc &amp; De</t>
  </si>
  <si>
    <t>Prov for Def Inc Taxes-Other Inc &amp; Ded</t>
  </si>
  <si>
    <t>Prov for Def Inc Taxes-Cr, Other Inc &amp;</t>
  </si>
  <si>
    <t>Invest Tax Credit Adj-Non-Util Operatio</t>
  </si>
  <si>
    <t>Investment Tax Credits</t>
  </si>
  <si>
    <t>Extraordinary Items</t>
  </si>
  <si>
    <t>Income Taxes, Extraordinary Income</t>
  </si>
  <si>
    <t>variance</t>
  </si>
  <si>
    <t>Annual Amortization</t>
  </si>
  <si>
    <t>Series</t>
  </si>
  <si>
    <t>Percent</t>
  </si>
  <si>
    <t>Due</t>
  </si>
  <si>
    <t>Amount</t>
  </si>
  <si>
    <t>Annual Interest</t>
  </si>
  <si>
    <t>of DD&amp;E</t>
  </si>
  <si>
    <t>Total Expense</t>
  </si>
  <si>
    <t>Cost of Debt</t>
  </si>
  <si>
    <t>(g)</t>
  </si>
  <si>
    <t>Senior Unsecured Notes</t>
  </si>
  <si>
    <t>Senior Notes</t>
  </si>
  <si>
    <t xml:space="preserve">Senior Notes                                                                   </t>
  </si>
  <si>
    <t>First Mortgage Bonds (*)</t>
  </si>
  <si>
    <t>FMB Series R</t>
  </si>
  <si>
    <t>Electric Operations</t>
  </si>
  <si>
    <t>Gas Operations</t>
  </si>
  <si>
    <t>Legacy Debt</t>
  </si>
  <si>
    <t>New Debt</t>
  </si>
  <si>
    <t xml:space="preserve">Total </t>
  </si>
  <si>
    <t>1/</t>
  </si>
  <si>
    <t>2/</t>
  </si>
  <si>
    <t>1-8</t>
  </si>
  <si>
    <t>From Financial Statements</t>
  </si>
  <si>
    <t>Line 12 + Line 13</t>
  </si>
  <si>
    <t>1(c)-8(c)</t>
  </si>
  <si>
    <t>*Average amounts represent The Narragansett Electric Company consolidated amounts as the Gas division is not a legal entity.</t>
  </si>
  <si>
    <t xml:space="preserve">Source: </t>
  </si>
  <si>
    <t>S:\2021 ri gas\ESM\Supporting Schedules\NECO LTD STD Dec 2020 v2</t>
  </si>
  <si>
    <t>Average Short-Term</t>
  </si>
  <si>
    <t>Weighted</t>
  </si>
  <si>
    <t>Short-Term</t>
  </si>
  <si>
    <t>Month</t>
  </si>
  <si>
    <t>Debt Balance</t>
  </si>
  <si>
    <t>Cost Rate</t>
  </si>
  <si>
    <t>1(a)-12(a)</t>
  </si>
  <si>
    <t>Average amounts represent The Narragansett Electric Company average outstanding issued commercial paper amount per month.</t>
  </si>
  <si>
    <t>14(b)</t>
  </si>
  <si>
    <t>Line 14 (c) divided by Line 14 (a)</t>
  </si>
  <si>
    <t>Accumulated</t>
  </si>
  <si>
    <t xml:space="preserve">Deferred </t>
  </si>
  <si>
    <t>Description</t>
  </si>
  <si>
    <t>Period</t>
  </si>
  <si>
    <t>Income Tax</t>
  </si>
  <si>
    <t>Balance at December 31, 2024</t>
  </si>
  <si>
    <t>Increase/(Decrease) 12  Month Ended</t>
  </si>
  <si>
    <t>Balance as of:</t>
  </si>
  <si>
    <t>Merger Hold Harmless - Five Quarter Average</t>
  </si>
  <si>
    <t>Prior Month Balance + Line 3 / 12</t>
  </si>
  <si>
    <t>Average of Lines 1, 7, 10, 13 and 16</t>
  </si>
  <si>
    <t>Schedule DJE-2</t>
  </si>
  <si>
    <t>Revised</t>
  </si>
  <si>
    <t>NATIONAL GRID</t>
  </si>
  <si>
    <t>MERGER ADJUSTMENT TO ADIT</t>
  </si>
  <si>
    <t>($000)</t>
  </si>
  <si>
    <t>Southern</t>
  </si>
  <si>
    <t>National</t>
  </si>
  <si>
    <t>ADIT</t>
  </si>
  <si>
    <t>As of</t>
  </si>
  <si>
    <t>Union</t>
  </si>
  <si>
    <t>Grid</t>
  </si>
  <si>
    <t>Merger</t>
  </si>
  <si>
    <t>31-Dec</t>
  </si>
  <si>
    <t>ADITC</t>
  </si>
  <si>
    <t>Finance ROE</t>
  </si>
  <si>
    <t>Regulatory ROE</t>
  </si>
  <si>
    <t>Finance vs Regulatory</t>
  </si>
  <si>
    <t>FY21 Actuals</t>
  </si>
  <si>
    <t>CY20  Actuals</t>
  </si>
  <si>
    <t>CY20 vs CY20</t>
  </si>
  <si>
    <t>CY20 vs FY21</t>
  </si>
  <si>
    <t>Net margin</t>
  </si>
  <si>
    <t>regulatory excludes $1.1M in incentives</t>
  </si>
  <si>
    <t>Direct Opex</t>
  </si>
  <si>
    <t>Indirect Opex</t>
  </si>
  <si>
    <t>Other Benefits</t>
  </si>
  <si>
    <t>Pension &amp; OPEBs</t>
  </si>
  <si>
    <t>Bad debt expense</t>
  </si>
  <si>
    <t>Other Operating Costs</t>
  </si>
  <si>
    <t>Depreciation &amp; Amortization</t>
  </si>
  <si>
    <t>Operating Taxes</t>
  </si>
  <si>
    <t>Operating Profit</t>
  </si>
  <si>
    <t>ROE Calc</t>
  </si>
  <si>
    <t>ROE Adjustments</t>
  </si>
  <si>
    <t>Below the line item adjustments</t>
  </si>
  <si>
    <t>Prior Year PSA's</t>
  </si>
  <si>
    <t>Commodity Bad Debt</t>
  </si>
  <si>
    <t>Transmission Profit</t>
  </si>
  <si>
    <t>Deferred Tax Add Back</t>
  </si>
  <si>
    <t>BITS</t>
  </si>
  <si>
    <t>De-risk</t>
  </si>
  <si>
    <t>FY22 Efficiency Adjustment (from Corp Finance)</t>
  </si>
  <si>
    <t xml:space="preserve">LTD Deferral </t>
  </si>
  <si>
    <t>Total adjustments:</t>
  </si>
  <si>
    <t>Adjusted Operating Profit</t>
  </si>
  <si>
    <t>Adjudicated Equity Ratio</t>
  </si>
  <si>
    <t>Regulatory Equity Base</t>
  </si>
  <si>
    <t>Actual Debt Rate (LTD Only)</t>
  </si>
  <si>
    <t>Adjudicated Short-term Debt Ratio</t>
  </si>
  <si>
    <t>Adjudicated Long-term Debt Ratio</t>
  </si>
  <si>
    <t>Adjudicated Short-term Debt Rate</t>
  </si>
  <si>
    <t>Adjudicated Long-term Debt Rate</t>
  </si>
  <si>
    <t>Actual Weighted-Average Debt Rate</t>
  </si>
  <si>
    <t xml:space="preserve"> Regulatory Interest Expense</t>
  </si>
  <si>
    <t>Interest Exp</t>
  </si>
  <si>
    <t>Adjudicated Tax Rate</t>
  </si>
  <si>
    <t>Regulatory Income Taxes</t>
  </si>
  <si>
    <t>Fed. Income Tax</t>
  </si>
  <si>
    <t>Regulatory Earnings</t>
  </si>
  <si>
    <t>Finance Returns - Original</t>
  </si>
  <si>
    <t>COVID Bad Debt Add-back</t>
  </si>
  <si>
    <t>the variance for CY20 is primarily driven by Other Operating Taxes and Interest Expense; the variance for FY21 vs CY20 is primarily deriven by bad debt (92bps) and interest expense, partially offset by variance in operating taxes</t>
  </si>
  <si>
    <t>Finance Returns - Adjusted</t>
  </si>
  <si>
    <t>CY20 Actuals</t>
  </si>
  <si>
    <t>Bad Debt</t>
  </si>
  <si>
    <t>Regulatory CY20</t>
  </si>
  <si>
    <t>Finance FY20</t>
  </si>
  <si>
    <t>Bad Debt in FF1 for CY20</t>
  </si>
  <si>
    <t>Bad Debt Write Offs</t>
  </si>
  <si>
    <t>Deducted from OP</t>
  </si>
  <si>
    <t>Included in ROE - Bad Debt</t>
  </si>
  <si>
    <t>Bad Debt Add Back</t>
  </si>
  <si>
    <t>Int Expenses</t>
  </si>
  <si>
    <t>National Grid - RI Gas</t>
  </si>
  <si>
    <t>Gas Operating Revenues shown on Page 300, Line 1(f) + 2(f) + 4(f) of the Annual Report</t>
  </si>
  <si>
    <t xml:space="preserve">Gas Earnings Sharing Mechanism, Page 2, Total Firm Gas Revenues </t>
  </si>
  <si>
    <t>Revenues from Transportation shown on Page 300, Line 11(f) of the Annual Report</t>
  </si>
  <si>
    <t>Gas Earnings Sharing Mechanism, Page 2, Transportation Revenues</t>
  </si>
  <si>
    <t>Forfeited Discounts shown on Page 300, Line 7(f) of the Annual Report</t>
  </si>
  <si>
    <t>Miscellaneous Service Revenues shown on Page 300, Line 8(f) of the Annual Report</t>
  </si>
  <si>
    <t>Rent from Gas Property shown on Page 300, Line 16(f) of the Annual Report</t>
  </si>
  <si>
    <t>Other Gas Revenues shown on Page 300, Line 18(f) of the Annual Report</t>
  </si>
  <si>
    <t>Energy Efficiency Incentives</t>
  </si>
  <si>
    <t>Gas Earnings Sharing Mechanism, Page 2, Other Revenues</t>
  </si>
  <si>
    <t xml:space="preserve">Inventory Financing </t>
  </si>
  <si>
    <t>Production expenses shown on Page 317 of the Annual Report</t>
  </si>
  <si>
    <t>Gas Earnings Sharing Mechanism, Page 2, Production (Gas Costs)</t>
  </si>
  <si>
    <t>Natural Gas Storage expenses shown on Page 317 of the Annual Report</t>
  </si>
  <si>
    <t>Gas Earnings Sharing Mechanism, Page 2, Storage</t>
  </si>
  <si>
    <t>Transmission expenses shown on Page 317 of the Annual Report</t>
  </si>
  <si>
    <t>Gas Earnings Sharing Mechanism, Page 2, Transmission</t>
  </si>
  <si>
    <t>Distribution expenses shown on Page 317 of the Annual Report</t>
  </si>
  <si>
    <t>Gas Earnings Sharing Mechanism, Page 2, Distribution</t>
  </si>
  <si>
    <t>Customer Accounts expenses shown on Pages 317 of the Annual Report</t>
  </si>
  <si>
    <t>Customer Service &amp; Information expenses shown on Pages 317 of the Annual Report</t>
  </si>
  <si>
    <t>Zero out Uncollectible Accounts per books</t>
  </si>
  <si>
    <t>Add Bad Debt Charge-Offs</t>
  </si>
  <si>
    <t>Gas Earnings Sharing Mechanism, Page 2, Customer Accounts</t>
  </si>
  <si>
    <t>Sales expenses shown on Page 317 of the Annual Report</t>
  </si>
  <si>
    <t>Remove Sales expenses</t>
  </si>
  <si>
    <t>Gas Earnings Sharing Mechanism, Page 2, Sales</t>
  </si>
  <si>
    <t>Administrative and General expenses shown on Page 317 of the Annual Report</t>
  </si>
  <si>
    <t xml:space="preserve">Exclude Executive Variable Compensation not charged to customers </t>
  </si>
  <si>
    <t>Gas Earnings Sharing Mechanism, Page 2, Administrative and General</t>
  </si>
  <si>
    <t>Gas Distribution Assets</t>
  </si>
  <si>
    <t xml:space="preserve">National Grid and PPL Corporation ("PPL") elected to treat PPL's acquisition of The Narragansett Electric Company ("NECO") from National Grid on May 25, 2022 as an asset sale for U.S. federal income tax purposes under Internal Revenue Code Section 338(h)(10).  As a result of this election, PPL was deemed to acquire the assets of NECO at fair market value (essentially equivalent to book value) for tax purposes.   The resulting "step-up" in tax basis eliminates most book/tax timing differences and the related accumulated net deferred income tax liabilities ("ADIT") as of the acquisition date. The elimination of ADIT increased rate base as a matter of law, and therefore, also increased customer rates. PPL committed in Docket No. D-21-09 to hold customers harmless.  The information below provides the weighted cost of debt and equity and tax rates used in the ROE calculation, which are applied to the change in rate base as a result of the acquisition to determine the hold harmless revenue adjustment.  To calculate the change in rate base, the actual ADIT balance is compared to a hypothetical ADIT balance as if the acquisition did not take place.  
To hold customers harmless, PPL plans to share the cash tax benefits of goodwill amortization deductions that resulted from the acquisition, which are recorded for GAAP reporting and excluded from FERC reporting.  The cash tax benefit does not result in an income statement tax benefit since the goodwill tax deduction offsets between current and deferred taxes.  The cash tax benefit grossed up for tax represents the revenue credit for hold harmless and is reflected on Line 26.     </t>
  </si>
  <si>
    <t>Inputs:</t>
  </si>
  <si>
    <t>Tax Rate</t>
  </si>
  <si>
    <t>Long Term Debt</t>
  </si>
  <si>
    <t>Short Term Debt</t>
  </si>
  <si>
    <t>Debt Weighting</t>
  </si>
  <si>
    <t>Lines 2+3</t>
  </si>
  <si>
    <t>Preferred Equity</t>
  </si>
  <si>
    <t>Lines 4+5+6</t>
  </si>
  <si>
    <t>Revenue WACC (pre-tax)</t>
  </si>
  <si>
    <t>WACC (after-tax)</t>
  </si>
  <si>
    <t>Calculation of Hold Harmless on Assets placed-in-service through the date of Acquisition (May 25, 2022):</t>
  </si>
  <si>
    <t>5-Quarter Average</t>
  </si>
  <si>
    <t>(f) = (Col a thru e)/5</t>
  </si>
  <si>
    <t>ADIT on acquisition related plant in Rate Base (after purchase)</t>
  </si>
  <si>
    <t>ADIT on acquisition related plant in Rate Base (before sale)</t>
  </si>
  <si>
    <t>Increase in Rate Base Due to Change in ADIT</t>
  </si>
  <si>
    <t>Line 15 - Line 16</t>
  </si>
  <si>
    <t>Post-Acquisition Results for Capital Adjustments through the Date of Acquisition</t>
  </si>
  <si>
    <t>Results for Capital Adjustments through the Date of Acquisition as if the Acquisition did not occur</t>
  </si>
  <si>
    <t>(c) = (a) - (b)</t>
  </si>
  <si>
    <t>Rate Base after Acquisition</t>
  </si>
  <si>
    <t>ADIT Adjustment</t>
  </si>
  <si>
    <t>Debt Return</t>
  </si>
  <si>
    <t xml:space="preserve">Preferred Equity Return </t>
  </si>
  <si>
    <t>Common Equity Return</t>
  </si>
  <si>
    <t>Taxes on Equity (21%)</t>
  </si>
  <si>
    <t>Total Unadjusted Revenue</t>
  </si>
  <si>
    <t xml:space="preserve">Revenue Adjustment </t>
  </si>
  <si>
    <t>Total Revenue</t>
  </si>
  <si>
    <t xml:space="preserve">Tax Expense </t>
  </si>
  <si>
    <t>Net Income</t>
  </si>
  <si>
    <t>Company code</t>
  </si>
  <si>
    <t>Business area</t>
  </si>
  <si>
    <t>****</t>
  </si>
  <si>
    <t>Amounts in</t>
  </si>
  <si>
    <t>USD</t>
  </si>
  <si>
    <t>Comp</t>
  </si>
  <si>
    <t>Bus.</t>
  </si>
  <si>
    <t>Texts</t>
  </si>
  <si>
    <t>Reporting period</t>
  </si>
  <si>
    <t>Comparison period</t>
  </si>
  <si>
    <t xml:space="preserve">       Absolute</t>
  </si>
  <si>
    <t xml:space="preserve">   Rel</t>
  </si>
  <si>
    <t>Sum</t>
  </si>
  <si>
    <t>code</t>
  </si>
  <si>
    <t>area</t>
  </si>
  <si>
    <t>20210101-20211231</t>
  </si>
  <si>
    <t xml:space="preserve">     difference</t>
  </si>
  <si>
    <t xml:space="preserve">   dif</t>
  </si>
  <si>
    <t>lev</t>
  </si>
  <si>
    <t>Validation</t>
  </si>
  <si>
    <t>Presentation Reclasses</t>
  </si>
  <si>
    <t>Adj Entries</t>
  </si>
  <si>
    <t>Rounding</t>
  </si>
  <si>
    <t>GAS Adjusted Balance post AJEs</t>
  </si>
  <si>
    <t>Elec Residential Sales</t>
  </si>
  <si>
    <t>Elec Commercial &amp; Industrial Sales</t>
  </si>
  <si>
    <t>Public Street and Highway Lighting</t>
  </si>
  <si>
    <t>Elec Other Sales TO-Public Authorities</t>
  </si>
  <si>
    <t>Sales to Railroads and Railways</t>
  </si>
  <si>
    <t>Elec Sales for Resale</t>
  </si>
  <si>
    <t>Elec Interdepartmental Sales</t>
  </si>
  <si>
    <t>449 Other sales (Non</t>
  </si>
  <si>
    <t>Elec Provision for Rate Refunds</t>
  </si>
  <si>
    <t>Sales of Electric Energy</t>
  </si>
  <si>
    <t>*4*</t>
  </si>
  <si>
    <t>Gas Residential Sales</t>
  </si>
  <si>
    <t>Gas Commercial &amp; Industrial Sales</t>
  </si>
  <si>
    <t>Gas Other Sales TO-Public Authorities</t>
  </si>
  <si>
    <t>Gas Sales for Resale</t>
  </si>
  <si>
    <t>Gas Interdepartmental Sales</t>
  </si>
  <si>
    <t>Total AA</t>
  </si>
  <si>
    <t>Gas Sales</t>
  </si>
  <si>
    <t>Total firm gas</t>
  </si>
  <si>
    <t>Tie to annual report</t>
  </si>
  <si>
    <t>Operating revenues</t>
  </si>
  <si>
    <t>N/A</t>
  </si>
  <si>
    <t>Rev from Plant Leased to Other</t>
  </si>
  <si>
    <t>Expenses of Plant Leased to Others</t>
  </si>
  <si>
    <t>Other Utility Operating Income</t>
  </si>
  <si>
    <t>Forfeited Discounts</t>
  </si>
  <si>
    <t>Elec Misc Service Revenues</t>
  </si>
  <si>
    <t>Sales of Water and Water Power</t>
  </si>
  <si>
    <t>Rent from Electric Property</t>
  </si>
  <si>
    <t>Elec Interdepartmental Rents</t>
  </si>
  <si>
    <t>Other Electric Revenues</t>
  </si>
  <si>
    <t>Rev from Trans of Electricity of Others</t>
  </si>
  <si>
    <t>Regional Transmission Service Revenues</t>
  </si>
  <si>
    <t>Misc Revenues</t>
  </si>
  <si>
    <t>Serv Co Rev From Non-Assoc Co</t>
  </si>
  <si>
    <t>Other Operating Revenue</t>
  </si>
  <si>
    <t>Forfeited discounts</t>
  </si>
  <si>
    <t>Gas Misc Service Revenues</t>
  </si>
  <si>
    <t>Rev from Transp of Gas-Gathering Facili</t>
  </si>
  <si>
    <t>Rev from Transp of Gas-Transmission Fac</t>
  </si>
  <si>
    <t>Rev from Transp of Gas-Distribution Fac</t>
  </si>
  <si>
    <t>Total BB</t>
  </si>
  <si>
    <t>Rev from Storing Gas of Others</t>
  </si>
  <si>
    <t>Sales of Products Extracted from Natura</t>
  </si>
  <si>
    <t>Rev from Natural Gas Processed by Other</t>
  </si>
  <si>
    <t>Incidential Gas and Oil Sales</t>
  </si>
  <si>
    <t>Gas Interdepartmental Rents</t>
  </si>
  <si>
    <t>Other Gas Revenue</t>
  </si>
  <si>
    <t>Gas Provision for Rate Refunds</t>
  </si>
  <si>
    <t>Total CC</t>
  </si>
  <si>
    <t>Other revenues</t>
  </si>
  <si>
    <t>Operating Revenue</t>
  </si>
  <si>
    <t>*3*</t>
  </si>
  <si>
    <t>Check</t>
  </si>
  <si>
    <t>PO-Purchased Power</t>
  </si>
  <si>
    <t>GO-Liquefied Petroleum Gas Exp</t>
  </si>
  <si>
    <t>GO-Other Process Prod Expenses</t>
  </si>
  <si>
    <t>GO-Liquefied Petroleum Gas</t>
  </si>
  <si>
    <t>GO-Natural Gas Well Head Purchases</t>
  </si>
  <si>
    <t>GO-NatGas Well Head Purch-IC Transfer</t>
  </si>
  <si>
    <t>GO-Natural Gas Field Line Purchases</t>
  </si>
  <si>
    <t>GO-NatGas Gasoline Plant Outlet Purch</t>
  </si>
  <si>
    <t>GO-NatGas Transmission Line Purchases</t>
  </si>
  <si>
    <t>GO-Natural Gas City Gate Purchases</t>
  </si>
  <si>
    <t>GO-Liquefied Natural Gas Purchases</t>
  </si>
  <si>
    <t>GO-Other Gas Purchases</t>
  </si>
  <si>
    <t>GO-Purchased Gas Cost Adjustments</t>
  </si>
  <si>
    <t>GO-Exchange Gas</t>
  </si>
  <si>
    <t>GO-Purchased Gas Expenses</t>
  </si>
  <si>
    <t>Blocked</t>
  </si>
  <si>
    <t>GO-Gas Withdrawn from Storage-Debt</t>
  </si>
  <si>
    <t>GO-Gas Delivered TO-Storage-Cr</t>
  </si>
  <si>
    <t>GO-Withdrawal of LNG Held for Proc-Debt</t>
  </si>
  <si>
    <t>GO-Deliveries of Natural Gas for Proces</t>
  </si>
  <si>
    <t>GO-Gas Used Compressor Station Fuel-Cr</t>
  </si>
  <si>
    <t>GO-Gas Used for Product Extraction-Cr</t>
  </si>
  <si>
    <t>GO-Gas Used for Other Utility Oper-Cr</t>
  </si>
  <si>
    <t>GO-Other Gas Supply Exp</t>
  </si>
  <si>
    <t>Purchased Energy</t>
  </si>
  <si>
    <t>PO-Fuel</t>
  </si>
  <si>
    <t>Fuel for Generation</t>
  </si>
  <si>
    <t>PO-Operation Supvn and Engineering</t>
  </si>
  <si>
    <t>PO-Steam Expenses</t>
  </si>
  <si>
    <t>PO-Steam from Other Sources</t>
  </si>
  <si>
    <t>PO-Steam Transferred-Cr</t>
  </si>
  <si>
    <t>PO-Electric Expenses</t>
  </si>
  <si>
    <t>PO-Misc Steam Power Expenses</t>
  </si>
  <si>
    <t>PO-Rents</t>
  </si>
  <si>
    <t>PO-Blocked</t>
  </si>
  <si>
    <t>PO-Allowances</t>
  </si>
  <si>
    <t>Operate Steam Power Generation</t>
  </si>
  <si>
    <t>*6*</t>
  </si>
  <si>
    <t>PO-Maint Supervision and Engineering</t>
  </si>
  <si>
    <t>PM-Maintenance of Structures</t>
  </si>
  <si>
    <t>PM-Maintenance of Boiler Plant</t>
  </si>
  <si>
    <t>PM-Maintenance of Electric Plant</t>
  </si>
  <si>
    <t>PM-Maint of Misc Steam Plant</t>
  </si>
  <si>
    <t>Maint Steam Power Generation</t>
  </si>
  <si>
    <t>Steam Power Generation Expenses-O&amp;M</t>
  </si>
  <si>
    <t>*5*</t>
  </si>
  <si>
    <t>PM-Operation Supervision and Engineerin</t>
  </si>
  <si>
    <t>PO-Nuclear Fuel Expense</t>
  </si>
  <si>
    <t>PO-Coolants and Water</t>
  </si>
  <si>
    <t>PO-Misc Nuclear Power Expenses</t>
  </si>
  <si>
    <t>PO-Hydro Operations Supvn and Enginrg</t>
  </si>
  <si>
    <t>PO-Water for Power</t>
  </si>
  <si>
    <t>PO-Hydraulic Expenses</t>
  </si>
  <si>
    <t>PO-Misc Hydraulic Power Generation Exp</t>
  </si>
  <si>
    <t>PO-Operation Supplies and Expenses</t>
  </si>
  <si>
    <t>PM-Maint Supervision and Engineering</t>
  </si>
  <si>
    <t>PO-Generation Expenses</t>
  </si>
  <si>
    <t>Operation of Energy Storage Equipment</t>
  </si>
  <si>
    <t>PO-Misc Other Power Generation Exp</t>
  </si>
  <si>
    <t>Operate Other Power Generation</t>
  </si>
  <si>
    <t>PM-Maint of Reactor Plant Equipment</t>
  </si>
  <si>
    <t>PM-Maint of Misc Nuclear Plant</t>
  </si>
  <si>
    <t>PM-Mntc of Reservoir,Dams and Waterways</t>
  </si>
  <si>
    <t>PM-Maint of Misc Hydraulic Plant</t>
  </si>
  <si>
    <t>PO-Oth Operation Supvn and Engineering</t>
  </si>
  <si>
    <t>PM-Mnt of Generating and Electric Plant</t>
  </si>
  <si>
    <t>PM-Maint of Misc Other Power Gen Plant</t>
  </si>
  <si>
    <t>Maint Other Power Generation</t>
  </si>
  <si>
    <t>Other Power Generation Expenses-O&amp;M</t>
  </si>
  <si>
    <t>PO-System Control and Load Dispatching</t>
  </si>
  <si>
    <t>PO-Other Expenses</t>
  </si>
  <si>
    <t>TO-Trans Operation Supvn and Engineerin</t>
  </si>
  <si>
    <t>TO-Load Dispatch-Reliability</t>
  </si>
  <si>
    <t>TO-Load Disp-Monitor &amp; Oper Trans Syst</t>
  </si>
  <si>
    <t>TO-Load Dispatch-Trans Serv &amp; Schedulin</t>
  </si>
  <si>
    <t>TO-Scheduling, System Ctrl &amp; Disp Serv</t>
  </si>
  <si>
    <t>TO-Reliability,Planning and Stds Develo</t>
  </si>
  <si>
    <t>TO-Transmission Service Studies</t>
  </si>
  <si>
    <t>TO-Generation Interconnection Studies</t>
  </si>
  <si>
    <t>TO-Reliability, Plan and Stds Dev Serv</t>
  </si>
  <si>
    <t>TO-Station Expenses</t>
  </si>
  <si>
    <t>TO-Overhead Line Expenses</t>
  </si>
  <si>
    <t>TO-Underground Line Expenses</t>
  </si>
  <si>
    <t>TO-Transmission of Electricity by Other</t>
  </si>
  <si>
    <t>TO-Misc Transmission Expenses</t>
  </si>
  <si>
    <t>TO-Rents</t>
  </si>
  <si>
    <t>TO-Mkt Facilitation,Monitor&amp;Compli Serv</t>
  </si>
  <si>
    <t>Oper Transmission Facilities</t>
  </si>
  <si>
    <t>TM-Maint Supervision and Engineering</t>
  </si>
  <si>
    <t>TM-Maintenance of Structures</t>
  </si>
  <si>
    <t>TM-Maintenance of Computer Hardware</t>
  </si>
  <si>
    <t>TM-Maintenance of Computer Software</t>
  </si>
  <si>
    <t>TM-Maint of Communication Equipment</t>
  </si>
  <si>
    <t>TM-Maint of Misc Regional Trans Plant</t>
  </si>
  <si>
    <t>TM-Maintenance of Station Equipment</t>
  </si>
  <si>
    <t>TM-Maintenance of Overhead Lines</t>
  </si>
  <si>
    <t>TM-Maintenance of Underground Lines</t>
  </si>
  <si>
    <t>TM-Maint of Misc Transmission Plant</t>
  </si>
  <si>
    <t>TO-Operation Supervision</t>
  </si>
  <si>
    <t>TO-Day-ahead and Real-time Market Admin</t>
  </si>
  <si>
    <t>TO-Transmission Rights Market Admin</t>
  </si>
  <si>
    <t>TO-Capacity Market Admin</t>
  </si>
  <si>
    <t>TO-Ancillary Services Market Admin</t>
  </si>
  <si>
    <t>TO-Market Monitoring and Compliance</t>
  </si>
  <si>
    <t>TM-Maint of Structures and Improvements</t>
  </si>
  <si>
    <t>TM-Maint of Misc Market Oper Plant</t>
  </si>
  <si>
    <t>Maint Transmission Facilities</t>
  </si>
  <si>
    <t>Transmission Expenses-O&amp;M</t>
  </si>
  <si>
    <t>DO-Operation Supervision and Engineerin</t>
  </si>
  <si>
    <t>DO-Load Dispatching</t>
  </si>
  <si>
    <t>DO-Station Expenses</t>
  </si>
  <si>
    <t>DO-Overhead Line Expenses</t>
  </si>
  <si>
    <t>DO-Underground Line Expenses</t>
  </si>
  <si>
    <t>DO-Street Lighting and Signal System Ex</t>
  </si>
  <si>
    <t>DO-Meter Expenses</t>
  </si>
  <si>
    <t>DO-Customer Installation Exp</t>
  </si>
  <si>
    <t>DO-Misc Distribution Exp</t>
  </si>
  <si>
    <t>DO-Rents</t>
  </si>
  <si>
    <t>Operate Dist Facilities</t>
  </si>
  <si>
    <t>DM-Maint Supervision and Engineering</t>
  </si>
  <si>
    <t>DM-Maintenance of Structures</t>
  </si>
  <si>
    <t>DM-Maintenance of Station Equipment</t>
  </si>
  <si>
    <t>DM-Maintenance of Overhead Lines</t>
  </si>
  <si>
    <t>DM-Maintenance of Underground Lines</t>
  </si>
  <si>
    <t>DM-Maintenance of Line Transformers</t>
  </si>
  <si>
    <t>DM-Mnt of Street Lighting &amp; Signal Syst</t>
  </si>
  <si>
    <t>DM-Maintenance of Meters</t>
  </si>
  <si>
    <t>DM-Maint of Misc Distribution Plant</t>
  </si>
  <si>
    <t>Maint Distribution Facilities</t>
  </si>
  <si>
    <t>Distribution Expenses-O&amp;M</t>
  </si>
  <si>
    <t>GO-Misc Production Expenses</t>
  </si>
  <si>
    <t>GO-Production Expense-Rents</t>
  </si>
  <si>
    <t>GM-Maint of Structures and Improvements</t>
  </si>
  <si>
    <t>GM-Maint of Production Equipment</t>
  </si>
  <si>
    <t>GO-Operation Supervision and Engineerin</t>
  </si>
  <si>
    <t>GO-Production Maps and Records</t>
  </si>
  <si>
    <t>GO-Gas Well Expenses</t>
  </si>
  <si>
    <t>GO-Field Lines Expenses</t>
  </si>
  <si>
    <t>GO-Fuel Compressor Station Expenses</t>
  </si>
  <si>
    <t>GO-Fld Compressor Sta Fuel and Power</t>
  </si>
  <si>
    <t>GO-Fld Measuring and Regulating Sta Exp</t>
  </si>
  <si>
    <t>GO-Purification Expense</t>
  </si>
  <si>
    <t>GO-Gas Well Royalties</t>
  </si>
  <si>
    <t>GO-Other Expenses</t>
  </si>
  <si>
    <t>GO-Rents</t>
  </si>
  <si>
    <t>GM-Maint Supervision and Engineering</t>
  </si>
  <si>
    <t>GM-Maint of Producing Gas Wells</t>
  </si>
  <si>
    <t>GM-Maint of Field Lines</t>
  </si>
  <si>
    <t>GM-Mnt of Fld Compressor Station Equip</t>
  </si>
  <si>
    <t>GM-Maint of Field Meas/Reg Station Equi</t>
  </si>
  <si>
    <t>GM-Maint of Purification Equipment</t>
  </si>
  <si>
    <t>GM-Mnt of Drilling and Cleaning Equip</t>
  </si>
  <si>
    <t>GM-Maint of Other Equipment</t>
  </si>
  <si>
    <t>GO-Operation Labor</t>
  </si>
  <si>
    <t>GO-Gas Shrinkage</t>
  </si>
  <si>
    <t>GO-Fuel</t>
  </si>
  <si>
    <t>GO-Power</t>
  </si>
  <si>
    <t>GO-Materials</t>
  </si>
  <si>
    <t>GO-Operation Supplies and Expenses</t>
  </si>
  <si>
    <t>GO-Gas Processed by Others</t>
  </si>
  <si>
    <t>GO-Royalties on Products Extracted</t>
  </si>
  <si>
    <t>GO-Marketing Expenses</t>
  </si>
  <si>
    <t>GO-Products Purchased for Resale</t>
  </si>
  <si>
    <t>GO-Variation in Products Inventory</t>
  </si>
  <si>
    <t>GO-Extracted Products Used by Utility-C</t>
  </si>
  <si>
    <t>GM-Mnt of Extraction and Refining Equip</t>
  </si>
  <si>
    <t>GM-Maintenance of Pipe Lines</t>
  </si>
  <si>
    <t>GM-Maint-Ext Prod Stor</t>
  </si>
  <si>
    <t>GM-Maint of Compressor Equipment</t>
  </si>
  <si>
    <t>GM-Mnt of Gas Measuring/Regulating Equi</t>
  </si>
  <si>
    <t>GO-Delay Rentals</t>
  </si>
  <si>
    <t>GO-Non-Productive Well Drilling</t>
  </si>
  <si>
    <t>GO-Abandoned Leases</t>
  </si>
  <si>
    <t>GO-Other Exploration</t>
  </si>
  <si>
    <t>Total A</t>
  </si>
  <si>
    <t>Production</t>
  </si>
  <si>
    <t>GO-Maps and Records</t>
  </si>
  <si>
    <t>GO-Wells Expenses</t>
  </si>
  <si>
    <t>GO-Lines Expenses</t>
  </si>
  <si>
    <t>GO-Compressor Station Expenses</t>
  </si>
  <si>
    <t>GO-Compressor Station Fuel and Power</t>
  </si>
  <si>
    <t>GO-Measuring and Regulating Sta Exp</t>
  </si>
  <si>
    <t>GO-Purification Expenses</t>
  </si>
  <si>
    <t>GO-Exploration and Development</t>
  </si>
  <si>
    <t>GO-Gas Losses</t>
  </si>
  <si>
    <t>GO-Storage Well Royalties</t>
  </si>
  <si>
    <t>GM-Maint of Reservoirs and Wells</t>
  </si>
  <si>
    <t>GM-Maintenance of Lines</t>
  </si>
  <si>
    <t>GM-Maint of Compressor Station Equipmen</t>
  </si>
  <si>
    <t>GM-Maint of Measuring/Reg Station Equip</t>
  </si>
  <si>
    <t>Production Expenses-Gas</t>
  </si>
  <si>
    <t>GO-Operation Labor and Expenses</t>
  </si>
  <si>
    <t>GO-LNG Processing Terminal Labor and Ex</t>
  </si>
  <si>
    <t>GO-Liquefaction Processing Labor and Ex</t>
  </si>
  <si>
    <t>GO-LNG Transportation Labor and Expense</t>
  </si>
  <si>
    <t>GO-Measuring and Regulating Labor &amp; Exp</t>
  </si>
  <si>
    <t>GO-Compressor Station Labor and Exp</t>
  </si>
  <si>
    <t>GO-Communication System Expenses</t>
  </si>
  <si>
    <t>GO-System Control and Load Dispatching</t>
  </si>
  <si>
    <t>GO-Demurrage Charges</t>
  </si>
  <si>
    <t>GO-Wharfage Receipts-Cr</t>
  </si>
  <si>
    <t>GO-Process Liquifd or Vaporzd Gas by Ot</t>
  </si>
  <si>
    <t>GO-Gas for Compressor Station Fuel</t>
  </si>
  <si>
    <t>GO-Oth Fuel and Power-Compressor Sta</t>
  </si>
  <si>
    <t>GO-Mains Expenses</t>
  </si>
  <si>
    <t>GO-Measuring and Regulating Station Exp</t>
  </si>
  <si>
    <t>GO-Trans and Compression of Gas by Oth</t>
  </si>
  <si>
    <t>GM-Maint of Communication Equipment</t>
  </si>
  <si>
    <t>GO-Distribution Load Dispatching</t>
  </si>
  <si>
    <t>GO-Mains and Services Expenses</t>
  </si>
  <si>
    <t>GO-Measuring/Reg Station Exp-General</t>
  </si>
  <si>
    <t>GO-Measuring/Reg Station Exp-Industrial</t>
  </si>
  <si>
    <t>GO-Measuring/Reg Station Exp-City Gate</t>
  </si>
  <si>
    <t>GO-Meter and House Regulator Exp</t>
  </si>
  <si>
    <t>GO-Customer Installation Exp</t>
  </si>
  <si>
    <t>Operate Gas Facilities</t>
  </si>
  <si>
    <t>GM-Maint of Gas Holders</t>
  </si>
  <si>
    <t>GM-Maint of Liquefaction Equipment</t>
  </si>
  <si>
    <t>GM-Maint of Vaporizing Equipment</t>
  </si>
  <si>
    <t>GM-Maint of Measuring/Reg Equipment</t>
  </si>
  <si>
    <t>GM-Mnt of LNG Processing Terminal Equip</t>
  </si>
  <si>
    <t>GM-Maint of LNG Transportation Equip</t>
  </si>
  <si>
    <t>Total B</t>
  </si>
  <si>
    <t>NOT VALID</t>
  </si>
  <si>
    <t>GM-Maint of Mains</t>
  </si>
  <si>
    <t>Total T</t>
  </si>
  <si>
    <t>GM-Mnt of Meas/Reg Sta Equip-General</t>
  </si>
  <si>
    <t>GM-Mnt of Meas/Reg Sta Equip-Industrial</t>
  </si>
  <si>
    <t>GM-Mnt of Meas/Reg Sta Equip-City Gate</t>
  </si>
  <si>
    <t>GM-Maintenance of Services</t>
  </si>
  <si>
    <t>GM-Maint of Meters and House Regulators</t>
  </si>
  <si>
    <t>Total D</t>
  </si>
  <si>
    <t>Maintain Gas Facilities</t>
  </si>
  <si>
    <t>Gas Expenses-O&amp;M</t>
  </si>
  <si>
    <t>Supervision-Customer Accounts Exp</t>
  </si>
  <si>
    <t>Meter Reading Expenses</t>
  </si>
  <si>
    <t>Customer Records and Collection Expense</t>
  </si>
  <si>
    <t>Uncollectible Accounts</t>
  </si>
  <si>
    <t>Misc Customer Accounts Exp</t>
  </si>
  <si>
    <t>Customer Accts Oper Exp-Elec</t>
  </si>
  <si>
    <t>Customer Service and Info Exp</t>
  </si>
  <si>
    <t>Supervision-Customer Service Exp</t>
  </si>
  <si>
    <t>Customer Assistance Expenses</t>
  </si>
  <si>
    <t>Info and Instructional Advertising Exp</t>
  </si>
  <si>
    <t>Misc Customer Serv and Info Exp</t>
  </si>
  <si>
    <t>Total F</t>
  </si>
  <si>
    <t>Supervision-Sales Expenses</t>
  </si>
  <si>
    <t>Demonstrating and Selling Expenses</t>
  </si>
  <si>
    <t>Advertising Expenses</t>
  </si>
  <si>
    <t>Misc Sales Expenses</t>
  </si>
  <si>
    <t>Sales Expenses</t>
  </si>
  <si>
    <t>Total E</t>
  </si>
  <si>
    <t>Cust Service &amp; Info Expenses</t>
  </si>
  <si>
    <t>Customer Expenses-O&amp;M</t>
  </si>
  <si>
    <t>Operation expense</t>
  </si>
  <si>
    <t>Administrative and General Salaries</t>
  </si>
  <si>
    <t>Office Supplies and Expenses</t>
  </si>
  <si>
    <t>Administrative Exp Transferred-Cr</t>
  </si>
  <si>
    <t>Outside Services Employed</t>
  </si>
  <si>
    <t>Property insurance</t>
  </si>
  <si>
    <t>Injuries and damages</t>
  </si>
  <si>
    <t>Employee Pensions and Benefits</t>
  </si>
  <si>
    <t>Franchise Requirements</t>
  </si>
  <si>
    <t>Regulatory Commission Expenses</t>
  </si>
  <si>
    <t>Duplicate charges#Cr</t>
  </si>
  <si>
    <t>General Advertising Expenses</t>
  </si>
  <si>
    <t>Misc General Expenses</t>
  </si>
  <si>
    <t>AG-Rents</t>
  </si>
  <si>
    <t>Transportation Expenses</t>
  </si>
  <si>
    <t>Administrative Oper Exp-Elec</t>
  </si>
  <si>
    <t>Maintenance Expense</t>
  </si>
  <si>
    <t>Gas Maintenance of General Plant</t>
  </si>
  <si>
    <t>Elec Maintenance of General Plant</t>
  </si>
  <si>
    <t>Total M</t>
  </si>
  <si>
    <t>Administrative Maint Expenses</t>
  </si>
  <si>
    <t>Administrative &amp; General</t>
  </si>
  <si>
    <t>Administration Expenses-O&amp;M</t>
  </si>
  <si>
    <t>O&amp;M Expenses</t>
  </si>
  <si>
    <t>Depreciation expense</t>
  </si>
  <si>
    <t>Depreciation Exp for Asset Retirement C</t>
  </si>
  <si>
    <t>Depreciation</t>
  </si>
  <si>
    <t>Amortization of Limited Term Elec Plant</t>
  </si>
  <si>
    <t>Amortization of Other Plant</t>
  </si>
  <si>
    <t>Amortization of Elec Plant Acquis Adj</t>
  </si>
  <si>
    <t>Amortization of Property Losses</t>
  </si>
  <si>
    <t>Amortization of Regulatory Debits</t>
  </si>
  <si>
    <t>Amortization of Regulatory Credits</t>
  </si>
  <si>
    <t>Total G</t>
  </si>
  <si>
    <t>Amortization</t>
  </si>
  <si>
    <t>Taxes Other Than Inc Tax-Util Oper Inc</t>
  </si>
  <si>
    <t>Total H</t>
  </si>
  <si>
    <t>Local &amp; Other Taxes</t>
  </si>
  <si>
    <t>H Breakdown Local and Other Taxes</t>
  </si>
  <si>
    <t>Taxes Other than Income Taxes</t>
  </si>
  <si>
    <t>Gross earning tax</t>
  </si>
  <si>
    <t>Prov for Def Inc Taxes-Util Oper Inc</t>
  </si>
  <si>
    <t>Other</t>
  </si>
  <si>
    <t>Deferred Federal Income Tax-Debit</t>
  </si>
  <si>
    <t>Payroll</t>
  </si>
  <si>
    <t>Property</t>
  </si>
  <si>
    <t>Prov for Def Inc Taxes-Cr, Util Oper In</t>
  </si>
  <si>
    <t>Accretion Expense</t>
  </si>
  <si>
    <t>Deferred Federal Income Tax-Credit</t>
  </si>
  <si>
    <t>Invest Tax Credit Adj-Util Operations</t>
  </si>
  <si>
    <t>?</t>
  </si>
  <si>
    <t>Investment Tax Credit Adjustment</t>
  </si>
  <si>
    <t>Income Taxes, Utility Operating Income</t>
  </si>
  <si>
    <t>Inc Tax-Curr State</t>
  </si>
  <si>
    <t>Current Tax-Exceptional Items</t>
  </si>
  <si>
    <t>Gains from Disposition of Utility Plant</t>
  </si>
  <si>
    <t>Losses from Disposition of Utility Plan</t>
  </si>
  <si>
    <t>Gains from Disposition of Allowances</t>
  </si>
  <si>
    <t>Losses from Disposition of Allowances</t>
  </si>
  <si>
    <t>Gain/Loss on Disposal of Utility Plant</t>
  </si>
  <si>
    <t>Total O</t>
  </si>
  <si>
    <t>Income Taxes</t>
  </si>
  <si>
    <t>Net Operating Income</t>
  </si>
  <si>
    <t>*2*</t>
  </si>
  <si>
    <t>Allow for Funds Used During Constructio</t>
  </si>
  <si>
    <t>Allow Oth Funds Used Dur Cons</t>
  </si>
  <si>
    <t>Equity in Earnings of Subsidiary Compan</t>
  </si>
  <si>
    <t>Equity in Earnings of Subs</t>
  </si>
  <si>
    <t>Income Taxes, Other Inc &amp; Ded</t>
  </si>
  <si>
    <t>x</t>
  </si>
  <si>
    <t>Inc Tax-Oth (409.2)</t>
  </si>
  <si>
    <t>Current Federal</t>
  </si>
  <si>
    <t>Deferred Federal</t>
  </si>
  <si>
    <t>Nonutility Operations</t>
  </si>
  <si>
    <t>CSS JOURNALS</t>
  </si>
  <si>
    <t>Dividends</t>
  </si>
  <si>
    <t>Gain on Disp of Property</t>
  </si>
  <si>
    <t>Miscellaneous Amortization</t>
  </si>
  <si>
    <t>Loss of Disp of Property</t>
  </si>
  <si>
    <t>Total N</t>
  </si>
  <si>
    <t>Other Non-Op. (Income) &amp; Expenses</t>
  </si>
  <si>
    <t>Other Income &amp; Deductions</t>
  </si>
  <si>
    <t>Other Income and Deductions</t>
  </si>
  <si>
    <t>Interest on Long Term Debt</t>
  </si>
  <si>
    <t>Amortization of Debt Discount &amp; Expense</t>
  </si>
  <si>
    <t>Total P</t>
  </si>
  <si>
    <t>Amortization of Premium on Debt-Cr</t>
  </si>
  <si>
    <t>Amort of Bond Discount &amp; Exp</t>
  </si>
  <si>
    <t>Amortization of Loss on Reacquired Debt</t>
  </si>
  <si>
    <t>Amortization of Gain on Reacquired Debt</t>
  </si>
  <si>
    <t>Amort of Gain/Loss Reacq Debt</t>
  </si>
  <si>
    <t>Interest on Debt to Associated Companie</t>
  </si>
  <si>
    <t>Interest on Debt to Assoc Cos</t>
  </si>
  <si>
    <t>Total Q</t>
  </si>
  <si>
    <t>Other Interest Expenses</t>
  </si>
  <si>
    <t>Allow for Borrow Funds Used During Cons</t>
  </si>
  <si>
    <t>Total R</t>
  </si>
  <si>
    <t>Allow Brwd Funds Dur Con-CR</t>
  </si>
  <si>
    <t>Interest Charges</t>
  </si>
  <si>
    <t>Income Before Interest charges</t>
  </si>
  <si>
    <t>Dividends Declared-Preferred Stock</t>
  </si>
  <si>
    <t>Extraordinary income</t>
  </si>
  <si>
    <t>NET INCOME AVAILABLE FOR COMMON</t>
  </si>
  <si>
    <t>*1*</t>
  </si>
  <si>
    <t>Narragansett Electric Co                          FERC - Income Statement                         Time 10:26:58     Date  04/13/2021</t>
  </si>
  <si>
    <t>Providence                Ledger 0L                                                               RFBILA00/HAMMEK   Page           1</t>
  </si>
  <si>
    <t>20200101-20201231</t>
  </si>
  <si>
    <t>20190101-20191231</t>
  </si>
  <si>
    <t>*698.6-</t>
  </si>
  <si>
    <t>Source</t>
  </si>
  <si>
    <t>S:\2022 ri gas\ESM\Supporting Schedules\94081000 6002_-_ACDOCA_Report_by_Account_(FERC_on_HANA)</t>
  </si>
  <si>
    <t>Profit Center</t>
  </si>
  <si>
    <t>(Multiple Items)</t>
  </si>
  <si>
    <t>Row Labels</t>
  </si>
  <si>
    <t>Sum of Amount in Local Currency</t>
  </si>
  <si>
    <t>GET</t>
  </si>
  <si>
    <t>Other Tax</t>
  </si>
  <si>
    <t>Payroll Tax</t>
  </si>
  <si>
    <t>Property Tax</t>
  </si>
  <si>
    <t>Grand Total</t>
  </si>
  <si>
    <t>RIGASD PJ1 FERC</t>
  </si>
  <si>
    <t>Earnings Report-Gas/2022/support/94171000 4705_-_All_Journal_Entry_Details_V6.xlsx</t>
  </si>
  <si>
    <t>G/L Account Name</t>
  </si>
  <si>
    <t>Sum of Total Journal $</t>
  </si>
  <si>
    <t>NGT Share Awards</t>
  </si>
  <si>
    <t>Earnings Report-Gas/2022/support/94190000 4705_-_All_Journal_Entry_Details_V6.xlsx</t>
  </si>
  <si>
    <t>Document Header Text Key</t>
  </si>
  <si>
    <t>DAC Covid Deferral</t>
  </si>
  <si>
    <t>DAC Entries</t>
  </si>
  <si>
    <t>Def Rev-GCC-Rate Rec</t>
  </si>
  <si>
    <t>LIHEAP Def Gas</t>
  </si>
  <si>
    <t>Low Income Discount</t>
  </si>
  <si>
    <t>RDM</t>
  </si>
  <si>
    <t>RI GBE Gas Deferral</t>
  </si>
  <si>
    <t>Earnings Report-Gas/2022/support/94310000 4705_-_All_Journal_Entry_Details_V6</t>
  </si>
  <si>
    <t>Earnings Report-Gas/2022/support/5005_-_Trending_GAAP_Balance_Sheet_v2.xlsx</t>
  </si>
  <si>
    <t>Customer Deposits (PUC 01-11-2021)</t>
  </si>
  <si>
    <t>Customer Deposits (PUC 01-06-2022)</t>
  </si>
  <si>
    <t>#</t>
  </si>
  <si>
    <t>Arrearage Forgiveness</t>
  </si>
  <si>
    <t>Claims reserve discount u</t>
  </si>
  <si>
    <t>Energy Eff Surcharge O/U</t>
  </si>
  <si>
    <t>ESCO Accrued Interest</t>
  </si>
  <si>
    <t>Gas Recoveries - 5360</t>
  </si>
  <si>
    <t>ISR surcharge &amp; int on ba</t>
  </si>
  <si>
    <t>Reclass int. cust dep</t>
  </si>
  <si>
    <t>Sales Tax Reserve &amp; Inter</t>
  </si>
  <si>
    <t>Service Quality Penalty</t>
  </si>
  <si>
    <t>SHI Interest Prior Yrs</t>
  </si>
  <si>
    <t>Other accounts that roll up to ferc acct 431</t>
  </si>
  <si>
    <t>Presentation Recalss from FER 94210000 Mis Non-Operating Revenue</t>
  </si>
  <si>
    <t>Revised Grand Total</t>
  </si>
  <si>
    <t>Account</t>
  </si>
  <si>
    <t>GL Account</t>
  </si>
  <si>
    <t>GL Account Name</t>
  </si>
  <si>
    <t>Alternative Account</t>
  </si>
  <si>
    <t>NG/010/2022</t>
  </si>
  <si>
    <t>NG/011/2022</t>
  </si>
  <si>
    <t>NG/012/2022</t>
  </si>
  <si>
    <t>NG/013/2022</t>
  </si>
  <si>
    <t>NG/014/2022</t>
  </si>
  <si>
    <t>NG/015/2022</t>
  </si>
  <si>
    <t>NG/016/2023</t>
  </si>
  <si>
    <t>NG/001/2023</t>
  </si>
  <si>
    <t>NG/002/2023</t>
  </si>
  <si>
    <t>NG/003/2023</t>
  </si>
  <si>
    <t>NG/004/2023</t>
  </si>
  <si>
    <t>NG/005/2023</t>
  </si>
  <si>
    <t>NG/006/2023</t>
  </si>
  <si>
    <t>NG/007/2023</t>
  </si>
  <si>
    <t>NG/008/2023</t>
  </si>
  <si>
    <t>NG/009/2023</t>
  </si>
  <si>
    <t>Total:</t>
  </si>
  <si>
    <t>Customer deposits</t>
  </si>
  <si>
    <t>2359500</t>
  </si>
  <si>
    <t>NGUS/C2359500</t>
  </si>
  <si>
    <t>C61950100</t>
  </si>
  <si>
    <t>interest rate</t>
  </si>
  <si>
    <t>customer deposits * interest rate % / 12</t>
  </si>
  <si>
    <t>Earnings Report-Gas/2022/support/94800000 4705_-_All_Journal_Entry_Details_V6.xlsx</t>
  </si>
  <si>
    <t>Line Item Text Key</t>
  </si>
  <si>
    <t>Reference Document Number Key</t>
  </si>
  <si>
    <t>Residential-Gas Rev</t>
  </si>
  <si>
    <t>Bill Credit Reclass</t>
  </si>
  <si>
    <t>Bill Credit Reclass - Residential Gas</t>
  </si>
  <si>
    <t>5360RA1614N02</t>
  </si>
  <si>
    <t>Bill Credit Reclass - Residential Heat Gas</t>
  </si>
  <si>
    <t>CSS Defaults</t>
  </si>
  <si>
    <t>5360RA3314M01A14</t>
  </si>
  <si>
    <t>CSS Defaults April</t>
  </si>
  <si>
    <t>CSS Defaults June</t>
  </si>
  <si>
    <t>5360RA3514M01A14</t>
  </si>
  <si>
    <t>CSS Defaults May</t>
  </si>
  <si>
    <t>C4800000/FR53602.RVG011</t>
  </si>
  <si>
    <t>CSS086</t>
  </si>
  <si>
    <t>C4800000/FR53602.RVG014</t>
  </si>
  <si>
    <t>C4800000/FR53602.RVG015</t>
  </si>
  <si>
    <t>C4800000/FR53602.RVG021</t>
  </si>
  <si>
    <t>C4800000/FR53602.RVG024</t>
  </si>
  <si>
    <t>C4800000/FR53602.RVG025</t>
  </si>
  <si>
    <t>C4800000/FR53602.RVG911</t>
  </si>
  <si>
    <t>C4800000/FR53602.RVG914</t>
  </si>
  <si>
    <t>C4800000/FR53602.RVG915</t>
  </si>
  <si>
    <t>C4800000/FR53602.RVG921</t>
  </si>
  <si>
    <t>C4800000/FR53602.RVG924</t>
  </si>
  <si>
    <t>C4800000/FR53602.RVG925</t>
  </si>
  <si>
    <t>Unbilled Rev Accr - Gas</t>
  </si>
  <si>
    <t>RI Gas Unbilled Rev Accr</t>
  </si>
  <si>
    <t>5360RA1614M02</t>
  </si>
  <si>
    <t>*97%</t>
  </si>
  <si>
    <t>5360RA1614M022</t>
  </si>
  <si>
    <t>Residential-Gas Comm</t>
  </si>
  <si>
    <t>❻</t>
  </si>
  <si>
    <t>C4800080/FR53602.RVG012</t>
  </si>
  <si>
    <t>C4800080/FR53602.RVG022</t>
  </si>
  <si>
    <t>C4800080/FR53602.RVG912</t>
  </si>
  <si>
    <t>C4800080/FR53602.RVG922</t>
  </si>
  <si>
    <t>Residential-Gas GRT</t>
  </si>
  <si>
    <t>C4800090/FR53602.RVG013</t>
  </si>
  <si>
    <t>C4800090/FR53602.RVG023</t>
  </si>
  <si>
    <t>C4800090/FR53602.RVG913</t>
  </si>
  <si>
    <t>C4800090/FR53602.RVG923</t>
  </si>
  <si>
    <t>Residential-Gas</t>
  </si>
  <si>
    <t>2021 SHI Trueup Gas</t>
  </si>
  <si>
    <t>2021 SHI Trueup Gas GET</t>
  </si>
  <si>
    <t>5360EE0906S81</t>
  </si>
  <si>
    <t>2022 Monthly SHI</t>
  </si>
  <si>
    <t>2022 SHI Mo GET</t>
  </si>
  <si>
    <t>5360EE0906M85</t>
  </si>
  <si>
    <t>2022 Monthly SHI &amp; Trueup</t>
  </si>
  <si>
    <t>2022 SHI Mo GET &amp; Trueup</t>
  </si>
  <si>
    <t>2022 Monthly&amp;Trueup  SHI</t>
  </si>
  <si>
    <t>2022 SHI Mo&amp;Trueup GET</t>
  </si>
  <si>
    <t>Record DAC Covid Recovery</t>
  </si>
  <si>
    <t>5360NE0909M08-A</t>
  </si>
  <si>
    <t>Record DAC Covid Recovery True-up</t>
  </si>
  <si>
    <t>Rvs DAC Covid Recovery True-up</t>
  </si>
  <si>
    <t>AGT Balance Recon</t>
  </si>
  <si>
    <t>5360NE0909M08</t>
  </si>
  <si>
    <t>Record DAC (ESM) Earnings Share Mechanism</t>
  </si>
  <si>
    <t>Record DAC Envir Amortization</t>
  </si>
  <si>
    <t>5360EA1007M28</t>
  </si>
  <si>
    <t>Record DAC Environmental</t>
  </si>
  <si>
    <t>Record DAC Recon Large XL</t>
  </si>
  <si>
    <t>Record DAC Recon Small Medium</t>
  </si>
  <si>
    <t>Record DAC Sys Pressure</t>
  </si>
  <si>
    <t>Rvs DAC Sys Pressure Recon variance true-up Feb 22</t>
  </si>
  <si>
    <t>Write off DAC Sys Pressure Recon variance</t>
  </si>
  <si>
    <t>COVID 19 GCR Recovery</t>
  </si>
  <si>
    <t>5360NE0909M01A</t>
  </si>
  <si>
    <t>Deferred Gas Cost Calc</t>
  </si>
  <si>
    <t>5360NE0909M01</t>
  </si>
  <si>
    <t>Deferred Gas Cost GET</t>
  </si>
  <si>
    <t>5360NE0909M05</t>
  </si>
  <si>
    <t>ESS O/U - GET TAX</t>
  </si>
  <si>
    <t>ISR Property Tax</t>
  </si>
  <si>
    <t>5360NE0909M29C</t>
  </si>
  <si>
    <t>5360NE0909M29CAD</t>
  </si>
  <si>
    <t>5360NE0909M29CT</t>
  </si>
  <si>
    <t>5360NE0909M29CTU</t>
  </si>
  <si>
    <t>ISR Revenue</t>
  </si>
  <si>
    <t>FY20 ISR Revenue Requirement True Up</t>
  </si>
  <si>
    <t>5360NE0909M13ISR</t>
  </si>
  <si>
    <t>ISR refund: Apr 22</t>
  </si>
  <si>
    <t>5360NE0909M02</t>
  </si>
  <si>
    <t>ISR refund: Aug 22</t>
  </si>
  <si>
    <t>ISR refund: Dec 22</t>
  </si>
  <si>
    <t>ISR refund: Jan 21</t>
  </si>
  <si>
    <t>ISR refund: Jfeb 22</t>
  </si>
  <si>
    <t>ISR refund: Jul 22</t>
  </si>
  <si>
    <t>ISR refund: Jun 22</t>
  </si>
  <si>
    <t>ISR refund: May 22</t>
  </si>
  <si>
    <t>ISR refund: Nov 22</t>
  </si>
  <si>
    <t>ISR refund: Oct 22</t>
  </si>
  <si>
    <t>ISR refund: Sep 22</t>
  </si>
  <si>
    <t>RI GBE Gas Deferral GET</t>
  </si>
  <si>
    <t>5360NE0909M33</t>
  </si>
  <si>
    <t>SHI Prior Yrs Adj</t>
  </si>
  <si>
    <t>SHI Prior Yrs Adj GET</t>
  </si>
  <si>
    <t>5360EE0806N191</t>
  </si>
  <si>
    <t xml:space="preserve">RIGASD PJ1 FERC </t>
  </si>
  <si>
    <t>94800000 6002_-_ACDOCA_Report_by_Account_(FERC_on_HANA)</t>
  </si>
  <si>
    <t>C6604000</t>
  </si>
  <si>
    <t>SOURCE</t>
  </si>
  <si>
    <t>S:\2021 ri gas\ESM\Supporting Schedules\94800000 4705_-_All_Journal_Entry_Details_V6</t>
  </si>
  <si>
    <t>S:\2021 ri gas\ESM\Supporting Schedules\94800000 6002_-_ACDOCA_Report_by_Account_(FERC_on_HANA)</t>
  </si>
  <si>
    <t>5360RA3314M01A12</t>
  </si>
  <si>
    <t>5360RA3314Q01A</t>
  </si>
  <si>
    <t>5360RA3314Q01A1</t>
  </si>
  <si>
    <t>5360RA3314Q01A11</t>
  </si>
  <si>
    <t>5360RA1614M021</t>
  </si>
  <si>
    <t>2019Shareholder Incentive</t>
  </si>
  <si>
    <t>2019 SHI GET</t>
  </si>
  <si>
    <t>5360EE0806S8S</t>
  </si>
  <si>
    <t>2020Shareholder Incentive</t>
  </si>
  <si>
    <t>2020 SHI GET</t>
  </si>
  <si>
    <t>5360EE0906S85</t>
  </si>
  <si>
    <t>DAC Adjust</t>
  </si>
  <si>
    <t>Record DAC Amortization Cor</t>
  </si>
  <si>
    <t>5360EA1007N28</t>
  </si>
  <si>
    <t>Record DAC Covid Deferral</t>
  </si>
  <si>
    <t>5360NE0909M08M</t>
  </si>
  <si>
    <t>5360NE0909M08-RC</t>
  </si>
  <si>
    <t>DAC Recon Large XL APR 19 -OCT 19</t>
  </si>
  <si>
    <t>5360NE0909M20ADJ</t>
  </si>
  <si>
    <t>DAC Recon Small Medium - APR 19 -OCT 19</t>
  </si>
  <si>
    <t>DAC Sys Pressure  Recon APR 19 -OCT 19</t>
  </si>
  <si>
    <t>ISR RECON APR 19 -OCT 19</t>
  </si>
  <si>
    <t>Record DAC LIAP</t>
  </si>
  <si>
    <t>Record DAC Sys Pressure Adj</t>
  </si>
  <si>
    <t>COVID 19 GCR Deferral</t>
  </si>
  <si>
    <t>5360NE0909M01-A</t>
  </si>
  <si>
    <t>5360NE0909M01-A-</t>
  </si>
  <si>
    <t>COVID 19 GCR Deferral -REV</t>
  </si>
  <si>
    <t>COVID 19 GCR GET</t>
  </si>
  <si>
    <t>Earnnings Sharing</t>
  </si>
  <si>
    <t>ESM Rgulatory Liability Deferred</t>
  </si>
  <si>
    <t>5360NE0909M21</t>
  </si>
  <si>
    <t>FY19 ISR TRUE-UP</t>
  </si>
  <si>
    <t>FY19 ISR GET True Up</t>
  </si>
  <si>
    <t>5360NE0909Y02ISR</t>
  </si>
  <si>
    <t>FY19 ISR Rev  ReqTrue Up</t>
  </si>
  <si>
    <t>Prior years ISR GET True Up</t>
  </si>
  <si>
    <t>ISR Recorded Correctly</t>
  </si>
  <si>
    <t>ISR refund: recorred April Correctly</t>
  </si>
  <si>
    <t>5360NE0909M02-AP</t>
  </si>
  <si>
    <t>ISR refund: recorred Mayl Correctly</t>
  </si>
  <si>
    <t>5360NE0909M02-MA</t>
  </si>
  <si>
    <t>ISR refund: Reverse April 20</t>
  </si>
  <si>
    <t>ISR refund: Reverse May 20</t>
  </si>
  <si>
    <t>ISR refund: April 20</t>
  </si>
  <si>
    <t>ISR refund: August 20</t>
  </si>
  <si>
    <t>ISR refund: December 20</t>
  </si>
  <si>
    <t>ISR refund: February 20</t>
  </si>
  <si>
    <t>ISR refund: January 20</t>
  </si>
  <si>
    <t>ISR refund: July 20</t>
  </si>
  <si>
    <t>ISR refund: March 20</t>
  </si>
  <si>
    <t>ISR refund: Mayl 20</t>
  </si>
  <si>
    <t>ISR refund: NOV_DEC -19 Adjustment</t>
  </si>
  <si>
    <t>ISR refund: November 20</t>
  </si>
  <si>
    <t>ISR refund: October 20</t>
  </si>
  <si>
    <t>ISR refund: September 20</t>
  </si>
  <si>
    <t>Period/Year</t>
  </si>
  <si>
    <t>Company Code</t>
  </si>
  <si>
    <t>Document Number</t>
  </si>
  <si>
    <t>Reference Document Number</t>
  </si>
  <si>
    <t>Account Number</t>
  </si>
  <si>
    <t>FERC Indicator</t>
  </si>
  <si>
    <t>Work Breakdown Structure Element (WBS Element)</t>
  </si>
  <si>
    <t>Cost Center</t>
  </si>
  <si>
    <t>Order Number</t>
  </si>
  <si>
    <t>Operation/Activity Number (NPLNR_VORGN)</t>
  </si>
  <si>
    <t>G/L Account Number in Sender System</t>
  </si>
  <si>
    <t>User Name</t>
  </si>
  <si>
    <t>Amount in Local Currency</t>
  </si>
  <si>
    <t>2021006</t>
  </si>
  <si>
    <t>5360</t>
  </si>
  <si>
    <t>4700916056</t>
  </si>
  <si>
    <t>4100000428</t>
  </si>
  <si>
    <t>0094800000</t>
  </si>
  <si>
    <t>4800</t>
  </si>
  <si>
    <t>FR53600.RV0000</t>
  </si>
  <si>
    <t>RIG1000</t>
  </si>
  <si>
    <t>CFINRFCUSER</t>
  </si>
  <si>
    <t>CSS Journals; CSS Revenue - Other</t>
  </si>
  <si>
    <t>Earnings Report-Gas/2022/support/94893000 4705_-_All_Journal_Entry_Details_V6.xlsx</t>
  </si>
  <si>
    <t>G/L Account Key</t>
  </si>
  <si>
    <t>NGUS/C4893000</t>
  </si>
  <si>
    <t>Transport-Gas Rev</t>
  </si>
  <si>
    <t>Bill Rcl -Del Only Com, Indst</t>
  </si>
  <si>
    <t>C4893000/FR53602.RVG091</t>
  </si>
  <si>
    <t>C4893000/FR53602.RVG092</t>
  </si>
  <si>
    <t>C4893000/FR53602.RVG094</t>
  </si>
  <si>
    <t>C4893000/FR53602.RVG095</t>
  </si>
  <si>
    <t>C4893000/FR53602.RVG211</t>
  </si>
  <si>
    <t>C4893000/FR53602.RVG212</t>
  </si>
  <si>
    <t>C4893000/FR53602.RVG214</t>
  </si>
  <si>
    <t>C4893000/FR53602.RVG215</t>
  </si>
  <si>
    <t>C4893000/FR53602.RVG221</t>
  </si>
  <si>
    <t>C4893000/FR53602.RVG222</t>
  </si>
  <si>
    <t>C4893000/FR53602.RVG224</t>
  </si>
  <si>
    <t>C4893000/FR53602.RVG225</t>
  </si>
  <si>
    <t>C4893000/FR53602.RVG231</t>
  </si>
  <si>
    <t>C4893000/FR53602.RVG232</t>
  </si>
  <si>
    <t>C4893000/FR53602.RVG234</t>
  </si>
  <si>
    <t>C4893000/FR53602.RVG235</t>
  </si>
  <si>
    <t>C4893000/FR53602.RVG241</t>
  </si>
  <si>
    <t>C4893000/FR53602.RVG242</t>
  </si>
  <si>
    <t>C4893000/FR53602.RVG244</t>
  </si>
  <si>
    <t>C4893000/FR53602.RVG245</t>
  </si>
  <si>
    <t>C4893000/FR53602.RVG251</t>
  </si>
  <si>
    <t>C4893000/FR53602.RVG252</t>
  </si>
  <si>
    <t>C4893000/FR53602.RVG254</t>
  </si>
  <si>
    <t>C4893000/FR53602.RVG255</t>
  </si>
  <si>
    <t>C4893000/FR53602.RVG261</t>
  </si>
  <si>
    <t>C4893000/FR53602.RVG262</t>
  </si>
  <si>
    <t>C4893000/FR53602.RVG264</t>
  </si>
  <si>
    <t>C4893000/FR53602.RVG265</t>
  </si>
  <si>
    <t>C4893000/FR53602.RVG270</t>
  </si>
  <si>
    <t>C4893000/FR53602.RVG280</t>
  </si>
  <si>
    <t>C4893000/FR53602.RVG291</t>
  </si>
  <si>
    <t>C4893000/FR53602.RVG292</t>
  </si>
  <si>
    <t>C4893000/FR53602.RVG294</t>
  </si>
  <si>
    <t>C4893000/FR53602.RVG295</t>
  </si>
  <si>
    <t>C4893000/FR53602.RVG301</t>
  </si>
  <si>
    <t>C4893000/FR53602.RVG302</t>
  </si>
  <si>
    <t>C4893000/FR53602.RVG304</t>
  </si>
  <si>
    <t>C4893000/FR53602.RVG305</t>
  </si>
  <si>
    <t>C4893000/FR53602.RVG311</t>
  </si>
  <si>
    <t>C4893000/FR53602.RVG312</t>
  </si>
  <si>
    <t>C4893000/FR53602.RVG314</t>
  </si>
  <si>
    <t>C4893000/FR53602.RVG315</t>
  </si>
  <si>
    <t>C4893000/FR53602.RVG601</t>
  </si>
  <si>
    <t>C4893000/FR53602.RVG605</t>
  </si>
  <si>
    <t>C4893000/FR53602.RVG631</t>
  </si>
  <si>
    <t>C4893000/FR53602.RVG635</t>
  </si>
  <si>
    <t>RI Gas Transport Accr</t>
  </si>
  <si>
    <t>22EN</t>
  </si>
  <si>
    <t>5360RA1614M034</t>
  </si>
  <si>
    <t>23EN</t>
  </si>
  <si>
    <t>24EN</t>
  </si>
  <si>
    <t>33EN</t>
  </si>
  <si>
    <t>34EN</t>
  </si>
  <si>
    <t>58LL</t>
  </si>
  <si>
    <t>58XH</t>
  </si>
  <si>
    <t>74EN</t>
  </si>
  <si>
    <t>77EN</t>
  </si>
  <si>
    <t>⓫</t>
  </si>
  <si>
    <t>NGUS/C4893080</t>
  </si>
  <si>
    <t>Transport-Comm Sales</t>
  </si>
  <si>
    <t>C4893080/FR53602.RVG093</t>
  </si>
  <si>
    <t>NGUS/C4893090</t>
  </si>
  <si>
    <t>Transport-GRT Rev</t>
  </si>
  <si>
    <t>C4893090/FR53602.RVG099</t>
  </si>
  <si>
    <t>C4893090/FR53602.RVG219</t>
  </si>
  <si>
    <t>C4893090/FR53602.RVG229</t>
  </si>
  <si>
    <t>C4893090/FR53602.RVG239</t>
  </si>
  <si>
    <t>C4893090/FR53602.RVG249</t>
  </si>
  <si>
    <t>C4893090/FR53602.RVG259</t>
  </si>
  <si>
    <t>C4893090/FR53602.RVG269</t>
  </si>
  <si>
    <t>C4893090/FR53602.RVG299</t>
  </si>
  <si>
    <t>C4893090/FR53602.RVG309</t>
  </si>
  <si>
    <t>C4893090/FR53602.RVG319</t>
  </si>
  <si>
    <t>C4893090/FR53602.RVG639</t>
  </si>
  <si>
    <t>Source:</t>
  </si>
  <si>
    <t>S:\2021 ri gas\ESM\Supporting Schedules\94893000 4705_-_All_Journal_Entry_Details_V6</t>
  </si>
  <si>
    <t>C4893000/FR53602.RV4009</t>
  </si>
  <si>
    <t>5360RA1614M03</t>
  </si>
  <si>
    <t>5360RA1614M031</t>
  </si>
  <si>
    <t>5360RA1614M032</t>
  </si>
  <si>
    <t>NGUS/C4950000</t>
  </si>
  <si>
    <t>Off Sys Gas Sales</t>
  </si>
  <si>
    <t>December 2021 Optimizatio</t>
  </si>
  <si>
    <t>December 2021 Optimization</t>
  </si>
  <si>
    <t>5360DA3305Q04</t>
  </si>
  <si>
    <t>December 2022 Optimizatio</t>
  </si>
  <si>
    <t>December 2022 Optimization</t>
  </si>
  <si>
    <t>5360DA2105Q04</t>
  </si>
  <si>
    <t>June 2022 Optimization</t>
  </si>
  <si>
    <t>June 2022 Optimization Re</t>
  </si>
  <si>
    <t>June 2022 Optimization Reversals</t>
  </si>
  <si>
    <t>March 2022 Opt. Reversals</t>
  </si>
  <si>
    <t>5360DA3305Q03</t>
  </si>
  <si>
    <t>March 2022 Optimization</t>
  </si>
  <si>
    <t>May 2022 Optimization</t>
  </si>
  <si>
    <t>May 2022 Optimization Rev</t>
  </si>
  <si>
    <t>May 2022 Optimization Reversals</t>
  </si>
  <si>
    <t>Monthly Activities to CoG</t>
  </si>
  <si>
    <t>5360DA3305M03</t>
  </si>
  <si>
    <t>Book Opt from COG</t>
  </si>
  <si>
    <t>5360DA2105M03</t>
  </si>
  <si>
    <t>OSS Margin Accrual</t>
  </si>
  <si>
    <t>Record OSS Gain</t>
  </si>
  <si>
    <t>5360AC0203M04</t>
  </si>
  <si>
    <t>OSS Margin Actual</t>
  </si>
  <si>
    <t>Record OSS Margin</t>
  </si>
  <si>
    <t>5360NE0309M08</t>
  </si>
  <si>
    <t>5360NE0309M08A</t>
  </si>
  <si>
    <t>Proxy Accrual- Reversing</t>
  </si>
  <si>
    <t>Proxy Accrual</t>
  </si>
  <si>
    <t>5360AC0203M02</t>
  </si>
  <si>
    <t>Proxy Loss/Gain Actual</t>
  </si>
  <si>
    <t>Record PROXY Margin</t>
  </si>
  <si>
    <t>5360NE0309M09</t>
  </si>
  <si>
    <t>5360NE0309M09A</t>
  </si>
  <si>
    <t>September 2022 Optimizati</t>
  </si>
  <si>
    <t>September 2022 Optimization</t>
  </si>
  <si>
    <t>September 2022 Optimization Reversals</t>
  </si>
  <si>
    <t>NGUS/C4950020</t>
  </si>
  <si>
    <t>Gas Rev Cnnt Sharng</t>
  </si>
  <si>
    <t>Inventry/AnnualP&amp;LFINAL</t>
  </si>
  <si>
    <t>Inventry/Annual AccrlReversal</t>
  </si>
  <si>
    <t>5360AC0903A02</t>
  </si>
  <si>
    <t>Inventry/AnnualP&amp;LFINALTrueUp</t>
  </si>
  <si>
    <t>Inventry/AnnualP&amp;LProxyTr</t>
  </si>
  <si>
    <t>Inventry/AnnualP&amp;LProxyTrueUp</t>
  </si>
  <si>
    <t>5360AC0903A01</t>
  </si>
  <si>
    <t>NGUS/C4950090</t>
  </si>
  <si>
    <t>Other Gas Rev-Misc</t>
  </si>
  <si>
    <t>Other Revenue</t>
  </si>
  <si>
    <t>C4950090/FR53602.RV4009</t>
  </si>
  <si>
    <t>NGUS/C4950110</t>
  </si>
  <si>
    <t>CIAC Gas Revenue</t>
  </si>
  <si>
    <t>0700007634</t>
  </si>
  <si>
    <t>0700007792</t>
  </si>
  <si>
    <t>0700007793</t>
  </si>
  <si>
    <t>0700007887</t>
  </si>
  <si>
    <t>0700007949</t>
  </si>
  <si>
    <t>0700007950</t>
  </si>
  <si>
    <t>0700007951</t>
  </si>
  <si>
    <t>0700008007</t>
  </si>
  <si>
    <t>0700008017</t>
  </si>
  <si>
    <t>0700008030</t>
  </si>
  <si>
    <t>0700008356</t>
  </si>
  <si>
    <t>0700008360</t>
  </si>
  <si>
    <t>0700008425</t>
  </si>
  <si>
    <t>0800465906</t>
  </si>
  <si>
    <t>0800465963</t>
  </si>
  <si>
    <t>0800465988</t>
  </si>
  <si>
    <t>0800466554</t>
  </si>
  <si>
    <t>0800466928</t>
  </si>
  <si>
    <t>0800467057</t>
  </si>
  <si>
    <t>0800467113</t>
  </si>
  <si>
    <t>0800467115</t>
  </si>
  <si>
    <t>0800467573</t>
  </si>
  <si>
    <t>0800467833</t>
  </si>
  <si>
    <t>0800468476</t>
  </si>
  <si>
    <t>0800468786</t>
  </si>
  <si>
    <t>0800469843</t>
  </si>
  <si>
    <t>0800470043</t>
  </si>
  <si>
    <t>0800471075</t>
  </si>
  <si>
    <t>0800471076</t>
  </si>
  <si>
    <t>0800471392</t>
  </si>
  <si>
    <t>0800472108</t>
  </si>
  <si>
    <t>0800472357</t>
  </si>
  <si>
    <t>0800474485</t>
  </si>
  <si>
    <t>0800474575</t>
  </si>
  <si>
    <t>0800474576</t>
  </si>
  <si>
    <t>0800474603</t>
  </si>
  <si>
    <t>0800474624</t>
  </si>
  <si>
    <t>0800474781</t>
  </si>
  <si>
    <t>0800475543</t>
  </si>
  <si>
    <t>0800475697</t>
  </si>
  <si>
    <t>0800475770</t>
  </si>
  <si>
    <t>0800476202</t>
  </si>
  <si>
    <t>0800476470</t>
  </si>
  <si>
    <t>0800476502</t>
  </si>
  <si>
    <t>0800476677</t>
  </si>
  <si>
    <t>0800476889</t>
  </si>
  <si>
    <t>0800476922</t>
  </si>
  <si>
    <t>0800477492</t>
  </si>
  <si>
    <t>0800477503</t>
  </si>
  <si>
    <t>0800477657</t>
  </si>
  <si>
    <t>0800477665</t>
  </si>
  <si>
    <t>0800478177</t>
  </si>
  <si>
    <t>0800478959</t>
  </si>
  <si>
    <t>0800480085</t>
  </si>
  <si>
    <t>0800480155</t>
  </si>
  <si>
    <t>0800480272</t>
  </si>
  <si>
    <t>0800480847</t>
  </si>
  <si>
    <t>0800481585</t>
  </si>
  <si>
    <t>0800481591</t>
  </si>
  <si>
    <t>0800481592</t>
  </si>
  <si>
    <t>0800481725</t>
  </si>
  <si>
    <t>0800481751</t>
  </si>
  <si>
    <t>0800482385</t>
  </si>
  <si>
    <t>0800482814</t>
  </si>
  <si>
    <t>0800482816</t>
  </si>
  <si>
    <t>0800482837</t>
  </si>
  <si>
    <t>0800482848</t>
  </si>
  <si>
    <t>0800483551</t>
  </si>
  <si>
    <t>0800483593</t>
  </si>
  <si>
    <t>0800484895</t>
  </si>
  <si>
    <t>0800485484</t>
  </si>
  <si>
    <t>0800485826</t>
  </si>
  <si>
    <t>0800486325</t>
  </si>
  <si>
    <t>0800486343</t>
  </si>
  <si>
    <t>0800486362</t>
  </si>
  <si>
    <t>0800486445</t>
  </si>
  <si>
    <t>0800487469</t>
  </si>
  <si>
    <t>0800487777</t>
  </si>
  <si>
    <t>0800488098</t>
  </si>
  <si>
    <t>0800488124</t>
  </si>
  <si>
    <t>0800488358</t>
  </si>
  <si>
    <t>0800489791</t>
  </si>
  <si>
    <t>0800490293</t>
  </si>
  <si>
    <t>0800490295</t>
  </si>
  <si>
    <t>0800490550</t>
  </si>
  <si>
    <t>0800491110</t>
  </si>
  <si>
    <t>0800491308</t>
  </si>
  <si>
    <t>0800491615</t>
  </si>
  <si>
    <t>0800492038</t>
  </si>
  <si>
    <t>0800492044</t>
  </si>
  <si>
    <t>0800492262</t>
  </si>
  <si>
    <t>0800493449</t>
  </si>
  <si>
    <t>0800493937</t>
  </si>
  <si>
    <t>0800494867</t>
  </si>
  <si>
    <t>0800496417</t>
  </si>
  <si>
    <t>0800496418</t>
  </si>
  <si>
    <t>0800496639</t>
  </si>
  <si>
    <t>0800496858</t>
  </si>
  <si>
    <t>0800497072</t>
  </si>
  <si>
    <t>0800498078</t>
  </si>
  <si>
    <t>0800498097</t>
  </si>
  <si>
    <t>0800498098</t>
  </si>
  <si>
    <t>0800498571</t>
  </si>
  <si>
    <t>0800498572</t>
  </si>
  <si>
    <t>0800498574</t>
  </si>
  <si>
    <t>0800498577</t>
  </si>
  <si>
    <t>0800498578</t>
  </si>
  <si>
    <t>0800498581</t>
  </si>
  <si>
    <t>0800499364</t>
  </si>
  <si>
    <t>0800500225</t>
  </si>
  <si>
    <t>0800500246</t>
  </si>
  <si>
    <t>0800500663</t>
  </si>
  <si>
    <t>0800500673</t>
  </si>
  <si>
    <t>0800500837</t>
  </si>
  <si>
    <t>0800500871</t>
  </si>
  <si>
    <t>0800500874</t>
  </si>
  <si>
    <t>0800501177</t>
  </si>
  <si>
    <t>0800501726</t>
  </si>
  <si>
    <t>0800502334</t>
  </si>
  <si>
    <t>0800503151</t>
  </si>
  <si>
    <t>0800503446</t>
  </si>
  <si>
    <t>0800503611</t>
  </si>
  <si>
    <t>0800503821</t>
  </si>
  <si>
    <t>0800504094</t>
  </si>
  <si>
    <t>0800504390</t>
  </si>
  <si>
    <t>0800504393</t>
  </si>
  <si>
    <t>0800504412</t>
  </si>
  <si>
    <t>0800508919</t>
  </si>
  <si>
    <t>0800509328</t>
  </si>
  <si>
    <t>0800509349</t>
  </si>
  <si>
    <t>0800510584</t>
  </si>
  <si>
    <t>0800511024</t>
  </si>
  <si>
    <t>0800511062</t>
  </si>
  <si>
    <t>0800511087</t>
  </si>
  <si>
    <t>0800511510</t>
  </si>
  <si>
    <t>0800511785</t>
  </si>
  <si>
    <t>0800512445</t>
  </si>
  <si>
    <t>0800512837</t>
  </si>
  <si>
    <t>0800513838</t>
  </si>
  <si>
    <t>0800513955</t>
  </si>
  <si>
    <t>0800515305</t>
  </si>
  <si>
    <t>0800515587</t>
  </si>
  <si>
    <t>0800516151</t>
  </si>
  <si>
    <t>0800516360</t>
  </si>
  <si>
    <t>0800516362</t>
  </si>
  <si>
    <t>0800516643</t>
  </si>
  <si>
    <t>0800517840</t>
  </si>
  <si>
    <t>0800517878</t>
  </si>
  <si>
    <t>0800517879</t>
  </si>
  <si>
    <t>0800519918</t>
  </si>
  <si>
    <t>0800522392</t>
  </si>
  <si>
    <t>0800524235</t>
  </si>
  <si>
    <t>0800524749</t>
  </si>
  <si>
    <t>0800525491</t>
  </si>
  <si>
    <t>0800527912</t>
  </si>
  <si>
    <t>WIP to WIP Reclass</t>
  </si>
  <si>
    <t>WIP to WIP, Bixby ID25157</t>
  </si>
  <si>
    <t>5360PA3813N200</t>
  </si>
  <si>
    <t>NGUS/C495011W</t>
  </si>
  <si>
    <t>ACT 10030447520 9901</t>
  </si>
  <si>
    <t>ACT 10030466075 9901</t>
  </si>
  <si>
    <t>ACT 10030481606 9901</t>
  </si>
  <si>
    <t>ACT 10030487170 9901</t>
  </si>
  <si>
    <t>ACT 10030501501 9902</t>
  </si>
  <si>
    <t>ACT 10030506438 9901</t>
  </si>
  <si>
    <t>ACT 10030506472 9902</t>
  </si>
  <si>
    <t>ACT 10030509100 9901</t>
  </si>
  <si>
    <t>ACT 10030510382 9901</t>
  </si>
  <si>
    <t>ACT 10030526447 9902</t>
  </si>
  <si>
    <t>ACT 10030527148 9902</t>
  </si>
  <si>
    <t>ACT 10030527387 9902</t>
  </si>
  <si>
    <t>ACT 10030528116 9901</t>
  </si>
  <si>
    <t>ACT 10030528197 9902</t>
  </si>
  <si>
    <t>ACT 10030528758 9901</t>
  </si>
  <si>
    <t>ACT 10030529136 9901</t>
  </si>
  <si>
    <t>ACT 10030529398 9901</t>
  </si>
  <si>
    <t>ACT 10030530124 9901</t>
  </si>
  <si>
    <t>ACT 10030530457 9901</t>
  </si>
  <si>
    <t>ACT 10030530993 9901</t>
  </si>
  <si>
    <t>ACT 10030531983 9901</t>
  </si>
  <si>
    <t>ACT 10030532869 9901</t>
  </si>
  <si>
    <t>ACT 10030536848 9901</t>
  </si>
  <si>
    <t>ACT 10030541515 9902</t>
  </si>
  <si>
    <t>ACT 10030542556 9901</t>
  </si>
  <si>
    <t>ACT 10030543038 9901</t>
  </si>
  <si>
    <t>ACT 10030546043 9902</t>
  </si>
  <si>
    <t>ACT 10030546071 9901</t>
  </si>
  <si>
    <t>ACT 10030547013 9901</t>
  </si>
  <si>
    <t>ACT 10030548533 9901</t>
  </si>
  <si>
    <t>ACT 10030548727 9901</t>
  </si>
  <si>
    <t>ACT 10030549921 9901</t>
  </si>
  <si>
    <t>ACT 10030551046 9901</t>
  </si>
  <si>
    <t>ACT 10030551377 9901</t>
  </si>
  <si>
    <t>ACT 10030551405 9901</t>
  </si>
  <si>
    <t>ACT 10030551782 9901</t>
  </si>
  <si>
    <t>ACT 10030553442 9901</t>
  </si>
  <si>
    <t>ACT 10030556606 9901</t>
  </si>
  <si>
    <t>ACT 10030557008 9901</t>
  </si>
  <si>
    <t>ACT 10030559851 9901</t>
  </si>
  <si>
    <t>ACT 10030560768 9901</t>
  </si>
  <si>
    <t>ACT 10030562081 9901</t>
  </si>
  <si>
    <t>ACT 10030566707 9901</t>
  </si>
  <si>
    <t>ACT 10030566713 9901</t>
  </si>
  <si>
    <t>ACT 10030570675 9901</t>
  </si>
  <si>
    <t>ACT 10030570945 9901</t>
  </si>
  <si>
    <t>ACT 10030571042 9901</t>
  </si>
  <si>
    <t>ACT 10030571783 9902</t>
  </si>
  <si>
    <t>ACT 10030573832 9901</t>
  </si>
  <si>
    <t>ACT 10030574744 9901</t>
  </si>
  <si>
    <t>ACT 10030576582 9902</t>
  </si>
  <si>
    <t>ACT 10030577536 9901</t>
  </si>
  <si>
    <t>ACT 10030584585 9901</t>
  </si>
  <si>
    <t>ACT 10030584659 9901</t>
  </si>
  <si>
    <t>ACT 10030584811 9901</t>
  </si>
  <si>
    <t>ACT 10030585434 9901</t>
  </si>
  <si>
    <t>ACT 10030586997 9901</t>
  </si>
  <si>
    <t>ACT 10030587304 9901</t>
  </si>
  <si>
    <t>ACT 10030589379 9901</t>
  </si>
  <si>
    <t>ACT 10030590445 9901</t>
  </si>
  <si>
    <t>ACT 10030591582 9901</t>
  </si>
  <si>
    <t>ACT 10030593680 9901</t>
  </si>
  <si>
    <t>ACT 10030594084 9901</t>
  </si>
  <si>
    <t>ACT 10030595161 9901</t>
  </si>
  <si>
    <t>ACT 10030595245 9901</t>
  </si>
  <si>
    <t>ACT 10030599686 9901</t>
  </si>
  <si>
    <t>ACT 10030602784 9902</t>
  </si>
  <si>
    <t>ACT 10030609793 9901</t>
  </si>
  <si>
    <t>ACT 10030610820 9901</t>
  </si>
  <si>
    <t>ACT 10030611195 9901</t>
  </si>
  <si>
    <t>ACT 10030611383 9901</t>
  </si>
  <si>
    <t>ACT 10030612348 9901</t>
  </si>
  <si>
    <t>ACT 10030612483 9901</t>
  </si>
  <si>
    <t>ACT 10030612492 9901</t>
  </si>
  <si>
    <t>ACT 10030612541 9901</t>
  </si>
  <si>
    <t>ACT 10030612561 9901</t>
  </si>
  <si>
    <t>ACT 10030612567 9901</t>
  </si>
  <si>
    <t>ACT 10030612582 9901</t>
  </si>
  <si>
    <t>ACT 10030615020 9901</t>
  </si>
  <si>
    <t>ACT 10030618913 9901</t>
  </si>
  <si>
    <t>ACT 10030621325 9901</t>
  </si>
  <si>
    <t>ACT 10030623069 9901</t>
  </si>
  <si>
    <t>ACT 10030629149 9901</t>
  </si>
  <si>
    <t>ACT 10030630708 9901</t>
  </si>
  <si>
    <t>ACT 10030630835 9902</t>
  </si>
  <si>
    <t>ACT 10030633105 9901</t>
  </si>
  <si>
    <t>ACT 10030634389 9901</t>
  </si>
  <si>
    <t>ACT 10030635057 9902</t>
  </si>
  <si>
    <t>ACT 10030636147 9901</t>
  </si>
  <si>
    <t>ACT 10030637838 9901</t>
  </si>
  <si>
    <t>ACT 10030640194 9901</t>
  </si>
  <si>
    <t>ACT 10030640870 9901</t>
  </si>
  <si>
    <t>ACT 10030640975 9901</t>
  </si>
  <si>
    <t>ACT 10030641700 9902</t>
  </si>
  <si>
    <t>ACT 10030643331 9901</t>
  </si>
  <si>
    <t>ACT 10030644111 9901</t>
  </si>
  <si>
    <t>ACT 10030649014 9902</t>
  </si>
  <si>
    <t>ACT 10030650131 9901</t>
  </si>
  <si>
    <t>ACT 10030650303 9901</t>
  </si>
  <si>
    <t>ACT 10030651076 9901</t>
  </si>
  <si>
    <t>ACT 10030651135 9901</t>
  </si>
  <si>
    <t>ACT 10030654224 9901</t>
  </si>
  <si>
    <t>ACT 10030654478 9901</t>
  </si>
  <si>
    <t>ACT 10030655501 9901</t>
  </si>
  <si>
    <t>ACT 10030656601 9901</t>
  </si>
  <si>
    <t>ACT 10030659148 9901</t>
  </si>
  <si>
    <t>ACT 10030659550 9901</t>
  </si>
  <si>
    <t>ACT 10030662613 9901</t>
  </si>
  <si>
    <t>ACT 10030667380 9901</t>
  </si>
  <si>
    <t>ACT 10030675710 9901</t>
  </si>
  <si>
    <t>ACT 10030677746 9901</t>
  </si>
  <si>
    <t>ACT 10030677766 9901</t>
  </si>
  <si>
    <t>ACT 10030684257 9902</t>
  </si>
  <si>
    <t>ACT 10030691534 9901</t>
  </si>
  <si>
    <t>ACT 10030696475 9901</t>
  </si>
  <si>
    <t>ACT 10030699446 9902</t>
  </si>
  <si>
    <t>ACT 10030702539 9902</t>
  </si>
  <si>
    <t>ACT 90000219201 9901</t>
  </si>
  <si>
    <t>ACT 90000220608 9901</t>
  </si>
  <si>
    <t>ACT 90000225564 9901</t>
  </si>
  <si>
    <t>ACT 90000225593 9901</t>
  </si>
  <si>
    <t>ACT 90000226857 9902</t>
  </si>
  <si>
    <t>ACT 90000227365 9901</t>
  </si>
  <si>
    <t>ACT 90000227524 9901</t>
  </si>
  <si>
    <t>ACT 90000227809 9901</t>
  </si>
  <si>
    <t>ACT 90000227981 9901</t>
  </si>
  <si>
    <t>ACT 90000228054 9901</t>
  </si>
  <si>
    <t>ACT 90000228206 9901</t>
  </si>
  <si>
    <t>ACT 90000228326 9901</t>
  </si>
  <si>
    <t>ACT 90000228414 9901</t>
  </si>
  <si>
    <t>ACT 90000228507 9901</t>
  </si>
  <si>
    <t>ACT 90000229076 9901</t>
  </si>
  <si>
    <t>ACT 90000229367 9901</t>
  </si>
  <si>
    <t>ACT 90000229624 9901</t>
  </si>
  <si>
    <t>ACT 90000229714 9901</t>
  </si>
  <si>
    <t>ACT 90000229729 9901</t>
  </si>
  <si>
    <t>ACT 90000229901 9901</t>
  </si>
  <si>
    <t>ACT 90000230098 9901</t>
  </si>
  <si>
    <t>ACT 90000230177 9901</t>
  </si>
  <si>
    <t>ACT 90000230542 9901</t>
  </si>
  <si>
    <t>ACT 90000231655 9901</t>
  </si>
  <si>
    <t>WBS CRCC102.DC9901</t>
  </si>
  <si>
    <t>WBS CRCC102.DR9902</t>
  </si>
  <si>
    <t>WBS CRCC104.DC9901</t>
  </si>
  <si>
    <t>WBS CRCC131.DC9901</t>
  </si>
  <si>
    <t>WBS CRCC131.DR9902</t>
  </si>
  <si>
    <t>WBS CRCC203.DC9901</t>
  </si>
  <si>
    <t>WBS CRFS309.DC9901</t>
  </si>
  <si>
    <t>NGUS/U4950020</t>
  </si>
  <si>
    <t>Excess Earnings Adj</t>
  </si>
  <si>
    <t>2016 Reversal ESM Reserve</t>
  </si>
  <si>
    <t>5360NE0909N05</t>
  </si>
  <si>
    <t>Incentive Sharing-Bucket</t>
  </si>
  <si>
    <t>Earnings payable to ratepayer</t>
  </si>
  <si>
    <t>5360AC0903M01</t>
  </si>
  <si>
    <t>Reversal of Prior Month Sharing</t>
  </si>
  <si>
    <t>NGUS/U4950060</t>
  </si>
  <si>
    <t>Cur(AltRevPrgm)G</t>
  </si>
  <si>
    <t>Energy Efficiency Shareholder incentives</t>
  </si>
  <si>
    <t>Other Revenue - Revenue Decoupling</t>
  </si>
  <si>
    <t>PPL Deferral - Sale Settl</t>
  </si>
  <si>
    <t>PPL Deferral - Sale Settle</t>
  </si>
  <si>
    <t>5360NE3309N01S</t>
  </si>
  <si>
    <t>5360NE3509N01S</t>
  </si>
  <si>
    <t>RDM GET</t>
  </si>
  <si>
    <t>5360NE0909M09</t>
  </si>
  <si>
    <t>5360NE0909M09R</t>
  </si>
  <si>
    <t>RDM Reserve</t>
  </si>
  <si>
    <t>RDM Resrve_ Adj 03.22 End Bal</t>
  </si>
  <si>
    <t>RDM - Unbilled</t>
  </si>
  <si>
    <t>RI Gas RDM Unbilled</t>
  </si>
  <si>
    <t>5360NE0909M07</t>
  </si>
  <si>
    <t>RDM Unbilled</t>
  </si>
  <si>
    <t>RI Gas RDM Unbilled GET</t>
  </si>
  <si>
    <t>NGUS/U4950080</t>
  </si>
  <si>
    <t>DAC - Unbilled Gas</t>
  </si>
  <si>
    <t>DAC - Unbilled</t>
  </si>
  <si>
    <t>RI GAS DAC UNBILLED APRIL</t>
  </si>
  <si>
    <t>5360NE0909M06</t>
  </si>
  <si>
    <t>DAC unbilled</t>
  </si>
  <si>
    <t>RI Gas DAC Unbilled Aug</t>
  </si>
  <si>
    <t>RI Gas DAC Unbilled February</t>
  </si>
  <si>
    <t>RI GAS DAC UNBILLED GET APRIL</t>
  </si>
  <si>
    <t>RI Gas DAC Unbilled GET Aug</t>
  </si>
  <si>
    <t>RI Gas DAC Unbilled GET February</t>
  </si>
  <si>
    <t>RI Gas DAC Unbilled GET January</t>
  </si>
  <si>
    <t>RI Gas DAC Unbilled GET Jul</t>
  </si>
  <si>
    <t>RI Gas DAC Unbilled GET Jun</t>
  </si>
  <si>
    <t>RI Gas DAC Unbilled GET March</t>
  </si>
  <si>
    <t>RI Gas DAC Unbilled GET May</t>
  </si>
  <si>
    <t>RI Gas DAC Unbilled GET Sept</t>
  </si>
  <si>
    <t>RI Gas DAC Unbilled January</t>
  </si>
  <si>
    <t>RI Gas DAC Unbilled Jul</t>
  </si>
  <si>
    <t>RI Gas DAC Unbilled Jun</t>
  </si>
  <si>
    <t>RI Gas DAC Unbilled March</t>
  </si>
  <si>
    <t>RI Gas DAC Unbilled May</t>
  </si>
  <si>
    <t>RI Gas DAC Unbilled Sept</t>
  </si>
  <si>
    <t>NGUS/U4950090</t>
  </si>
  <si>
    <t>Revenue Decoupling</t>
  </si>
  <si>
    <t>FY19 Filing -Collections</t>
  </si>
  <si>
    <t>FY20 Filing - Collections</t>
  </si>
  <si>
    <t>FY21Filing - Collections</t>
  </si>
  <si>
    <t>NGUS/U4950120</t>
  </si>
  <si>
    <t>Oth Def Gas Revenue</t>
  </si>
  <si>
    <t>AMP Deferral GET</t>
  </si>
  <si>
    <t>5360NE0909M11</t>
  </si>
  <si>
    <t>AMP Rgulatory Asset Deferred</t>
  </si>
  <si>
    <t>Record DAC AMP</t>
  </si>
  <si>
    <t>Record Storm Net Revenue Adjustment</t>
  </si>
  <si>
    <t>LIHEAP O/U</t>
  </si>
  <si>
    <t>5360NE0909M26</t>
  </si>
  <si>
    <t>5360NE0909M26A</t>
  </si>
  <si>
    <t>LIHEAP O/U GET</t>
  </si>
  <si>
    <t>Low Income Discount  GET</t>
  </si>
  <si>
    <t>5360NE0909M10</t>
  </si>
  <si>
    <t>Low Income Discount Over/Under</t>
  </si>
  <si>
    <t>Net Storm Rev Credit</t>
  </si>
  <si>
    <t>Net Storm Revenue Credit</t>
  </si>
  <si>
    <t>5360NE0909N18</t>
  </si>
  <si>
    <t>Net Storm Revenue Credit - GET</t>
  </si>
  <si>
    <t>RI GBE Gas Deferral O/U</t>
  </si>
  <si>
    <t>1/ Energy Efficiency Shareholder Incentives</t>
  </si>
  <si>
    <t>2/ Contract Sharing</t>
  </si>
  <si>
    <t>3/ Excess Sharing</t>
  </si>
  <si>
    <t>4/ Off System Gas Sales</t>
  </si>
  <si>
    <t>see below</t>
  </si>
  <si>
    <t>Supervision &amp; Admin Burden</t>
  </si>
  <si>
    <t>2022010</t>
  </si>
  <si>
    <t>4701763762</t>
  </si>
  <si>
    <t>0100001361</t>
  </si>
  <si>
    <t>0094950000</t>
  </si>
  <si>
    <t>4950</t>
  </si>
  <si>
    <t>N008276.AGB683</t>
  </si>
  <si>
    <t>RIG1100</t>
  </si>
  <si>
    <t>C4950000</t>
  </si>
  <si>
    <t>4701763763</t>
  </si>
  <si>
    <t>0100001360</t>
  </si>
  <si>
    <t>N004964.495000</t>
  </si>
  <si>
    <t>4701818222</t>
  </si>
  <si>
    <t>4100000018</t>
  </si>
  <si>
    <t>FR53602.RV4009</t>
  </si>
  <si>
    <t>C4950090</t>
  </si>
  <si>
    <t>4701818767</t>
  </si>
  <si>
    <t>0400016802</t>
  </si>
  <si>
    <t>4701818774</t>
  </si>
  <si>
    <t>0400016803</t>
  </si>
  <si>
    <t>4701852486</t>
  </si>
  <si>
    <t>2900000517</t>
  </si>
  <si>
    <t>N008634.F01347</t>
  </si>
  <si>
    <t>U4950120</t>
  </si>
  <si>
    <t>4701854528</t>
  </si>
  <si>
    <t>0100001409</t>
  </si>
  <si>
    <t>4701854530</t>
  </si>
  <si>
    <t>0100001410</t>
  </si>
  <si>
    <t>4701877458</t>
  </si>
  <si>
    <t>0400017183</t>
  </si>
  <si>
    <t>NB00160.OH0011</t>
  </si>
  <si>
    <t>C6607600</t>
  </si>
  <si>
    <t>4701877467</t>
  </si>
  <si>
    <t>0400017128</t>
  </si>
  <si>
    <t>N008659.AGB707</t>
  </si>
  <si>
    <t>4701877693</t>
  </si>
  <si>
    <t>2900000527</t>
  </si>
  <si>
    <t>U4950020</t>
  </si>
  <si>
    <t>4701878697</t>
  </si>
  <si>
    <t>0429976277</t>
  </si>
  <si>
    <t>NB00203.OH0011</t>
  </si>
  <si>
    <t>PC6607600</t>
  </si>
  <si>
    <t>DAGARA</t>
  </si>
  <si>
    <t>4701878700</t>
  </si>
  <si>
    <t>0429976097</t>
  </si>
  <si>
    <t>NB00140.OH0011</t>
  </si>
  <si>
    <t>4701878702</t>
  </si>
  <si>
    <t>0429976100</t>
  </si>
  <si>
    <t>NB00142.OH0011</t>
  </si>
  <si>
    <t>4701878704</t>
  </si>
  <si>
    <t>0429976103</t>
  </si>
  <si>
    <t>NB00138.OH0011</t>
  </si>
  <si>
    <t>4701878707</t>
  </si>
  <si>
    <t>0429976106</t>
  </si>
  <si>
    <t>NB00144.OH0011</t>
  </si>
  <si>
    <t>4701878708</t>
  </si>
  <si>
    <t>0429976107</t>
  </si>
  <si>
    <t>NB00136.OH0011</t>
  </si>
  <si>
    <t>4701878709</t>
  </si>
  <si>
    <t>0429976108</t>
  </si>
  <si>
    <t>NB00135.OH0011</t>
  </si>
  <si>
    <t>4701878711</t>
  </si>
  <si>
    <t>0429976110</t>
  </si>
  <si>
    <t>NB00133.OH0011</t>
  </si>
  <si>
    <t>4701878713</t>
  </si>
  <si>
    <t>0429976132</t>
  </si>
  <si>
    <t>4701878731</t>
  </si>
  <si>
    <t>0429976236</t>
  </si>
  <si>
    <t>NB00219.OH0011</t>
  </si>
  <si>
    <t>4701879527</t>
  </si>
  <si>
    <t>2900000532</t>
  </si>
  <si>
    <t>N014431.AGB202</t>
  </si>
  <si>
    <t>4701881602</t>
  </si>
  <si>
    <t>2900000542</t>
  </si>
  <si>
    <t>N014608.495083</t>
  </si>
  <si>
    <t>4701881700</t>
  </si>
  <si>
    <t>2900000543</t>
  </si>
  <si>
    <t>N008159.AGB193</t>
  </si>
  <si>
    <t>N014430.AGB202</t>
  </si>
  <si>
    <t>4701882002</t>
  </si>
  <si>
    <t>2900000546</t>
  </si>
  <si>
    <t>N008160.AGB202</t>
  </si>
  <si>
    <t>U4950080</t>
  </si>
  <si>
    <t>N012254.495082</t>
  </si>
  <si>
    <t>4701882003</t>
  </si>
  <si>
    <t>2900000544</t>
  </si>
  <si>
    <t>U4950060</t>
  </si>
  <si>
    <t>4701883773</t>
  </si>
  <si>
    <t>2900000556</t>
  </si>
  <si>
    <t>4190</t>
  </si>
  <si>
    <t>N008157.AGB202</t>
  </si>
  <si>
    <t>U4950090</t>
  </si>
  <si>
    <t>N004964.480000</t>
  </si>
  <si>
    <t>2022011</t>
  </si>
  <si>
    <t>4701902203</t>
  </si>
  <si>
    <t>0100001509</t>
  </si>
  <si>
    <t>4701902205</t>
  </si>
  <si>
    <t>0100001510</t>
  </si>
  <si>
    <t>4701949819</t>
  </si>
  <si>
    <t>0400018036</t>
  </si>
  <si>
    <t>4701949826</t>
  </si>
  <si>
    <t>0400018037</t>
  </si>
  <si>
    <t>4701961774</t>
  </si>
  <si>
    <t>4100000020</t>
  </si>
  <si>
    <t>4701990207</t>
  </si>
  <si>
    <t>0100001555</t>
  </si>
  <si>
    <t>4701990217</t>
  </si>
  <si>
    <t>0100001556</t>
  </si>
  <si>
    <t>4702011386</t>
  </si>
  <si>
    <t>2900000571</t>
  </si>
  <si>
    <t>4702011437</t>
  </si>
  <si>
    <t>2900000572</t>
  </si>
  <si>
    <t>4702013464</t>
  </si>
  <si>
    <t>0431272362</t>
  </si>
  <si>
    <t>NB00012.OH0011</t>
  </si>
  <si>
    <t>4702013468</t>
  </si>
  <si>
    <t>0431272746</t>
  </si>
  <si>
    <t>4702013470</t>
  </si>
  <si>
    <t>0431272752</t>
  </si>
  <si>
    <t>4702013472</t>
  </si>
  <si>
    <t>0431272759</t>
  </si>
  <si>
    <t>4702013474</t>
  </si>
  <si>
    <t>0431272764</t>
  </si>
  <si>
    <t>4702013476</t>
  </si>
  <si>
    <t>0431272767</t>
  </si>
  <si>
    <t>4702013479</t>
  </si>
  <si>
    <t>0431272576</t>
  </si>
  <si>
    <t>4702013481</t>
  </si>
  <si>
    <t>0431272771</t>
  </si>
  <si>
    <t>4702013483</t>
  </si>
  <si>
    <t>0431272773</t>
  </si>
  <si>
    <t>4702013487</t>
  </si>
  <si>
    <t>0431272653</t>
  </si>
  <si>
    <t>NB00187.OH0011</t>
  </si>
  <si>
    <t>4702013491</t>
  </si>
  <si>
    <t>0431272683</t>
  </si>
  <si>
    <t>4702016362</t>
  </si>
  <si>
    <t>2900000581</t>
  </si>
  <si>
    <t>4702016921</t>
  </si>
  <si>
    <t>2900000598</t>
  </si>
  <si>
    <t>4702016939</t>
  </si>
  <si>
    <t>2900000599</t>
  </si>
  <si>
    <t>4702017040</t>
  </si>
  <si>
    <t>2900000595</t>
  </si>
  <si>
    <t>4702018318</t>
  </si>
  <si>
    <t>2900000604</t>
  </si>
  <si>
    <t>4702018559</t>
  </si>
  <si>
    <t>2900000607</t>
  </si>
  <si>
    <t>2022012</t>
  </si>
  <si>
    <t>4702043071</t>
  </si>
  <si>
    <t>0100001661</t>
  </si>
  <si>
    <t>4702043073</t>
  </si>
  <si>
    <t>0100001662</t>
  </si>
  <si>
    <t>4702097808</t>
  </si>
  <si>
    <t>0400020256</t>
  </si>
  <si>
    <t>4702097812</t>
  </si>
  <si>
    <t>0400020257</t>
  </si>
  <si>
    <t>4702114115</t>
  </si>
  <si>
    <t>0432446607</t>
  </si>
  <si>
    <t>9080</t>
  </si>
  <si>
    <t>EEC1240.AG8405</t>
  </si>
  <si>
    <t>RIE1400</t>
  </si>
  <si>
    <t>PC4950090</t>
  </si>
  <si>
    <t>PWRBTCH</t>
  </si>
  <si>
    <t>4702123209</t>
  </si>
  <si>
    <t>4100000023</t>
  </si>
  <si>
    <t>4702125158</t>
  </si>
  <si>
    <t>0432554964</t>
  </si>
  <si>
    <t>8800</t>
  </si>
  <si>
    <t>CRCC102.GO9658</t>
  </si>
  <si>
    <t>PC4950110</t>
  </si>
  <si>
    <t>4702169154</t>
  </si>
  <si>
    <t>0432607250</t>
  </si>
  <si>
    <t>PC4950000</t>
  </si>
  <si>
    <t>4702214918</t>
  </si>
  <si>
    <t>2900000620</t>
  </si>
  <si>
    <t>4702214933</t>
  </si>
  <si>
    <t>0100001713</t>
  </si>
  <si>
    <t>4702214936</t>
  </si>
  <si>
    <t>0100001714</t>
  </si>
  <si>
    <t>4702214950</t>
  </si>
  <si>
    <t>2900000624</t>
  </si>
  <si>
    <t>C4950020</t>
  </si>
  <si>
    <t>4702214969</t>
  </si>
  <si>
    <t>2900000627</t>
  </si>
  <si>
    <t>4702214990</t>
  </si>
  <si>
    <t>0432706688</t>
  </si>
  <si>
    <t>4702233410</t>
  </si>
  <si>
    <t>2900000631</t>
  </si>
  <si>
    <t>4702233616</t>
  </si>
  <si>
    <t>2900000635</t>
  </si>
  <si>
    <t>4702233632</t>
  </si>
  <si>
    <t>2900000639</t>
  </si>
  <si>
    <t>4702233644</t>
  </si>
  <si>
    <t>2900000645</t>
  </si>
  <si>
    <t>4702233646</t>
  </si>
  <si>
    <t>2900000646</t>
  </si>
  <si>
    <t>4702233647</t>
  </si>
  <si>
    <t>2900000649</t>
  </si>
  <si>
    <t>4702233777</t>
  </si>
  <si>
    <t>2900000669</t>
  </si>
  <si>
    <t>N008166.AGB190</t>
  </si>
  <si>
    <t>RIG1400</t>
  </si>
  <si>
    <t>2023001</t>
  </si>
  <si>
    <t>4700024502</t>
  </si>
  <si>
    <t>0100000069</t>
  </si>
  <si>
    <t>4700024504</t>
  </si>
  <si>
    <t>0100000070</t>
  </si>
  <si>
    <t>4700070623</t>
  </si>
  <si>
    <t>0400000688</t>
  </si>
  <si>
    <t>4700070639</t>
  </si>
  <si>
    <t>0400000690</t>
  </si>
  <si>
    <t>4700073793</t>
  </si>
  <si>
    <t>2900000005</t>
  </si>
  <si>
    <t>4700073848</t>
  </si>
  <si>
    <t>2900000006</t>
  </si>
  <si>
    <t>4700093596</t>
  </si>
  <si>
    <t>4100000000</t>
  </si>
  <si>
    <t>4700094492</t>
  </si>
  <si>
    <t>0434020516</t>
  </si>
  <si>
    <t>4700094498</t>
  </si>
  <si>
    <t>0434020527</t>
  </si>
  <si>
    <t>4700094522</t>
  </si>
  <si>
    <t>0434020537</t>
  </si>
  <si>
    <t>4700096180</t>
  </si>
  <si>
    <t>0434035137</t>
  </si>
  <si>
    <t>4560</t>
  </si>
  <si>
    <t>EEC1240.DO9903</t>
  </si>
  <si>
    <t>4700115487</t>
  </si>
  <si>
    <t>0100000116</t>
  </si>
  <si>
    <t>4700115490</t>
  </si>
  <si>
    <t>0100000119</t>
  </si>
  <si>
    <t>4700117660</t>
  </si>
  <si>
    <t>2900000017</t>
  </si>
  <si>
    <t>4700120580</t>
  </si>
  <si>
    <t>0400001338</t>
  </si>
  <si>
    <t>4700120749</t>
  </si>
  <si>
    <t>2900000018</t>
  </si>
  <si>
    <t>4700135850</t>
  </si>
  <si>
    <t>0434215170</t>
  </si>
  <si>
    <t>4700141026</t>
  </si>
  <si>
    <t>2900000029</t>
  </si>
  <si>
    <t>4700141411</t>
  </si>
  <si>
    <t>2900000034</t>
  </si>
  <si>
    <t>4700141952</t>
  </si>
  <si>
    <t>2900000040</t>
  </si>
  <si>
    <t>4700142089</t>
  </si>
  <si>
    <t>2900000041</t>
  </si>
  <si>
    <t>4700143713</t>
  </si>
  <si>
    <t>2900000044</t>
  </si>
  <si>
    <t>4700144578</t>
  </si>
  <si>
    <t>2900000049</t>
  </si>
  <si>
    <t>4700144779</t>
  </si>
  <si>
    <t>2900000055</t>
  </si>
  <si>
    <t>2023002</t>
  </si>
  <si>
    <t>4700168361</t>
  </si>
  <si>
    <t>0100000200</t>
  </si>
  <si>
    <t>4700168363</t>
  </si>
  <si>
    <t>0100000201</t>
  </si>
  <si>
    <t>4700216809</t>
  </si>
  <si>
    <t>0435104115</t>
  </si>
  <si>
    <t>4700251127</t>
  </si>
  <si>
    <t>4100000004</t>
  </si>
  <si>
    <t>SAXENR</t>
  </si>
  <si>
    <t>4700251230</t>
  </si>
  <si>
    <t>0400002520</t>
  </si>
  <si>
    <t>4700251246</t>
  </si>
  <si>
    <t>0400002521</t>
  </si>
  <si>
    <t>4700263764</t>
  </si>
  <si>
    <t>0100000247</t>
  </si>
  <si>
    <t>4700263782</t>
  </si>
  <si>
    <t>0100000248</t>
  </si>
  <si>
    <t>4700263828</t>
  </si>
  <si>
    <t>0400002777</t>
  </si>
  <si>
    <t>4700263907</t>
  </si>
  <si>
    <t>2900000068</t>
  </si>
  <si>
    <t>4700263962</t>
  </si>
  <si>
    <t>2900000071</t>
  </si>
  <si>
    <t>4700267776</t>
  </si>
  <si>
    <t>0435556107</t>
  </si>
  <si>
    <t>4700288214</t>
  </si>
  <si>
    <t>0435572939</t>
  </si>
  <si>
    <t>4700288225</t>
  </si>
  <si>
    <t>0435573203</t>
  </si>
  <si>
    <t>4700288403</t>
  </si>
  <si>
    <t>2900000077</t>
  </si>
  <si>
    <t>4700293996</t>
  </si>
  <si>
    <t>2900000084</t>
  </si>
  <si>
    <t>4700294009</t>
  </si>
  <si>
    <t>2900000086</t>
  </si>
  <si>
    <t>4700294172</t>
  </si>
  <si>
    <t>2900000094</t>
  </si>
  <si>
    <t>4700295992</t>
  </si>
  <si>
    <t>2900000100</t>
  </si>
  <si>
    <t>4700296113</t>
  </si>
  <si>
    <t>2900000102</t>
  </si>
  <si>
    <t>4700296206</t>
  </si>
  <si>
    <t>2900000105</t>
  </si>
  <si>
    <t>4700296279</t>
  </si>
  <si>
    <t>2900000113</t>
  </si>
  <si>
    <t>4700296362</t>
  </si>
  <si>
    <t>2900000115</t>
  </si>
  <si>
    <t>2023003</t>
  </si>
  <si>
    <t>4700263889</t>
  </si>
  <si>
    <t>0800489223</t>
  </si>
  <si>
    <t>N008647.AGB701</t>
  </si>
  <si>
    <t>RIE1000</t>
  </si>
  <si>
    <t>C4950110</t>
  </si>
  <si>
    <t>4700300089</t>
  </si>
  <si>
    <t>0435760404</t>
  </si>
  <si>
    <t>4700301894</t>
  </si>
  <si>
    <t>0435767934</t>
  </si>
  <si>
    <t>4700306494</t>
  </si>
  <si>
    <t>0100000342</t>
  </si>
  <si>
    <t>4700306497</t>
  </si>
  <si>
    <t>0100000343</t>
  </si>
  <si>
    <t>4700349973</t>
  </si>
  <si>
    <t>4100000008</t>
  </si>
  <si>
    <t>4700371780</t>
  </si>
  <si>
    <t>0400003594</t>
  </si>
  <si>
    <t>4700372918</t>
  </si>
  <si>
    <t>0400003595</t>
  </si>
  <si>
    <t>4700387378</t>
  </si>
  <si>
    <t>0436803681</t>
  </si>
  <si>
    <t>4700414851</t>
  </si>
  <si>
    <t>2900000125</t>
  </si>
  <si>
    <t>4700418594</t>
  </si>
  <si>
    <t>0100000402</t>
  </si>
  <si>
    <t>4700418665</t>
  </si>
  <si>
    <t>0100000403</t>
  </si>
  <si>
    <t>4700418862</t>
  </si>
  <si>
    <t>2900000128</t>
  </si>
  <si>
    <t>4700419027</t>
  </si>
  <si>
    <t>0437035041</t>
  </si>
  <si>
    <t>4700419047</t>
  </si>
  <si>
    <t>0437035302</t>
  </si>
  <si>
    <t>4700424675</t>
  </si>
  <si>
    <t>2900000141</t>
  </si>
  <si>
    <t>4700425903</t>
  </si>
  <si>
    <t>2900000144</t>
  </si>
  <si>
    <t>4700426097</t>
  </si>
  <si>
    <t>2900000145</t>
  </si>
  <si>
    <t>4700426287</t>
  </si>
  <si>
    <t>2900000152</t>
  </si>
  <si>
    <t>4700427318</t>
  </si>
  <si>
    <t>2900000150</t>
  </si>
  <si>
    <t>4700427361</t>
  </si>
  <si>
    <t>2900000155</t>
  </si>
  <si>
    <t>2023004</t>
  </si>
  <si>
    <t>4700436084</t>
  </si>
  <si>
    <t>0100000475</t>
  </si>
  <si>
    <t>4700436085</t>
  </si>
  <si>
    <t>0100000476</t>
  </si>
  <si>
    <t>4700471560</t>
  </si>
  <si>
    <t>0400004813</t>
  </si>
  <si>
    <t>4700471561</t>
  </si>
  <si>
    <t>0400004815</t>
  </si>
  <si>
    <t>4700512120</t>
  </si>
  <si>
    <t>4100000012</t>
  </si>
  <si>
    <t>4700523262</t>
  </si>
  <si>
    <t>0438134126</t>
  </si>
  <si>
    <t>CRCC131.GO9658</t>
  </si>
  <si>
    <t>4700523301</t>
  </si>
  <si>
    <t>0438134149</t>
  </si>
  <si>
    <t>4700538332</t>
  </si>
  <si>
    <t>0100000513</t>
  </si>
  <si>
    <t>4700538347</t>
  </si>
  <si>
    <t>0100000514</t>
  </si>
  <si>
    <t>4700547787</t>
  </si>
  <si>
    <t>2900000175</t>
  </si>
  <si>
    <t>4700565039</t>
  </si>
  <si>
    <t>2900000187</t>
  </si>
  <si>
    <t>4700566908</t>
  </si>
  <si>
    <t>2900000196</t>
  </si>
  <si>
    <t>4700566909</t>
  </si>
  <si>
    <t>2900000197</t>
  </si>
  <si>
    <t>4700566910</t>
  </si>
  <si>
    <t>2900000198</t>
  </si>
  <si>
    <t>4700566917</t>
  </si>
  <si>
    <t>2900000195</t>
  </si>
  <si>
    <t>4700567128</t>
  </si>
  <si>
    <t>2900000194</t>
  </si>
  <si>
    <t>4700568418</t>
  </si>
  <si>
    <t>2900000207</t>
  </si>
  <si>
    <t>2023005</t>
  </si>
  <si>
    <t>4700594335</t>
  </si>
  <si>
    <t>0100000574</t>
  </si>
  <si>
    <t>4700594336</t>
  </si>
  <si>
    <t>0100000575</t>
  </si>
  <si>
    <t>4700655976</t>
  </si>
  <si>
    <t>4100000016</t>
  </si>
  <si>
    <t>4700685522</t>
  </si>
  <si>
    <t>0439599735</t>
  </si>
  <si>
    <t>4700685784</t>
  </si>
  <si>
    <t>0100000610</t>
  </si>
  <si>
    <t>4700685803</t>
  </si>
  <si>
    <t>0100000611</t>
  </si>
  <si>
    <t>4700685820</t>
  </si>
  <si>
    <t>0400006725</t>
  </si>
  <si>
    <t>4700685821</t>
  </si>
  <si>
    <t>0400006726</t>
  </si>
  <si>
    <t>4700686597</t>
  </si>
  <si>
    <t>2900000221</t>
  </si>
  <si>
    <t>4700686627</t>
  </si>
  <si>
    <t>0400006778</t>
  </si>
  <si>
    <t>4700686628</t>
  </si>
  <si>
    <t>0400006779</t>
  </si>
  <si>
    <t>4700706225</t>
  </si>
  <si>
    <t>0439713050</t>
  </si>
  <si>
    <t>4700708244</t>
  </si>
  <si>
    <t>2900000235</t>
  </si>
  <si>
    <t>4700708404</t>
  </si>
  <si>
    <t>2900000232</t>
  </si>
  <si>
    <t>4700709445</t>
  </si>
  <si>
    <t>2900000231</t>
  </si>
  <si>
    <t>4700712613</t>
  </si>
  <si>
    <t>2900000249</t>
  </si>
  <si>
    <t>4700712638</t>
  </si>
  <si>
    <t>2900000250</t>
  </si>
  <si>
    <t>4700712640</t>
  </si>
  <si>
    <t>2900000251</t>
  </si>
  <si>
    <t>4700712972</t>
  </si>
  <si>
    <t>2900000254</t>
  </si>
  <si>
    <t>2023006</t>
  </si>
  <si>
    <t>4700723733</t>
  </si>
  <si>
    <t>0100000682</t>
  </si>
  <si>
    <t>4700723735</t>
  </si>
  <si>
    <t>0100000683</t>
  </si>
  <si>
    <t>4700763623</t>
  </si>
  <si>
    <t>4700791178</t>
  </si>
  <si>
    <t>0400007591</t>
  </si>
  <si>
    <t>4700791183</t>
  </si>
  <si>
    <t>0400007592</t>
  </si>
  <si>
    <t>4700791916</t>
  </si>
  <si>
    <t>0400007590</t>
  </si>
  <si>
    <t>4700820166</t>
  </si>
  <si>
    <t>2900000273</t>
  </si>
  <si>
    <t>4700825621</t>
  </si>
  <si>
    <t>0440946835</t>
  </si>
  <si>
    <t>4700828674</t>
  </si>
  <si>
    <t>0400007857</t>
  </si>
  <si>
    <t>4700828692</t>
  </si>
  <si>
    <t>0100000727</t>
  </si>
  <si>
    <t>4700828696</t>
  </si>
  <si>
    <t>0100000728</t>
  </si>
  <si>
    <t>4700841751</t>
  </si>
  <si>
    <t>0441074119</t>
  </si>
  <si>
    <t>4700841994</t>
  </si>
  <si>
    <t>2900000275</t>
  </si>
  <si>
    <t>4700844184</t>
  </si>
  <si>
    <t>2900000281</t>
  </si>
  <si>
    <t>4700844273</t>
  </si>
  <si>
    <t>2900000288</t>
  </si>
  <si>
    <t>4700844370</t>
  </si>
  <si>
    <t>2900000295</t>
  </si>
  <si>
    <t>4700845071</t>
  </si>
  <si>
    <t>2900000297</t>
  </si>
  <si>
    <t>4700846017</t>
  </si>
  <si>
    <t>2900000299</t>
  </si>
  <si>
    <t>4700848103</t>
  </si>
  <si>
    <t>2900000304</t>
  </si>
  <si>
    <t>2023007</t>
  </si>
  <si>
    <t>4700862044</t>
  </si>
  <si>
    <t>0100000805</t>
  </si>
  <si>
    <t>4700862047</t>
  </si>
  <si>
    <t>0100000806</t>
  </si>
  <si>
    <t>4700903822</t>
  </si>
  <si>
    <t>4100000024</t>
  </si>
  <si>
    <t>4700930459</t>
  </si>
  <si>
    <t>0400008695</t>
  </si>
  <si>
    <t>4700930463</t>
  </si>
  <si>
    <t>0400008689</t>
  </si>
  <si>
    <t>4700930687</t>
  </si>
  <si>
    <t>0442307742</t>
  </si>
  <si>
    <t>4700930718</t>
  </si>
  <si>
    <t>0442307795</t>
  </si>
  <si>
    <t>4700930766</t>
  </si>
  <si>
    <t>0442307790</t>
  </si>
  <si>
    <t>4700943357</t>
  </si>
  <si>
    <t>0100000829</t>
  </si>
  <si>
    <t>4700943382</t>
  </si>
  <si>
    <t>0100000830</t>
  </si>
  <si>
    <t>4700943614</t>
  </si>
  <si>
    <t>2900000328</t>
  </si>
  <si>
    <t>4700943663</t>
  </si>
  <si>
    <t>2900000327</t>
  </si>
  <si>
    <t>4700949508</t>
  </si>
  <si>
    <t>2900000338</t>
  </si>
  <si>
    <t>4700964023</t>
  </si>
  <si>
    <t>2900000345</t>
  </si>
  <si>
    <t>4700964877</t>
  </si>
  <si>
    <t>2900000349</t>
  </si>
  <si>
    <t>4700966611</t>
  </si>
  <si>
    <t>2900000355</t>
  </si>
  <si>
    <t>4700967370</t>
  </si>
  <si>
    <t>2900000358</t>
  </si>
  <si>
    <t>4700967524</t>
  </si>
  <si>
    <t>2900000361</t>
  </si>
  <si>
    <t>2023008</t>
  </si>
  <si>
    <t>4700986592</t>
  </si>
  <si>
    <t>0100000894</t>
  </si>
  <si>
    <t>4700986593</t>
  </si>
  <si>
    <t>0100000895</t>
  </si>
  <si>
    <t>4701055898</t>
  </si>
  <si>
    <t>0400009728</t>
  </si>
  <si>
    <t>4701055922</t>
  </si>
  <si>
    <t>0400009731</t>
  </si>
  <si>
    <t>4701056213</t>
  </si>
  <si>
    <t>2900000370</t>
  </si>
  <si>
    <t>N008160.AGB197</t>
  </si>
  <si>
    <t>4701056541</t>
  </si>
  <si>
    <t>0400009788</t>
  </si>
  <si>
    <t>4701067490</t>
  </si>
  <si>
    <t>4100000029</t>
  </si>
  <si>
    <t>KISHOD</t>
  </si>
  <si>
    <t>4701069320</t>
  </si>
  <si>
    <t>0100000926</t>
  </si>
  <si>
    <t>4701071140</t>
  </si>
  <si>
    <t>0100000927</t>
  </si>
  <si>
    <t>4701078018</t>
  </si>
  <si>
    <t>2900000376</t>
  </si>
  <si>
    <t>4701090581</t>
  </si>
  <si>
    <t>2900000382</t>
  </si>
  <si>
    <t>4701104960</t>
  </si>
  <si>
    <t>2900000389</t>
  </si>
  <si>
    <t>4701105206</t>
  </si>
  <si>
    <t>2900000398</t>
  </si>
  <si>
    <t>4701105223</t>
  </si>
  <si>
    <t>2900000400</t>
  </si>
  <si>
    <t>4701105374</t>
  </si>
  <si>
    <t>2900000401</t>
  </si>
  <si>
    <t>4701105538</t>
  </si>
  <si>
    <t>2900000405</t>
  </si>
  <si>
    <t>4701107024</t>
  </si>
  <si>
    <t>2900000406</t>
  </si>
  <si>
    <t>4701107994</t>
  </si>
  <si>
    <t>2900000411</t>
  </si>
  <si>
    <t>4701108446</t>
  </si>
  <si>
    <t>2900000386</t>
  </si>
  <si>
    <t>PU04964.495000</t>
  </si>
  <si>
    <t>2023009</t>
  </si>
  <si>
    <t>4701123579</t>
  </si>
  <si>
    <t>0100000986</t>
  </si>
  <si>
    <t>4701123580</t>
  </si>
  <si>
    <t>0100000987</t>
  </si>
  <si>
    <t>4701177245</t>
  </si>
  <si>
    <t>4100000033</t>
  </si>
  <si>
    <t>4701177942</t>
  </si>
  <si>
    <t>0400010783</t>
  </si>
  <si>
    <t>4701177943</t>
  </si>
  <si>
    <t>0400010780</t>
  </si>
  <si>
    <t>4701233281</t>
  </si>
  <si>
    <t>0400011118</t>
  </si>
  <si>
    <t>4701233303</t>
  </si>
  <si>
    <t>0100001047</t>
  </si>
  <si>
    <t>4701233305</t>
  </si>
  <si>
    <t>0100001048</t>
  </si>
  <si>
    <t>4701245066</t>
  </si>
  <si>
    <t>0445205005</t>
  </si>
  <si>
    <t>4701245193</t>
  </si>
  <si>
    <t>0400011171</t>
  </si>
  <si>
    <t>4701245676</t>
  </si>
  <si>
    <t>2900000435</t>
  </si>
  <si>
    <t>4701245700</t>
  </si>
  <si>
    <t>0445207523</t>
  </si>
  <si>
    <t>4701270243</t>
  </si>
  <si>
    <t>2900000445</t>
  </si>
  <si>
    <t>4701270958</t>
  </si>
  <si>
    <t>2900000446</t>
  </si>
  <si>
    <t>4701286508</t>
  </si>
  <si>
    <t>2900000449</t>
  </si>
  <si>
    <t>4701286519</t>
  </si>
  <si>
    <t>2900000450</t>
  </si>
  <si>
    <t>4701287180</t>
  </si>
  <si>
    <t>2900000457</t>
  </si>
  <si>
    <t>4701303257</t>
  </si>
  <si>
    <t>2900000458</t>
  </si>
  <si>
    <t>4701303684</t>
  </si>
  <si>
    <t>2900000468</t>
  </si>
  <si>
    <t>December 2020 Reversals</t>
  </si>
  <si>
    <t>June 2021 Optimization</t>
  </si>
  <si>
    <t>March 2021 Optimization</t>
  </si>
  <si>
    <t>March 2021 Optimization R</t>
  </si>
  <si>
    <t>March 2021 Optimization Reversals</t>
  </si>
  <si>
    <t>September 2021 Optimizati</t>
  </si>
  <si>
    <t>September 2021 Optimization</t>
  </si>
  <si>
    <t>September 2021 Optimization Reversals</t>
  </si>
  <si>
    <t>Act for Qtr Month End Jan</t>
  </si>
  <si>
    <t>Act for Qtr Month End Jan 2021</t>
  </si>
  <si>
    <t>5360RA0214Q016</t>
  </si>
  <si>
    <t>0700006355</t>
  </si>
  <si>
    <t>0700006374</t>
  </si>
  <si>
    <t>0700006573</t>
  </si>
  <si>
    <t>0700006621</t>
  </si>
  <si>
    <t>0700006637</t>
  </si>
  <si>
    <t>0700006650</t>
  </si>
  <si>
    <t>0700006704</t>
  </si>
  <si>
    <t>0700006746</t>
  </si>
  <si>
    <t>0700006883</t>
  </si>
  <si>
    <t>0700006986</t>
  </si>
  <si>
    <t>0800401501</t>
  </si>
  <si>
    <t>0800402600</t>
  </si>
  <si>
    <t>0800403452</t>
  </si>
  <si>
    <t>0800403536</t>
  </si>
  <si>
    <t>0800404579</t>
  </si>
  <si>
    <t>0800406831</t>
  </si>
  <si>
    <t>0800406836</t>
  </si>
  <si>
    <t>0800407188</t>
  </si>
  <si>
    <t>0800407617</t>
  </si>
  <si>
    <t>0800407649</t>
  </si>
  <si>
    <t>0800408335</t>
  </si>
  <si>
    <t>0800408388</t>
  </si>
  <si>
    <t>0800409210</t>
  </si>
  <si>
    <t>0800409384</t>
  </si>
  <si>
    <t>0800409689</t>
  </si>
  <si>
    <t>0800409902</t>
  </si>
  <si>
    <t>0800410857</t>
  </si>
  <si>
    <t>0800411207</t>
  </si>
  <si>
    <t>0800411397</t>
  </si>
  <si>
    <t>0800411653</t>
  </si>
  <si>
    <t>0800412795</t>
  </si>
  <si>
    <t>0800413264</t>
  </si>
  <si>
    <t>0800413509</t>
  </si>
  <si>
    <t>0800413779</t>
  </si>
  <si>
    <t>0800413812</t>
  </si>
  <si>
    <t>0800414706</t>
  </si>
  <si>
    <t>0800415484</t>
  </si>
  <si>
    <t>0800415496</t>
  </si>
  <si>
    <t>0800415668</t>
  </si>
  <si>
    <t>0800416615</t>
  </si>
  <si>
    <t>0800416724</t>
  </si>
  <si>
    <t>0800416801</t>
  </si>
  <si>
    <t>0800417311</t>
  </si>
  <si>
    <t>0800417312</t>
  </si>
  <si>
    <t>0800417364</t>
  </si>
  <si>
    <t>0800417418</t>
  </si>
  <si>
    <t>0800417958</t>
  </si>
  <si>
    <t>0800418398</t>
  </si>
  <si>
    <t>0800418691</t>
  </si>
  <si>
    <t>0800418908</t>
  </si>
  <si>
    <t>0800419697</t>
  </si>
  <si>
    <t>0800420521</t>
  </si>
  <si>
    <t>0800420688</t>
  </si>
  <si>
    <t>0800420700</t>
  </si>
  <si>
    <t>0800422210</t>
  </si>
  <si>
    <t>0800422221</t>
  </si>
  <si>
    <t>0800422227</t>
  </si>
  <si>
    <t>0800422825</t>
  </si>
  <si>
    <t>0800422826</t>
  </si>
  <si>
    <t>0800423178</t>
  </si>
  <si>
    <t>0800423181</t>
  </si>
  <si>
    <t>0800423217</t>
  </si>
  <si>
    <t>0800423257</t>
  </si>
  <si>
    <t>0800423278</t>
  </si>
  <si>
    <t>0800424195</t>
  </si>
  <si>
    <t>0800424202</t>
  </si>
  <si>
    <t>0800424247</t>
  </si>
  <si>
    <t>0800424248</t>
  </si>
  <si>
    <t>0800424428</t>
  </si>
  <si>
    <t>0800424665</t>
  </si>
  <si>
    <t>0800424688</t>
  </si>
  <si>
    <t>0800425442</t>
  </si>
  <si>
    <t>0800426075</t>
  </si>
  <si>
    <t>0800426264</t>
  </si>
  <si>
    <t>0800426267</t>
  </si>
  <si>
    <t>0800426268</t>
  </si>
  <si>
    <t>0800426518</t>
  </si>
  <si>
    <t>0800426521</t>
  </si>
  <si>
    <t>0800427916</t>
  </si>
  <si>
    <t>0800428585</t>
  </si>
  <si>
    <t>0800428967</t>
  </si>
  <si>
    <t>0800430268</t>
  </si>
  <si>
    <t>0800430589</t>
  </si>
  <si>
    <t>0800430883</t>
  </si>
  <si>
    <t>0800430884</t>
  </si>
  <si>
    <t>0800430885</t>
  </si>
  <si>
    <t>0800431355</t>
  </si>
  <si>
    <t>0800432289</t>
  </si>
  <si>
    <t>0800432442</t>
  </si>
  <si>
    <t>0800432795</t>
  </si>
  <si>
    <t>0800433133</t>
  </si>
  <si>
    <t>0800433768</t>
  </si>
  <si>
    <t>0800433892</t>
  </si>
  <si>
    <t>0800434130</t>
  </si>
  <si>
    <t>0800434181</t>
  </si>
  <si>
    <t>0800434185</t>
  </si>
  <si>
    <t>0800436188</t>
  </si>
  <si>
    <t>0800436887</t>
  </si>
  <si>
    <t>0800437302</t>
  </si>
  <si>
    <t>0800437318</t>
  </si>
  <si>
    <t>0800437329</t>
  </si>
  <si>
    <t>0800437593</t>
  </si>
  <si>
    <t>0800438150</t>
  </si>
  <si>
    <t>0800439061</t>
  </si>
  <si>
    <t>0800439365</t>
  </si>
  <si>
    <t>0800439591</t>
  </si>
  <si>
    <t>0800441077</t>
  </si>
  <si>
    <t>0800441463</t>
  </si>
  <si>
    <t>0800441616</t>
  </si>
  <si>
    <t>0800442270</t>
  </si>
  <si>
    <t>0800442380</t>
  </si>
  <si>
    <t>0800442909</t>
  </si>
  <si>
    <t>0800443338</t>
  </si>
  <si>
    <t>0800443625</t>
  </si>
  <si>
    <t>0800443888</t>
  </si>
  <si>
    <t>0800444121</t>
  </si>
  <si>
    <t>0800444370</t>
  </si>
  <si>
    <t>0800444937</t>
  </si>
  <si>
    <t>0800445488</t>
  </si>
  <si>
    <t>0800445988</t>
  </si>
  <si>
    <t>0800446161</t>
  </si>
  <si>
    <t>0800446202</t>
  </si>
  <si>
    <t>0800446407</t>
  </si>
  <si>
    <t>0800446408</t>
  </si>
  <si>
    <t>0800446955</t>
  </si>
  <si>
    <t>0800446993</t>
  </si>
  <si>
    <t>0800447075</t>
  </si>
  <si>
    <t>0800448035</t>
  </si>
  <si>
    <t>0800450087</t>
  </si>
  <si>
    <t>0800451320</t>
  </si>
  <si>
    <t>0800451324</t>
  </si>
  <si>
    <t>0800452458</t>
  </si>
  <si>
    <t>0800452610</t>
  </si>
  <si>
    <t>0800454156</t>
  </si>
  <si>
    <t>0800454605</t>
  </si>
  <si>
    <t>0800456194</t>
  </si>
  <si>
    <t>0800457423</t>
  </si>
  <si>
    <t>0800458157</t>
  </si>
  <si>
    <t>0800458168</t>
  </si>
  <si>
    <t>0800458434</t>
  </si>
  <si>
    <t>0800459308</t>
  </si>
  <si>
    <t>0800459590</t>
  </si>
  <si>
    <t>0800461076</t>
  </si>
  <si>
    <t>0800462668</t>
  </si>
  <si>
    <t>0800463772</t>
  </si>
  <si>
    <t>500107585</t>
  </si>
  <si>
    <t>800430883</t>
  </si>
  <si>
    <t>move Kenyon to X order</t>
  </si>
  <si>
    <t>5360BS3939N01</t>
  </si>
  <si>
    <t>NECO FY21 FERC to ECC Jou</t>
  </si>
  <si>
    <t>FERC to ECC Variance Adjustment</t>
  </si>
  <si>
    <t>5360NE3335N01</t>
  </si>
  <si>
    <t>rev entry 9800000082</t>
  </si>
  <si>
    <t>reverse move Kenyon to X order</t>
  </si>
  <si>
    <t>5360BS3939N02</t>
  </si>
  <si>
    <t>ACT 10029924188 9901</t>
  </si>
  <si>
    <t>ACT 10029970697 9901</t>
  </si>
  <si>
    <t>ACT 10030114053 9901</t>
  </si>
  <si>
    <t>ACT 10030286286 9901</t>
  </si>
  <si>
    <t>ACT 10030286452 9901</t>
  </si>
  <si>
    <t>ACT 10030289274 9901</t>
  </si>
  <si>
    <t>ACT 10030291565 9901</t>
  </si>
  <si>
    <t>ACT 10030297721 9901</t>
  </si>
  <si>
    <t>ACT 10030301332 9901</t>
  </si>
  <si>
    <t>ACT 10030301620 9901</t>
  </si>
  <si>
    <t>ACT 10030302161 9901</t>
  </si>
  <si>
    <t>ACT 10030314215 9901</t>
  </si>
  <si>
    <t>ACT 10030315875 9901</t>
  </si>
  <si>
    <t>ACT 10030318020 9901</t>
  </si>
  <si>
    <t>ACT 10030323537 9901</t>
  </si>
  <si>
    <t>ACT 10030329040 9901</t>
  </si>
  <si>
    <t>ACT 10030330646 9901</t>
  </si>
  <si>
    <t>ACT 10030334039 9901</t>
  </si>
  <si>
    <t>ACT 10030334486 9901</t>
  </si>
  <si>
    <t>ACT 10030336264 9901</t>
  </si>
  <si>
    <t>ACT 10030338090 9901</t>
  </si>
  <si>
    <t>ACT 10030338388 9901</t>
  </si>
  <si>
    <t>ACT 10030339778 9901</t>
  </si>
  <si>
    <t>ACT 10030340876 9901</t>
  </si>
  <si>
    <t>ACT 10030341075 9901</t>
  </si>
  <si>
    <t>ACT 10030342022 9901</t>
  </si>
  <si>
    <t>ACT 10030347083 9901</t>
  </si>
  <si>
    <t>ACT 10030347467 9901</t>
  </si>
  <si>
    <t>ACT 10030347600 9901</t>
  </si>
  <si>
    <t>ACT 10030350153 9901</t>
  </si>
  <si>
    <t>ACT 10030350648 9901</t>
  </si>
  <si>
    <t>ACT 10030350729 9901</t>
  </si>
  <si>
    <t>ACT 10030352635 9901</t>
  </si>
  <si>
    <t>ACT 10030353071 9901</t>
  </si>
  <si>
    <t>ACT 10030353489 9901</t>
  </si>
  <si>
    <t>ACT 10030356022 9901</t>
  </si>
  <si>
    <t>ACT 10030357185 9901</t>
  </si>
  <si>
    <t>ACT 10030359602 9901</t>
  </si>
  <si>
    <t>ACT 10030360228 9901</t>
  </si>
  <si>
    <t>ACT 10030360539 9901</t>
  </si>
  <si>
    <t>ACT 10030360753 9901</t>
  </si>
  <si>
    <t>ACT 10030362007 9901</t>
  </si>
  <si>
    <t>ACT 10030362589 9901</t>
  </si>
  <si>
    <t>ACT 10030364227 9901</t>
  </si>
  <si>
    <t>ACT 10030365183 9901</t>
  </si>
  <si>
    <t>ACT 10030366026 9901</t>
  </si>
  <si>
    <t>ACT 10030366699 9901</t>
  </si>
  <si>
    <t>ACT 10030367811 9901</t>
  </si>
  <si>
    <t>ACT 10030367908 9901</t>
  </si>
  <si>
    <t>ACT 10030368664 9901</t>
  </si>
  <si>
    <t>ACT 10030368686 9901</t>
  </si>
  <si>
    <t>ACT 10030369177 9901</t>
  </si>
  <si>
    <t>ACT 10030372417 9901</t>
  </si>
  <si>
    <t>ACT 10030373570 9901</t>
  </si>
  <si>
    <t>ACT 10030378227 9901</t>
  </si>
  <si>
    <t>ACT 10030378537 9901</t>
  </si>
  <si>
    <t>ACT 10030378604 9901</t>
  </si>
  <si>
    <t>ACT 10030378605 9901</t>
  </si>
  <si>
    <t>ACT 10030378819 9901</t>
  </si>
  <si>
    <t>ACT 10030378989 9901</t>
  </si>
  <si>
    <t>ACT 10030379047 9901</t>
  </si>
  <si>
    <t>ACT 10030379709 9901</t>
  </si>
  <si>
    <t>ACT 10030381332 9901</t>
  </si>
  <si>
    <t>ACT 10030382454 9901</t>
  </si>
  <si>
    <t>ACT 10030382462 9901</t>
  </si>
  <si>
    <t>ACT 10030383029 9901</t>
  </si>
  <si>
    <t>ACT 10030383151 9901</t>
  </si>
  <si>
    <t>ACT 10030384238 9901</t>
  </si>
  <si>
    <t>ACT 10030385722 9901</t>
  </si>
  <si>
    <t>ACT 10030387892 9901</t>
  </si>
  <si>
    <t>ACT 10030388020 9901</t>
  </si>
  <si>
    <t>ACT 10030388895 9901</t>
  </si>
  <si>
    <t>ACT 10030390898 9901</t>
  </si>
  <si>
    <t>ACT 10030395362 9901</t>
  </si>
  <si>
    <t>ACT 10030396822 9901</t>
  </si>
  <si>
    <t>ACT 10030396849 9901</t>
  </si>
  <si>
    <t>ACT 10030399563 9901</t>
  </si>
  <si>
    <t>ACT 10030402342 9901</t>
  </si>
  <si>
    <t>ACT 10030405339 9901</t>
  </si>
  <si>
    <t>ACT 10030406892 9901</t>
  </si>
  <si>
    <t>ACT 10030407987 9901</t>
  </si>
  <si>
    <t>ACT 10030408606 9901</t>
  </si>
  <si>
    <t>ACT 10030409245 9901</t>
  </si>
  <si>
    <t>ACT 10030411753 9901</t>
  </si>
  <si>
    <t>ACT 10030417465 9901</t>
  </si>
  <si>
    <t>ACT 10030418720 9901</t>
  </si>
  <si>
    <t>ACT 10030420633 9901</t>
  </si>
  <si>
    <t>ACT 10030420861 9901</t>
  </si>
  <si>
    <t>ACT 10030420973 9901</t>
  </si>
  <si>
    <t>ACT 10030421892 9901</t>
  </si>
  <si>
    <t>ACT 10030422510 9901</t>
  </si>
  <si>
    <t>ACT 10030427875 9901</t>
  </si>
  <si>
    <t>ACT 10030428341 9901</t>
  </si>
  <si>
    <t>ACT 10030428462 9901</t>
  </si>
  <si>
    <t>ACT 10030432489 9901</t>
  </si>
  <si>
    <t>ACT 10030434463 9901</t>
  </si>
  <si>
    <t>ACT 10030434570 9901</t>
  </si>
  <si>
    <t>ACT 10030434992 9901</t>
  </si>
  <si>
    <t>ACT 10030436963 9901</t>
  </si>
  <si>
    <t>ACT 10030439150 9901</t>
  </si>
  <si>
    <t>ACT 10030441109 9901</t>
  </si>
  <si>
    <t>ACT 10030444503 9901</t>
  </si>
  <si>
    <t>ACT 10030444508 9901</t>
  </si>
  <si>
    <t>ACT 10030446077 9901</t>
  </si>
  <si>
    <t>ACT 10030446540 9901</t>
  </si>
  <si>
    <t>ACT 10030449140 9901</t>
  </si>
  <si>
    <t>ACT 10030449648 9901</t>
  </si>
  <si>
    <t>ACT 10030451174 9901</t>
  </si>
  <si>
    <t>ACT 10030451717 9901</t>
  </si>
  <si>
    <t>ACT 10030453278 9901</t>
  </si>
  <si>
    <t>ACT 10030453287 9901</t>
  </si>
  <si>
    <t>ACT 10030453600 9901</t>
  </si>
  <si>
    <t>ACT 10030457764 9901</t>
  </si>
  <si>
    <t>ACT 10030464801 9901</t>
  </si>
  <si>
    <t>ACT 10030475230 9902</t>
  </si>
  <si>
    <t>ACT 10030475923 9901</t>
  </si>
  <si>
    <t>ACT 10030477295 9901</t>
  </si>
  <si>
    <t>ACT 10030486636 9902</t>
  </si>
  <si>
    <t>ACT 10030489621 9901</t>
  </si>
  <si>
    <t>ACT 10030491412 9901</t>
  </si>
  <si>
    <t>ACT 10030493236 9901</t>
  </si>
  <si>
    <t>ACT 10030499761 9902</t>
  </si>
  <si>
    <t>ACT 10030506371 9901</t>
  </si>
  <si>
    <t>ACT 10030506439 9901</t>
  </si>
  <si>
    <t>ACT 90000175843 9901</t>
  </si>
  <si>
    <t>ACT 90000206738 9901</t>
  </si>
  <si>
    <t>ACT 90000213444 9901</t>
  </si>
  <si>
    <t>ACT 90000217771 9901</t>
  </si>
  <si>
    <t>ACT 90000218716 9901</t>
  </si>
  <si>
    <t>ACT 90000219290 9901</t>
  </si>
  <si>
    <t>ACT 90000219520 9901</t>
  </si>
  <si>
    <t>ACT 90000219560 9901</t>
  </si>
  <si>
    <t>ACT 90000219980 9901</t>
  </si>
  <si>
    <t>ACT 90000220252 9901</t>
  </si>
  <si>
    <t>ACT 90000222374 9901</t>
  </si>
  <si>
    <t>ACT 90000222383 9901</t>
  </si>
  <si>
    <t>WBS C072346.DC9901</t>
  </si>
  <si>
    <t>WBS Y074706.GC0004</t>
  </si>
  <si>
    <t>NGUS/C495011Y</t>
  </si>
  <si>
    <t>2020 SHI Trueup Gas</t>
  </si>
  <si>
    <t>2021 SHI Gas</t>
  </si>
  <si>
    <t>FY 19 RDM  Adjustment</t>
  </si>
  <si>
    <t>5360NE0909AFY19</t>
  </si>
  <si>
    <t>FY 20 RDM Adjustment</t>
  </si>
  <si>
    <t>5360NE0909AFY20</t>
  </si>
  <si>
    <t>Miscellaneous Adj</t>
  </si>
  <si>
    <t>5360NE0909M09MIS</t>
  </si>
  <si>
    <t>RI Gas DAC Unbilled April</t>
  </si>
  <si>
    <t>RI Gas DAC Unbilled August</t>
  </si>
  <si>
    <t>RI Gas DAC Unbilled December</t>
  </si>
  <si>
    <t>RI Gas DAC Unbilled GET April</t>
  </si>
  <si>
    <t>RI Gas DAC Unbilled GET August</t>
  </si>
  <si>
    <t>RI Gas DAC Unbilled GET December</t>
  </si>
  <si>
    <t>RI Gas DAC Unbilled GET July</t>
  </si>
  <si>
    <t>RI Gas DAC Unbilled GET June</t>
  </si>
  <si>
    <t>RI Gas DAC Unbilled GET November</t>
  </si>
  <si>
    <t>RI Gas DAC Unbilled July</t>
  </si>
  <si>
    <t>RI Gas DAC Unbilled June</t>
  </si>
  <si>
    <t>RI Gas DAC Unbilled November</t>
  </si>
  <si>
    <t>FY19 Filing - Collections</t>
  </si>
  <si>
    <t>FY19 Filing - Interest</t>
  </si>
  <si>
    <t>FY20 Filing - Interest</t>
  </si>
  <si>
    <t>Interest Storm Net Revenue Adjustment</t>
  </si>
  <si>
    <t>Storm Net Revenue Interest Reclass</t>
  </si>
  <si>
    <t>IS Mod Deferral</t>
  </si>
  <si>
    <t>IS Mod Deferral O/U</t>
  </si>
  <si>
    <t>5360NE0909M11-2</t>
  </si>
  <si>
    <t>IS Mod Deferral O/U -  REV</t>
  </si>
  <si>
    <t>5360NE0909M11-2R</t>
  </si>
  <si>
    <t>IS Mod Deferral O/U UPDATED</t>
  </si>
  <si>
    <t>5360NE0909M26-V1</t>
  </si>
  <si>
    <t>LIHEAP O/U GET True Up</t>
  </si>
  <si>
    <t>LIHEAP O/U Int</t>
  </si>
  <si>
    <t>LIHEAP O/U Int Rate rec</t>
  </si>
  <si>
    <t>LIHEAP O/U Int Reclass</t>
  </si>
  <si>
    <t>LIHEAP O/U Int True Up</t>
  </si>
  <si>
    <t>LIHEAP O/U True Up</t>
  </si>
  <si>
    <t>Low Incom Discount  GET</t>
  </si>
  <si>
    <t>Low Incom Discount Over/Under</t>
  </si>
  <si>
    <t>Tax Cuts Rev Req Adj.</t>
  </si>
  <si>
    <t>5360NE0909M03A</t>
  </si>
  <si>
    <t>5360NE0909M03APR</t>
  </si>
  <si>
    <t>Various Misc adjustments</t>
  </si>
  <si>
    <t>5360NE0909MADJ-G</t>
  </si>
  <si>
    <t>Record DAC AMP ADJ</t>
  </si>
  <si>
    <t>94950000 6002_-_ACDOCA_Report_by_Account_(FERC_on_HANA)</t>
  </si>
  <si>
    <t>C6607600\PPC4950090</t>
  </si>
  <si>
    <t>2021010</t>
  </si>
  <si>
    <t>4701600484</t>
  </si>
  <si>
    <t>0400018441</t>
  </si>
  <si>
    <t>4701600793</t>
  </si>
  <si>
    <t>0413062602</t>
  </si>
  <si>
    <t>4701600795</t>
  </si>
  <si>
    <t>0413062668</t>
  </si>
  <si>
    <t>4701600798</t>
  </si>
  <si>
    <t>0413062735</t>
  </si>
  <si>
    <t>4701600800</t>
  </si>
  <si>
    <t>0413062800</t>
  </si>
  <si>
    <t>4701600801</t>
  </si>
  <si>
    <t>0413062833</t>
  </si>
  <si>
    <t>4701600810</t>
  </si>
  <si>
    <t>0413062681</t>
  </si>
  <si>
    <t>4701600816</t>
  </si>
  <si>
    <t>0413062860</t>
  </si>
  <si>
    <t>2021011</t>
  </si>
  <si>
    <t>4701760945</t>
  </si>
  <si>
    <t>0400019940</t>
  </si>
  <si>
    <t>4701760974</t>
  </si>
  <si>
    <t>0414471785</t>
  </si>
  <si>
    <t>4701761018</t>
  </si>
  <si>
    <t>0414472100</t>
  </si>
  <si>
    <t>4701761019</t>
  </si>
  <si>
    <t>0414472123</t>
  </si>
  <si>
    <t>4701761022</t>
  </si>
  <si>
    <t>0414472135</t>
  </si>
  <si>
    <t>4701761025</t>
  </si>
  <si>
    <t>0414472147</t>
  </si>
  <si>
    <t>4701761028</t>
  </si>
  <si>
    <t>0414472158</t>
  </si>
  <si>
    <t>4701761029</t>
  </si>
  <si>
    <t>0414472114</t>
  </si>
  <si>
    <t>2021012</t>
  </si>
  <si>
    <t>4701917262</t>
  </si>
  <si>
    <t>0400021913</t>
  </si>
  <si>
    <t>4701917280</t>
  </si>
  <si>
    <t>0415836519</t>
  </si>
  <si>
    <t>4701917281</t>
  </si>
  <si>
    <t>0415836552</t>
  </si>
  <si>
    <t>4701917283</t>
  </si>
  <si>
    <t>0415836563</t>
  </si>
  <si>
    <t>4701917285</t>
  </si>
  <si>
    <t>0415836573</t>
  </si>
  <si>
    <t>4701917287</t>
  </si>
  <si>
    <t>0415836584</t>
  </si>
  <si>
    <t>4701917293</t>
  </si>
  <si>
    <t>0415836692</t>
  </si>
  <si>
    <t>4701917294</t>
  </si>
  <si>
    <t>0415836705</t>
  </si>
  <si>
    <t>4701927744</t>
  </si>
  <si>
    <t>0400022003</t>
  </si>
  <si>
    <t>N015124.495106</t>
  </si>
  <si>
    <t>2022001</t>
  </si>
  <si>
    <t>4700162550</t>
  </si>
  <si>
    <t>0400001663</t>
  </si>
  <si>
    <t>4700162685</t>
  </si>
  <si>
    <t>0417395612</t>
  </si>
  <si>
    <t>4700162693</t>
  </si>
  <si>
    <t>0417395651</t>
  </si>
  <si>
    <t>4700162695</t>
  </si>
  <si>
    <t>0417395676</t>
  </si>
  <si>
    <t>4700162699</t>
  </si>
  <si>
    <t>0417395689</t>
  </si>
  <si>
    <t>4700162702</t>
  </si>
  <si>
    <t>0417395698</t>
  </si>
  <si>
    <t>4700162705</t>
  </si>
  <si>
    <t>0417395710</t>
  </si>
  <si>
    <t>4700162706</t>
  </si>
  <si>
    <t>0417395748</t>
  </si>
  <si>
    <t>2022002</t>
  </si>
  <si>
    <t>4700216380</t>
  </si>
  <si>
    <t>0417679410</t>
  </si>
  <si>
    <t>9230</t>
  </si>
  <si>
    <t>Y025347.AG0002</t>
  </si>
  <si>
    <t>4700359129</t>
  </si>
  <si>
    <t>0400003351</t>
  </si>
  <si>
    <t>4700359144</t>
  </si>
  <si>
    <t>0418730776</t>
  </si>
  <si>
    <t>4700359198</t>
  </si>
  <si>
    <t>0418730934</t>
  </si>
  <si>
    <t>4700359218</t>
  </si>
  <si>
    <t>0418730995</t>
  </si>
  <si>
    <t>4700359221</t>
  </si>
  <si>
    <t>0418731005</t>
  </si>
  <si>
    <t>4700359224</t>
  </si>
  <si>
    <t>0418730925</t>
  </si>
  <si>
    <t>4700359226</t>
  </si>
  <si>
    <t>0418730950</t>
  </si>
  <si>
    <t>4700359227</t>
  </si>
  <si>
    <t>0418730962</t>
  </si>
  <si>
    <t>2022003</t>
  </si>
  <si>
    <t>4700543080</t>
  </si>
  <si>
    <t>0400005067</t>
  </si>
  <si>
    <t>4700544842</t>
  </si>
  <si>
    <t>0420080069</t>
  </si>
  <si>
    <t>4700544843</t>
  </si>
  <si>
    <t>0420080070</t>
  </si>
  <si>
    <t>4700544845</t>
  </si>
  <si>
    <t>0420080102</t>
  </si>
  <si>
    <t>4700544847</t>
  </si>
  <si>
    <t>0420080107</t>
  </si>
  <si>
    <t>4700544849</t>
  </si>
  <si>
    <t>0420080114</t>
  </si>
  <si>
    <t>4700544851</t>
  </si>
  <si>
    <t>0420080119</t>
  </si>
  <si>
    <t>4700544852</t>
  </si>
  <si>
    <t>0420080121</t>
  </si>
  <si>
    <t>2022004</t>
  </si>
  <si>
    <t>4700703468</t>
  </si>
  <si>
    <t>0400006770</t>
  </si>
  <si>
    <t>4700703508</t>
  </si>
  <si>
    <t>0421517405</t>
  </si>
  <si>
    <t>4700703510</t>
  </si>
  <si>
    <t>0421517415</t>
  </si>
  <si>
    <t>4700703511</t>
  </si>
  <si>
    <t>0421517438</t>
  </si>
  <si>
    <t>4700703513</t>
  </si>
  <si>
    <t>0421517443</t>
  </si>
  <si>
    <t>4700703516</t>
  </si>
  <si>
    <t>0421517450</t>
  </si>
  <si>
    <t>4700703519</t>
  </si>
  <si>
    <t>0421517452</t>
  </si>
  <si>
    <t>4700703520</t>
  </si>
  <si>
    <t>0421517453</t>
  </si>
  <si>
    <t>4700703523</t>
  </si>
  <si>
    <t>0421517535</t>
  </si>
  <si>
    <t>2022005</t>
  </si>
  <si>
    <t>4700957580</t>
  </si>
  <si>
    <t>0400009000</t>
  </si>
  <si>
    <t>4700958001</t>
  </si>
  <si>
    <t>0423055808</t>
  </si>
  <si>
    <t>4700958035</t>
  </si>
  <si>
    <t>0423056332</t>
  </si>
  <si>
    <t>4700958037</t>
  </si>
  <si>
    <t>0423056335</t>
  </si>
  <si>
    <t>4700958040</t>
  </si>
  <si>
    <t>0423056338</t>
  </si>
  <si>
    <t>4700958042</t>
  </si>
  <si>
    <t>0423056343</t>
  </si>
  <si>
    <t>4700958043</t>
  </si>
  <si>
    <t>0423056345</t>
  </si>
  <si>
    <t>4700958045</t>
  </si>
  <si>
    <t>0423056355</t>
  </si>
  <si>
    <t>4700958047</t>
  </si>
  <si>
    <t>0423056354</t>
  </si>
  <si>
    <t>4700958055</t>
  </si>
  <si>
    <t>0423056394</t>
  </si>
  <si>
    <t>4700958060</t>
  </si>
  <si>
    <t>0423056422</t>
  </si>
  <si>
    <t>2022006</t>
  </si>
  <si>
    <t>4701124362</t>
  </si>
  <si>
    <t>0400010676</t>
  </si>
  <si>
    <t>4701126575</t>
  </si>
  <si>
    <t>0424447382</t>
  </si>
  <si>
    <t>4701126580</t>
  </si>
  <si>
    <t>0424447441</t>
  </si>
  <si>
    <t>4701126582</t>
  </si>
  <si>
    <t>0424447446</t>
  </si>
  <si>
    <t>4701126585</t>
  </si>
  <si>
    <t>0424447450</t>
  </si>
  <si>
    <t>4701126586</t>
  </si>
  <si>
    <t>0424447451</t>
  </si>
  <si>
    <t>4701126587</t>
  </si>
  <si>
    <t>0424447452</t>
  </si>
  <si>
    <t>4701126589</t>
  </si>
  <si>
    <t>0424447455</t>
  </si>
  <si>
    <t>4701126591</t>
  </si>
  <si>
    <t>0424447411</t>
  </si>
  <si>
    <t>4701126592</t>
  </si>
  <si>
    <t>0424447430</t>
  </si>
  <si>
    <t>4701126596</t>
  </si>
  <si>
    <t>0424447321</t>
  </si>
  <si>
    <t>2022007</t>
  </si>
  <si>
    <t>4701291777</t>
  </si>
  <si>
    <t>0400012072</t>
  </si>
  <si>
    <t>4701294183</t>
  </si>
  <si>
    <t>0425936969</t>
  </si>
  <si>
    <t>4701294184</t>
  </si>
  <si>
    <t>0425936981</t>
  </si>
  <si>
    <t>4701294187</t>
  </si>
  <si>
    <t>0425937001</t>
  </si>
  <si>
    <t>4701294189</t>
  </si>
  <si>
    <t>0425937006</t>
  </si>
  <si>
    <t>4701294191</t>
  </si>
  <si>
    <t>0425937008</t>
  </si>
  <si>
    <t>4701294193</t>
  </si>
  <si>
    <t>0425937010</t>
  </si>
  <si>
    <t>4701294195</t>
  </si>
  <si>
    <t>0425937012</t>
  </si>
  <si>
    <t>4701294197</t>
  </si>
  <si>
    <t>0425937014</t>
  </si>
  <si>
    <t>4701294198</t>
  </si>
  <si>
    <t>0425937015</t>
  </si>
  <si>
    <t>4701294200</t>
  </si>
  <si>
    <t>0425937017</t>
  </si>
  <si>
    <t>2022008</t>
  </si>
  <si>
    <t>4701452862</t>
  </si>
  <si>
    <t>0400013584</t>
  </si>
  <si>
    <t>4701453080</t>
  </si>
  <si>
    <t>0427237593</t>
  </si>
  <si>
    <t>4701453086</t>
  </si>
  <si>
    <t>0427237637</t>
  </si>
  <si>
    <t>4701453089</t>
  </si>
  <si>
    <t>0427237658</t>
  </si>
  <si>
    <t>4701453091</t>
  </si>
  <si>
    <t>0427237661</t>
  </si>
  <si>
    <t>4701453093</t>
  </si>
  <si>
    <t>0427237665</t>
  </si>
  <si>
    <t>4701453095</t>
  </si>
  <si>
    <t>0427237669</t>
  </si>
  <si>
    <t>4701453097</t>
  </si>
  <si>
    <t>0427237672</t>
  </si>
  <si>
    <t>4701453098</t>
  </si>
  <si>
    <t>0427237674</t>
  </si>
  <si>
    <t>4701453100</t>
  </si>
  <si>
    <t>0427237678</t>
  </si>
  <si>
    <t>4701453102</t>
  </si>
  <si>
    <t>0427237706</t>
  </si>
  <si>
    <t>2022009</t>
  </si>
  <si>
    <t>4701688948</t>
  </si>
  <si>
    <t>0400015215</t>
  </si>
  <si>
    <t>4701689179</t>
  </si>
  <si>
    <t>0428654546</t>
  </si>
  <si>
    <t>4701689209</t>
  </si>
  <si>
    <t>0428655018</t>
  </si>
  <si>
    <t>4701689212</t>
  </si>
  <si>
    <t>0428655255</t>
  </si>
  <si>
    <t>4701689215</t>
  </si>
  <si>
    <t>0428655257</t>
  </si>
  <si>
    <t>4701689216</t>
  </si>
  <si>
    <t>0428655245</t>
  </si>
  <si>
    <t>4701689221</t>
  </si>
  <si>
    <t>0428655259</t>
  </si>
  <si>
    <t>4701689222</t>
  </si>
  <si>
    <t>0428655248</t>
  </si>
  <si>
    <t>4701689224</t>
  </si>
  <si>
    <t>0428655249</t>
  </si>
  <si>
    <t>4701689225</t>
  </si>
  <si>
    <t>0428655263</t>
  </si>
  <si>
    <t>4701689257</t>
  </si>
  <si>
    <t>0428655119</t>
  </si>
  <si>
    <t>4701689268</t>
  </si>
  <si>
    <t>0428655131</t>
  </si>
  <si>
    <t xml:space="preserve">Source   </t>
  </si>
  <si>
    <t>S:\2021 ri gas\ESM\Supporting Schedules\94950000 4705_-_All_Journal_Entry_Details_V6</t>
  </si>
  <si>
    <t>S:\2021 ri gas\ESM\Supporting Schedules\94950000 6002_-_ACDOCA_Report_by_Account_(FERC_on_HANA)</t>
  </si>
  <si>
    <t>Dec 2019 Optimization Rev</t>
  </si>
  <si>
    <t>Dec 2019 Optimization Reversals</t>
  </si>
  <si>
    <t>December 2020 Optimizatio</t>
  </si>
  <si>
    <t>December 2020 Optimization</t>
  </si>
  <si>
    <t>June 2020 Optimization</t>
  </si>
  <si>
    <t>June 2020 Optimization Re</t>
  </si>
  <si>
    <t>June 2020 Optimization Reversals</t>
  </si>
  <si>
    <t>March 2020 Optimization</t>
  </si>
  <si>
    <t>March 2020 Optimization R</t>
  </si>
  <si>
    <t>March 2020 Optimization Reversals</t>
  </si>
  <si>
    <t>September 2020 Optimizati</t>
  </si>
  <si>
    <t>September 2020 Optimization</t>
  </si>
  <si>
    <t>September 2020 Optimization - Reversals</t>
  </si>
  <si>
    <t>Inventry/Annual AccrlRevsl</t>
  </si>
  <si>
    <t>Act for Qtr Month End</t>
  </si>
  <si>
    <t>5360RA0214Q01KC</t>
  </si>
  <si>
    <t>IMWM S&amp;A</t>
  </si>
  <si>
    <t>5360NE4329Q10</t>
  </si>
  <si>
    <t>0700005665</t>
  </si>
  <si>
    <t>0700005699</t>
  </si>
  <si>
    <t>0700005823</t>
  </si>
  <si>
    <t>0700005879</t>
  </si>
  <si>
    <t>0700005928</t>
  </si>
  <si>
    <t>0700005944</t>
  </si>
  <si>
    <t>0700005946</t>
  </si>
  <si>
    <t>0700005960</t>
  </si>
  <si>
    <t>0700005965</t>
  </si>
  <si>
    <t>0700005969</t>
  </si>
  <si>
    <t>0700005980</t>
  </si>
  <si>
    <t>0700006045</t>
  </si>
  <si>
    <t>0700006144</t>
  </si>
  <si>
    <t>0800348485</t>
  </si>
  <si>
    <t>0800348888</t>
  </si>
  <si>
    <t>0800349499</t>
  </si>
  <si>
    <t>0800350037</t>
  </si>
  <si>
    <t>0800350951</t>
  </si>
  <si>
    <t>0800351409</t>
  </si>
  <si>
    <t>0800352023</t>
  </si>
  <si>
    <t>0800352046</t>
  </si>
  <si>
    <t>0800352120</t>
  </si>
  <si>
    <t>0800352145</t>
  </si>
  <si>
    <t>0800352331</t>
  </si>
  <si>
    <t>0800352702</t>
  </si>
  <si>
    <t>0800353369</t>
  </si>
  <si>
    <t>0800353804</t>
  </si>
  <si>
    <t>0800353805</t>
  </si>
  <si>
    <t>0800354419</t>
  </si>
  <si>
    <t>0800354442</t>
  </si>
  <si>
    <t>0800354444</t>
  </si>
  <si>
    <t>0800354526</t>
  </si>
  <si>
    <t>0800355961</t>
  </si>
  <si>
    <t>0800355974</t>
  </si>
  <si>
    <t>0800355976</t>
  </si>
  <si>
    <t>0800356652</t>
  </si>
  <si>
    <t>0800356815</t>
  </si>
  <si>
    <t>0800357315</t>
  </si>
  <si>
    <t>0800357709</t>
  </si>
  <si>
    <t>0800358316</t>
  </si>
  <si>
    <t>0800358536</t>
  </si>
  <si>
    <t>0800359185</t>
  </si>
  <si>
    <t>0800359465</t>
  </si>
  <si>
    <t>0800361003</t>
  </si>
  <si>
    <t>0800361018</t>
  </si>
  <si>
    <t>0800361358</t>
  </si>
  <si>
    <t>0800361535</t>
  </si>
  <si>
    <t>0800362310</t>
  </si>
  <si>
    <t>0800363290</t>
  </si>
  <si>
    <t>0800363588</t>
  </si>
  <si>
    <t>0800364797</t>
  </si>
  <si>
    <t>0800365235</t>
  </si>
  <si>
    <t>0800366120</t>
  </si>
  <si>
    <t>0800366121</t>
  </si>
  <si>
    <t>0800367372</t>
  </si>
  <si>
    <t>0800367376</t>
  </si>
  <si>
    <t>0800367461</t>
  </si>
  <si>
    <t>0800368082</t>
  </si>
  <si>
    <t>0800368083</t>
  </si>
  <si>
    <t>0800368642</t>
  </si>
  <si>
    <t>0800369277</t>
  </si>
  <si>
    <t>0800369332</t>
  </si>
  <si>
    <t>0800369489</t>
  </si>
  <si>
    <t>0800369495</t>
  </si>
  <si>
    <t>0800369758</t>
  </si>
  <si>
    <t>0800369759</t>
  </si>
  <si>
    <t>0800369911</t>
  </si>
  <si>
    <t>0800370041</t>
  </si>
  <si>
    <t>0800370056</t>
  </si>
  <si>
    <t>0800370102</t>
  </si>
  <si>
    <t>0800370103</t>
  </si>
  <si>
    <t>0800370537</t>
  </si>
  <si>
    <t>0800370829</t>
  </si>
  <si>
    <t>0800370849</t>
  </si>
  <si>
    <t>0800371841</t>
  </si>
  <si>
    <t>0800372011</t>
  </si>
  <si>
    <t>0800372025</t>
  </si>
  <si>
    <t>0800372684</t>
  </si>
  <si>
    <t>0800372793</t>
  </si>
  <si>
    <t>0800372841</t>
  </si>
  <si>
    <t>0800372872</t>
  </si>
  <si>
    <t>0800373061</t>
  </si>
  <si>
    <t>0800373303</t>
  </si>
  <si>
    <t>0800373464</t>
  </si>
  <si>
    <t>0800373465</t>
  </si>
  <si>
    <t>0800373484</t>
  </si>
  <si>
    <t>0800373523</t>
  </si>
  <si>
    <t>0800374464</t>
  </si>
  <si>
    <t>0800374622</t>
  </si>
  <si>
    <t>0800375410</t>
  </si>
  <si>
    <t>0800375412</t>
  </si>
  <si>
    <t>0800375679</t>
  </si>
  <si>
    <t>0800375680</t>
  </si>
  <si>
    <t>0800375946</t>
  </si>
  <si>
    <t>0800376155</t>
  </si>
  <si>
    <t>0800376181</t>
  </si>
  <si>
    <t>0800376473</t>
  </si>
  <si>
    <t>0800377083</t>
  </si>
  <si>
    <t>0800377084</t>
  </si>
  <si>
    <t>0800377269</t>
  </si>
  <si>
    <t>0800377270</t>
  </si>
  <si>
    <t>0800377490</t>
  </si>
  <si>
    <t>0800377493</t>
  </si>
  <si>
    <t>0800377666</t>
  </si>
  <si>
    <t>0800377816</t>
  </si>
  <si>
    <t>0800378108</t>
  </si>
  <si>
    <t>0800379129</t>
  </si>
  <si>
    <t>0800379297</t>
  </si>
  <si>
    <t>0800380143</t>
  </si>
  <si>
    <t>0800380367</t>
  </si>
  <si>
    <t>0800380400</t>
  </si>
  <si>
    <t>0800380583</t>
  </si>
  <si>
    <t>0800380898</t>
  </si>
  <si>
    <t>0800381126</t>
  </si>
  <si>
    <t>0800382290</t>
  </si>
  <si>
    <t>0800382408</t>
  </si>
  <si>
    <t>0800382410</t>
  </si>
  <si>
    <t>0800382569</t>
  </si>
  <si>
    <t>0800382570</t>
  </si>
  <si>
    <t>0800382622</t>
  </si>
  <si>
    <t>0800383476</t>
  </si>
  <si>
    <t>0800384114</t>
  </si>
  <si>
    <t>0800384309</t>
  </si>
  <si>
    <t>0800384315</t>
  </si>
  <si>
    <t>0800384469</t>
  </si>
  <si>
    <t>0800384627</t>
  </si>
  <si>
    <t>0800384732</t>
  </si>
  <si>
    <t>0800384806</t>
  </si>
  <si>
    <t>0800385340</t>
  </si>
  <si>
    <t>0800385560</t>
  </si>
  <si>
    <t>0800385562</t>
  </si>
  <si>
    <t>0800385759</t>
  </si>
  <si>
    <t>0800386472</t>
  </si>
  <si>
    <t>0800387941</t>
  </si>
  <si>
    <t>0800387952</t>
  </si>
  <si>
    <t>0800388428</t>
  </si>
  <si>
    <t>0800388475</t>
  </si>
  <si>
    <t>0800388499</t>
  </si>
  <si>
    <t>0800388806</t>
  </si>
  <si>
    <t>0800388807</t>
  </si>
  <si>
    <t>0800388873</t>
  </si>
  <si>
    <t>0800388953</t>
  </si>
  <si>
    <t>0800390397</t>
  </si>
  <si>
    <t>0800390429</t>
  </si>
  <si>
    <t>0800392003</t>
  </si>
  <si>
    <t>0800392080</t>
  </si>
  <si>
    <t>0800392081</t>
  </si>
  <si>
    <t>0800392309</t>
  </si>
  <si>
    <t>0800392847</t>
  </si>
  <si>
    <t>0800392957</t>
  </si>
  <si>
    <t>0800392958</t>
  </si>
  <si>
    <t>0800394135</t>
  </si>
  <si>
    <t>0800394926</t>
  </si>
  <si>
    <t>0800394929</t>
  </si>
  <si>
    <t>0800395279</t>
  </si>
  <si>
    <t>0800396282</t>
  </si>
  <si>
    <t>0800397880</t>
  </si>
  <si>
    <t>0800398051</t>
  </si>
  <si>
    <t>0800398207</t>
  </si>
  <si>
    <t>0800398565</t>
  </si>
  <si>
    <t>0800399207</t>
  </si>
  <si>
    <t>0800399903</t>
  </si>
  <si>
    <t>0800400298</t>
  </si>
  <si>
    <t>0800400299</t>
  </si>
  <si>
    <t>0800400729</t>
  </si>
  <si>
    <t>800337848</t>
  </si>
  <si>
    <t>ACT 10023933179 9901</t>
  </si>
  <si>
    <t>ACT 10024331606 9901</t>
  </si>
  <si>
    <t>ACT 10028397949 9901</t>
  </si>
  <si>
    <t>ACT 10028724748 9901</t>
  </si>
  <si>
    <t>ACT 10029003406 9901</t>
  </si>
  <si>
    <t>ACT 10029229784 9901</t>
  </si>
  <si>
    <t>ACT 10029311246 9901</t>
  </si>
  <si>
    <t>ACT 10029325187 9901</t>
  </si>
  <si>
    <t>ACT 10029366084 9901</t>
  </si>
  <si>
    <t>ACT 10029368969 9901</t>
  </si>
  <si>
    <t>ACT 10029385268 9901</t>
  </si>
  <si>
    <t>ACT 10029393679 9901</t>
  </si>
  <si>
    <t>ACT 10029401956 9901</t>
  </si>
  <si>
    <t>ACT 10029411322 9901</t>
  </si>
  <si>
    <t>ACT 10029418999 9901</t>
  </si>
  <si>
    <t>ACT 10029444978 9901</t>
  </si>
  <si>
    <t>ACT 10029458659 9901</t>
  </si>
  <si>
    <t>ACT 10029460996 9901</t>
  </si>
  <si>
    <t>ACT 10029465531 9901</t>
  </si>
  <si>
    <t>ACT 10029479438 9901</t>
  </si>
  <si>
    <t>ACT 10029481003 9901</t>
  </si>
  <si>
    <t>ACT 10029496023 9901</t>
  </si>
  <si>
    <t>ACT 10029519845 9901</t>
  </si>
  <si>
    <t>ACT 10029523696 9901</t>
  </si>
  <si>
    <t>ACT 10029524704 9901</t>
  </si>
  <si>
    <t>ACT 10029527454 9901</t>
  </si>
  <si>
    <t>ACT 10029531222 9901</t>
  </si>
  <si>
    <t>ACT 10029547403 9901</t>
  </si>
  <si>
    <t>ACT 10029557981 9901</t>
  </si>
  <si>
    <t>ACT 10029565169 9902</t>
  </si>
  <si>
    <t>ACT 10029569662 9901</t>
  </si>
  <si>
    <t>ACT 10029588114 9901</t>
  </si>
  <si>
    <t>ACT 10029602217 9901</t>
  </si>
  <si>
    <t>ACT 10029606077 9901</t>
  </si>
  <si>
    <t>ACT 10029612893 9901</t>
  </si>
  <si>
    <t>ACT 10029618707 9901</t>
  </si>
  <si>
    <t>ACT 10029619527 9901</t>
  </si>
  <si>
    <t>ACT 10029625950 9901</t>
  </si>
  <si>
    <t>ACT 10029634389 9901</t>
  </si>
  <si>
    <t>ACT 10029637374 9901</t>
  </si>
  <si>
    <t>ACT 10029640188 9901</t>
  </si>
  <si>
    <t>ACT 10029686097 9901</t>
  </si>
  <si>
    <t>ACT 10029691595 9901</t>
  </si>
  <si>
    <t>ACT 10029700043 9901</t>
  </si>
  <si>
    <t>ACT 10029712560 9901</t>
  </si>
  <si>
    <t>ACT 10029716826 9901</t>
  </si>
  <si>
    <t>ACT 10029735510 9901</t>
  </si>
  <si>
    <t>ACT 10029742912 9901</t>
  </si>
  <si>
    <t>ACT 10029749568 9901</t>
  </si>
  <si>
    <t>ACT 10029773068 9901</t>
  </si>
  <si>
    <t>ACT 10029773710 9901</t>
  </si>
  <si>
    <t>ACT 10029780511 9901</t>
  </si>
  <si>
    <t>ACT 10029783588 9901</t>
  </si>
  <si>
    <t>ACT 10029787423 9901</t>
  </si>
  <si>
    <t>ACT 10029790815 9901</t>
  </si>
  <si>
    <t>ACT 10029792183 9901</t>
  </si>
  <si>
    <t>ACT 10029796271 9901</t>
  </si>
  <si>
    <t>ACT 10029796410 9901</t>
  </si>
  <si>
    <t>ACT 10029801728 9901</t>
  </si>
  <si>
    <t>ACT 10029804017 9901</t>
  </si>
  <si>
    <t>ACT 10029807182 9901</t>
  </si>
  <si>
    <t>ACT 10029808961 9901</t>
  </si>
  <si>
    <t>ACT 10029809108 9901</t>
  </si>
  <si>
    <t>ACT 10029810719 9901</t>
  </si>
  <si>
    <t>ACT 10029815114 9901</t>
  </si>
  <si>
    <t>ACT 10029819255 9901</t>
  </si>
  <si>
    <t>ACT 10029821045 9901</t>
  </si>
  <si>
    <t>ACT 10029827232 9901</t>
  </si>
  <si>
    <t>ACT 10029831185 9901</t>
  </si>
  <si>
    <t>ACT 10029834532 9901</t>
  </si>
  <si>
    <t>ACT 10029842410 9901</t>
  </si>
  <si>
    <t>ACT 10029844165 9901</t>
  </si>
  <si>
    <t>ACT 10029845358 9901</t>
  </si>
  <si>
    <t>ACT 10029846267 9901</t>
  </si>
  <si>
    <t>ACT 10029847417 9901</t>
  </si>
  <si>
    <t>ACT 10029852573 9901</t>
  </si>
  <si>
    <t>ACT 10029856560 9901</t>
  </si>
  <si>
    <t>ACT 10029858010 9901</t>
  </si>
  <si>
    <t>ACT 10029863667 9901</t>
  </si>
  <si>
    <t>ACT 10029867714 9901</t>
  </si>
  <si>
    <t>ACT 10029868771 9901</t>
  </si>
  <si>
    <t>ACT 10029869493 9901</t>
  </si>
  <si>
    <t>ACT 10029880701 9901</t>
  </si>
  <si>
    <t>ACT 10029883581 9901</t>
  </si>
  <si>
    <t>ACT 10029891826 9901</t>
  </si>
  <si>
    <t>ACT 10029899850 9901</t>
  </si>
  <si>
    <t>ACT 10029903132 9901</t>
  </si>
  <si>
    <t>ACT 10029908143 9901</t>
  </si>
  <si>
    <t>ACT 10029908839 9901</t>
  </si>
  <si>
    <t>ACT 10029909401 9901</t>
  </si>
  <si>
    <t>ACT 10029918891 9901</t>
  </si>
  <si>
    <t>ACT 10029932747 9901</t>
  </si>
  <si>
    <t>ACT 10029941867 9901</t>
  </si>
  <si>
    <t>ACT 10029969901 9901</t>
  </si>
  <si>
    <t>ACT 10029970937 9901</t>
  </si>
  <si>
    <t>ACT 10029996991 9901</t>
  </si>
  <si>
    <t>ACT 10030003533 9901</t>
  </si>
  <si>
    <t>ACT 10030005719 9901</t>
  </si>
  <si>
    <t>ACT 10030027459 9901</t>
  </si>
  <si>
    <t>ACT 10030036625 9901</t>
  </si>
  <si>
    <t>ACT 10030042060 9901</t>
  </si>
  <si>
    <t>ACT 10030042841 9901</t>
  </si>
  <si>
    <t>ACT 10030046363 9901</t>
  </si>
  <si>
    <t>ACT 10030049579 9901</t>
  </si>
  <si>
    <t>ACT 10030049761 9901</t>
  </si>
  <si>
    <t>ACT 10030052343 9901</t>
  </si>
  <si>
    <t>ACT 10030053682 9901</t>
  </si>
  <si>
    <t>ACT 10030078540 9901</t>
  </si>
  <si>
    <t>ACT 10030078641 9901</t>
  </si>
  <si>
    <t>ACT 10030079001 9901</t>
  </si>
  <si>
    <t>ACT 10030097562 9901</t>
  </si>
  <si>
    <t>ACT 10030099955 9901</t>
  </si>
  <si>
    <t>ACT 10030101761 9901</t>
  </si>
  <si>
    <t>ACT 10030102497 9901</t>
  </si>
  <si>
    <t>ACT 10030119936 9901</t>
  </si>
  <si>
    <t>ACT 10030147946 9901</t>
  </si>
  <si>
    <t>ACT 10030155653 9901</t>
  </si>
  <si>
    <t>ACT 10030159171 9901</t>
  </si>
  <si>
    <t>ACT 10030176863 9901</t>
  </si>
  <si>
    <t>ACT 10030182071 9901</t>
  </si>
  <si>
    <t>ACT 10030184709 9901</t>
  </si>
  <si>
    <t>ACT 10030216211 9901</t>
  </si>
  <si>
    <t>ACT 10030222148 9901</t>
  </si>
  <si>
    <t>ACT 10030251269 9901</t>
  </si>
  <si>
    <t>ACT 10030261342 9901</t>
  </si>
  <si>
    <t>ACT 10030269949 9901</t>
  </si>
  <si>
    <t>ACT 10030273491 9901</t>
  </si>
  <si>
    <t>ACT 10030276689 9901</t>
  </si>
  <si>
    <t>ACT 10030277773 9901</t>
  </si>
  <si>
    <t>ACT 10030291602 9901</t>
  </si>
  <si>
    <t>ACT 10030293868 9901</t>
  </si>
  <si>
    <t>ACT 10030294207 9901</t>
  </si>
  <si>
    <t>ACT 10030294721 9901</t>
  </si>
  <si>
    <t>ACT 10030296170 9901</t>
  </si>
  <si>
    <t>ACT 90000207369 9901</t>
  </si>
  <si>
    <t>ACT 90000207402 9901</t>
  </si>
  <si>
    <t>ACT 90000207497 9901</t>
  </si>
  <si>
    <t>ACT 90000209714 9901</t>
  </si>
  <si>
    <t>ACT 90000211644 9901</t>
  </si>
  <si>
    <t>ACT 90000211908 9901</t>
  </si>
  <si>
    <t>ACT 90000213558 9901</t>
  </si>
  <si>
    <t>ACT 90000213846 9901</t>
  </si>
  <si>
    <t>ACT 90000214698 9901</t>
  </si>
  <si>
    <t>ACT 90000215420 9901</t>
  </si>
  <si>
    <t>WBS CRFS309.DR9902</t>
  </si>
  <si>
    <t>RI Gas DAC Unbilled APRIL</t>
  </si>
  <si>
    <t>RI Gas DAC Unbilled GET APRIL</t>
  </si>
  <si>
    <t>RI Gas DAC Unbilled GET JAN</t>
  </si>
  <si>
    <t>RI Gas DAC Unbilled GET MAR</t>
  </si>
  <si>
    <t>RI Gas DAC Unbilled GET October</t>
  </si>
  <si>
    <t>RI Gas DAC Unbilled GET September</t>
  </si>
  <si>
    <t>RI Gas DAC Unbilled JAN</t>
  </si>
  <si>
    <t>RI Gas DAC Unbilled MAR</t>
  </si>
  <si>
    <t>RI Gas DAC Unbilled October</t>
  </si>
  <si>
    <t>RI Gas DAC Unbilled September</t>
  </si>
  <si>
    <t>RDM RECON APR 19 -OCT 19 Collections</t>
  </si>
  <si>
    <t>IS Mod Deferral ADJ</t>
  </si>
  <si>
    <t>5360NE0909M11A</t>
  </si>
  <si>
    <t>Filing Ajustment to GL</t>
  </si>
  <si>
    <t>FY18 Filing - Collections</t>
  </si>
  <si>
    <t>5360NE0909M09NOV</t>
  </si>
  <si>
    <t>DAC AMP RECON  APR 19 -OCT 19</t>
  </si>
  <si>
    <t>LIDRF RECON APR 19 -OCT 19</t>
  </si>
  <si>
    <t>5360NE0909M20</t>
  </si>
  <si>
    <t>5/</t>
  </si>
  <si>
    <t>Tax Rev Refund GET</t>
  </si>
  <si>
    <t>2020010</t>
  </si>
  <si>
    <t>4701490020</t>
  </si>
  <si>
    <t>0400015913</t>
  </si>
  <si>
    <t>4701491343</t>
  </si>
  <si>
    <t>0396265689</t>
  </si>
  <si>
    <t>4701491345</t>
  </si>
  <si>
    <t>0396265701</t>
  </si>
  <si>
    <t>4701491346</t>
  </si>
  <si>
    <t>0396265705</t>
  </si>
  <si>
    <t>4701491348</t>
  </si>
  <si>
    <t>0396265711</t>
  </si>
  <si>
    <t>4701491350</t>
  </si>
  <si>
    <t>0396265721</t>
  </si>
  <si>
    <t>4701491352</t>
  </si>
  <si>
    <t>0396265736</t>
  </si>
  <si>
    <t>4701491354</t>
  </si>
  <si>
    <t>0396265742</t>
  </si>
  <si>
    <t>NB00148.OH0011</t>
  </si>
  <si>
    <t>2020011</t>
  </si>
  <si>
    <t>4701613662</t>
  </si>
  <si>
    <t>0397622035</t>
  </si>
  <si>
    <t>4701613668</t>
  </si>
  <si>
    <t>0397622058</t>
  </si>
  <si>
    <t>4701613670</t>
  </si>
  <si>
    <t>0397622064</t>
  </si>
  <si>
    <t>4701613675</t>
  </si>
  <si>
    <t>0397622076</t>
  </si>
  <si>
    <t>4701613676</t>
  </si>
  <si>
    <t>0397622079</t>
  </si>
  <si>
    <t>4701613679</t>
  </si>
  <si>
    <t>0397622085</t>
  </si>
  <si>
    <t>4701613702</t>
  </si>
  <si>
    <t>0397622186</t>
  </si>
  <si>
    <t>4701647749</t>
  </si>
  <si>
    <t>0400019308</t>
  </si>
  <si>
    <t>2020012</t>
  </si>
  <si>
    <t>4701786987</t>
  </si>
  <si>
    <t>0400021130</t>
  </si>
  <si>
    <t>4701787014</t>
  </si>
  <si>
    <t>0399002026</t>
  </si>
  <si>
    <t>4701787016</t>
  </si>
  <si>
    <t>0399002028</t>
  </si>
  <si>
    <t>4701787018</t>
  </si>
  <si>
    <t>0399002030</t>
  </si>
  <si>
    <t>4701787020</t>
  </si>
  <si>
    <t>0399001926</t>
  </si>
  <si>
    <t>4701787022</t>
  </si>
  <si>
    <t>0399001938</t>
  </si>
  <si>
    <t>4701787023</t>
  </si>
  <si>
    <t>0399001944</t>
  </si>
  <si>
    <t>4701787026</t>
  </si>
  <si>
    <t>0399002003</t>
  </si>
  <si>
    <t>4701787068</t>
  </si>
  <si>
    <t>0400021137</t>
  </si>
  <si>
    <t>4701787080</t>
  </si>
  <si>
    <t>0399006679</t>
  </si>
  <si>
    <t>2021001</t>
  </si>
  <si>
    <t>4700167249</t>
  </si>
  <si>
    <t>0400001674</t>
  </si>
  <si>
    <t>4700167413</t>
  </si>
  <si>
    <t>0400523221</t>
  </si>
  <si>
    <t>4700167414</t>
  </si>
  <si>
    <t>0400523225</t>
  </si>
  <si>
    <t>4700167415</t>
  </si>
  <si>
    <t>0400523227</t>
  </si>
  <si>
    <t>4700167418</t>
  </si>
  <si>
    <t>0400523250</t>
  </si>
  <si>
    <t>4700167420</t>
  </si>
  <si>
    <t>0400523263</t>
  </si>
  <si>
    <t>4700167424</t>
  </si>
  <si>
    <t>0400523280</t>
  </si>
  <si>
    <t>2021002</t>
  </si>
  <si>
    <t>4700274777</t>
  </si>
  <si>
    <t>0400002134</t>
  </si>
  <si>
    <t>4700275899</t>
  </si>
  <si>
    <t>0401787740</t>
  </si>
  <si>
    <t>4700275901</t>
  </si>
  <si>
    <t>0401787430</t>
  </si>
  <si>
    <t>4700275917</t>
  </si>
  <si>
    <t>0401787549</t>
  </si>
  <si>
    <t>4700275944</t>
  </si>
  <si>
    <t>0401787688</t>
  </si>
  <si>
    <t>4700275948</t>
  </si>
  <si>
    <t>0401787709</t>
  </si>
  <si>
    <t>4700275951</t>
  </si>
  <si>
    <t>0401787728</t>
  </si>
  <si>
    <t>4700324294</t>
  </si>
  <si>
    <t>0400004380</t>
  </si>
  <si>
    <t>4700324406</t>
  </si>
  <si>
    <t>0401959159</t>
  </si>
  <si>
    <t>4700324408</t>
  </si>
  <si>
    <t>0401959161</t>
  </si>
  <si>
    <t>4700324410</t>
  </si>
  <si>
    <t>0401959164</t>
  </si>
  <si>
    <t>4700324411</t>
  </si>
  <si>
    <t>0401959169</t>
  </si>
  <si>
    <t>4700324449</t>
  </si>
  <si>
    <t>0401959275</t>
  </si>
  <si>
    <t>4700324450</t>
  </si>
  <si>
    <t>0401959276</t>
  </si>
  <si>
    <t>2021003</t>
  </si>
  <si>
    <t>4700451827</t>
  </si>
  <si>
    <t>0403239190</t>
  </si>
  <si>
    <t>4700474605</t>
  </si>
  <si>
    <t>0403392770</t>
  </si>
  <si>
    <t>4700493998</t>
  </si>
  <si>
    <t>0400006257</t>
  </si>
  <si>
    <t>4700494003</t>
  </si>
  <si>
    <t>0403412837</t>
  </si>
  <si>
    <t>4700494005</t>
  </si>
  <si>
    <t>0403412843</t>
  </si>
  <si>
    <t>4700494006</t>
  </si>
  <si>
    <t>0403412846</t>
  </si>
  <si>
    <t>4700494009</t>
  </si>
  <si>
    <t>0403412852</t>
  </si>
  <si>
    <t>4700494011</t>
  </si>
  <si>
    <t>0403412859</t>
  </si>
  <si>
    <t>4700494013</t>
  </si>
  <si>
    <t>0403412870</t>
  </si>
  <si>
    <t>2021004</t>
  </si>
  <si>
    <t>4700625653</t>
  </si>
  <si>
    <t>0404727523</t>
  </si>
  <si>
    <t>4700659982</t>
  </si>
  <si>
    <t>0400008901</t>
  </si>
  <si>
    <t>4700660089</t>
  </si>
  <si>
    <t>0404891434</t>
  </si>
  <si>
    <t>4700660092</t>
  </si>
  <si>
    <t>0404891455</t>
  </si>
  <si>
    <t>4700660094</t>
  </si>
  <si>
    <t>0404891461</t>
  </si>
  <si>
    <t>4700660097</t>
  </si>
  <si>
    <t>0404891466</t>
  </si>
  <si>
    <t>4700660100</t>
  </si>
  <si>
    <t>0404891471</t>
  </si>
  <si>
    <t>4700660101</t>
  </si>
  <si>
    <t>0404891472</t>
  </si>
  <si>
    <t>2021005</t>
  </si>
  <si>
    <t>4700798126</t>
  </si>
  <si>
    <t>0406268179</t>
  </si>
  <si>
    <t>4700819348</t>
  </si>
  <si>
    <t>0400010308</t>
  </si>
  <si>
    <t>4700819359</t>
  </si>
  <si>
    <t>0406295693</t>
  </si>
  <si>
    <t>COADYW</t>
  </si>
  <si>
    <t>4700819362</t>
  </si>
  <si>
    <t>0406295639</t>
  </si>
  <si>
    <t>4700819363</t>
  </si>
  <si>
    <t>0406295642</t>
  </si>
  <si>
    <t>4700819365</t>
  </si>
  <si>
    <t>0406295647</t>
  </si>
  <si>
    <t>4700819367</t>
  </si>
  <si>
    <t>0406295652</t>
  </si>
  <si>
    <t>4700819369</t>
  </si>
  <si>
    <t>0406295657</t>
  </si>
  <si>
    <t>4700980729</t>
  </si>
  <si>
    <t>0400011782</t>
  </si>
  <si>
    <t>4700981873</t>
  </si>
  <si>
    <t>0407665757</t>
  </si>
  <si>
    <t>4700981878</t>
  </si>
  <si>
    <t>0407665765</t>
  </si>
  <si>
    <t>4700981884</t>
  </si>
  <si>
    <t>0407665819</t>
  </si>
  <si>
    <t>4700981890</t>
  </si>
  <si>
    <t>0407665868</t>
  </si>
  <si>
    <t>4700981892</t>
  </si>
  <si>
    <t>0407665876</t>
  </si>
  <si>
    <t>4700981893</t>
  </si>
  <si>
    <t>0407665880</t>
  </si>
  <si>
    <t>4700981897</t>
  </si>
  <si>
    <t>0407665891</t>
  </si>
  <si>
    <t>2021007</t>
  </si>
  <si>
    <t>4701150821</t>
  </si>
  <si>
    <t>0400013712</t>
  </si>
  <si>
    <t>4701150834</t>
  </si>
  <si>
    <t>0409268782</t>
  </si>
  <si>
    <t>4701150836</t>
  </si>
  <si>
    <t>0409268790</t>
  </si>
  <si>
    <t>4701150838</t>
  </si>
  <si>
    <t>0409268796</t>
  </si>
  <si>
    <t>4701150840</t>
  </si>
  <si>
    <t>0409268804</t>
  </si>
  <si>
    <t>4701150842</t>
  </si>
  <si>
    <t>0409268809</t>
  </si>
  <si>
    <t>4701150843</t>
  </si>
  <si>
    <t>0409268812</t>
  </si>
  <si>
    <t>4701150846</t>
  </si>
  <si>
    <t>0409268819</t>
  </si>
  <si>
    <t>2021008</t>
  </si>
  <si>
    <t>4701290498</t>
  </si>
  <si>
    <t>0400015198</t>
  </si>
  <si>
    <t>4701292302</t>
  </si>
  <si>
    <t>0410555965</t>
  </si>
  <si>
    <t>4701292304</t>
  </si>
  <si>
    <t>0410555984</t>
  </si>
  <si>
    <t>4701292305</t>
  </si>
  <si>
    <t>0410555988</t>
  </si>
  <si>
    <t>4701292309</t>
  </si>
  <si>
    <t>0410555993</t>
  </si>
  <si>
    <t>4701292311</t>
  </si>
  <si>
    <t>0410556017</t>
  </si>
  <si>
    <t>4701292314</t>
  </si>
  <si>
    <t>0410556029</t>
  </si>
  <si>
    <t>4701292316</t>
  </si>
  <si>
    <t>0410556055</t>
  </si>
  <si>
    <t>2021009</t>
  </si>
  <si>
    <t>4701440201</t>
  </si>
  <si>
    <t>0400016770</t>
  </si>
  <si>
    <t>4701440335</t>
  </si>
  <si>
    <t>0411881433</t>
  </si>
  <si>
    <t>4701440341</t>
  </si>
  <si>
    <t>0411881580</t>
  </si>
  <si>
    <t>4701440344</t>
  </si>
  <si>
    <t>0411881551</t>
  </si>
  <si>
    <t>4701440345</t>
  </si>
  <si>
    <t>0411881549</t>
  </si>
  <si>
    <t>4701440348</t>
  </si>
  <si>
    <t>0411881557</t>
  </si>
  <si>
    <t>4701440358</t>
  </si>
  <si>
    <t>0411881623</t>
  </si>
  <si>
    <t>4701440360</t>
  </si>
  <si>
    <t>0411881636</t>
  </si>
  <si>
    <t>This is the amortization of the stub period (Jan.-Aug.2018) tax refund under Tax Cut and Jobs Act.  The actual billing was made between November 2019 and October 2020 through DAC.  The amortization is straight line but the billing is volumetric.  Here is my record of this refund and amortization in net margin.</t>
  </si>
  <si>
    <t>FY20</t>
  </si>
  <si>
    <t>FY21</t>
  </si>
  <si>
    <t>                  Tax Credit Factor (TCF)</t>
  </si>
  <si>
    <t xml:space="preserve">Tax Refund Credit </t>
  </si>
  <si>
    <t>DAC File</t>
  </si>
  <si>
    <t>Revenue</t>
  </si>
  <si>
    <t>        (73)</t>
  </si>
  <si>
    <t>       (440)</t>
  </si>
  <si>
    <t>       (506)</t>
  </si>
  <si>
    <t>       (428)</t>
  </si>
  <si>
    <t>       (386)</t>
  </si>
  <si>
    <t>       (308)</t>
  </si>
  <si>
    <t>       (284)</t>
  </si>
  <si>
    <t>       (114)</t>
  </si>
  <si>
    <t>        (88)</t>
  </si>
  <si>
    <t>        (91)</t>
  </si>
  <si>
    <t>       (110)</t>
  </si>
  <si>
    <t>       (141)</t>
  </si>
  <si>
    <t>          (3)</t>
  </si>
  <si>
    <t xml:space="preserve">           1 </t>
  </si>
  <si>
    <t>          (2)</t>
  </si>
  <si>
    <t xml:space="preserve">           0 </t>
  </si>
  <si>
    <t>        ------Tax refund amortization</t>
  </si>
  <si>
    <t xml:space="preserve">        255 </t>
  </si>
  <si>
    <t xml:space="preserve">        255 </t>
  </si>
  <si>
    <t>OFF SYSTEM GAS SALES</t>
  </si>
  <si>
    <t xml:space="preserve"> </t>
  </si>
  <si>
    <t>Excess Earnings Adjustment</t>
  </si>
  <si>
    <t>C495011W</t>
  </si>
  <si>
    <t>Other Deferred Gas Revenue</t>
  </si>
  <si>
    <t>Energy Efficiency</t>
  </si>
  <si>
    <t>Mar-22</t>
  </si>
  <si>
    <t>Jun-22</t>
  </si>
  <si>
    <t xml:space="preserve">RIPUC Docket No. </t>
  </si>
  <si>
    <t>Unbilled Rollforward</t>
  </si>
  <si>
    <t>Unbilled Revenue on Balance Sheet</t>
  </si>
  <si>
    <t>❶</t>
  </si>
  <si>
    <t>Unbilled Revenue Balance Beg of Year</t>
  </si>
  <si>
    <t>Unbilled Revenue Balance End of Year</t>
  </si>
  <si>
    <t>❷</t>
  </si>
  <si>
    <t>Increase/(Decrease) in Revenue</t>
  </si>
  <si>
    <t>❸</t>
  </si>
  <si>
    <t>Less Unbilled GET</t>
  </si>
  <si>
    <t>❹</t>
  </si>
  <si>
    <t>Unbilled base revenue</t>
  </si>
  <si>
    <t>❺</t>
  </si>
  <si>
    <t>Unbilled Revenue on Income Statement</t>
  </si>
  <si>
    <t>Unbilled Revenue:</t>
  </si>
  <si>
    <t>from Prior Year</t>
  </si>
  <si>
    <t>from unbilled entry-unbilled revenue calculation</t>
  </si>
  <si>
    <t>Unbilled Revenue Adjustment inc/(dec)</t>
  </si>
  <si>
    <t>❼</t>
  </si>
  <si>
    <t>Cost of Gas Adjustment inc/(dec)</t>
  </si>
  <si>
    <t>Unbilled Margins:</t>
  </si>
  <si>
    <t>❽</t>
  </si>
  <si>
    <t>Unbilled Margin inc/(dec)</t>
  </si>
  <si>
    <t>Book this number in the ESM</t>
  </si>
  <si>
    <t>Unbilled Energy Efficiency:</t>
  </si>
  <si>
    <t>`</t>
  </si>
  <si>
    <t>from unbilled entry-unbilled revenue calculation (EE)</t>
  </si>
  <si>
    <t>❾</t>
  </si>
  <si>
    <t>Unbilled Energy Efficiency Adjustment inc/(dec)</t>
  </si>
  <si>
    <t>(backing out of unbilled revenue in 480). Book this number in the ESM</t>
  </si>
  <si>
    <t>❿</t>
  </si>
  <si>
    <t>Unbilled Transportation inc/(dec)</t>
  </si>
  <si>
    <t>Account 495:</t>
  </si>
  <si>
    <t>Unbilled DAC Adjustments 4950080:</t>
  </si>
  <si>
    <t>from unbilled entry-unbilled revenue calculation (DAC)</t>
  </si>
  <si>
    <t>⓬</t>
  </si>
  <si>
    <t>(Confirm to 949500000 4703). Book this number in the ESM</t>
  </si>
  <si>
    <t>Unbilled RDM Adjustments 4950060:</t>
  </si>
  <si>
    <t>from unbilled entry-unbilled revenue calculation (RDM)</t>
  </si>
  <si>
    <t>⓭</t>
  </si>
  <si>
    <t>Total Unbilled RDM Adjustments inc/(dec)</t>
  </si>
  <si>
    <t>Total Unbilled, EE, RDM, and DAC Margins</t>
  </si>
  <si>
    <t>Amount per filing inc/(dec) to revenue</t>
  </si>
  <si>
    <t>Reconciliation to unbilled spreadsheet</t>
  </si>
  <si>
    <t>sum</t>
  </si>
  <si>
    <t>- Amount per filing</t>
  </si>
  <si>
    <t>total</t>
  </si>
  <si>
    <t>intended margin</t>
  </si>
  <si>
    <t>⓮</t>
  </si>
  <si>
    <t>Account C1730010:</t>
  </si>
  <si>
    <t>Entire unbilled amount booked to accounts C1730010/C4800000</t>
  </si>
  <si>
    <t>Reverse:  Balance sheet only adjustments to A/C 173</t>
  </si>
  <si>
    <t>from 4702</t>
  </si>
  <si>
    <t>from 4702; 3% of offset to 480</t>
  </si>
  <si>
    <t>Check to 4702-97% of C4800000 offset + 100% of C48930000</t>
  </si>
  <si>
    <t>Account 480:</t>
  </si>
  <si>
    <t>confirm to 97% of 4705</t>
  </si>
  <si>
    <t>Cost of Gas:</t>
  </si>
  <si>
    <t>Account 489.3:</t>
  </si>
  <si>
    <t>from 4702, C4893000 offset in Per 12</t>
  </si>
  <si>
    <t>(Confirm to 94893000 4703). Book this number in the ESM</t>
  </si>
  <si>
    <t>Delivery revenue - non-RDM  from tab Unbilled revenue entry</t>
  </si>
  <si>
    <t>Distribution Adjustment Clause</t>
  </si>
  <si>
    <t>Customer A/R</t>
  </si>
  <si>
    <t>Residential-Gas Revenue</t>
  </si>
  <si>
    <t>Transport of Gas-Gas Revenue</t>
  </si>
  <si>
    <t>GET 3%</t>
  </si>
  <si>
    <t>C1730010</t>
  </si>
  <si>
    <t>from SAP</t>
  </si>
  <si>
    <t>1-December 2021 Unbilled Revenue</t>
  </si>
  <si>
    <t>2-Dec 2022 Unbilled Revenue</t>
  </si>
  <si>
    <t>1-December 2021 Unbilled Cost of Gas</t>
  </si>
  <si>
    <t>2-Dec 2022 Unbilled Cost of Gas</t>
  </si>
  <si>
    <t>1-December 2021 Unbilled Margin</t>
  </si>
  <si>
    <t>2-Dec 2022 Unbilled Margin</t>
  </si>
  <si>
    <t>3-December 2021 Unbilled Energy Efficiency</t>
  </si>
  <si>
    <t>4-Dec 2022 Unbilled Energy Efficiency</t>
  </si>
  <si>
    <t>5-December 2021 Unbilled Transportation</t>
  </si>
  <si>
    <t>6-Dec 2022 Unbilled Transportation</t>
  </si>
  <si>
    <t>7-December 2021 Unbilled DAC</t>
  </si>
  <si>
    <t>8-Dec 2022 Unbilled DAC</t>
  </si>
  <si>
    <t>9-December 2021 Unbilled RDM</t>
  </si>
  <si>
    <t>10-Dec 2021 Unbilled RDM</t>
  </si>
  <si>
    <t>Fiscal Year / Period</t>
  </si>
  <si>
    <t>DEC 2022;JAN 2022;FEB 2022;MAR 2022;SP1 2022;SP2 2022;SP3 2022;SP4 2022;APR 2023;MAY 2023;JUN 2023;JUL 2023;AUG 2023;SEP 2023;OCT 2023;NOV 2023;DEC 2023</t>
  </si>
  <si>
    <t xml:space="preserve">Company </t>
  </si>
  <si>
    <t>Narragansett Electric Co;Narragansett Elec-PreSale</t>
  </si>
  <si>
    <t>L02 Cost Center</t>
  </si>
  <si>
    <t>ALL</t>
  </si>
  <si>
    <t>Trading Partner</t>
  </si>
  <si>
    <t>L04 Regulatory US GAAP - Balance Sheet</t>
  </si>
  <si>
    <t>Summary 1730010</t>
  </si>
  <si>
    <t>L05 Regulatory US GAAP - Balance Sheet</t>
  </si>
  <si>
    <t>Summary C1730010, U2540573, U2540322 &amp; U1823322</t>
  </si>
  <si>
    <t>No.</t>
  </si>
  <si>
    <t>Dollars</t>
  </si>
  <si>
    <t>L06 Regulatory US GAAP - Balance Sheet</t>
  </si>
  <si>
    <t>Account Descr</t>
  </si>
  <si>
    <t>G/L Account</t>
  </si>
  <si>
    <t>NGUS/C1730010</t>
  </si>
  <si>
    <t>Unbilled Gas</t>
  </si>
  <si>
    <t>RDM Rev Decoupling</t>
  </si>
  <si>
    <t>NGUS/U2540573</t>
  </si>
  <si>
    <t>FERC Account</t>
  </si>
  <si>
    <t>NGUS/U2540322</t>
  </si>
  <si>
    <t>Originating Cost Center</t>
  </si>
  <si>
    <t>NGUS/U1823322</t>
  </si>
  <si>
    <t>Originating WBS</t>
  </si>
  <si>
    <t>Originating Order</t>
  </si>
  <si>
    <t>Document Type</t>
  </si>
  <si>
    <t>Vendor Name</t>
  </si>
  <si>
    <t>Fiscal Year / Period Key</t>
  </si>
  <si>
    <t>Company Key</t>
  </si>
  <si>
    <t>Profit Center Key</t>
  </si>
  <si>
    <t>Profit Center Name</t>
  </si>
  <si>
    <t>Accounting Document No.Key</t>
  </si>
  <si>
    <t>Total Journal $</t>
  </si>
  <si>
    <t>Look up for the Offset Acct</t>
  </si>
  <si>
    <t>Offset Acct Desciption</t>
  </si>
  <si>
    <t>GET 3.00%</t>
  </si>
  <si>
    <t>NGUS/RIG1000</t>
  </si>
  <si>
    <t>RIGas Dist PC</t>
  </si>
  <si>
    <t>Unbilled Rev Gas</t>
  </si>
  <si>
    <t>100001277</t>
  </si>
  <si>
    <t>C4893000</t>
  </si>
  <si>
    <t>100001314</t>
  </si>
  <si>
    <t>Reclass Billed Sales</t>
  </si>
  <si>
    <t>5360RA3314Q021</t>
  </si>
  <si>
    <t>C1420000</t>
  </si>
  <si>
    <t>100001317</t>
  </si>
  <si>
    <t>C4800000</t>
  </si>
  <si>
    <t>100001381</t>
  </si>
  <si>
    <t>100001427</t>
  </si>
  <si>
    <t>100001452</t>
  </si>
  <si>
    <t>100001432</t>
  </si>
  <si>
    <t>100001456</t>
  </si>
  <si>
    <t>100001476</t>
  </si>
  <si>
    <t>100001544</t>
  </si>
  <si>
    <t>100001575</t>
  </si>
  <si>
    <t>100001604</t>
  </si>
  <si>
    <t>100001607</t>
  </si>
  <si>
    <t>100001610</t>
  </si>
  <si>
    <t>100001632</t>
  </si>
  <si>
    <t>100001682</t>
  </si>
  <si>
    <t>100001709</t>
  </si>
  <si>
    <t>5360RA3314Q022</t>
  </si>
  <si>
    <t>100001735</t>
  </si>
  <si>
    <t>100000018</t>
  </si>
  <si>
    <t>100000031</t>
  </si>
  <si>
    <t>100000046</t>
  </si>
  <si>
    <t>100000090</t>
  </si>
  <si>
    <t>100000125</t>
  </si>
  <si>
    <t>100000158</t>
  </si>
  <si>
    <t>100000140</t>
  </si>
  <si>
    <t>100000150</t>
  </si>
  <si>
    <t>100000171</t>
  </si>
  <si>
    <t>100000233</t>
  </si>
  <si>
    <t>100000272</t>
  </si>
  <si>
    <t>100000298</t>
  </si>
  <si>
    <t>100000266</t>
  </si>
  <si>
    <t>100000289</t>
  </si>
  <si>
    <t>100000308</t>
  </si>
  <si>
    <t>100000362</t>
  </si>
  <si>
    <t>100000374</t>
  </si>
  <si>
    <t>100000432</t>
  </si>
  <si>
    <t>Disposal of 5361 Balance</t>
  </si>
  <si>
    <t>5361NE3309N01C2</t>
  </si>
  <si>
    <t>100000390</t>
  </si>
  <si>
    <t>100000418</t>
  </si>
  <si>
    <t>100000443</t>
  </si>
  <si>
    <t>100000488</t>
  </si>
  <si>
    <t>100000546</t>
  </si>
  <si>
    <t>100000526</t>
  </si>
  <si>
    <t>100000555</t>
  </si>
  <si>
    <t>100000588</t>
  </si>
  <si>
    <t>100000641</t>
  </si>
  <si>
    <t>100000657</t>
  </si>
  <si>
    <t>100000628</t>
  </si>
  <si>
    <t>100000651</t>
  </si>
  <si>
    <t>100000665</t>
  </si>
  <si>
    <t>100000689</t>
  </si>
  <si>
    <t>100000731</t>
  </si>
  <si>
    <t>5360RA3314Q023</t>
  </si>
  <si>
    <t>100000764</t>
  </si>
  <si>
    <t>100000732</t>
  </si>
  <si>
    <t>100000755</t>
  </si>
  <si>
    <t>100000775</t>
  </si>
  <si>
    <t>100000815</t>
  </si>
  <si>
    <t>100000864</t>
  </si>
  <si>
    <t>100000849</t>
  </si>
  <si>
    <t>100000878</t>
  </si>
  <si>
    <t>100000923</t>
  </si>
  <si>
    <t>100000957</t>
  </si>
  <si>
    <t>100000944</t>
  </si>
  <si>
    <t>100000971</t>
  </si>
  <si>
    <t>100001009</t>
  </si>
  <si>
    <t>100001034</t>
  </si>
  <si>
    <t>5360RA3514Q023</t>
  </si>
  <si>
    <t>100001078</t>
  </si>
  <si>
    <t>Sum:</t>
  </si>
  <si>
    <t>DEC 2021;JAN 2021;FEB 2021;MAR 2021;SP1 2021;SP2 2021;SP3 2021;SP4 2021;APR 2022;MAY 2022;JUN 2022;JUL 2022;AUG 2022;SEP 2022;OCT 2022;NOV 2022;DEC 2022</t>
  </si>
  <si>
    <t>Narragansett Electric Co</t>
  </si>
  <si>
    <t>NGUS/RIG100;RIGas Dist PC;RIGas Commodity PC;RIGas Energy Eff PC;RIGas Treasury PC</t>
  </si>
  <si>
    <t>L03 US GAAP - Balance Sheet</t>
  </si>
  <si>
    <t>L04 US GAAP - Balance Sheet</t>
  </si>
  <si>
    <t>Fiscal Period Key</t>
  </si>
  <si>
    <t>Look up for Offset Acct</t>
  </si>
  <si>
    <t>Offset acct desc</t>
  </si>
  <si>
    <t>10</t>
  </si>
  <si>
    <t>100001223</t>
  </si>
  <si>
    <t>100001227</t>
  </si>
  <si>
    <t>100001279</t>
  </si>
  <si>
    <t>100001376</t>
  </si>
  <si>
    <t>5360RA1614M033</t>
  </si>
  <si>
    <t>100001413</t>
  </si>
  <si>
    <t>100001421</t>
  </si>
  <si>
    <t>11</t>
  </si>
  <si>
    <t>100001405</t>
  </si>
  <si>
    <t>100001440</t>
  </si>
  <si>
    <t>100001444</t>
  </si>
  <si>
    <t>100001552</t>
  </si>
  <si>
    <t>100001591</t>
  </si>
  <si>
    <t>12</t>
  </si>
  <si>
    <t>100001583</t>
  </si>
  <si>
    <t>100001614</t>
  </si>
  <si>
    <t>100001685</t>
  </si>
  <si>
    <t>100001723</t>
  </si>
  <si>
    <t>100001740</t>
  </si>
  <si>
    <t>1</t>
  </si>
  <si>
    <t>100000024</t>
  </si>
  <si>
    <t>100000050</t>
  </si>
  <si>
    <t>100000068</t>
  </si>
  <si>
    <t>100000104</t>
  </si>
  <si>
    <t>100000170</t>
  </si>
  <si>
    <t>2</t>
  </si>
  <si>
    <t>100000145</t>
  </si>
  <si>
    <t>100000177</t>
  </si>
  <si>
    <t>100000224</t>
  </si>
  <si>
    <t>100000293</t>
  </si>
  <si>
    <t>3</t>
  </si>
  <si>
    <t>100000268</t>
  </si>
  <si>
    <t>100000302</t>
  </si>
  <si>
    <t>100000379</t>
  </si>
  <si>
    <t>100000444</t>
  </si>
  <si>
    <t>100000445</t>
  </si>
  <si>
    <t>4</t>
  </si>
  <si>
    <t>100000454</t>
  </si>
  <si>
    <t>100000455</t>
  </si>
  <si>
    <t>100000521</t>
  </si>
  <si>
    <t>100000594</t>
  </si>
  <si>
    <t>5</t>
  </si>
  <si>
    <t>100000571</t>
  </si>
  <si>
    <t>100000601</t>
  </si>
  <si>
    <t>100000654</t>
  </si>
  <si>
    <t>100000722</t>
  </si>
  <si>
    <t>100000741</t>
  </si>
  <si>
    <t>6</t>
  </si>
  <si>
    <t>100000705</t>
  </si>
  <si>
    <t>100000747</t>
  </si>
  <si>
    <t>100000802</t>
  </si>
  <si>
    <t>100000873</t>
  </si>
  <si>
    <t>100000891</t>
  </si>
  <si>
    <t>7</t>
  </si>
  <si>
    <t>100000845</t>
  </si>
  <si>
    <t>100000903</t>
  </si>
  <si>
    <t>100000907</t>
  </si>
  <si>
    <t>100000999</t>
  </si>
  <si>
    <t>100001033</t>
  </si>
  <si>
    <t>8</t>
  </si>
  <si>
    <t>100001022</t>
  </si>
  <si>
    <t>100001044</t>
  </si>
  <si>
    <t>100001099</t>
  </si>
  <si>
    <t>100001170</t>
  </si>
  <si>
    <t>9</t>
  </si>
  <si>
    <t>100001149</t>
  </si>
  <si>
    <t>100001183</t>
  </si>
  <si>
    <t>100001233</t>
  </si>
  <si>
    <t>100001290</t>
  </si>
  <si>
    <t>100001300</t>
  </si>
  <si>
    <t>CY 2020</t>
  </si>
  <si>
    <t>1-December 2019 Unbilled Revenue</t>
  </si>
  <si>
    <t>2-Dec 2020 Unbilled Revenue</t>
  </si>
  <si>
    <t>1-December 2019 Unbilled Cost of Gas</t>
  </si>
  <si>
    <t>2-Dec 2020 Unbilled Cost of Gas</t>
  </si>
  <si>
    <t>1-December 2019 Unbilled Margin</t>
  </si>
  <si>
    <t>2-Dec 2020 Unbilled Margin</t>
  </si>
  <si>
    <t>3-December 2019 Unbilled Energy Efficiency</t>
  </si>
  <si>
    <t>4-Dec 2020 Unbilled Energy Efficiency</t>
  </si>
  <si>
    <t>5-December 2019 Unbilled Transportation</t>
  </si>
  <si>
    <t>6-Dec 2020 Unbilled Transportation</t>
  </si>
  <si>
    <t>7-December 2019 Unbilled DAC</t>
  </si>
  <si>
    <t>8-Dec 2020 Unbilled DAC</t>
  </si>
  <si>
    <t>9-December 2019 Unbilled RDM</t>
  </si>
  <si>
    <t>10-Dec 2020 Unbilled RDM</t>
  </si>
  <si>
    <t>JAN 2020;FEB 2020;MAR 2020;SP1 2020;SP2 2020;SP3 2020;SP4 2020;Period 00 2021;APR 2021;MAY 2021;JUN 2021;JUL 2021;AUG 2021;SEP 2021;OCT 2021;NOV 2021;DEC 2021</t>
  </si>
  <si>
    <t>SAP</t>
  </si>
  <si>
    <t>Entry Date Key</t>
  </si>
  <si>
    <t>Document Type Key</t>
  </si>
  <si>
    <t>01/03/2020</t>
  </si>
  <si>
    <t>NG/010/2020</t>
  </si>
  <si>
    <t>AC</t>
  </si>
  <si>
    <t>5360RA3314Q02</t>
  </si>
  <si>
    <t>01/04/2020</t>
  </si>
  <si>
    <t>100001291</t>
  </si>
  <si>
    <t>Unbilled - Gas</t>
  </si>
  <si>
    <t>01/04/2021</t>
  </si>
  <si>
    <t>NG/009/2021</t>
  </si>
  <si>
    <t>100001213</t>
  </si>
  <si>
    <t>01/06/2021</t>
  </si>
  <si>
    <t>100001255</t>
  </si>
  <si>
    <t>01/07/2020</t>
  </si>
  <si>
    <t>100001324</t>
  </si>
  <si>
    <t>02/04/2020</t>
  </si>
  <si>
    <t>100001404</t>
  </si>
  <si>
    <t>100001425</t>
  </si>
  <si>
    <t>02/05/2020</t>
  </si>
  <si>
    <t>100001430</t>
  </si>
  <si>
    <t>NG/011/2020</t>
  </si>
  <si>
    <t>100001436</t>
  </si>
  <si>
    <t>100001442</t>
  </si>
  <si>
    <t>02/06/2020</t>
  </si>
  <si>
    <t>100001455</t>
  </si>
  <si>
    <t>03/04/2020</t>
  </si>
  <si>
    <t>100001526</t>
  </si>
  <si>
    <t>100001534</t>
  </si>
  <si>
    <t>03/05/2020</t>
  </si>
  <si>
    <t>NG/012/2020</t>
  </si>
  <si>
    <t>100001564</t>
  </si>
  <si>
    <t>100001566</t>
  </si>
  <si>
    <t>03/06/2020</t>
  </si>
  <si>
    <t>100001584</t>
  </si>
  <si>
    <t>04/01/2020</t>
  </si>
  <si>
    <t>100001690</t>
  </si>
  <si>
    <t>04/02/2020</t>
  </si>
  <si>
    <t>NG/001/2021</t>
  </si>
  <si>
    <t>100000025</t>
  </si>
  <si>
    <t>100001694</t>
  </si>
  <si>
    <t>04/03/2020</t>
  </si>
  <si>
    <t>100000029</t>
  </si>
  <si>
    <t>04/06/2020</t>
  </si>
  <si>
    <t>100001728</t>
  </si>
  <si>
    <t>04/07/2020</t>
  </si>
  <si>
    <t>100000057</t>
  </si>
  <si>
    <t>04/30/2020</t>
  </si>
  <si>
    <t>100000084</t>
  </si>
  <si>
    <t>05/01/2020</t>
  </si>
  <si>
    <t>100000097</t>
  </si>
  <si>
    <t>NG/002/2021</t>
  </si>
  <si>
    <t>100000100</t>
  </si>
  <si>
    <t>05/02/2020</t>
  </si>
  <si>
    <t>100000124</t>
  </si>
  <si>
    <t>05/05/2020</t>
  </si>
  <si>
    <t>05/06/2020</t>
  </si>
  <si>
    <t>100000159</t>
  </si>
  <si>
    <t>05/31/2020</t>
  </si>
  <si>
    <t>100000205</t>
  </si>
  <si>
    <t>06/01/2020</t>
  </si>
  <si>
    <t>100000223</t>
  </si>
  <si>
    <t>NG/003/2021</t>
  </si>
  <si>
    <t>100000234</t>
  </si>
  <si>
    <t>06/02/2020</t>
  </si>
  <si>
    <t>100000248</t>
  </si>
  <si>
    <t>06/03/2020</t>
  </si>
  <si>
    <t>100000263</t>
  </si>
  <si>
    <t>06/04/2020</t>
  </si>
  <si>
    <t>100000274</t>
  </si>
  <si>
    <t>06/30/2020</t>
  </si>
  <si>
    <t>100000328</t>
  </si>
  <si>
    <t>07/01/2020</t>
  </si>
  <si>
    <t>100000357</t>
  </si>
  <si>
    <t>NG/004/2021</t>
  </si>
  <si>
    <t>100000351</t>
  </si>
  <si>
    <t>07/02/2020</t>
  </si>
  <si>
    <t>100000375</t>
  </si>
  <si>
    <t>07/06/2020</t>
  </si>
  <si>
    <t>100000402</t>
  </si>
  <si>
    <t>07/07/2020</t>
  </si>
  <si>
    <t>07/31/2020</t>
  </si>
  <si>
    <t>100000467</t>
  </si>
  <si>
    <t>08/01/2020</t>
  </si>
  <si>
    <t>NG/005/2021</t>
  </si>
  <si>
    <t>100000487</t>
  </si>
  <si>
    <t>08/03/2020</t>
  </si>
  <si>
    <t>100000499</t>
  </si>
  <si>
    <t>08/04/2020</t>
  </si>
  <si>
    <t>100000517</t>
  </si>
  <si>
    <t>08/05/2020</t>
  </si>
  <si>
    <t>100000547</t>
  </si>
  <si>
    <t>08/06/2020</t>
  </si>
  <si>
    <t>100000552</t>
  </si>
  <si>
    <t>08/31/2020</t>
  </si>
  <si>
    <t>09/01/2020</t>
  </si>
  <si>
    <t>100000636</t>
  </si>
  <si>
    <t>NG/006/2021</t>
  </si>
  <si>
    <t>09/02/2020</t>
  </si>
  <si>
    <t>100000659</t>
  </si>
  <si>
    <t>09/03/2020</t>
  </si>
  <si>
    <t>100000681</t>
  </si>
  <si>
    <t>09/04/2020</t>
  </si>
  <si>
    <t>100000690</t>
  </si>
  <si>
    <t>09/29/2020</t>
  </si>
  <si>
    <t>09/30/2020</t>
  </si>
  <si>
    <t>NG/007/2021</t>
  </si>
  <si>
    <t>100000748</t>
  </si>
  <si>
    <t>10/01/2020</t>
  </si>
  <si>
    <t>100000769</t>
  </si>
  <si>
    <t>10/02/2020</t>
  </si>
  <si>
    <t>100000795</t>
  </si>
  <si>
    <t>10/05/2020</t>
  </si>
  <si>
    <t>100000824</t>
  </si>
  <si>
    <t>10/06/2020</t>
  </si>
  <si>
    <t>100000842</t>
  </si>
  <si>
    <t>11/02/2020</t>
  </si>
  <si>
    <t>100000883</t>
  </si>
  <si>
    <t>11/03/2020</t>
  </si>
  <si>
    <t>NG/008/2021</t>
  </si>
  <si>
    <t>100000939</t>
  </si>
  <si>
    <t>100000949</t>
  </si>
  <si>
    <t>11/04/2020</t>
  </si>
  <si>
    <t>11/05/2020</t>
  </si>
  <si>
    <t>100000981</t>
  </si>
  <si>
    <t>11/30/2020</t>
  </si>
  <si>
    <t>100001025</t>
  </si>
  <si>
    <t>12/01/2020</t>
  </si>
  <si>
    <t>100001052</t>
  </si>
  <si>
    <t>100001059</t>
  </si>
  <si>
    <t>12/02/2020</t>
  </si>
  <si>
    <t>12/04/2020</t>
  </si>
  <si>
    <t>100001113</t>
  </si>
  <si>
    <t>12/05/2020</t>
  </si>
  <si>
    <t>100001131</t>
  </si>
  <si>
    <t>S:\2020 ri gas\ESM\Supporting Schedules\RI Gas Unbilled CY19 through 12.31.19</t>
  </si>
  <si>
    <t>USERID</t>
  </si>
  <si>
    <t>Band</t>
  </si>
  <si>
    <t>Individual APP Award</t>
  </si>
  <si>
    <t>Financial APP Award</t>
  </si>
  <si>
    <t>Business Area APP Award</t>
  </si>
  <si>
    <t>Total APP Award</t>
  </si>
  <si>
    <t>=I - (F+G+H)</t>
  </si>
  <si>
    <t>MECO O&amp;M%</t>
  </si>
  <si>
    <t>NECO-E O&amp;M%</t>
  </si>
  <si>
    <t>NECO-G O&amp;M%</t>
  </si>
  <si>
    <t>MECO = Remove All Financial Award</t>
  </si>
  <si>
    <t>NECO-E = Remove All Financial Award and Band A/Exec Total Award</t>
  </si>
  <si>
    <t>NECO-G = Remove All Financial Award and Band A/Exec Total Award</t>
  </si>
  <si>
    <t>A+</t>
  </si>
  <si>
    <t>B+</t>
  </si>
  <si>
    <t>Source: S:\2021 ri gas\ESM\Supporting Schedules\5110 Excess ADIT JE &amp; Support - Dec 2019, Mar 2020, Dec 2020.xlsx - Shortcut</t>
  </si>
  <si>
    <t>Excess ADIT Amort</t>
  </si>
  <si>
    <t>jan</t>
  </si>
  <si>
    <t>feb</t>
  </si>
  <si>
    <t>mar</t>
  </si>
  <si>
    <t>apr</t>
  </si>
  <si>
    <t>may</t>
  </si>
  <si>
    <t>jun</t>
  </si>
  <si>
    <t>jul</t>
  </si>
  <si>
    <t>aug</t>
  </si>
  <si>
    <t>sept</t>
  </si>
  <si>
    <t>oct</t>
  </si>
  <si>
    <t>nov</t>
  </si>
  <si>
    <t>dec</t>
  </si>
  <si>
    <t>original</t>
  </si>
  <si>
    <t>9/18-8/19</t>
  </si>
  <si>
    <t>2018</t>
  </si>
  <si>
    <t>replacement</t>
  </si>
  <si>
    <t>9/19-…</t>
  </si>
  <si>
    <t>2019</t>
  </si>
  <si>
    <t>true-up (right-size orig to replacement)</t>
  </si>
  <si>
    <t>11/19-10/20</t>
  </si>
  <si>
    <t>2020</t>
  </si>
  <si>
    <t>Servco Excess ADIT Amort</t>
  </si>
  <si>
    <t>THE NARRAGANSETT ELECTRIC COMPANY</t>
  </si>
  <si>
    <t>Summary of Federal Income Tax Rate Change</t>
  </si>
  <si>
    <t>d/b/a NATIONAL GRID</t>
  </si>
  <si>
    <t>For the fiscal year ended March 31, 2018</t>
  </si>
  <si>
    <t>RIPUC Docket Nos. 4770/4780</t>
  </si>
  <si>
    <t>Revised Supplemental Compliance Attachment 31</t>
  </si>
  <si>
    <t>Excess ADIT Balances</t>
  </si>
  <si>
    <t>FY18 tax return</t>
  </si>
  <si>
    <t>Page 1 of 6</t>
  </si>
  <si>
    <t>Electric Distribution Protected</t>
  </si>
  <si>
    <t>Electric Distribution Unprotected</t>
  </si>
  <si>
    <t>Allocated Service Company Unprotected</t>
  </si>
  <si>
    <t>Total Electric Distribution</t>
  </si>
  <si>
    <t>Gas Protected</t>
  </si>
  <si>
    <t>Gas Unprotected</t>
  </si>
  <si>
    <t>Total Gas</t>
  </si>
  <si>
    <t>Refer to: radata1\ROE\NECO\EARNINGS_RPTS\ROE 2020\Tax Support\SERVCO Excess ADIT for Regulatory.xlsx</t>
  </si>
  <si>
    <t>In CY19 Service Company EDIT amortization, the prior year true up is not included</t>
  </si>
  <si>
    <t>Revised FY18 tax return</t>
  </si>
  <si>
    <t>In Rates per Aug 16 Compliance filing</t>
  </si>
  <si>
    <t>Increase / (decrease)</t>
  </si>
  <si>
    <t>12/31/2018 Balance</t>
  </si>
  <si>
    <t>12/31/2019 Balance</t>
  </si>
  <si>
    <t>CY19 Service Company Rent adjust to NECO</t>
  </si>
  <si>
    <t>CY20 Service Company Rent adjust to NECO</t>
  </si>
  <si>
    <t>(c)= (a)-(b)</t>
  </si>
  <si>
    <t>Electric Distribution Protected Property</t>
  </si>
  <si>
    <t>Electric Distribution Protected NOL</t>
  </si>
  <si>
    <t>Electric Distribution Unprotected Property</t>
  </si>
  <si>
    <t>Electric Distribution Unprotected Non-property</t>
  </si>
  <si>
    <t>Total Electric Distribution - tax expense</t>
  </si>
  <si>
    <t>Total Electric Distribution - rent expense</t>
  </si>
  <si>
    <t>Gas Protected Property</t>
  </si>
  <si>
    <t>Gas Protected NOL</t>
  </si>
  <si>
    <t>Gas Unprotected Property</t>
  </si>
  <si>
    <t>Gas Unprotected Non-Property</t>
  </si>
  <si>
    <t>Total Gas Distribution - tax expense</t>
  </si>
  <si>
    <t>Total Gas Distribution - rent expense</t>
  </si>
  <si>
    <t>NECO</t>
  </si>
  <si>
    <t>SERVCO</t>
  </si>
  <si>
    <t>Narragansett Electric Co                    Regulatory US GAAP - Balance Sheet                    Time 18:58:56     Date  04/14/2021</t>
  </si>
  <si>
    <t>Sep-20</t>
  </si>
  <si>
    <t>Dec-20</t>
  </si>
  <si>
    <t>Sumtn</t>
  </si>
  <si>
    <t>(01.2021-06.2021)</t>
  </si>
  <si>
    <t>(01.2021-09.2021)</t>
  </si>
  <si>
    <t>level</t>
  </si>
  <si>
    <t>ASSETS</t>
  </si>
  <si>
    <t>C1011000</t>
  </si>
  <si>
    <t>Plant &amp; Machinery-101-Beginning Balance</t>
  </si>
  <si>
    <t>C1011005</t>
  </si>
  <si>
    <t>PM-Asset Retirement Oblig-Beg Balance</t>
  </si>
  <si>
    <t>C1011010</t>
  </si>
  <si>
    <t>Land &amp; Building-101-Beginning Balance</t>
  </si>
  <si>
    <t>C1011015</t>
  </si>
  <si>
    <t>LB-Asset Retirement Oblig-Beg Balance</t>
  </si>
  <si>
    <t>C1011020</t>
  </si>
  <si>
    <t>Motor Vehicles &amp; Off Equip-101-Beg Bal</t>
  </si>
  <si>
    <t>C1011031</t>
  </si>
  <si>
    <t>Software Intangibles-Beginning Balance</t>
  </si>
  <si>
    <t>C1013000</t>
  </si>
  <si>
    <t>Plant &amp; Machinery-101-Disposals</t>
  </si>
  <si>
    <t>C1013005</t>
  </si>
  <si>
    <t>PM-Asset Retirement Oblig-Disposals</t>
  </si>
  <si>
    <t>C1013015</t>
  </si>
  <si>
    <t>LB-Asset Retirement Oblig-Disposals</t>
  </si>
  <si>
    <t>C1013020</t>
  </si>
  <si>
    <t>Motor Vehicles &amp; Off Equip-101-Disposal</t>
  </si>
  <si>
    <t>C1017000</t>
  </si>
  <si>
    <t>Plant &amp; Machinery-101-Reclass</t>
  </si>
  <si>
    <t>C1017010</t>
  </si>
  <si>
    <t>Land &amp; Building-101-Reclass</t>
  </si>
  <si>
    <t>U1011070</t>
  </si>
  <si>
    <t>Lease ROUA-BB-MVOE-Beg Balance-Current</t>
  </si>
  <si>
    <t>U1011071</t>
  </si>
  <si>
    <t>Lease OpA-BB-MVOE-Beg Balance-Current</t>
  </si>
  <si>
    <t>U1012050</t>
  </si>
  <si>
    <t>Lease ROUA-Add-LB-Addition</t>
  </si>
  <si>
    <t>U1012070</t>
  </si>
  <si>
    <t>Lease ROUA-Add-MVOE-Addition</t>
  </si>
  <si>
    <t>U1013070</t>
  </si>
  <si>
    <t>Lease ROUA-Dis-MVOE-Disposal</t>
  </si>
  <si>
    <t>Utility Plant in Service</t>
  </si>
  <si>
    <t>C1061000</t>
  </si>
  <si>
    <t>PM-106 Comp Const Not Class-Beg Bal</t>
  </si>
  <si>
    <t>C1061010</t>
  </si>
  <si>
    <t>LB-106 Comp Const Not Class-Beg Bal</t>
  </si>
  <si>
    <t>C1067000</t>
  </si>
  <si>
    <t>PM-106 Comp Const Not Class-Reclass</t>
  </si>
  <si>
    <t>C1067010</t>
  </si>
  <si>
    <t>LB-106 Comp Const Not Class-Reclass</t>
  </si>
  <si>
    <t>Completed Const not Classified</t>
  </si>
  <si>
    <t>Utility Plant</t>
  </si>
  <si>
    <t>C1081000</t>
  </si>
  <si>
    <t>Accum Deprec-101-PM-Beginning Balance</t>
  </si>
  <si>
    <t>C1081004</t>
  </si>
  <si>
    <t>Accum Deprec-COR-PM-Beginning Balance</t>
  </si>
  <si>
    <t>C1081005</t>
  </si>
  <si>
    <t>Accum Deprec-PM-Asset Retirement Oblig-</t>
  </si>
  <si>
    <t>C1081010</t>
  </si>
  <si>
    <t>Accum Deprec-101-LB-Beginning Balance</t>
  </si>
  <si>
    <t>C1081015</t>
  </si>
  <si>
    <t>Accum Deprec-LB-Asset Retirement Oblig-</t>
  </si>
  <si>
    <t>C1081020</t>
  </si>
  <si>
    <t>Accum Deprec-101-MVOE-Beginning Balance</t>
  </si>
  <si>
    <t>C1081034</t>
  </si>
  <si>
    <t>Accum Deprec-COR RWIP-PM-Beg Balance</t>
  </si>
  <si>
    <t>C1081434</t>
  </si>
  <si>
    <t>Accum Deprec-Cost of Removal-FAS143</t>
  </si>
  <si>
    <t>C1082000</t>
  </si>
  <si>
    <t>Accum Deprec-101-PM-Charge for Period (</t>
  </si>
  <si>
    <t>C1082005</t>
  </si>
  <si>
    <t>C1082010</t>
  </si>
  <si>
    <t>Accum Deprec-101-LB-Charge for Period (</t>
  </si>
  <si>
    <t>C1082020</t>
  </si>
  <si>
    <t>Accum Deprec-101-MVOE-Charge for Period</t>
  </si>
  <si>
    <t>C1082104</t>
  </si>
  <si>
    <t>Accum Deprec-COR-PM-Charge for Period</t>
  </si>
  <si>
    <t>C1082109</t>
  </si>
  <si>
    <t>Accum Deprec-COR RWIP-PM-Charge Period</t>
  </si>
  <si>
    <t>C1082134</t>
  </si>
  <si>
    <t>C1083000</t>
  </si>
  <si>
    <t>Accum Deprec-101-PM-Disposal</t>
  </si>
  <si>
    <t>C1083005</t>
  </si>
  <si>
    <t>C1083015</t>
  </si>
  <si>
    <t>C1083020</t>
  </si>
  <si>
    <t>Accum Deprec-101-MVOE-Disposal</t>
  </si>
  <si>
    <t>C1087000</t>
  </si>
  <si>
    <t>Accum Deprec-101-PM-Reclass</t>
  </si>
  <si>
    <t>C1087003</t>
  </si>
  <si>
    <t>Accum Deprec-RWIP Credit-PM-Reclass</t>
  </si>
  <si>
    <t>C1087010</t>
  </si>
  <si>
    <t>Accum Deprec-101-LB-Reclass</t>
  </si>
  <si>
    <t>U1080001</t>
  </si>
  <si>
    <t>RWIP Reclass</t>
  </si>
  <si>
    <t>U1081034</t>
  </si>
  <si>
    <t>U1081050</t>
  </si>
  <si>
    <t>Lease ROUAD-BB-LB-Beg Bal-Curr-AccumDep</t>
  </si>
  <si>
    <t>U1081070</t>
  </si>
  <si>
    <t>Lease ROUAD-BB-MVOE-BegBalCurr-AccumDep</t>
  </si>
  <si>
    <t>U1081434</t>
  </si>
  <si>
    <t>U1082050</t>
  </si>
  <si>
    <t>Lease ROUAD-Add-LB-Addition</t>
  </si>
  <si>
    <t>U1082070</t>
  </si>
  <si>
    <t>Lease ROUAD-Add-MVOE-Addition</t>
  </si>
  <si>
    <t>U1082134</t>
  </si>
  <si>
    <t>U1083070</t>
  </si>
  <si>
    <t>Lease ROUAD-Dis-MVOE-Disposal</t>
  </si>
  <si>
    <t>Accum Deprec of Plant</t>
  </si>
  <si>
    <t>C1111031</t>
  </si>
  <si>
    <t>Accum Amort-Software-Beginning Balance</t>
  </si>
  <si>
    <t>Amort Plant-Intangible</t>
  </si>
  <si>
    <t>Accum Prov for Depreciation</t>
  </si>
  <si>
    <t>Plant Assets</t>
  </si>
  <si>
    <t>C1071031</t>
  </si>
  <si>
    <t>Software-107 CWIP-Beg Balance</t>
  </si>
  <si>
    <t>C1071035</t>
  </si>
  <si>
    <t>Capital Accrual-107 CWIP-Beg Balance</t>
  </si>
  <si>
    <t>C1071040</t>
  </si>
  <si>
    <t>Assets in Const-107 CWIP-Beg Balance</t>
  </si>
  <si>
    <t>C1071060</t>
  </si>
  <si>
    <t>WIP-OH-Clearing C.Year-Beg Balance</t>
  </si>
  <si>
    <t>C1072040</t>
  </si>
  <si>
    <t>Assets in Const-107 CWIP-Additions (PP)</t>
  </si>
  <si>
    <t>C1072041</t>
  </si>
  <si>
    <t>Assets in Const-107 CWIP-Additions (SAP</t>
  </si>
  <si>
    <t>C1072060</t>
  </si>
  <si>
    <t>WIP-OH-Clearing C.Year (Power Plant)</t>
  </si>
  <si>
    <t>C1072061</t>
  </si>
  <si>
    <t>WIP-OH-Clearing C.Year (SAP)</t>
  </si>
  <si>
    <t>C1077040</t>
  </si>
  <si>
    <t>Assets in Const-107 CWIP-Reclass</t>
  </si>
  <si>
    <t>Construction in Progress</t>
  </si>
  <si>
    <t>Net Utility Plant</t>
  </si>
  <si>
    <t>C1141049</t>
  </si>
  <si>
    <t>Good Will-Beg of Year</t>
  </si>
  <si>
    <t>Goodwill</t>
  </si>
  <si>
    <t>Goodwill, Net of Amortization</t>
  </si>
  <si>
    <t>C1211010</t>
  </si>
  <si>
    <t>LB-121 Non-Util Plant-Beginning Balance</t>
  </si>
  <si>
    <t>Non-Utility Property Misc</t>
  </si>
  <si>
    <t>Non Utility Property</t>
  </si>
  <si>
    <t>Net NonUtility Propery</t>
  </si>
  <si>
    <t>C1241010</t>
  </si>
  <si>
    <t>Oth Invest-Beg Bal</t>
  </si>
  <si>
    <t>Other Investments</t>
  </si>
  <si>
    <t>C1280034</t>
  </si>
  <si>
    <t>FVTPL Rabbi invtmts cur (Money Mkt)-Rlz</t>
  </si>
  <si>
    <t>C1282004</t>
  </si>
  <si>
    <t>Rabbi Eqty NonCur (IFRS-OCI GAAP P&amp;L)Ad</t>
  </si>
  <si>
    <t>C1282024</t>
  </si>
  <si>
    <t>FVOCI Rabbi Debt Instmnts Non-Cur Adds</t>
  </si>
  <si>
    <t>C1283004</t>
  </si>
  <si>
    <t>Rabbi Eqty NonC (IFRS-OCI GAAP P&amp;L)Dsps</t>
  </si>
  <si>
    <t>C1283024</t>
  </si>
  <si>
    <t>FVOCI Rabbi Debt Instmnts Non-Cur Dspsl</t>
  </si>
  <si>
    <t>C1288004</t>
  </si>
  <si>
    <t>Rabbi Eqty NonCur(IFRS-OCI GAAP P&amp;L) Ot</t>
  </si>
  <si>
    <t>C1288024</t>
  </si>
  <si>
    <t>FVOCI Rabbi Debt Instmnts Non-Other</t>
  </si>
  <si>
    <t>C1288604</t>
  </si>
  <si>
    <t>Rabbi Eqty NC (IFRS-OCI GAAP P&amp;L) FV Ch</t>
  </si>
  <si>
    <t>C1288624</t>
  </si>
  <si>
    <t>FVOCI Debt Instmnts Non-Cur Fair Val Ad</t>
  </si>
  <si>
    <t>U1752993</t>
  </si>
  <si>
    <t>Derivative Asset  - Long Term - Gas</t>
  </si>
  <si>
    <t>Derivative Instrument Asset-LT</t>
  </si>
  <si>
    <t>Other Property and Investments</t>
  </si>
  <si>
    <t>C1340001</t>
  </si>
  <si>
    <t>Restricted Cash Hedging</t>
  </si>
  <si>
    <t>Special Deposits</t>
  </si>
  <si>
    <t>Other Special Deposits</t>
  </si>
  <si>
    <t>C1420010</t>
  </si>
  <si>
    <t>Customer A/R-Misc Billing</t>
  </si>
  <si>
    <t>C1420100</t>
  </si>
  <si>
    <t>Due Marketer Single Bill Option</t>
  </si>
  <si>
    <t>C1420130</t>
  </si>
  <si>
    <t>A/R Gift Certificates</t>
  </si>
  <si>
    <t>C1420510</t>
  </si>
  <si>
    <t>Speedpay/Lockbox Holding account</t>
  </si>
  <si>
    <t>*140.6-</t>
  </si>
  <si>
    <t>C1420980</t>
  </si>
  <si>
    <t>Customer AR-ESCO POR</t>
  </si>
  <si>
    <t>C1425030</t>
  </si>
  <si>
    <t>A/R Interco Receipts</t>
  </si>
  <si>
    <t>Customer Accounts Receivable</t>
  </si>
  <si>
    <t>C1430000</t>
  </si>
  <si>
    <t>Tax Benefits Receivable</t>
  </si>
  <si>
    <t>C1430040</t>
  </si>
  <si>
    <t>Oth A/R-Misc (Customer Recon Acct)</t>
  </si>
  <si>
    <t>C1430049</t>
  </si>
  <si>
    <t>Blocked-Data Migration Clearing - AR</t>
  </si>
  <si>
    <t>C1430080</t>
  </si>
  <si>
    <t>Oth A/R-Union Billable Labor</t>
  </si>
  <si>
    <t>C1432140</t>
  </si>
  <si>
    <t>Oth A/R-Depndnt Care Odd Yr</t>
  </si>
  <si>
    <t>C1432150</t>
  </si>
  <si>
    <t>Oth A/R-Non Assoc</t>
  </si>
  <si>
    <t>C1432160</t>
  </si>
  <si>
    <t>Oth A/R-Hlth Care Spend Acct</t>
  </si>
  <si>
    <t>C1432180</t>
  </si>
  <si>
    <t>Transit &amp; Parking Funding-Legacy Grid</t>
  </si>
  <si>
    <t>C1432310</t>
  </si>
  <si>
    <t>Oth A/R-Gas Sale for Resale</t>
  </si>
  <si>
    <t>C1433420</t>
  </si>
  <si>
    <t>Oth A/R-Employee Cash Advances</t>
  </si>
  <si>
    <t>C1433430</t>
  </si>
  <si>
    <t>Oth A/R-Employee Home Conversion Loan P</t>
  </si>
  <si>
    <t>Other Accounts Receivable</t>
  </si>
  <si>
    <t>C1440000</t>
  </si>
  <si>
    <t>Prov Uncoll Cust Accts</t>
  </si>
  <si>
    <t>C1440010</t>
  </si>
  <si>
    <t>Uncoll Acct-Settlement Write off Acct E</t>
  </si>
  <si>
    <t>C1440060</t>
  </si>
  <si>
    <t>Accum Bad Debt-PIPPs</t>
  </si>
  <si>
    <t>C1440070</t>
  </si>
  <si>
    <t>Bad Debt Expense-Non-Utility Billing</t>
  </si>
  <si>
    <t>Accum Prov for Uncoll Acc-Cr</t>
  </si>
  <si>
    <t>C1460000</t>
  </si>
  <si>
    <t>Interco Receivable Reconciliation Acct</t>
  </si>
  <si>
    <t>C1460001</t>
  </si>
  <si>
    <t>AR from Associated Co-Adjustment</t>
  </si>
  <si>
    <t>C1460010</t>
  </si>
  <si>
    <t>Interco Rec Reconciliation Acct-Non Con</t>
  </si>
  <si>
    <t>C1461071</t>
  </si>
  <si>
    <t>AR from VAMCO</t>
  </si>
  <si>
    <t>U1460000</t>
  </si>
  <si>
    <t>U1460001</t>
  </si>
  <si>
    <t>U1460990</t>
  </si>
  <si>
    <t>Accts receivable from affil-Reclass</t>
  </si>
  <si>
    <t>Accounts Rec Assoc Companies</t>
  </si>
  <si>
    <t>C1641000</t>
  </si>
  <si>
    <t>Gas Stored Underground-Current</t>
  </si>
  <si>
    <t>C1642000</t>
  </si>
  <si>
    <t>Underground Storage-Liquefied Natural G</t>
  </si>
  <si>
    <t>Fuel</t>
  </si>
  <si>
    <t>C1540000</t>
  </si>
  <si>
    <t>Materials&amp;Suppl</t>
  </si>
  <si>
    <t>C1540010</t>
  </si>
  <si>
    <t>Plant Materials &amp; Supplies (Manual Adj)</t>
  </si>
  <si>
    <t>C1541005</t>
  </si>
  <si>
    <t>Obsolete Inventory Reserve</t>
  </si>
  <si>
    <t>C1630000</t>
  </si>
  <si>
    <t>Stores Clearing-Debit</t>
  </si>
  <si>
    <t>C1630020</t>
  </si>
  <si>
    <t>Stores Clearing-Credit</t>
  </si>
  <si>
    <t>C1635000</t>
  </si>
  <si>
    <t>Plant Materials &amp; Supplies</t>
  </si>
  <si>
    <t>C1650000</t>
  </si>
  <si>
    <t>Prepaids</t>
  </si>
  <si>
    <t>C1650020</t>
  </si>
  <si>
    <t>Prepaid Employee Insurance</t>
  </si>
  <si>
    <t>C1650160</t>
  </si>
  <si>
    <t>Prepaid Expense-Energy Effic Invoices</t>
  </si>
  <si>
    <t>C1650230</t>
  </si>
  <si>
    <t>Prepaid Insurance</t>
  </si>
  <si>
    <t>Prepayments</t>
  </si>
  <si>
    <t>C1720040</t>
  </si>
  <si>
    <t>Rents Receivable NUB</t>
  </si>
  <si>
    <t>U1720990</t>
  </si>
  <si>
    <t>Accounts receivable-Reclass</t>
  </si>
  <si>
    <t>Rents Receivable</t>
  </si>
  <si>
    <t>Unbilled Revenue Gas</t>
  </si>
  <si>
    <t>Unbilled Revenue</t>
  </si>
  <si>
    <t>C1740000</t>
  </si>
  <si>
    <t>Unbilled-Other</t>
  </si>
  <si>
    <t>Misc. Curr and Accrued Assets</t>
  </si>
  <si>
    <t>C1750090</t>
  </si>
  <si>
    <t>Derivative Asset  - Short Term - Gas</t>
  </si>
  <si>
    <t>U1750090</t>
  </si>
  <si>
    <t>Derivative Instrument Assets</t>
  </si>
  <si>
    <t>Current Assets</t>
  </si>
  <si>
    <t>C1823043</t>
  </si>
  <si>
    <t>Asset Retirement Obligation</t>
  </si>
  <si>
    <t>U1823005</t>
  </si>
  <si>
    <t>Environmental SIR Reserve Offset</t>
  </si>
  <si>
    <t>U1823027</t>
  </si>
  <si>
    <t>Environmental SIR Costs Amortization</t>
  </si>
  <si>
    <t>U1823040</t>
  </si>
  <si>
    <t>Arrears Forgive-LAMP</t>
  </si>
  <si>
    <t>U1823043</t>
  </si>
  <si>
    <t>U1823049</t>
  </si>
  <si>
    <t>Deferred Gas Costs</t>
  </si>
  <si>
    <t>U1823070</t>
  </si>
  <si>
    <t>Gas Futures-Gas Supply</t>
  </si>
  <si>
    <t>U1823078</t>
  </si>
  <si>
    <t>Rate Case Expense</t>
  </si>
  <si>
    <t>U1823110</t>
  </si>
  <si>
    <t>Regulatory Asset - Storage Deferral</t>
  </si>
  <si>
    <t>U1823158</t>
  </si>
  <si>
    <t>FAS158-Pension</t>
  </si>
  <si>
    <t>U1823159</t>
  </si>
  <si>
    <t>FAS158-OPEB</t>
  </si>
  <si>
    <t>U1823232</t>
  </si>
  <si>
    <t>Reconciliation Factor</t>
  </si>
  <si>
    <t>U1823250</t>
  </si>
  <si>
    <t>Pension/FAS106 Purchase Accounting Adju</t>
  </si>
  <si>
    <t>U1823253</t>
  </si>
  <si>
    <t>Pension Exp Deferred</t>
  </si>
  <si>
    <t>U1823254</t>
  </si>
  <si>
    <t>OPEB Exp Deferred</t>
  </si>
  <si>
    <t>U1823261</t>
  </si>
  <si>
    <t>Pension/OPEB Carrying Charges</t>
  </si>
  <si>
    <t>U1823274</t>
  </si>
  <si>
    <t>Low Income Program</t>
  </si>
  <si>
    <t>U1823304</t>
  </si>
  <si>
    <t>Oth A/R-DAC Coll-Syst Pressure</t>
  </si>
  <si>
    <t>U1823309</t>
  </si>
  <si>
    <t>LIHEAP Enhancement Program</t>
  </si>
  <si>
    <t>U1823321</t>
  </si>
  <si>
    <t>DAC-Earnings Sharing Mechanism</t>
  </si>
  <si>
    <t>U1823355</t>
  </si>
  <si>
    <t>LIAP DAC Contrib</t>
  </si>
  <si>
    <t>U1823360</t>
  </si>
  <si>
    <t>Storm Net Revenue Credit Factor -NECO G</t>
  </si>
  <si>
    <t>U1823390</t>
  </si>
  <si>
    <t>COVID-19 Costs Deferral</t>
  </si>
  <si>
    <t>U1823658</t>
  </si>
  <si>
    <t>Srvc Co Rents &amp; GBE Progrm Rec Mech-Gas</t>
  </si>
  <si>
    <t>U1823786</t>
  </si>
  <si>
    <t>Gas IS Smallworld Amortization</t>
  </si>
  <si>
    <t>Misc Regulatory Assets</t>
  </si>
  <si>
    <t>Regulatory Assets</t>
  </si>
  <si>
    <t>C1810000</t>
  </si>
  <si>
    <t>Unamortized Debt Exp</t>
  </si>
  <si>
    <t>Unamortized Debt Expense</t>
  </si>
  <si>
    <t>C1830000</t>
  </si>
  <si>
    <t>Prelim Survey&amp;Inv Beg Balance</t>
  </si>
  <si>
    <t>Prelim Survey &amp; Investigation</t>
  </si>
  <si>
    <t>C1840000</t>
  </si>
  <si>
    <t>Other Clearing</t>
  </si>
  <si>
    <t>C1841010</t>
  </si>
  <si>
    <t>Pymts Tnw-Vacation</t>
  </si>
  <si>
    <t>C1841020</t>
  </si>
  <si>
    <t>Pymts Tnw-Holiday</t>
  </si>
  <si>
    <t>C1841030</t>
  </si>
  <si>
    <t>Pymts Tnw-Sickness</t>
  </si>
  <si>
    <t>C1841040</t>
  </si>
  <si>
    <t>Pymts Tnw-Personal</t>
  </si>
  <si>
    <t>C1841060</t>
  </si>
  <si>
    <t>Pymts Tnw-Military Duty</t>
  </si>
  <si>
    <t>C1841070</t>
  </si>
  <si>
    <t>Pymts Tnw-Jury Duty</t>
  </si>
  <si>
    <t>C1841080</t>
  </si>
  <si>
    <t>Pymts Tnw-Rest Time</t>
  </si>
  <si>
    <t>C1841100</t>
  </si>
  <si>
    <t>Pymts Tnw-Weather</t>
  </si>
  <si>
    <t>C1841110</t>
  </si>
  <si>
    <t>Pymts Tnw-Funeral</t>
  </si>
  <si>
    <t>C1841120</t>
  </si>
  <si>
    <t>Pymts Tnw-Emp Rel in</t>
  </si>
  <si>
    <t>C1841180</t>
  </si>
  <si>
    <t>Time Not Worked-Clearing Operating</t>
  </si>
  <si>
    <t>C1841181</t>
  </si>
  <si>
    <t>Burden Residual-Pensions</t>
  </si>
  <si>
    <t>C1841182</t>
  </si>
  <si>
    <t>Burden Residual-OPEBs</t>
  </si>
  <si>
    <t>C1841183</t>
  </si>
  <si>
    <t>Burden Residual-FAS 112 Post Retirement</t>
  </si>
  <si>
    <t>C1841184</t>
  </si>
  <si>
    <t>Burden Residual-Payroll Taxes</t>
  </si>
  <si>
    <t>C1841185</t>
  </si>
  <si>
    <t>Burden Residual-Health Care</t>
  </si>
  <si>
    <t>C1841186</t>
  </si>
  <si>
    <t>Burden Residual-Group Life</t>
  </si>
  <si>
    <t>C1841187</t>
  </si>
  <si>
    <t>Burden Residual-Thrift (401k)</t>
  </si>
  <si>
    <t>C1841188</t>
  </si>
  <si>
    <t>Burden Residual-Workman#s Comp</t>
  </si>
  <si>
    <t>C1842000</t>
  </si>
  <si>
    <t>Transp Exp Taxes</t>
  </si>
  <si>
    <t>C1842310</t>
  </si>
  <si>
    <t>Transp Exp Credit Clearing Only</t>
  </si>
  <si>
    <t>C1849000</t>
  </si>
  <si>
    <t>PowerPlant Clearing-Reconciliation Acct</t>
  </si>
  <si>
    <t>U1841181</t>
  </si>
  <si>
    <t>U1841182</t>
  </si>
  <si>
    <t>Burden Residual-OPEB</t>
  </si>
  <si>
    <t>Clearing Accounts</t>
  </si>
  <si>
    <t>C1866100</t>
  </si>
  <si>
    <t>Def Dr-Cash Overs&amp;Shorts</t>
  </si>
  <si>
    <t>C1866130</t>
  </si>
  <si>
    <t>Def Dr-Construction Advance</t>
  </si>
  <si>
    <t>C1866330</t>
  </si>
  <si>
    <t>WNS-Bank Fees</t>
  </si>
  <si>
    <t>C1866640</t>
  </si>
  <si>
    <t>Block Suspense Ack-Allocations</t>
  </si>
  <si>
    <t>C1866650</t>
  </si>
  <si>
    <t>Document Splitting</t>
  </si>
  <si>
    <t>C1869700</t>
  </si>
  <si>
    <t>Block Misc Def Dr-Exps Associated with</t>
  </si>
  <si>
    <t>C1869990</t>
  </si>
  <si>
    <t>Document Splitting Clearing</t>
  </si>
  <si>
    <t>Miscellaneous Deferred Debits</t>
  </si>
  <si>
    <t>C1901001</t>
  </si>
  <si>
    <t>ADFIT-BegBal-Accrued Interest</t>
  </si>
  <si>
    <t>C1901011</t>
  </si>
  <si>
    <t>Blocked-ADFIT-BegBal-Bad Debts</t>
  </si>
  <si>
    <t>C1901012</t>
  </si>
  <si>
    <t>ADFIT-Assets-OCI</t>
  </si>
  <si>
    <t>C1901021</t>
  </si>
  <si>
    <t>Blkd-ADFIT-BegBal-Deferred Compensation</t>
  </si>
  <si>
    <t>C1901022</t>
  </si>
  <si>
    <t>ADFIT-Assets-Other</t>
  </si>
  <si>
    <t>C1901041</t>
  </si>
  <si>
    <t>Blkd-ADFIT-BegBal-Emplee Comp &amp; Benefit</t>
  </si>
  <si>
    <t>C1901042</t>
  </si>
  <si>
    <t>Blocked ADFIT-Employee Compensation &amp; B</t>
  </si>
  <si>
    <t>C1901061</t>
  </si>
  <si>
    <t>Blocked-ADFIT-BegBal-Gdwl &amp; Intangibles</t>
  </si>
  <si>
    <t>C1901062</t>
  </si>
  <si>
    <t>Blocked ADFIT-Goodwill &amp; Intangibles</t>
  </si>
  <si>
    <t>C1901071</t>
  </si>
  <si>
    <t>ADFIT-BegBal-Hedging</t>
  </si>
  <si>
    <t>C1901072</t>
  </si>
  <si>
    <t>Blocked ADFIT-Hedging</t>
  </si>
  <si>
    <t>C1901111</t>
  </si>
  <si>
    <t>Blocked-ADFIT-BegBal-OPEB-OCI</t>
  </si>
  <si>
    <t>C1901118</t>
  </si>
  <si>
    <t>ADFIT-OPEB-OCI</t>
  </si>
  <si>
    <t>C1901121</t>
  </si>
  <si>
    <t>Blocked-ADFIT-BegBal-OPEB Liability</t>
  </si>
  <si>
    <t>C1901122</t>
  </si>
  <si>
    <t>ADFIT-OPEB Liability</t>
  </si>
  <si>
    <t>C1901131</t>
  </si>
  <si>
    <t>Blocked-ADFIT-BegBal-Other Items</t>
  </si>
  <si>
    <t>C1901132</t>
  </si>
  <si>
    <t>ADFIT-Other Items</t>
  </si>
  <si>
    <t>C1901141</t>
  </si>
  <si>
    <t>Blocked-ADFIT-BegBal-Pension-OCI</t>
  </si>
  <si>
    <t>C1901148</t>
  </si>
  <si>
    <t>ADFIT-Pension-OCI</t>
  </si>
  <si>
    <t>C1901151</t>
  </si>
  <si>
    <t>Blocked-ADFIT-BegBal-Pension Liability</t>
  </si>
  <si>
    <t>C1901152</t>
  </si>
  <si>
    <t>ADFIT-Pension Liability</t>
  </si>
  <si>
    <t>C1901181</t>
  </si>
  <si>
    <t>ADFIT-BegBal-Reserve-Environmental</t>
  </si>
  <si>
    <t>C1901182</t>
  </si>
  <si>
    <t>ADFIT-Reserve-Environmental</t>
  </si>
  <si>
    <t>C1901192</t>
  </si>
  <si>
    <t>ADFIT-Reserve-State FIN48</t>
  </si>
  <si>
    <t>C1901201</t>
  </si>
  <si>
    <t>Blocked-ADFIT-BegBal-Reserve-Storm</t>
  </si>
  <si>
    <t>C1901211</t>
  </si>
  <si>
    <t>Blocked-ADFIT-BegBal-Reserve-Other</t>
  </si>
  <si>
    <t>Accum Deferred Fed Income Tax</t>
  </si>
  <si>
    <t>C1901050</t>
  </si>
  <si>
    <t>Blocked-ADSIT-NIMO-Statutory Rate</t>
  </si>
  <si>
    <t>C1903072</t>
  </si>
  <si>
    <t>ADSIT-Hedging</t>
  </si>
  <si>
    <t>C1903111</t>
  </si>
  <si>
    <t>Blocked-ADSIT-BegBal-OPEB-OCI</t>
  </si>
  <si>
    <t>C1903132</t>
  </si>
  <si>
    <t>ADSIT-Other Items</t>
  </si>
  <si>
    <t>Accum Deferred State Income Tx</t>
  </si>
  <si>
    <t>Accum Def FIT &amp; SIT</t>
  </si>
  <si>
    <t>Deferred Debits</t>
  </si>
  <si>
    <t>Providence                Ledger 0L                                                               RFBILA00/HAMMEK   Page           2</t>
  </si>
  <si>
    <t>CAPITALIZATION &amp; LIABILITIES</t>
  </si>
  <si>
    <t>C2100000</t>
  </si>
  <si>
    <t>OPIC-Beg Balance</t>
  </si>
  <si>
    <t>Other Paid-in Capital</t>
  </si>
  <si>
    <t>C2160000</t>
  </si>
  <si>
    <t>Surp-Unappr Earnd Surplus</t>
  </si>
  <si>
    <t>C2161000</t>
  </si>
  <si>
    <t>Unapprop Undistr Sub Earn</t>
  </si>
  <si>
    <t>U2160000</t>
  </si>
  <si>
    <t>Unappropriated Retained Earnings</t>
  </si>
  <si>
    <t>Retained Earnings</t>
  </si>
  <si>
    <t>calculated loss</t>
  </si>
  <si>
    <t>RE - Current Year Earnings</t>
  </si>
  <si>
    <t>C2191591</t>
  </si>
  <si>
    <t>OCI-BegBal-FAS158-OPEB-Fed Taxation</t>
  </si>
  <si>
    <t>C2197024</t>
  </si>
  <si>
    <t>FVOCI Rabbi Debt Instmts non-cur-Trnsfe</t>
  </si>
  <si>
    <t>C2198624</t>
  </si>
  <si>
    <t>FVOCI Rabbi Debt Instmts non-cur-FV</t>
  </si>
  <si>
    <t>OCI</t>
  </si>
  <si>
    <t>Common equity</t>
  </si>
  <si>
    <t>C2211000</t>
  </si>
  <si>
    <t>LTD-Bonds</t>
  </si>
  <si>
    <t>Capatilization</t>
  </si>
  <si>
    <t>C2212000</t>
  </si>
  <si>
    <t>LTD Due Within One Year</t>
  </si>
  <si>
    <t>LTD Due in One Year</t>
  </si>
  <si>
    <t>C2321000</t>
  </si>
  <si>
    <t>A/P-Audited Vouchers (Recon A/c)</t>
  </si>
  <si>
    <t>C2321015</t>
  </si>
  <si>
    <t>Unaudited Invoices &amp; Accr</t>
  </si>
  <si>
    <t>C2321030</t>
  </si>
  <si>
    <t>A/P-M &amp; S Receipts</t>
  </si>
  <si>
    <t>C2321040</t>
  </si>
  <si>
    <t>Garnishments</t>
  </si>
  <si>
    <t>C2321110</t>
  </si>
  <si>
    <t>A/P Exceptional Payments-NGG</t>
  </si>
  <si>
    <t>C2321160</t>
  </si>
  <si>
    <t>A/P-Marketer Imbalance</t>
  </si>
  <si>
    <t>C2321170</t>
  </si>
  <si>
    <t>Energy Supplier A/P Non Assoc Co</t>
  </si>
  <si>
    <t>C2321180</t>
  </si>
  <si>
    <t>A/P-Gas Supply</t>
  </si>
  <si>
    <t>C2321200</t>
  </si>
  <si>
    <t>A/P CSS Control Account</t>
  </si>
  <si>
    <t>C2323000</t>
  </si>
  <si>
    <t>A/P-Union Dues Employ Ded</t>
  </si>
  <si>
    <t>C2323020</t>
  </si>
  <si>
    <t>A/P-Cred Union Employ Deductions</t>
  </si>
  <si>
    <t>C2323030</t>
  </si>
  <si>
    <t>A/P-Charit Org Employ Deductions</t>
  </si>
  <si>
    <t>C2323050</t>
  </si>
  <si>
    <t>A/P-Thrift Pl-Employ Deductions</t>
  </si>
  <si>
    <t>C2323060</t>
  </si>
  <si>
    <t>A/P-Employ Assoc-Emp Deductions</t>
  </si>
  <si>
    <t>C2323080</t>
  </si>
  <si>
    <t>A/P-Auto Ins-Employee Deduction</t>
  </si>
  <si>
    <t>C2323090</t>
  </si>
  <si>
    <t>A/P-Thrift Loan</t>
  </si>
  <si>
    <t>C2323100</t>
  </si>
  <si>
    <t>A/P-Employee voluntary benefits</t>
  </si>
  <si>
    <t>C2323110</t>
  </si>
  <si>
    <t>Miscellaneous Employee Withholding</t>
  </si>
  <si>
    <t>C2323120</t>
  </si>
  <si>
    <t>A/P- Gym</t>
  </si>
  <si>
    <t>C2323140</t>
  </si>
  <si>
    <t>A/P-Stock Purchase Plan-Employee Withho</t>
  </si>
  <si>
    <t>C2323150</t>
  </si>
  <si>
    <t>A/P-Empl Deduct- EE Disability tax</t>
  </si>
  <si>
    <t>C2323160</t>
  </si>
  <si>
    <t>Block A/P-Empl Deduct-EE Medicare tax</t>
  </si>
  <si>
    <t>C2323165</t>
  </si>
  <si>
    <t>Block A/P-Empl Deduct-ER Medicare tax</t>
  </si>
  <si>
    <t>C2323170</t>
  </si>
  <si>
    <t>Block A/P-Empl Deduct- EE Social Securi</t>
  </si>
  <si>
    <t>C2323175</t>
  </si>
  <si>
    <t>Blocked A/P-Empl Deduct- ER Social Secu</t>
  </si>
  <si>
    <t>C2323190</t>
  </si>
  <si>
    <t>A/P-Empl Deduct- EE Withholding tax</t>
  </si>
  <si>
    <t>C2323195</t>
  </si>
  <si>
    <t>A/P-Empl Deduct- ER Health Insurance Ta</t>
  </si>
  <si>
    <t>C2323200</t>
  </si>
  <si>
    <t>A/P-EE Portion - Medical &amp; Dental Plan</t>
  </si>
  <si>
    <t>C2324020</t>
  </si>
  <si>
    <t>A/P-Commit Fee-Line of Cr</t>
  </si>
  <si>
    <t>C2324050</t>
  </si>
  <si>
    <t>A/P-Benefits-Disability plans</t>
  </si>
  <si>
    <t>C2324150</t>
  </si>
  <si>
    <t>A/P-Escheat-A/P-Unclaimed Cust Credits</t>
  </si>
  <si>
    <t>C2324335</t>
  </si>
  <si>
    <t>A/P - Energy Efficiency Accrual</t>
  </si>
  <si>
    <t>C2324380</t>
  </si>
  <si>
    <t>A/P-Unpaid Invoice Accrual</t>
  </si>
  <si>
    <t>C2324390</t>
  </si>
  <si>
    <t>A/P-Capital Accrual</t>
  </si>
  <si>
    <t>C2329000</t>
  </si>
  <si>
    <t>GRIR Account</t>
  </si>
  <si>
    <t>U2320990</t>
  </si>
  <si>
    <t>Accounts Payable-Reclass</t>
  </si>
  <si>
    <t>Accounts Payable</t>
  </si>
  <si>
    <t>C2330000</t>
  </si>
  <si>
    <t>Moneypool Payable</t>
  </si>
  <si>
    <t>N/P to Assoc Companies</t>
  </si>
  <si>
    <t>C2340000</t>
  </si>
  <si>
    <t>A/P Associated Companies</t>
  </si>
  <si>
    <t>C2340001</t>
  </si>
  <si>
    <t>A/P Associated Companies - Adjustment</t>
  </si>
  <si>
    <t>C2340010</t>
  </si>
  <si>
    <t>A/P Associated Companies-Non-consol com</t>
  </si>
  <si>
    <t>C2341071</t>
  </si>
  <si>
    <t>AP to VAMCO</t>
  </si>
  <si>
    <t>U2340000</t>
  </si>
  <si>
    <t>U2340990</t>
  </si>
  <si>
    <t>Accounts Payable to affiliates-Reclass</t>
  </si>
  <si>
    <t>A/P to Associated Companies</t>
  </si>
  <si>
    <t>AP to Associated Companies</t>
  </si>
  <si>
    <t>C2359500</t>
  </si>
  <si>
    <t>C2361000</t>
  </si>
  <si>
    <t>Blocked-Tx Accr-Fed Inc</t>
  </si>
  <si>
    <t>C2363000</t>
  </si>
  <si>
    <t>Tx Accr-Mun-Prop-Op Prop</t>
  </si>
  <si>
    <t>C2363001</t>
  </si>
  <si>
    <t>Inc Tax Accrued-Current State</t>
  </si>
  <si>
    <t>C2365000</t>
  </si>
  <si>
    <t>Tx Accr-State Unemployment</t>
  </si>
  <si>
    <t>C2365004</t>
  </si>
  <si>
    <t>Tx Accr-RI-ER State Unemployment</t>
  </si>
  <si>
    <t>C2365010</t>
  </si>
  <si>
    <t>Tx Accr-Fed Unemployment Comp</t>
  </si>
  <si>
    <t>C2365500</t>
  </si>
  <si>
    <t>Tx Accr-FICA Company Portion</t>
  </si>
  <si>
    <t>C2366000</t>
  </si>
  <si>
    <t>Tx Accr-St Gross Earn</t>
  </si>
  <si>
    <t>C2367000</t>
  </si>
  <si>
    <t>Tx Accr-Misc</t>
  </si>
  <si>
    <t>C2367500</t>
  </si>
  <si>
    <t>Tx Accr-Sales and Use Tax</t>
  </si>
  <si>
    <t>C2367510</t>
  </si>
  <si>
    <t>Tx Accr-Use Tax</t>
  </si>
  <si>
    <t>C2367520</t>
  </si>
  <si>
    <t>Tx Accr-Other</t>
  </si>
  <si>
    <t>TAXES ACCRUED-FIT, SIT and Other</t>
  </si>
  <si>
    <t>C2370020</t>
  </si>
  <si>
    <t>Int Accr-LTD</t>
  </si>
  <si>
    <t>C2370030</t>
  </si>
  <si>
    <t>Int Accr-Customer Deposits</t>
  </si>
  <si>
    <t>C2372003</t>
  </si>
  <si>
    <t>Interest Accr-Marketer Deposits</t>
  </si>
  <si>
    <t>Interest Accrued</t>
  </si>
  <si>
    <t>C2410000</t>
  </si>
  <si>
    <t>Tx Coll Pay Fica</t>
  </si>
  <si>
    <t>C2410030</t>
  </si>
  <si>
    <t>Tx Coll Pay RI SLS Tax</t>
  </si>
  <si>
    <t>C2410070</t>
  </si>
  <si>
    <t>Tx Coll Pay Ri Temp Dis Fund</t>
  </si>
  <si>
    <t>C2410080</t>
  </si>
  <si>
    <t>Tx Coll Pay-Fed Inc Withholdng</t>
  </si>
  <si>
    <t>C2410090</t>
  </si>
  <si>
    <t>Tx Coll Pay-St Inc Withholding</t>
  </si>
  <si>
    <t>C2410092</t>
  </si>
  <si>
    <t>Tx Coll Pay-MA-State Income Withholding</t>
  </si>
  <si>
    <t>C2410094</t>
  </si>
  <si>
    <t>Tx Coll Pay-RI-State Income Withholding</t>
  </si>
  <si>
    <t>Tax Collections Payable</t>
  </si>
  <si>
    <t>C2420000</t>
  </si>
  <si>
    <t>Curr&amp;Accr Liab-Miscellaneous</t>
  </si>
  <si>
    <t>C2420040</t>
  </si>
  <si>
    <t>Margin Collateral Payables</t>
  </si>
  <si>
    <t>C2420070</t>
  </si>
  <si>
    <t>Curr&amp;Accr Liab-Energy Efficiency OBR Ob</t>
  </si>
  <si>
    <t>C2420370</t>
  </si>
  <si>
    <t>Deferred Revenue Customer Reimbursement</t>
  </si>
  <si>
    <t>C2420431</t>
  </si>
  <si>
    <t>Gas Muni PEP Loan Fund-EE Financing</t>
  </si>
  <si>
    <t>C2420520</t>
  </si>
  <si>
    <t>Block Curr&amp;Accr Liab-RGGI Thermal Study</t>
  </si>
  <si>
    <t>C2422000</t>
  </si>
  <si>
    <t>Curr&amp;Accr Liab-Payroll</t>
  </si>
  <si>
    <t>C2422010</t>
  </si>
  <si>
    <t>Curr&amp;Accr Liab-Healthcare Accr</t>
  </si>
  <si>
    <t>C2422030</t>
  </si>
  <si>
    <t>Curr&amp;Accr Liab-Vac Accrual</t>
  </si>
  <si>
    <t>C2422040</t>
  </si>
  <si>
    <t>Block Curr&amp;Accr Liab-NGUSA Goals</t>
  </si>
  <si>
    <t>C2422060</t>
  </si>
  <si>
    <t>Goals II (Union)</t>
  </si>
  <si>
    <t>C2422070</t>
  </si>
  <si>
    <t>Management Bonus Accrual</t>
  </si>
  <si>
    <t>C2422100</t>
  </si>
  <si>
    <t>Curr&amp;Accr Liab-Tdi Reimb</t>
  </si>
  <si>
    <t>C2422120</t>
  </si>
  <si>
    <t>Curr&amp;Accr Liab-Health Dental</t>
  </si>
  <si>
    <t>C2422580</t>
  </si>
  <si>
    <t>Accrued Nonqualified Pension-Current</t>
  </si>
  <si>
    <t>C2423120</t>
  </si>
  <si>
    <t>ARO Liab-Beg Balance-Current</t>
  </si>
  <si>
    <t>C2423320</t>
  </si>
  <si>
    <t>Other Prov-Beg Bal-Current</t>
  </si>
  <si>
    <t>C2423420</t>
  </si>
  <si>
    <t>Haz Waste Prov-Beg Bal-Current</t>
  </si>
  <si>
    <t>C2423440</t>
  </si>
  <si>
    <t>Haz Waste Provision-Current</t>
  </si>
  <si>
    <t>C2429520</t>
  </si>
  <si>
    <t>Cust Refund Prov-Commercial Large Distr</t>
  </si>
  <si>
    <t>U2422580</t>
  </si>
  <si>
    <t>Current Accrued Nonqual pension/RW</t>
  </si>
  <si>
    <t>Misc Curr &amp; Accr Liab</t>
  </si>
  <si>
    <t>U2431010</t>
  </si>
  <si>
    <t>Lease Curr Liab-Beginning Balance</t>
  </si>
  <si>
    <t>U2432010</t>
  </si>
  <si>
    <t>Lease Curr Liab-Additions</t>
  </si>
  <si>
    <t>U2433010</t>
  </si>
  <si>
    <t>Lease Curr Liab-Disposals</t>
  </si>
  <si>
    <t>U2433510</t>
  </si>
  <si>
    <t>Lease Curr Liab-Unwinding of Discount</t>
  </si>
  <si>
    <t>U2437010</t>
  </si>
  <si>
    <t>Lease Curr Liab-Reclass</t>
  </si>
  <si>
    <t>Property Under Capital Lease</t>
  </si>
  <si>
    <t>Current Liabilities</t>
  </si>
  <si>
    <t>C2821001</t>
  </si>
  <si>
    <t>ADFIT-BegBal-Property Related</t>
  </si>
  <si>
    <t>C2821002</t>
  </si>
  <si>
    <t>ADFIT-Property Related</t>
  </si>
  <si>
    <t>C2821012</t>
  </si>
  <si>
    <t>ADFIT-Property-OCI</t>
  </si>
  <si>
    <t>Other Property FIT</t>
  </si>
  <si>
    <t>Other Property ADIT</t>
  </si>
  <si>
    <t>C2831001</t>
  </si>
  <si>
    <t>Blkd-ADFIT-BegBal-Property Taxes</t>
  </si>
  <si>
    <t>C2831002</t>
  </si>
  <si>
    <t>ADFIT-Liabilities</t>
  </si>
  <si>
    <t>C2831011</t>
  </si>
  <si>
    <t>Blkd-ADFIT-BegBal-Reg Ast-Decommission</t>
  </si>
  <si>
    <t>C2831012</t>
  </si>
  <si>
    <t>ADFIT-Liab-OCI</t>
  </si>
  <si>
    <t>C2831031</t>
  </si>
  <si>
    <t>Blkd-ADFIT-BegBal-Reg Asset-Environmen</t>
  </si>
  <si>
    <t>C2831032</t>
  </si>
  <si>
    <t>ADFIT-Liab-RE</t>
  </si>
  <si>
    <t>C2831041</t>
  </si>
  <si>
    <t>Blkd-ADFIT-BegBal-Reg Asset-FAS109</t>
  </si>
  <si>
    <t>C2831042</t>
  </si>
  <si>
    <t>ADFIT-Reg Asset-FAS109</t>
  </si>
  <si>
    <t>C2831071</t>
  </si>
  <si>
    <t>Blkd-ADFIT-BegBal-Reg Asset-OPEB</t>
  </si>
  <si>
    <t>C2831072</t>
  </si>
  <si>
    <t>ADFIT-Reg Asset-OPEB</t>
  </si>
  <si>
    <t>C2831081</t>
  </si>
  <si>
    <t>Blkd-ADFIT-BegBal-Reg Asset-Pension</t>
  </si>
  <si>
    <t>C2831082</t>
  </si>
  <si>
    <t>ADFIT-Reg Asset-Pension</t>
  </si>
  <si>
    <t>C2831102</t>
  </si>
  <si>
    <t>ADFIT-Reg Asset-Storm Cost</t>
  </si>
  <si>
    <t>C2831111</t>
  </si>
  <si>
    <t>Blkd-ADFIT-BegBal-Reg Asset-Other</t>
  </si>
  <si>
    <t>C2831112</t>
  </si>
  <si>
    <t>ADFIT-Reg Asset-Other</t>
  </si>
  <si>
    <t>C2831121</t>
  </si>
  <si>
    <t>ADFIT-BegBal-Reg Asset-X Rate Base</t>
  </si>
  <si>
    <t>C2831122</t>
  </si>
  <si>
    <t>ADFIT-Reg Asset-X Rate Base</t>
  </si>
  <si>
    <t>C2831131</t>
  </si>
  <si>
    <t>Blkd-ADFIT-BegBal-Unamort Debt Disc/Pre</t>
  </si>
  <si>
    <t>Other FIT</t>
  </si>
  <si>
    <t>Other ADIT</t>
  </si>
  <si>
    <t>Accumlated Deferred Income Tax</t>
  </si>
  <si>
    <t>C2280000</t>
  </si>
  <si>
    <t>Injuries &amp; Damages Beginning Balance</t>
  </si>
  <si>
    <t>C2281000</t>
  </si>
  <si>
    <t>Acc Prov Prop Insurance</t>
  </si>
  <si>
    <t>C2281001</t>
  </si>
  <si>
    <t>Inj &amp; Damage Res Captive-Beg Bal</t>
  </si>
  <si>
    <t>C2282000</t>
  </si>
  <si>
    <t>Injuries &amp; Damages Utilization</t>
  </si>
  <si>
    <t>C2282001</t>
  </si>
  <si>
    <t>IBNR Charge to P&amp;L</t>
  </si>
  <si>
    <t>C2282002</t>
  </si>
  <si>
    <t>Worker's Comp (TPA) Beginning Balance</t>
  </si>
  <si>
    <t>C2282003</t>
  </si>
  <si>
    <t>Work comp (TPA) Utilization</t>
  </si>
  <si>
    <t>C2282004</t>
  </si>
  <si>
    <t>Work comp (TPA) Charge to P&amp;L</t>
  </si>
  <si>
    <t>C2282005</t>
  </si>
  <si>
    <t>Injuries &amp; Damages-Charge to P&amp;L</t>
  </si>
  <si>
    <t>C2282009</t>
  </si>
  <si>
    <t>IBNR Beginning Balance</t>
  </si>
  <si>
    <t>C2282030</t>
  </si>
  <si>
    <t>Inj &amp; Damage Res-Ins Captive-Chrg to P&amp;</t>
  </si>
  <si>
    <t>C2282100</t>
  </si>
  <si>
    <t>Other Prov-Non Current Beginning Bal</t>
  </si>
  <si>
    <t>C2282120</t>
  </si>
  <si>
    <t>IBNR Captive Charge to P&amp;L</t>
  </si>
  <si>
    <t>C2282150</t>
  </si>
  <si>
    <t>IBNR Claim Reserve Unwinding</t>
  </si>
  <si>
    <t>C2301011</t>
  </si>
  <si>
    <t>Asset Retirement Oblig Liab-Beg Balance</t>
  </si>
  <si>
    <t>C2303011</t>
  </si>
  <si>
    <t>Asset Retirement Oblig Liab-Utilization</t>
  </si>
  <si>
    <t>C2303511</t>
  </si>
  <si>
    <t>Asset Retirement Oblig Liab-Unwind Disc</t>
  </si>
  <si>
    <t>C2440070</t>
  </si>
  <si>
    <t>Derivative Liability  - Short Term - Ga</t>
  </si>
  <si>
    <t>U2271010</t>
  </si>
  <si>
    <t>Lease NonCurLiab-Beginning Balance</t>
  </si>
  <si>
    <t>U2272010</t>
  </si>
  <si>
    <t>Lease NonCurLiab-Additions</t>
  </si>
  <si>
    <t>U2273010</t>
  </si>
  <si>
    <t>Lease NonCurLiab-Disposals</t>
  </si>
  <si>
    <t>U2277010</t>
  </si>
  <si>
    <t>Lease NonCurLiab-Reclass</t>
  </si>
  <si>
    <t>U2284490</t>
  </si>
  <si>
    <t>Haz-Waste Reclass Reserve from 253</t>
  </si>
  <si>
    <t>U2284990</t>
  </si>
  <si>
    <t>Environmental remediation costs-Reclass</t>
  </si>
  <si>
    <t>U2440070</t>
  </si>
  <si>
    <t>U2441060</t>
  </si>
  <si>
    <t>Derivative Liability  - Long Term - Gas</t>
  </si>
  <si>
    <t>Other Non Current Liab</t>
  </si>
  <si>
    <t>C2520100</t>
  </si>
  <si>
    <t>Construction Advances</t>
  </si>
  <si>
    <t>Cust Adv for Construction</t>
  </si>
  <si>
    <t>C2530000</t>
  </si>
  <si>
    <t>Def Cr-Misc.</t>
  </si>
  <si>
    <t>C2530010</t>
  </si>
  <si>
    <t>Def Cr-Sales Tax Accrual</t>
  </si>
  <si>
    <t>C2530020</t>
  </si>
  <si>
    <t>Def Cr-Hgwy Reldc Billed</t>
  </si>
  <si>
    <t>C2530040</t>
  </si>
  <si>
    <t>Def Cr-Sales Tax Interest</t>
  </si>
  <si>
    <t>C2530310</t>
  </si>
  <si>
    <t>NQ Pension Prov-Contributions</t>
  </si>
  <si>
    <t>C2531008</t>
  </si>
  <si>
    <t>PRHealth Prov-Beg Bal</t>
  </si>
  <si>
    <t>C2531027</t>
  </si>
  <si>
    <t>Pension Prov-Beg Bal</t>
  </si>
  <si>
    <t>C2531031</t>
  </si>
  <si>
    <t>NQ Pension Prov-Beg Bal</t>
  </si>
  <si>
    <t>C2531060</t>
  </si>
  <si>
    <t>PRHealth Prov-Contributions</t>
  </si>
  <si>
    <t>C2531120</t>
  </si>
  <si>
    <t>FAS112-Beg Bal</t>
  </si>
  <si>
    <t>C2532006</t>
  </si>
  <si>
    <t>Haz Waste Prov-Reclass to Current</t>
  </si>
  <si>
    <t>C2532009</t>
  </si>
  <si>
    <t>FAS 112-Current ServCost</t>
  </si>
  <si>
    <t>C2532080</t>
  </si>
  <si>
    <t>Blocked-Long Term Interest Payable</t>
  </si>
  <si>
    <t>C2539410</t>
  </si>
  <si>
    <t>Hazwaste Prov-Beg Bal</t>
  </si>
  <si>
    <t>C2539440</t>
  </si>
  <si>
    <t>Hazwaste Prov-Utilization</t>
  </si>
  <si>
    <t>U2530000</t>
  </si>
  <si>
    <t>Def Cr-Miscellaneous</t>
  </si>
  <si>
    <t>U2530942</t>
  </si>
  <si>
    <t>Hazwaste Prov - Chrg to P&amp;L</t>
  </si>
  <si>
    <t>U2531008</t>
  </si>
  <si>
    <t>U2531027</t>
  </si>
  <si>
    <t>U2532008</t>
  </si>
  <si>
    <t>PRHealth Prov-Current ServCost</t>
  </si>
  <si>
    <t>U2532027</t>
  </si>
  <si>
    <t>Pension Prov-Current Serv Cost</t>
  </si>
  <si>
    <t>U2535340</t>
  </si>
  <si>
    <t>Def Cr-ISR Deferral-Return on Equity-GA</t>
  </si>
  <si>
    <t>U2539410</t>
  </si>
  <si>
    <t>U2539490</t>
  </si>
  <si>
    <t>Haz-Waste Reclass Reserve to 2284</t>
  </si>
  <si>
    <t>Other Deferred Credits</t>
  </si>
  <si>
    <t>C2540070</t>
  </si>
  <si>
    <t>Service Quality Penalties</t>
  </si>
  <si>
    <t>C2540105</t>
  </si>
  <si>
    <t>Excess Earnings</t>
  </si>
  <si>
    <t>U2540003</t>
  </si>
  <si>
    <t>ISR Deferral</t>
  </si>
  <si>
    <t>U2540019</t>
  </si>
  <si>
    <t>Defd Revenue-GCC</t>
  </si>
  <si>
    <t>U2540050</t>
  </si>
  <si>
    <t>Defd Rev-Nonfirm Margin Sharing</t>
  </si>
  <si>
    <t>U2540070</t>
  </si>
  <si>
    <t>U2540105</t>
  </si>
  <si>
    <t>U2540107</t>
  </si>
  <si>
    <t>Excess Reserve-Gas-Tax Cuts&amp;Jobs Act</t>
  </si>
  <si>
    <t>U2540144</t>
  </si>
  <si>
    <t>U2540170</t>
  </si>
  <si>
    <t>OBR EE Fund Obligation</t>
  </si>
  <si>
    <t>U2540232</t>
  </si>
  <si>
    <t>Capital Tracker-Gas</t>
  </si>
  <si>
    <t>U2540304</t>
  </si>
  <si>
    <t>U2540309</t>
  </si>
  <si>
    <t>U2540321</t>
  </si>
  <si>
    <t>U2540322</t>
  </si>
  <si>
    <t>U2540355</t>
  </si>
  <si>
    <t>U2540360</t>
  </si>
  <si>
    <t>U2540470</t>
  </si>
  <si>
    <t>Gas CoPay EE Regulatory Liability</t>
  </si>
  <si>
    <t>U2540573</t>
  </si>
  <si>
    <t>NIMO-RDM Revenue Decoupling</t>
  </si>
  <si>
    <t>U2540587</t>
  </si>
  <si>
    <t>NECO AGT Reserve</t>
  </si>
  <si>
    <t>U2540787</t>
  </si>
  <si>
    <t>SVC Co rent  - IS Mod</t>
  </si>
  <si>
    <t>Other Regulatory Liabilities</t>
  </si>
  <si>
    <t>C2540000</t>
  </si>
  <si>
    <t>FAS109</t>
  </si>
  <si>
    <t>FAS 109-Credit</t>
  </si>
  <si>
    <t>Deferred Credits</t>
  </si>
  <si>
    <t>Liabilities</t>
  </si>
  <si>
    <t>Narragansett Electric Co                    Regulatory US GAAP - Balance Sheet                    Time 12:12:01     Date  01/14/2022</t>
  </si>
  <si>
    <t>Providence                Ledger 0L                                                               RFBILA00/AKPORC   Page           1</t>
  </si>
  <si>
    <t>Mar-21</t>
  </si>
  <si>
    <t>(01.2021-16.2021)</t>
  </si>
  <si>
    <t>C1012005</t>
  </si>
  <si>
    <t>PM-Asset Retirement Oblig-Additions</t>
  </si>
  <si>
    <t>C1017020</t>
  </si>
  <si>
    <t>Motor Vehicles &amp; Off Equip-101-Reclass</t>
  </si>
  <si>
    <t>U1823787</t>
  </si>
  <si>
    <t>Providence                Ledger 0L                                                               RFBILA00/AKPORC   Page           2</t>
  </si>
  <si>
    <t>C2324400</t>
  </si>
  <si>
    <t>A/P-Unpaid Legal Invoice Accrual</t>
  </si>
  <si>
    <t>C2324500</t>
  </si>
  <si>
    <t>A/P-Renewables</t>
  </si>
  <si>
    <t>C2423140</t>
  </si>
  <si>
    <t>ARO Liability-Current</t>
  </si>
  <si>
    <t>C2423340</t>
  </si>
  <si>
    <t>Other Provision-Current</t>
  </si>
  <si>
    <t>C2282008</t>
  </si>
  <si>
    <t>Other Prov-Reclass to Current</t>
  </si>
  <si>
    <t>C2302011</t>
  </si>
  <si>
    <t>Asset Retirement Oblig Liab-Charged to</t>
  </si>
  <si>
    <t>C2302012</t>
  </si>
  <si>
    <t>ARO Liab-Reclass to Current</t>
  </si>
  <si>
    <t>C2302511</t>
  </si>
  <si>
    <t>Asset Retirement Oblig Liab-Released to</t>
  </si>
  <si>
    <t>C2530030</t>
  </si>
  <si>
    <t>Def Incent Comp</t>
  </si>
  <si>
    <t>U2535320</t>
  </si>
  <si>
    <t>Def Cr-Carrying Charges-Equity</t>
  </si>
  <si>
    <t>U2536306</t>
  </si>
  <si>
    <t>PRHealth Prov-Gain on Liab</t>
  </si>
  <si>
    <t>U2536327</t>
  </si>
  <si>
    <t>Pension Prov-Gain on Liab</t>
  </si>
  <si>
    <t>Providence                Ledger 0L                                                               RFBILA00/AKPORC   Page           3</t>
  </si>
  <si>
    <t>Unassigned GL Accounts</t>
  </si>
  <si>
    <t>Plant in service</t>
  </si>
  <si>
    <t>Property Under Capital Leases</t>
  </si>
  <si>
    <t>Completed Construction not Classified</t>
  </si>
  <si>
    <t>Construction Work in Progress</t>
  </si>
  <si>
    <t>Accum Provision for Deprec</t>
  </si>
  <si>
    <t>Accum Provision for Amort-Intangibles</t>
  </si>
  <si>
    <t>Non-Utility Plant</t>
  </si>
  <si>
    <t>Investment  in Subsidiary Companies</t>
  </si>
  <si>
    <t>Oth Invest Rollforward-Contra</t>
  </si>
  <si>
    <t>Spec Depos Held By Trustee</t>
  </si>
  <si>
    <t>Other A/R</t>
  </si>
  <si>
    <t>A/R from Associated Companies</t>
  </si>
  <si>
    <t>Stores Clearing</t>
  </si>
  <si>
    <t>Gas Stored -Current</t>
  </si>
  <si>
    <t>Unbilled Revenue Electric</t>
  </si>
  <si>
    <t>Misc Current &amp; Accrued Assets</t>
  </si>
  <si>
    <t>Current Asset-Derivatives</t>
  </si>
  <si>
    <t>Prelim Survey&amp;Inv Charges</t>
  </si>
  <si>
    <t>Prelim  Nat  Gas Survey &amp; Invest Chg</t>
  </si>
  <si>
    <t>Misc Deferred Debits</t>
  </si>
  <si>
    <t>IFRS CLEARING ACCOUNTS</t>
  </si>
  <si>
    <t>Accum Def Income Taxes</t>
  </si>
  <si>
    <t>Gain-Capital Stock</t>
  </si>
  <si>
    <t>Surp-Approp Earned Surplus</t>
  </si>
  <si>
    <t>Accum Other Comprehensive Income</t>
  </si>
  <si>
    <t>Injuries &amp; Damages Reserve</t>
  </si>
  <si>
    <t>Asset Retirement Obligations</t>
  </si>
  <si>
    <t>Notes Payable to Assoc Co</t>
  </si>
  <si>
    <t>Taxes Accrued</t>
  </si>
  <si>
    <t>Derivative Instrument Liab Hedges-Curre</t>
  </si>
  <si>
    <t>Regulatory Liabilities</t>
  </si>
  <si>
    <t>Accum Def Taxes-Property</t>
  </si>
  <si>
    <t>Accum Def Taxes-Other</t>
  </si>
  <si>
    <t>A1011000</t>
  </si>
  <si>
    <t>A1011005</t>
  </si>
  <si>
    <t>A1011015</t>
  </si>
  <si>
    <t>A1011020</t>
  </si>
  <si>
    <t>A1011070</t>
  </si>
  <si>
    <t>A1012000</t>
  </si>
  <si>
    <t>Plant &amp; Machinery-101-Additions</t>
  </si>
  <si>
    <t>A1012050</t>
  </si>
  <si>
    <t>A1012070</t>
  </si>
  <si>
    <t>A1013070</t>
  </si>
  <si>
    <t>A1017000</t>
  </si>
  <si>
    <t>*534.3-</t>
  </si>
  <si>
    <t>A1019950</t>
  </si>
  <si>
    <t>Prop Under Cap Lease-BegBal-Non Elim</t>
  </si>
  <si>
    <t>A1061000</t>
  </si>
  <si>
    <t>A1071040</t>
  </si>
  <si>
    <t>A1072040</t>
  </si>
  <si>
    <t>Assets in Const-107 CWIP-Additions</t>
  </si>
  <si>
    <t>A1072041</t>
  </si>
  <si>
    <t>A1077040</t>
  </si>
  <si>
    <t>A1081000</t>
  </si>
  <si>
    <t>A1081003</t>
  </si>
  <si>
    <t>Accum Deprec-RWIP Credit-PM-Beg Balance</t>
  </si>
  <si>
    <t>A1081004</t>
  </si>
  <si>
    <t>A1081010</t>
  </si>
  <si>
    <t>A1081020</t>
  </si>
  <si>
    <t>A1081025</t>
  </si>
  <si>
    <t>Accum Deprec-MVOE-IFRS Cap Lease-Beg Ba</t>
  </si>
  <si>
    <t>A1081034</t>
  </si>
  <si>
    <t>A1081050</t>
  </si>
  <si>
    <t>A1081070</t>
  </si>
  <si>
    <t>A1081094</t>
  </si>
  <si>
    <t>Accum Deprec-COR Accrual-Beg Balance</t>
  </si>
  <si>
    <t>A1081434</t>
  </si>
  <si>
    <t>A1081500</t>
  </si>
  <si>
    <t>Accum Deprec-101-PM-Prior Year Adjust</t>
  </si>
  <si>
    <t>A1082000</t>
  </si>
  <si>
    <t>Accum Deprec-101-PM-Charge for Period</t>
  </si>
  <si>
    <t>A1082010</t>
  </si>
  <si>
    <t>Accum Deprec-101-LB-Charge for Period</t>
  </si>
  <si>
    <t>A1082050</t>
  </si>
  <si>
    <t>A1082070</t>
  </si>
  <si>
    <t>A1082119</t>
  </si>
  <si>
    <t>Accum Deprec of Plant - COR Chg Per</t>
  </si>
  <si>
    <t>A1082134</t>
  </si>
  <si>
    <t>A1083070</t>
  </si>
  <si>
    <t>A1111000</t>
  </si>
  <si>
    <t>Accum Amort-Intangibles-Beg Balance</t>
  </si>
  <si>
    <t>A1141049</t>
  </si>
  <si>
    <t>GW Nees-Beg of Year</t>
  </si>
  <si>
    <t>A1191010</t>
  </si>
  <si>
    <t>Accum Deprec-118-LB-Beginning Balance</t>
  </si>
  <si>
    <t>A1221010</t>
  </si>
  <si>
    <t>Accum Deprec-121-LB-Beginning Balance</t>
  </si>
  <si>
    <t>A1310000</t>
  </si>
  <si>
    <t>Bank Acct-Depository 1-Main Cash</t>
  </si>
  <si>
    <t>A1437701</t>
  </si>
  <si>
    <t>Commodity Settlement Receivable &lt;1Yr</t>
  </si>
  <si>
    <t>A1442010</t>
  </si>
  <si>
    <t>Reserve for Bad Debt Accrual</t>
  </si>
  <si>
    <t>A1460000</t>
  </si>
  <si>
    <t>IC AR Recon Acct</t>
  </si>
  <si>
    <t>A1460001</t>
  </si>
  <si>
    <t>A1540000</t>
  </si>
  <si>
    <t>A1630000</t>
  </si>
  <si>
    <t>A1657001</t>
  </si>
  <si>
    <t>Accrued Taxes Other</t>
  </si>
  <si>
    <t>A1765500</t>
  </si>
  <si>
    <t>Derivative Asset-Short Term-Gas</t>
  </si>
  <si>
    <t>A1820307</t>
  </si>
  <si>
    <t>MA Yankee-Decommissioning</t>
  </si>
  <si>
    <t>A1823002</t>
  </si>
  <si>
    <t>FAS 109</t>
  </si>
  <si>
    <t>A1823043</t>
  </si>
  <si>
    <t>A1841181</t>
  </si>
  <si>
    <t>A1841182</t>
  </si>
  <si>
    <t>A1842310</t>
  </si>
  <si>
    <t>A1865625</t>
  </si>
  <si>
    <t>Derivative Asset-Long Term-Gas</t>
  </si>
  <si>
    <t>A1866699</t>
  </si>
  <si>
    <t>Document Splitting - Transfers</t>
  </si>
  <si>
    <t>A1901111</t>
  </si>
  <si>
    <t>A1901118</t>
  </si>
  <si>
    <t>A1901131</t>
  </si>
  <si>
    <t>A1901132</t>
  </si>
  <si>
    <t>A1901141</t>
  </si>
  <si>
    <t>A1901148</t>
  </si>
  <si>
    <t>A1901201</t>
  </si>
  <si>
    <t>A1903111</t>
  </si>
  <si>
    <t>A1903118</t>
  </si>
  <si>
    <t>ADSIT-OPEB-OCI</t>
  </si>
  <si>
    <t>A2100000</t>
  </si>
  <si>
    <t>A2160000</t>
  </si>
  <si>
    <t>A2161000</t>
  </si>
  <si>
    <t>Unapprop Undistr Sub Earn.</t>
  </si>
  <si>
    <t>A2167009</t>
  </si>
  <si>
    <t>Retained Earnings - Transfer</t>
  </si>
  <si>
    <t>A2190100</t>
  </si>
  <si>
    <t>OCI Additional Min Pens Liab</t>
  </si>
  <si>
    <t>A2191591</t>
  </si>
  <si>
    <t>A2197004</t>
  </si>
  <si>
    <t>Rabbi Eqty NC (IFRS-OCI GAAP P&amp;L)-Trans</t>
  </si>
  <si>
    <t>A2198604</t>
  </si>
  <si>
    <t>Rabbi Eqty NC(IFRS-OCI GAAP P&amp;L) Dispsl</t>
  </si>
  <si>
    <t>A2211000</t>
  </si>
  <si>
    <t>A2211033</t>
  </si>
  <si>
    <t>Long Term Debt-Fair Value</t>
  </si>
  <si>
    <t>A2270030</t>
  </si>
  <si>
    <t>Prop Und Capital Lease-Non Elim</t>
  </si>
  <si>
    <t>A2271010</t>
  </si>
  <si>
    <t>A2272010</t>
  </si>
  <si>
    <t>A2273010</t>
  </si>
  <si>
    <t>A2277010</t>
  </si>
  <si>
    <t>A2301011</t>
  </si>
  <si>
    <t>A2321110</t>
  </si>
  <si>
    <t>A2340000</t>
  </si>
  <si>
    <t>A2340001</t>
  </si>
  <si>
    <t>A2340009</t>
  </si>
  <si>
    <t>Data Migration Clearing - AP Interco</t>
  </si>
  <si>
    <t>A2361000</t>
  </si>
  <si>
    <t>A2363000</t>
  </si>
  <si>
    <t>A2420360</t>
  </si>
  <si>
    <t>Curr&amp;Accr Liab-Customer Contributions-I</t>
  </si>
  <si>
    <t>A2420370</t>
  </si>
  <si>
    <t>A2421360</t>
  </si>
  <si>
    <t>Contract Liability Beg Bal - Short Term</t>
  </si>
  <si>
    <t>A2422360</t>
  </si>
  <si>
    <t>Contract Liability Additions - Short Te</t>
  </si>
  <si>
    <t>A2422361</t>
  </si>
  <si>
    <t>Govt CIAC Liability Additions-Short Ter</t>
  </si>
  <si>
    <t>A2422580</t>
  </si>
  <si>
    <t>A2423360</t>
  </si>
  <si>
    <t>Contract Liability Amortization - Short</t>
  </si>
  <si>
    <t>A2423361</t>
  </si>
  <si>
    <t>Govt CIAC Liability Amort - Short Term</t>
  </si>
  <si>
    <t>A2423420</t>
  </si>
  <si>
    <t>A2423440</t>
  </si>
  <si>
    <t>A2428360</t>
  </si>
  <si>
    <t>Contract Liability Other Adjustments -</t>
  </si>
  <si>
    <t>A2428361</t>
  </si>
  <si>
    <t>Govt CIAC Liability Reclass - Short Ter</t>
  </si>
  <si>
    <t>A2430030</t>
  </si>
  <si>
    <t>Prop Und Cap Lease-Non Elim</t>
  </si>
  <si>
    <t>A2431010</t>
  </si>
  <si>
    <t>A2432010</t>
  </si>
  <si>
    <t>A2433010</t>
  </si>
  <si>
    <t>A2433510</t>
  </si>
  <si>
    <t>A2437010</t>
  </si>
  <si>
    <t>A2450000</t>
  </si>
  <si>
    <t>Derivative Liability-Short Term-Gas</t>
  </si>
  <si>
    <t>A2457706</t>
  </si>
  <si>
    <t>Commodity Settlement Pay &lt;1Yr</t>
  </si>
  <si>
    <t>A2530360</t>
  </si>
  <si>
    <t>Deferred Revenue-Customer Contributions</t>
  </si>
  <si>
    <t>A2531008</t>
  </si>
  <si>
    <t>A2531027</t>
  </si>
  <si>
    <t>A2531031</t>
  </si>
  <si>
    <t>A2531360</t>
  </si>
  <si>
    <t>Contract Liability Beg Bal - Long Term</t>
  </si>
  <si>
    <t>A2532006</t>
  </si>
  <si>
    <t>A2532008</t>
  </si>
  <si>
    <t>A2532027</t>
  </si>
  <si>
    <t>A2532360</t>
  </si>
  <si>
    <t>Contract Liability Additions - Long Ter</t>
  </si>
  <si>
    <t>A2532361</t>
  </si>
  <si>
    <t>Govt CIAC Liability Additions -Long Ter</t>
  </si>
  <si>
    <t>A2534820</t>
  </si>
  <si>
    <t>FIN48 SIT -Timing Issues</t>
  </si>
  <si>
    <t>A2534830</t>
  </si>
  <si>
    <t>FIN48 FIT-Permanent Issues</t>
  </si>
  <si>
    <t>A2535609</t>
  </si>
  <si>
    <t>Derivative Liability-Long Term-Gas</t>
  </si>
  <si>
    <t>A2538360</t>
  </si>
  <si>
    <t>A2538361</t>
  </si>
  <si>
    <t>Govt CIAC Liability Reclass - Long Term</t>
  </si>
  <si>
    <t>A2539410</t>
  </si>
  <si>
    <t>A2539420</t>
  </si>
  <si>
    <t>Hazwaste Prov-Chrg to P&amp;L</t>
  </si>
  <si>
    <t>A2539430</t>
  </si>
  <si>
    <t>Hazwaste Prov-Rel to P&amp;L</t>
  </si>
  <si>
    <t>A2539470</t>
  </si>
  <si>
    <t>Hazwaste Prov-Unwind Disc</t>
  </si>
  <si>
    <t>A2540000</t>
  </si>
  <si>
    <t>A2821001</t>
  </si>
  <si>
    <t>A2821002</t>
  </si>
  <si>
    <t>A2821012</t>
  </si>
  <si>
    <t>A2828001</t>
  </si>
  <si>
    <t>Deferred Tax Prov-Beg Balance</t>
  </si>
  <si>
    <t>A2831042</t>
  </si>
  <si>
    <t>A2831072</t>
  </si>
  <si>
    <t>A2831081</t>
  </si>
  <si>
    <t>A2831082</t>
  </si>
  <si>
    <t>A2831102</t>
  </si>
  <si>
    <t>A2831111</t>
  </si>
  <si>
    <t>A2831112</t>
  </si>
  <si>
    <t>A4030030</t>
  </si>
  <si>
    <t>Depreciation Expense-PAM</t>
  </si>
  <si>
    <t>A4030040</t>
  </si>
  <si>
    <t>Lease Depreciation Exp</t>
  </si>
  <si>
    <t>A403004Y</t>
  </si>
  <si>
    <t>Lease Depreciation Exp Disc IC Billed I</t>
  </si>
  <si>
    <t>A4030100</t>
  </si>
  <si>
    <t>Depreciation Expense-LAB</t>
  </si>
  <si>
    <t>A4030300</t>
  </si>
  <si>
    <t>A403030Y</t>
  </si>
  <si>
    <t>Depreciation Expense-PAM-IC Charged In</t>
  </si>
  <si>
    <t>A4081100</t>
  </si>
  <si>
    <t>Tx Oth Inc Tx-Fica Co Portion</t>
  </si>
  <si>
    <t>A4081400</t>
  </si>
  <si>
    <t>Tx Oth Inc Tx-Mun Op Prop</t>
  </si>
  <si>
    <t>A4111010</t>
  </si>
  <si>
    <t>Asset Retirement Oblig-Accretion Exp</t>
  </si>
  <si>
    <t>A4117120</t>
  </si>
  <si>
    <t>Loss on Disposal-Lease ROU Asset</t>
  </si>
  <si>
    <t>A4170000</t>
  </si>
  <si>
    <t>Revenue from Nonutility Operations</t>
  </si>
  <si>
    <t>A4190050</t>
  </si>
  <si>
    <t>Int Income-Pensions Int Rec</t>
  </si>
  <si>
    <t>A4191000</t>
  </si>
  <si>
    <t>Int Income-AFUDC</t>
  </si>
  <si>
    <t>A421000Y</t>
  </si>
  <si>
    <t>Misc Non-Oper Inc</t>
  </si>
  <si>
    <t>A421010Y</t>
  </si>
  <si>
    <t>Rlzd G/L DfdComp Inv-IC Charged In</t>
  </si>
  <si>
    <t>A4265054</t>
  </si>
  <si>
    <t>Unrealized Gain/Loss - Eqty Securities</t>
  </si>
  <si>
    <t>A426505Y</t>
  </si>
  <si>
    <t>Unrlzd Gain/Loss Expected Return Rec In</t>
  </si>
  <si>
    <t>A4310030</t>
  </si>
  <si>
    <t>Other Treasury Interest Expense</t>
  </si>
  <si>
    <t>A4310050</t>
  </si>
  <si>
    <t>Int Expense-Pensions Int Pay</t>
  </si>
  <si>
    <t>A4310120</t>
  </si>
  <si>
    <t>Lease Interest Expense</t>
  </si>
  <si>
    <t>A431012Y</t>
  </si>
  <si>
    <t>Lease Interest Expense Disc IC Billed I</t>
  </si>
  <si>
    <t>A4310140</t>
  </si>
  <si>
    <t>ARO-Accretion Expense Unwind Discount</t>
  </si>
  <si>
    <t>A431014Y</t>
  </si>
  <si>
    <t>ARO-Accretion Unwind Disc IC Billed In</t>
  </si>
  <si>
    <t>A4310150</t>
  </si>
  <si>
    <t>Oth Int Exp-Unwind Discount</t>
  </si>
  <si>
    <t>A4320000</t>
  </si>
  <si>
    <t>Allow Borrowed Funds Dur Const-CR</t>
  </si>
  <si>
    <t>*942.8-</t>
  </si>
  <si>
    <t>A4950000</t>
  </si>
  <si>
    <t>A4950090</t>
  </si>
  <si>
    <t>A4955700</t>
  </si>
  <si>
    <t>IFRS 15 CIAC Revenue - Gas</t>
  </si>
  <si>
    <t>A4956700</t>
  </si>
  <si>
    <t>Govt CIAC Revenue-Gas</t>
  </si>
  <si>
    <t>A6001100</t>
  </si>
  <si>
    <t>Payroll-Regular Weekly</t>
  </si>
  <si>
    <t>A600110Y</t>
  </si>
  <si>
    <t>Payroll-Regular Weekly-IC Charged In</t>
  </si>
  <si>
    <t>A6001150</t>
  </si>
  <si>
    <t>Payroll-Regular Monthly</t>
  </si>
  <si>
    <t>A600115Y</t>
  </si>
  <si>
    <t>Payroll-Regular Monthly-IC Charged In</t>
  </si>
  <si>
    <t>A6001200</t>
  </si>
  <si>
    <t>Payroll-Overtime Weekly</t>
  </si>
  <si>
    <t>A600120Y</t>
  </si>
  <si>
    <t>Payroll-Overtime Weekly-IC Charged In</t>
  </si>
  <si>
    <t>A6001250</t>
  </si>
  <si>
    <t>Payroll-Overtime Monthly</t>
  </si>
  <si>
    <t>A6001300</t>
  </si>
  <si>
    <t>Payroll-Variable-APP</t>
  </si>
  <si>
    <t>A600130Y</t>
  </si>
  <si>
    <t>Payroll-Variable-APP-IC Charged In</t>
  </si>
  <si>
    <t>A6001350</t>
  </si>
  <si>
    <t>Payroll-Gainsharing</t>
  </si>
  <si>
    <t>A6001500</t>
  </si>
  <si>
    <t>Payroll-Time Not Worked</t>
  </si>
  <si>
    <t>A600150Y</t>
  </si>
  <si>
    <t>Payroll-Time Not Worked-IC Charged In</t>
  </si>
  <si>
    <t>A6102010</t>
  </si>
  <si>
    <t>Benefits-FAS106</t>
  </si>
  <si>
    <t>A610201Y</t>
  </si>
  <si>
    <t>Benefits-FAS106-IC Charged In</t>
  </si>
  <si>
    <t>A6102020</t>
  </si>
  <si>
    <t>Benefits-FAS112</t>
  </si>
  <si>
    <t>A610202Y</t>
  </si>
  <si>
    <t>Benefits-FAS112-IC Charged In</t>
  </si>
  <si>
    <t>A6102030</t>
  </si>
  <si>
    <t>Benefits-Health Care</t>
  </si>
  <si>
    <t>A610203Y</t>
  </si>
  <si>
    <t>Benefits-Health Care-IC Charged In</t>
  </si>
  <si>
    <t>A6102040</t>
  </si>
  <si>
    <t>Benefits-Group Life Insurance</t>
  </si>
  <si>
    <t>A610204Y</t>
  </si>
  <si>
    <t>Benefits-Group Life Insurance-IC Charge</t>
  </si>
  <si>
    <t>A6102060</t>
  </si>
  <si>
    <t>Benefits-Pension</t>
  </si>
  <si>
    <t>A610206Y</t>
  </si>
  <si>
    <t>Benefits-Pension-IC Charged In</t>
  </si>
  <si>
    <t>A6102070</t>
  </si>
  <si>
    <t>Benefits-Thrift Plan</t>
  </si>
  <si>
    <t>A610207Y</t>
  </si>
  <si>
    <t>Benefits-Thrift Plan-IC Charged In</t>
  </si>
  <si>
    <t>A6102080</t>
  </si>
  <si>
    <t>Benefits-Workers Comp</t>
  </si>
  <si>
    <t>A610208Y</t>
  </si>
  <si>
    <t>Benefits-Workers Comp-IC Charged In</t>
  </si>
  <si>
    <t>A6102090</t>
  </si>
  <si>
    <t>Benefits-Payroll Taxes</t>
  </si>
  <si>
    <t>A610209Y</t>
  </si>
  <si>
    <t>Benefits-Payroll Taxes-IC Charged In</t>
  </si>
  <si>
    <t>A6203100</t>
  </si>
  <si>
    <t>Materials-Outside Vendor</t>
  </si>
  <si>
    <t>A6203110</t>
  </si>
  <si>
    <t>Materials-Outside Vendor - Stock</t>
  </si>
  <si>
    <t>A620311Y</t>
  </si>
  <si>
    <t>Materials-Out Vendor-Generation-IC Char</t>
  </si>
  <si>
    <t>A6203210</t>
  </si>
  <si>
    <t>Materials-From Inventory - Stock</t>
  </si>
  <si>
    <t>A6203500</t>
  </si>
  <si>
    <t>Materials-Stores Handling</t>
  </si>
  <si>
    <t>A6305000</t>
  </si>
  <si>
    <t>Accrued Contractor Costs</t>
  </si>
  <si>
    <t>A6305200</t>
  </si>
  <si>
    <t>Contractors Services-Personnel</t>
  </si>
  <si>
    <t>A6305210</t>
  </si>
  <si>
    <t>Contractors Services-LOB Operations</t>
  </si>
  <si>
    <t>A630521Y</t>
  </si>
  <si>
    <t>Contractors Services-LOB Operations-IC</t>
  </si>
  <si>
    <t>A6305220</t>
  </si>
  <si>
    <t>Contractors Services-General/Other</t>
  </si>
  <si>
    <t>A630522Y</t>
  </si>
  <si>
    <t>Contractors Services-General/Other-IC C</t>
  </si>
  <si>
    <t>A6305230</t>
  </si>
  <si>
    <t>Contractors Services-Agency Costs</t>
  </si>
  <si>
    <t>A630523Y</t>
  </si>
  <si>
    <t>Contr-Agency Costs-IC Charged In</t>
  </si>
  <si>
    <t>A6305310</t>
  </si>
  <si>
    <t>Contractors-Paving/Hot Patch</t>
  </si>
  <si>
    <t>A6305320</t>
  </si>
  <si>
    <t>Contractors-Police/Sheriffs/Summons</t>
  </si>
  <si>
    <t>A6355100</t>
  </si>
  <si>
    <t>Consultants</t>
  </si>
  <si>
    <t>A635510Y</t>
  </si>
  <si>
    <t>Consultants-IC Charged In</t>
  </si>
  <si>
    <t>A6355150</t>
  </si>
  <si>
    <t>Consultants-Legal Settlements</t>
  </si>
  <si>
    <t>A6404900</t>
  </si>
  <si>
    <t>Rents-Rental/Lease of Non-Real Estate</t>
  </si>
  <si>
    <t>A6404910</t>
  </si>
  <si>
    <t>Rents-Rental/Lease of Real Estate</t>
  </si>
  <si>
    <t>A640491Y</t>
  </si>
  <si>
    <t>Rents-Rental/Lease of Real Estate-IC Ch</t>
  </si>
  <si>
    <t>A6404920</t>
  </si>
  <si>
    <t>Lease Expense- ROU</t>
  </si>
  <si>
    <t>A640492Y</t>
  </si>
  <si>
    <t>Lease Expense- ROU I/C In</t>
  </si>
  <si>
    <t>A6604000</t>
  </si>
  <si>
    <t>Oth Exp-Other</t>
  </si>
  <si>
    <t>A660400Y</t>
  </si>
  <si>
    <t>Oth Exp-Other-IC Charged In</t>
  </si>
  <si>
    <t>A6604010</t>
  </si>
  <si>
    <t>A/P Cash Discounts Taken</t>
  </si>
  <si>
    <t>A6604600</t>
  </si>
  <si>
    <t>Oth Exp-Payments to Governments</t>
  </si>
  <si>
    <t>A6607500</t>
  </si>
  <si>
    <t>Oth Exp-Capital Overheads</t>
  </si>
  <si>
    <t>A6607550</t>
  </si>
  <si>
    <t>Oth Exp-A&amp;G Capital Overheads</t>
  </si>
  <si>
    <t>A6607600</t>
  </si>
  <si>
    <t>Oth Exp-Supervision &amp; Admin</t>
  </si>
  <si>
    <t>A660760Y</t>
  </si>
  <si>
    <t>Oth Exp-Supervision &amp; Admin-IC Charged</t>
  </si>
  <si>
    <t>A6704150</t>
  </si>
  <si>
    <t>Bad Debt Expense</t>
  </si>
  <si>
    <t>A6804930</t>
  </si>
  <si>
    <t>Transportation Expense-Fleet Leasing</t>
  </si>
  <si>
    <t>A6808100</t>
  </si>
  <si>
    <t>Transportation Expense-Clearing</t>
  </si>
  <si>
    <t>A680810Y</t>
  </si>
  <si>
    <t>Transportation Expense-Clearing-IC Char</t>
  </si>
  <si>
    <t>A6904100</t>
  </si>
  <si>
    <t>Employee Expenses</t>
  </si>
  <si>
    <t>A690410Y</t>
  </si>
  <si>
    <t>Employee Expenses-IC Charged In</t>
  </si>
  <si>
    <t>A8040100</t>
  </si>
  <si>
    <t>Natural Gas Purchases - Variable</t>
  </si>
  <si>
    <t>C4030100</t>
  </si>
  <si>
    <t>C403010Y</t>
  </si>
  <si>
    <t>Depreciation Expense-LAB-IC Charged In</t>
  </si>
  <si>
    <t>C4030300</t>
  </si>
  <si>
    <t>C403030Y</t>
  </si>
  <si>
    <t>C4030500</t>
  </si>
  <si>
    <t>Depreciation Expense-MVOE</t>
  </si>
  <si>
    <t>C403050Y</t>
  </si>
  <si>
    <t>Depreciation Expense-MVOE-IC Charged In</t>
  </si>
  <si>
    <t>C4031000</t>
  </si>
  <si>
    <t>Depreciation Expense-Asset Retirement C</t>
  </si>
  <si>
    <t>C4050000</t>
  </si>
  <si>
    <t>Amort of Other Plant</t>
  </si>
  <si>
    <t>C405000Y</t>
  </si>
  <si>
    <t>Amort of Other Plant-IC Charged In</t>
  </si>
  <si>
    <t>C4081000</t>
  </si>
  <si>
    <t>TX-Federal Unemployment Tax</t>
  </si>
  <si>
    <t>C4081100</t>
  </si>
  <si>
    <t>TX-FICA Company Portion</t>
  </si>
  <si>
    <t>C408110W</t>
  </si>
  <si>
    <t>TX-FICA Company Portion - B/S Settlemen</t>
  </si>
  <si>
    <t>C408110X</t>
  </si>
  <si>
    <t>TX-FICA Company Portion - IC Billed Out</t>
  </si>
  <si>
    <t>C408110Y</t>
  </si>
  <si>
    <t>TX-FICA Company Portion - I/C Charged I</t>
  </si>
  <si>
    <t>C408130Y</t>
  </si>
  <si>
    <t>Tx Oth Inc Tx-St Unem Tax-IC Charged In</t>
  </si>
  <si>
    <t>C4081400</t>
  </si>
  <si>
    <t>C408140Y</t>
  </si>
  <si>
    <t>Tx Oth Inc Tx-Mun Op Prop-IC Charged In</t>
  </si>
  <si>
    <t>C4081500</t>
  </si>
  <si>
    <t>Tx Oth Inc Tx-Misc</t>
  </si>
  <si>
    <t>C408150Y</t>
  </si>
  <si>
    <t>Tx Oth Inc Tx-Misc-IC Charged In</t>
  </si>
  <si>
    <t>C4081600</t>
  </si>
  <si>
    <t>Tx Oth Inc Tx-St Gross Earn</t>
  </si>
  <si>
    <t>C4111010</t>
  </si>
  <si>
    <t>C4116100</t>
  </si>
  <si>
    <t>Gain on Settlement of ARO</t>
  </si>
  <si>
    <t>C4170000</t>
  </si>
  <si>
    <t>C417000W</t>
  </si>
  <si>
    <t>Revenue from Nonutility Operations-B/Sh</t>
  </si>
  <si>
    <t>C417110Y</t>
  </si>
  <si>
    <t>NGT Share Awards-IC Charged In</t>
  </si>
  <si>
    <t>C4180000</t>
  </si>
  <si>
    <t>Non-Oper Rental Inc</t>
  </si>
  <si>
    <t>C4190100</t>
  </si>
  <si>
    <t>Interest Income</t>
  </si>
  <si>
    <t>C4191000</t>
  </si>
  <si>
    <t>C419100W</t>
  </si>
  <si>
    <t>Int Income-AFUDC-B/Sheet Settlement</t>
  </si>
  <si>
    <t>C419230Y</t>
  </si>
  <si>
    <t>FVOCI Eqty Instmts non-cur-Dividend In</t>
  </si>
  <si>
    <t>C419400Y</t>
  </si>
  <si>
    <t>Interest Rec-FVOCI Debt Inst Non-Cur-In</t>
  </si>
  <si>
    <t>C4210000</t>
  </si>
  <si>
    <t>C4210100</t>
  </si>
  <si>
    <t>Rlzd G/L DfdComp Inv</t>
  </si>
  <si>
    <t>C421010Y</t>
  </si>
  <si>
    <t>C421018Y</t>
  </si>
  <si>
    <t>Mtm FVTPL assets - realized gain/loss</t>
  </si>
  <si>
    <t>C421030Y</t>
  </si>
  <si>
    <t>Foreign Exchange Gains/Losses - IC Char</t>
  </si>
  <si>
    <t>C4212000</t>
  </si>
  <si>
    <t>Loss on Disp of Prop</t>
  </si>
  <si>
    <t>C421200Y</t>
  </si>
  <si>
    <t>Loss on Disp of Prop-IC Charged In</t>
  </si>
  <si>
    <t>C4261000</t>
  </si>
  <si>
    <t>C426100Y</t>
  </si>
  <si>
    <t>Donations - IC Charged In</t>
  </si>
  <si>
    <t>C426200Y</t>
  </si>
  <si>
    <t>DefComp Inv-Life Ins-IC Charged In</t>
  </si>
  <si>
    <t>C4263000</t>
  </si>
  <si>
    <t>C4264000</t>
  </si>
  <si>
    <t>Civic and Political Activities</t>
  </si>
  <si>
    <t>C426400Y</t>
  </si>
  <si>
    <t>Civic and Political Activities - IC Cha</t>
  </si>
  <si>
    <t>C4265000</t>
  </si>
  <si>
    <t>C426500W</t>
  </si>
  <si>
    <t>Other Deductions-B/Sheet Settlement</t>
  </si>
  <si>
    <t>C426500Y</t>
  </si>
  <si>
    <t>Other Deductions-IC Charged In</t>
  </si>
  <si>
    <t>C4265054</t>
  </si>
  <si>
    <t>C426505Y</t>
  </si>
  <si>
    <t>C4270000</t>
  </si>
  <si>
    <t>C4280000</t>
  </si>
  <si>
    <t>Amort of Debt Discount &amp; Expense</t>
  </si>
  <si>
    <t>C4310000</t>
  </si>
  <si>
    <t>C431000Y</t>
  </si>
  <si>
    <t>Other Interest Expense-IC Charged In</t>
  </si>
  <si>
    <t>C4310150</t>
  </si>
  <si>
    <t>C431015Y</t>
  </si>
  <si>
    <t>Oth Int Exp-Unwind Discount-IC Charged</t>
  </si>
  <si>
    <t>C4320000</t>
  </si>
  <si>
    <t>Allow Brwd Funds Dur Const-CR</t>
  </si>
  <si>
    <t>C432000W</t>
  </si>
  <si>
    <t>Allow Brwd Funds Dur Const-CR-B/Sheet S</t>
  </si>
  <si>
    <t>C4510001</t>
  </si>
  <si>
    <t>C4560050</t>
  </si>
  <si>
    <t>Open Access Rev-Access Charge-Strnd Rev</t>
  </si>
  <si>
    <t>C4800080</t>
  </si>
  <si>
    <t>Residential-Gas Commodity Sales</t>
  </si>
  <si>
    <t>C4800090</t>
  </si>
  <si>
    <t>C4810000</t>
  </si>
  <si>
    <t>Commercial &amp; Industrial-Gas Revenue</t>
  </si>
  <si>
    <t>C4810090</t>
  </si>
  <si>
    <t>Commercial &amp; Industrial-Gas GRT</t>
  </si>
  <si>
    <t>C4830000</t>
  </si>
  <si>
    <t>Sales for Resale-Gas Revenue</t>
  </si>
  <si>
    <t>C4880000</t>
  </si>
  <si>
    <t>Misc Service Revenue-Gas</t>
  </si>
  <si>
    <t>C4893080</t>
  </si>
  <si>
    <t>Transport of Gas-Commodity Sales</t>
  </si>
  <si>
    <t>C4893090</t>
  </si>
  <si>
    <t>Transport of Gas-GRT Revenue</t>
  </si>
  <si>
    <t>C4930000</t>
  </si>
  <si>
    <t>OTHER GAS REV CONTRACT SHARING</t>
  </si>
  <si>
    <t>CIAC Gas Revenue-B/S Settlement</t>
  </si>
  <si>
    <t>C6001100</t>
  </si>
  <si>
    <t>C600110W</t>
  </si>
  <si>
    <t>Payroll-Reg Weekly-B/sheet Settlement</t>
  </si>
  <si>
    <t>C600110X</t>
  </si>
  <si>
    <t>Payroll-Reg Weekly-IC Billed Out</t>
  </si>
  <si>
    <t>C600110Y</t>
  </si>
  <si>
    <t>Payroll-Reg Weekly-IC Charged In</t>
  </si>
  <si>
    <t>C600111Y</t>
  </si>
  <si>
    <t>Payroll Accruals Regular Weekly-IC Char</t>
  </si>
  <si>
    <t>C6001150</t>
  </si>
  <si>
    <t>C600115W</t>
  </si>
  <si>
    <t>Payroll-Reg Monthly-B/sheet Settlement</t>
  </si>
  <si>
    <t>C600115X</t>
  </si>
  <si>
    <t>Payroll-Reg Monthly-IC Billed Out</t>
  </si>
  <si>
    <t>C600115Y</t>
  </si>
  <si>
    <t>Payroll-Reg Monthly-IC Charged In</t>
  </si>
  <si>
    <t>C6001200</t>
  </si>
  <si>
    <t>C600120W</t>
  </si>
  <si>
    <t>Payroll-OT Weekly-B/sheet Settlement</t>
  </si>
  <si>
    <t>C600120X</t>
  </si>
  <si>
    <t>Payroll-OT Weekly-IC Billed Out</t>
  </si>
  <si>
    <t>C600120Y</t>
  </si>
  <si>
    <t>Payroll-OT Weekly-IC Charged In</t>
  </si>
  <si>
    <t>C6001250</t>
  </si>
  <si>
    <t>C600125W</t>
  </si>
  <si>
    <t>Payroll-OT Monthly-B/sheet Settlement</t>
  </si>
  <si>
    <t>C600125X</t>
  </si>
  <si>
    <t>Payroll-OT Monthly-IC Billed Out</t>
  </si>
  <si>
    <t>C600125Y</t>
  </si>
  <si>
    <t>Payroll-OT Monthly-IC Charged In</t>
  </si>
  <si>
    <t>C6001300</t>
  </si>
  <si>
    <t>C600130W</t>
  </si>
  <si>
    <t>Payroll-Variable-APP B/S Settlement</t>
  </si>
  <si>
    <t>C600130X</t>
  </si>
  <si>
    <t>Payroll-Variable-APP IC Billed Out</t>
  </si>
  <si>
    <t>C600130Y</t>
  </si>
  <si>
    <t>Payroll-Variable-APP IC Charged In</t>
  </si>
  <si>
    <t>C6001310</t>
  </si>
  <si>
    <t>Payroll-Variable-Payroll</t>
  </si>
  <si>
    <t>C600131W</t>
  </si>
  <si>
    <t>Payroll-Variable-Payroll B/S Settlement</t>
  </si>
  <si>
    <t>C600131X</t>
  </si>
  <si>
    <t>Payroll-Variable-Payroll IC Billed Out</t>
  </si>
  <si>
    <t>C600131Y</t>
  </si>
  <si>
    <t>Payroll-Variable-Payroll IC Charged In</t>
  </si>
  <si>
    <t>C6001320</t>
  </si>
  <si>
    <t>Payroll-Variable-Sales Commissions</t>
  </si>
  <si>
    <t>C6001350</t>
  </si>
  <si>
    <t>C600135W</t>
  </si>
  <si>
    <t>Payroll-Gainsharing-B/sheet Settlement</t>
  </si>
  <si>
    <t>C600135X</t>
  </si>
  <si>
    <t>Payroll-Gainsharing-IC Billed Out</t>
  </si>
  <si>
    <t>C600135Y</t>
  </si>
  <si>
    <t>Payroll-Gainsharing-IC Charged In</t>
  </si>
  <si>
    <t>C600140Y</t>
  </si>
  <si>
    <t>Payroll-Separation IC Charged In</t>
  </si>
  <si>
    <t>C6001500</t>
  </si>
  <si>
    <t>C600150W</t>
  </si>
  <si>
    <t>Payroll-TNW-B/sheet Settlement</t>
  </si>
  <si>
    <t>C600150X</t>
  </si>
  <si>
    <t>Payroll-TNW-IC Billed Out</t>
  </si>
  <si>
    <t>C600150Y</t>
  </si>
  <si>
    <t>Payroll-TNW-IC Charged In</t>
  </si>
  <si>
    <t>C6102010</t>
  </si>
  <si>
    <t>C610201W</t>
  </si>
  <si>
    <t>Benefits-FAS106-B/sheet Settlement</t>
  </si>
  <si>
    <t>C610201X</t>
  </si>
  <si>
    <t>Benefits-FAS106-IC Billed Out</t>
  </si>
  <si>
    <t>C610201Y</t>
  </si>
  <si>
    <t>C6102020</t>
  </si>
  <si>
    <t>C610202W</t>
  </si>
  <si>
    <t>Benefits-FAS112-B/sheet Settlement</t>
  </si>
  <si>
    <t>C610202X</t>
  </si>
  <si>
    <t>Benefits-FAS112-IC Billed Out</t>
  </si>
  <si>
    <t>*473.7-</t>
  </si>
  <si>
    <t>C610202Y</t>
  </si>
  <si>
    <t>C6102030</t>
  </si>
  <si>
    <t>C610203W</t>
  </si>
  <si>
    <t>Benefits-Health Care-B/sheet Settlement</t>
  </si>
  <si>
    <t>C610203X</t>
  </si>
  <si>
    <t>Benefits-Health Care-IC Billed Out</t>
  </si>
  <si>
    <t>C610203Y</t>
  </si>
  <si>
    <t>C6102040</t>
  </si>
  <si>
    <t>C610204W</t>
  </si>
  <si>
    <t>Benefits-Group Life-B/sheet Settlement</t>
  </si>
  <si>
    <t>C610204X</t>
  </si>
  <si>
    <t>Benefits-Group Life-IC Billed Out</t>
  </si>
  <si>
    <t>C610204Y</t>
  </si>
  <si>
    <t>Benefits-Group Life-IC Charged In</t>
  </si>
  <si>
    <t>C6102050</t>
  </si>
  <si>
    <t>Benefits-Other</t>
  </si>
  <si>
    <t>*1773.2</t>
  </si>
  <si>
    <t>C610205W</t>
  </si>
  <si>
    <t>Benefits-Other-B/sheet Settlement</t>
  </si>
  <si>
    <t>C610205Y</t>
  </si>
  <si>
    <t>Benefits-Other-IC Charged In</t>
  </si>
  <si>
    <t>C6102060</t>
  </si>
  <si>
    <t>C610206W</t>
  </si>
  <si>
    <t>Benefits-Pension-B/sheet Settlement</t>
  </si>
  <si>
    <t>C610206X</t>
  </si>
  <si>
    <t>Benefits-Pension-IC Billed Out</t>
  </si>
  <si>
    <t>C610206Y</t>
  </si>
  <si>
    <t>C6102070</t>
  </si>
  <si>
    <t>C610207W</t>
  </si>
  <si>
    <t>Benefits-Thrift-B/sheet Settlement</t>
  </si>
  <si>
    <t>C610207X</t>
  </si>
  <si>
    <t>Benefits-Thrift-IC Billed Out</t>
  </si>
  <si>
    <t>C610207Y</t>
  </si>
  <si>
    <t>Benefits-Thrift-IC Charged In</t>
  </si>
  <si>
    <t>C6102080</t>
  </si>
  <si>
    <t>C610208W</t>
  </si>
  <si>
    <t>Benefits-Workers Comp-B/sheet Settlemen</t>
  </si>
  <si>
    <t>C610208X</t>
  </si>
  <si>
    <t>Benefits-Workers Comp-IC Billed Out</t>
  </si>
  <si>
    <t>C610208Y</t>
  </si>
  <si>
    <t>C6102090</t>
  </si>
  <si>
    <t>C610209W</t>
  </si>
  <si>
    <t>Benefits-Payroll Tax-B/sheet Settlement</t>
  </si>
  <si>
    <t>*665.2-</t>
  </si>
  <si>
    <t>C610209Y</t>
  </si>
  <si>
    <t>Benefits-Payroll Tax-IC Charged In</t>
  </si>
  <si>
    <t>C6102475</t>
  </si>
  <si>
    <t>Allowance Funds Used During Constructio</t>
  </si>
  <si>
    <t>C610247W</t>
  </si>
  <si>
    <t>AFUDC-Equity-CWIP Settlement -B/Sheet S</t>
  </si>
  <si>
    <t>C610247Y</t>
  </si>
  <si>
    <t>AFUDC-Equity-CWIP Settlement -IC Charge</t>
  </si>
  <si>
    <t>C6202480</t>
  </si>
  <si>
    <t>C620248W</t>
  </si>
  <si>
    <t>AFUDC-Debt-CWIP Settlement -B/Sheet Set</t>
  </si>
  <si>
    <t>C620248Y</t>
  </si>
  <si>
    <t>AFUDC-Debt-CWIP Settlement -IC Charged</t>
  </si>
  <si>
    <t>C6203100</t>
  </si>
  <si>
    <t>Materials-Outside Vendor - Fleet</t>
  </si>
  <si>
    <t>C620310W</t>
  </si>
  <si>
    <t>Materials-Out Vendor-Fleet-B/sheet Sett</t>
  </si>
  <si>
    <t>C620310X</t>
  </si>
  <si>
    <t>Materials-Outside Vendor - Fleet-IC Bil</t>
  </si>
  <si>
    <t>C620310Y</t>
  </si>
  <si>
    <t>Materials-Outside Vendor - Fleet-IC Cha</t>
  </si>
  <si>
    <t>C6203110</t>
  </si>
  <si>
    <t>C620311W</t>
  </si>
  <si>
    <t>Materials-Out Vendor-Generation-B/sheet</t>
  </si>
  <si>
    <t>C620311X</t>
  </si>
  <si>
    <t>Materials-Out Vendor-Generation-IC Bill</t>
  </si>
  <si>
    <t>C620311Y</t>
  </si>
  <si>
    <t>C6203140</t>
  </si>
  <si>
    <t>Materials-Clothing &amp; Shoes</t>
  </si>
  <si>
    <t>C620314W</t>
  </si>
  <si>
    <t>Materials-Clth&amp;Shoes-B/sheet Settlement</t>
  </si>
  <si>
    <t>C620314Y</t>
  </si>
  <si>
    <t>Materials-Clth&amp;Shoes-IC Charged In</t>
  </si>
  <si>
    <t>C6203160</t>
  </si>
  <si>
    <t>Materials-Purchased for Elec Generation</t>
  </si>
  <si>
    <t>C620316W</t>
  </si>
  <si>
    <t>Materials-Purch Elec Gen-B/sheet Settle</t>
  </si>
  <si>
    <t>C620316Y</t>
  </si>
  <si>
    <t>Materials-Purch Elec Gen-IC Charged In</t>
  </si>
  <si>
    <t>C6203200</t>
  </si>
  <si>
    <t>Materials-From Inventory - Fleet</t>
  </si>
  <si>
    <t>C6203205</t>
  </si>
  <si>
    <t>Materials-From Inventory - Generation</t>
  </si>
  <si>
    <t>C620320W</t>
  </si>
  <si>
    <t>Materials-From Inventory - Fleet-B/S Se</t>
  </si>
  <si>
    <t>C620320X</t>
  </si>
  <si>
    <t>Materials-From Inventory - Fleet-IC Bil</t>
  </si>
  <si>
    <t>C620320Y</t>
  </si>
  <si>
    <t>Materials-From Inventory - Fleet-IC Cha</t>
  </si>
  <si>
    <t>C6203210</t>
  </si>
  <si>
    <t>C620321W</t>
  </si>
  <si>
    <t>Materials-From Inventory - Stock B/S Se</t>
  </si>
  <si>
    <t>C620321Y</t>
  </si>
  <si>
    <t>Materials-From Inventory - Stock IC Cha</t>
  </si>
  <si>
    <t>C6203330</t>
  </si>
  <si>
    <t>Material-Inventory Scrapping-Stock</t>
  </si>
  <si>
    <t>C620333W</t>
  </si>
  <si>
    <t>Material-Inventory Scrapping-Stock-B/S</t>
  </si>
  <si>
    <t>C6203500</t>
  </si>
  <si>
    <t>C620350W</t>
  </si>
  <si>
    <t>Materials-Stores Hand-B/sheet Settlemen</t>
  </si>
  <si>
    <t>C620350Y</t>
  </si>
  <si>
    <t>Materials-Stores Hand-IC Charged In</t>
  </si>
  <si>
    <t>C6305000</t>
  </si>
  <si>
    <t>C630500W</t>
  </si>
  <si>
    <t>Accrued Contractor Costs - B/S Settleme</t>
  </si>
  <si>
    <t>C630500Y</t>
  </si>
  <si>
    <t>Accrued Contractor Costs - IC Charged I</t>
  </si>
  <si>
    <t>C6305200</t>
  </si>
  <si>
    <t>C630520W</t>
  </si>
  <si>
    <t>Contr-Personnel-B/sheet Settlement</t>
  </si>
  <si>
    <t>C630520Y</t>
  </si>
  <si>
    <t>Contr-Personnel-IC Charged In</t>
  </si>
  <si>
    <t>C6305210</t>
  </si>
  <si>
    <t>Contractors Services-LoB Operations</t>
  </si>
  <si>
    <t>C630521W</t>
  </si>
  <si>
    <t>Contr-LoB Ops-B/sheet Settlement</t>
  </si>
  <si>
    <t>C630521X</t>
  </si>
  <si>
    <t>Contr-LoB Ops-IC Billed Out</t>
  </si>
  <si>
    <t>C630521Y</t>
  </si>
  <si>
    <t>Contr-LoB Ops-IC Charged In</t>
  </si>
  <si>
    <t>C6305220</t>
  </si>
  <si>
    <t>C630522W</t>
  </si>
  <si>
    <t>Contr-Gen/Other-B/sheet Settlement</t>
  </si>
  <si>
    <t>C630522X</t>
  </si>
  <si>
    <t>Contr-Gen/Other-IC Billed Out</t>
  </si>
  <si>
    <t>C630522Y</t>
  </si>
  <si>
    <t>Contr-Gen/Other-IC Charged In</t>
  </si>
  <si>
    <t>C6305230</t>
  </si>
  <si>
    <t>C630523W</t>
  </si>
  <si>
    <t>Contr-Agency Costs-B/sheet Settlement</t>
  </si>
  <si>
    <t>C630523Y</t>
  </si>
  <si>
    <t>C6305310</t>
  </si>
  <si>
    <t>C630531W</t>
  </si>
  <si>
    <t>Contr-Pave/Patch-B/sheet Settlement</t>
  </si>
  <si>
    <t>C630531Y</t>
  </si>
  <si>
    <t>Contr-Pave/Patch-IC Charged In</t>
  </si>
  <si>
    <t>C6305320</t>
  </si>
  <si>
    <t>C630532W</t>
  </si>
  <si>
    <t>Contr-Police/Summons-B/sheet Settlement</t>
  </si>
  <si>
    <t>C630532Y</t>
  </si>
  <si>
    <t>Contr-Police/Summons-IC Charged In</t>
  </si>
  <si>
    <t>C6355100</t>
  </si>
  <si>
    <t>C635510W</t>
  </si>
  <si>
    <t>Consultants-B/sheet Settlement</t>
  </si>
  <si>
    <t>C635510Y</t>
  </si>
  <si>
    <t>C6355150</t>
  </si>
  <si>
    <t>C635515W</t>
  </si>
  <si>
    <t>Consultants-Legal-B/sheet Settlement</t>
  </si>
  <si>
    <t>C635515Y</t>
  </si>
  <si>
    <t>Consultants-Legal-IC Charged In</t>
  </si>
  <si>
    <t>C6404900</t>
  </si>
  <si>
    <t>Rents-Rental or Lease of Non-Real Estat</t>
  </si>
  <si>
    <t>C640490W</t>
  </si>
  <si>
    <t>Rents-Non-Real Estate-B/sheet Settlemen</t>
  </si>
  <si>
    <t>C640490Y</t>
  </si>
  <si>
    <t>Rents-Non-Real Estate-IC Charged In</t>
  </si>
  <si>
    <t>C640491Y</t>
  </si>
  <si>
    <t>Rents-Real Estate-IC Charged In</t>
  </si>
  <si>
    <t>C6404920</t>
  </si>
  <si>
    <t>C640492W</t>
  </si>
  <si>
    <t>Lease Expense- ROU Balance Sheet</t>
  </si>
  <si>
    <t>C640492Y</t>
  </si>
  <si>
    <t>C6414900</t>
  </si>
  <si>
    <t>Rents-Intercompany Rent/Lease-Non-RE</t>
  </si>
  <si>
    <t>C641490Y</t>
  </si>
  <si>
    <t>Rents-Intercompany Rent/Lease-Non-RE-IC</t>
  </si>
  <si>
    <t>C6504200</t>
  </si>
  <si>
    <t>Hardware</t>
  </si>
  <si>
    <t>C650420W</t>
  </si>
  <si>
    <t>Hardware-B/sheet Settlement</t>
  </si>
  <si>
    <t>C650420Y</t>
  </si>
  <si>
    <t>Hardware-IC Charged In</t>
  </si>
  <si>
    <t>C650421Y</t>
  </si>
  <si>
    <t>Cloud Serv-Infrastr as a Serv-IC Chrg I</t>
  </si>
  <si>
    <t>C650422Y</t>
  </si>
  <si>
    <t>Cloud Serv-Platform as a Serv-IC Chrg I</t>
  </si>
  <si>
    <t>C6554250</t>
  </si>
  <si>
    <t>Software</t>
  </si>
  <si>
    <t>C655425W</t>
  </si>
  <si>
    <t>Software-B/sheet Settlement</t>
  </si>
  <si>
    <t>C655425X</t>
  </si>
  <si>
    <t>Software-IC Billed Out</t>
  </si>
  <si>
    <t>C655425Y</t>
  </si>
  <si>
    <t>Software-IC Charged In</t>
  </si>
  <si>
    <t>C655426W</t>
  </si>
  <si>
    <t>Cloud Serv-Software as a Serv-BS Sett</t>
  </si>
  <si>
    <t>C655426Y</t>
  </si>
  <si>
    <t>Cloud Serv-Software as a Serv-IC Chrg I</t>
  </si>
  <si>
    <t>C660400W</t>
  </si>
  <si>
    <t>Oth Exp-Other-B/sheet Settlement</t>
  </si>
  <si>
    <t>C660400X</t>
  </si>
  <si>
    <t>Oth Exp-Other-IC Billed Out</t>
  </si>
  <si>
    <t>C660400Y</t>
  </si>
  <si>
    <t>C6604010</t>
  </si>
  <si>
    <t>C660401W</t>
  </si>
  <si>
    <t>C660401X</t>
  </si>
  <si>
    <t>C660401Y</t>
  </si>
  <si>
    <t>C660430Y</t>
  </si>
  <si>
    <t>Oth Exp-Advertising-IC Charged In</t>
  </si>
  <si>
    <t>C6604320</t>
  </si>
  <si>
    <t>Oth Exp-Printing &amp; Mailing</t>
  </si>
  <si>
    <t>C660432W</t>
  </si>
  <si>
    <t>Oth Exp-Print &amp; Mail-B/sheet Settlement</t>
  </si>
  <si>
    <t>C660432Y</t>
  </si>
  <si>
    <t>Oth Exp-Print &amp; Mail-IC Charged In</t>
  </si>
  <si>
    <t>C6604340</t>
  </si>
  <si>
    <t>Oth Exp-Postage</t>
  </si>
  <si>
    <t>C660434W</t>
  </si>
  <si>
    <t>Oth Exp-Postage-B/sheet Settlement</t>
  </si>
  <si>
    <t>C660434Y</t>
  </si>
  <si>
    <t>Oth Exp-Postage-IC Charged In</t>
  </si>
  <si>
    <t>C6604360</t>
  </si>
  <si>
    <t>Oth Exp-Messenger/Courier/Freight/Limo</t>
  </si>
  <si>
    <t>C660436W</t>
  </si>
  <si>
    <t>Oth Exp-Messenger/Limo-B/sheet Settleme</t>
  </si>
  <si>
    <t>C660436Y</t>
  </si>
  <si>
    <t>Oth Exp-Messenger/Limo-IC Charged In</t>
  </si>
  <si>
    <t>C6604400</t>
  </si>
  <si>
    <t>Oth Exp-Donations</t>
  </si>
  <si>
    <t>C6604410</t>
  </si>
  <si>
    <t>Oth Exp-Sponsorships</t>
  </si>
  <si>
    <t>C660441Y</t>
  </si>
  <si>
    <t>Oth Exp-Sponsorships-IC Charged In</t>
  </si>
  <si>
    <t>C660442Y</t>
  </si>
  <si>
    <t>Oth Exp-Dues/Subscript-IC Charged In</t>
  </si>
  <si>
    <t>C6604500</t>
  </si>
  <si>
    <t>Oth Exp-Corporate Insurance</t>
  </si>
  <si>
    <t>C660450W</t>
  </si>
  <si>
    <t>Oth Exp-Corporate Ins-BS Settlement</t>
  </si>
  <si>
    <t>C660450Y</t>
  </si>
  <si>
    <t>Oth Exp-Corporate Ins-IC Charged In</t>
  </si>
  <si>
    <t>C6604600</t>
  </si>
  <si>
    <t>C660460W</t>
  </si>
  <si>
    <t>Oth Exp-Pymt to Govt-B/sheet Settlement</t>
  </si>
  <si>
    <t>C660460X</t>
  </si>
  <si>
    <t>Oth Exp-Pymt to Govt-IC Billed Out</t>
  </si>
  <si>
    <t>C660460Y</t>
  </si>
  <si>
    <t>Oth Exp-Pymt to Govt-IC Charged In</t>
  </si>
  <si>
    <t>C660462Y</t>
  </si>
  <si>
    <t>Oth Exp-Claims-IC Charged In</t>
  </si>
  <si>
    <t>C6604630</t>
  </si>
  <si>
    <t>Oth Exp-Reimbursements</t>
  </si>
  <si>
    <t>C660463W</t>
  </si>
  <si>
    <t>Oth Exp-Reimburse-B/sheet Settlement</t>
  </si>
  <si>
    <t>C660463Y</t>
  </si>
  <si>
    <t>Oth Exp-Reimburse-IC Charged In</t>
  </si>
  <si>
    <t>C6604640</t>
  </si>
  <si>
    <t>OTHEXP - SALVAGE</t>
  </si>
  <si>
    <t>C660464W</t>
  </si>
  <si>
    <t>OTHEXP - SALVAGE-B/Sheet Settlement</t>
  </si>
  <si>
    <t>C660464Y</t>
  </si>
  <si>
    <t>Oth Exp-Salvage-IC Charged In</t>
  </si>
  <si>
    <t>C6604650</t>
  </si>
  <si>
    <t>IBNR Claim Expense</t>
  </si>
  <si>
    <t>C660465Y</t>
  </si>
  <si>
    <t>IBNR Claim Expense IC Charged In</t>
  </si>
  <si>
    <t>C6604750</t>
  </si>
  <si>
    <t>Oth Exp-Training</t>
  </si>
  <si>
    <t>C660475W</t>
  </si>
  <si>
    <t>Oth Exp-Training-B/sheet Settlement</t>
  </si>
  <si>
    <t>C660475Y</t>
  </si>
  <si>
    <t>Oth Exp-Training-IC Charged In</t>
  </si>
  <si>
    <t>C6607300</t>
  </si>
  <si>
    <t>Oth Exp-Conservation Load Management</t>
  </si>
  <si>
    <t>C660740W</t>
  </si>
  <si>
    <t>Oth Exp-Constr Reimb-B/sheet Settlement</t>
  </si>
  <si>
    <t>C6607500</t>
  </si>
  <si>
    <t>C660750W</t>
  </si>
  <si>
    <t>Oth Exp-Cap Overhead-B/sheet Settlement</t>
  </si>
  <si>
    <t>C660750Y</t>
  </si>
  <si>
    <t>Oth Exp-Cap Overhead-IC Charged In</t>
  </si>
  <si>
    <t>C660755W</t>
  </si>
  <si>
    <t>Oth Exp-A&amp;G Capital OH-B/S</t>
  </si>
  <si>
    <t>C660760W</t>
  </si>
  <si>
    <t>Oth Exp-Sup &amp; Admin-B/sheet Settlement</t>
  </si>
  <si>
    <t>C660760X</t>
  </si>
  <si>
    <t>Oth Exp-Sup &amp; Admin-IC Billed Out</t>
  </si>
  <si>
    <t>C660760Y</t>
  </si>
  <si>
    <t>Oth Exp-Sup &amp; Admin-IC Charged In</t>
  </si>
  <si>
    <t>C6607650</t>
  </si>
  <si>
    <t>Oth Exp-Service Company Operating Costs</t>
  </si>
  <si>
    <t>C6704150</t>
  </si>
  <si>
    <t>C670415Y</t>
  </si>
  <si>
    <t>Bad Debt Expense-IC Charged In</t>
  </si>
  <si>
    <t>C6803170</t>
  </si>
  <si>
    <t>Transportation Expense-Gasoline/Fuel</t>
  </si>
  <si>
    <t>C680317W</t>
  </si>
  <si>
    <t>Trans Exp-Gas/Fuel-B/sheet Settlement</t>
  </si>
  <si>
    <t>C680317X</t>
  </si>
  <si>
    <t>Trans Exp-Gas/Fuel-IC Billed Out</t>
  </si>
  <si>
    <t>C680317Y</t>
  </si>
  <si>
    <t>Trans Exp-Gas/Fuel-IC Charged In</t>
  </si>
  <si>
    <t>C6804930</t>
  </si>
  <si>
    <t>C680493W</t>
  </si>
  <si>
    <t>Trans Exp-Fleet Lease-B/sheet Settlemen</t>
  </si>
  <si>
    <t>C680493Y</t>
  </si>
  <si>
    <t>Trans Exp-Fleet Lease-IC Charged In</t>
  </si>
  <si>
    <t>C6808100</t>
  </si>
  <si>
    <t>C680810W</t>
  </si>
  <si>
    <t>Trans Exp-Clearing-B/sheet Settlement</t>
  </si>
  <si>
    <t>C680810X</t>
  </si>
  <si>
    <t>Trans Exp-Clearing-IC Billed Out</t>
  </si>
  <si>
    <t>C680810Y</t>
  </si>
  <si>
    <t>Trans Exp-Clearing-IC Charged In</t>
  </si>
  <si>
    <t>C6808200</t>
  </si>
  <si>
    <t>Commission Expenses</t>
  </si>
  <si>
    <t>C680820Y</t>
  </si>
  <si>
    <t>Commission Expenses - IC Charged In</t>
  </si>
  <si>
    <t>C6808250</t>
  </si>
  <si>
    <t>Telecommunications - Cell Phones</t>
  </si>
  <si>
    <t>C680825W</t>
  </si>
  <si>
    <t>Telecommunications - Cell Phones-B/S Se</t>
  </si>
  <si>
    <t>C680825Y</t>
  </si>
  <si>
    <t>Telecommunications - Cell Phones-IC Cha</t>
  </si>
  <si>
    <t>C6808260</t>
  </si>
  <si>
    <t>Telecommunications-Phones</t>
  </si>
  <si>
    <t>C680826W</t>
  </si>
  <si>
    <t>Telecommunications-Phones-B/S Settle</t>
  </si>
  <si>
    <t>C680826Y</t>
  </si>
  <si>
    <t>Telecommunications-Phones-IC Charged In</t>
  </si>
  <si>
    <t>C6904100</t>
  </si>
  <si>
    <t>C690410W</t>
  </si>
  <si>
    <t>Employee Exp-B/sheet Settlement</t>
  </si>
  <si>
    <t>C690410X</t>
  </si>
  <si>
    <t>Employee Exp-IC Billed Out</t>
  </si>
  <si>
    <t>C690410Y</t>
  </si>
  <si>
    <t>Employee Exp-IC Charged In</t>
  </si>
  <si>
    <t>C6999999</t>
  </si>
  <si>
    <t>Expense - Clearing</t>
  </si>
  <si>
    <t>C8040020</t>
  </si>
  <si>
    <t>Natural Gas City Gate Purchases - Deman</t>
  </si>
  <si>
    <t>C8040030</t>
  </si>
  <si>
    <t>Natural Gas City Gate Purchases - Commo</t>
  </si>
  <si>
    <t>C8081000</t>
  </si>
  <si>
    <t>Gas Withdrawn from UG Storage-Debit</t>
  </si>
  <si>
    <t>C8082000</t>
  </si>
  <si>
    <t>Gas Delivered to UG Storage-Credit</t>
  </si>
  <si>
    <t>C8091000</t>
  </si>
  <si>
    <t>LNG Withdrawals for Processing-Dr</t>
  </si>
  <si>
    <t>C8092000</t>
  </si>
  <si>
    <t>LNG Deliveries for Procesing-Cr</t>
  </si>
  <si>
    <t>C8120000</t>
  </si>
  <si>
    <t>Gas Used in Other Utility Operations-Cr</t>
  </si>
  <si>
    <t>U4031000</t>
  </si>
  <si>
    <t>U4073000</t>
  </si>
  <si>
    <t>Amortization-Regulatory Debits</t>
  </si>
  <si>
    <t>U4111010</t>
  </si>
  <si>
    <t>U4180000</t>
  </si>
  <si>
    <t>U4190000</t>
  </si>
  <si>
    <t>U4191240</t>
  </si>
  <si>
    <t>Interest Income-Regulatory Deferral</t>
  </si>
  <si>
    <t>U426202Y</t>
  </si>
  <si>
    <t>Non-Qualified Pension-IC Charged In</t>
  </si>
  <si>
    <t>U4263000</t>
  </si>
  <si>
    <t>U4265000</t>
  </si>
  <si>
    <t>U4265080</t>
  </si>
  <si>
    <t>Pensions Non-Service Cost</t>
  </si>
  <si>
    <t>U426508Y</t>
  </si>
  <si>
    <t>Pension Non-Service Cost -IC Charged In</t>
  </si>
  <si>
    <t>U4265090</t>
  </si>
  <si>
    <t>OPEB Non-Service Cost</t>
  </si>
  <si>
    <t>U426509Y</t>
  </si>
  <si>
    <t>OPEB Non-Service Cost -IC Charged In</t>
  </si>
  <si>
    <t>U4265340</t>
  </si>
  <si>
    <t>ISR Deferral-Equity-Gas</t>
  </si>
  <si>
    <t>U4310000</t>
  </si>
  <si>
    <t>U4560150</t>
  </si>
  <si>
    <t>Open Access Rev-GET Revenue</t>
  </si>
  <si>
    <t>U4800000</t>
  </si>
  <si>
    <t>Current (Alternative Revenue Program)-G</t>
  </si>
  <si>
    <t>U6001150</t>
  </si>
  <si>
    <t>U6001300</t>
  </si>
  <si>
    <t>U6001500</t>
  </si>
  <si>
    <t>U6102010</t>
  </si>
  <si>
    <t>U610201W</t>
  </si>
  <si>
    <t>U610201Y</t>
  </si>
  <si>
    <t>U6102020</t>
  </si>
  <si>
    <t>U6102030</t>
  </si>
  <si>
    <t>U6102040</t>
  </si>
  <si>
    <t>U6102060</t>
  </si>
  <si>
    <t>U610206W</t>
  </si>
  <si>
    <t>U610206Y</t>
  </si>
  <si>
    <t>U6102070</t>
  </si>
  <si>
    <t>U6102080</t>
  </si>
  <si>
    <t>U6305210</t>
  </si>
  <si>
    <t>U6355100</t>
  </si>
  <si>
    <t>U6355150</t>
  </si>
  <si>
    <t>U640491Y</t>
  </si>
  <si>
    <t>U640492Y</t>
  </si>
  <si>
    <t>U6604000</t>
  </si>
  <si>
    <t>U6904100</t>
  </si>
  <si>
    <t>U8040000</t>
  </si>
  <si>
    <t>Natural Gas City Gate Purchases</t>
  </si>
  <si>
    <t>*358.3-</t>
  </si>
  <si>
    <t>U8040030</t>
  </si>
  <si>
    <t>Natural Gas City Gate Purchases-Commodi</t>
  </si>
  <si>
    <t>Narragansett Electric Co                    Regulatory US GAAP - Balance Sheet                    Time 12:11:05     Date  01/14/2022</t>
  </si>
  <si>
    <t>Jun-21</t>
  </si>
  <si>
    <t>Sep-21</t>
  </si>
  <si>
    <t>(01.2022-03.2022)</t>
  </si>
  <si>
    <t>(01.2022-06.2022)</t>
  </si>
  <si>
    <t>U1011050</t>
  </si>
  <si>
    <t>Lease ROUA-BB-LB-Beg Balance-Current</t>
  </si>
  <si>
    <t>C1281004</t>
  </si>
  <si>
    <t>Rabbi Eqty NonCur (IFRS-OCI GAAP P&amp;L)-B</t>
  </si>
  <si>
    <t>C1281024</t>
  </si>
  <si>
    <t>FVOCI Rabbi Debt Non-Cur BB</t>
  </si>
  <si>
    <t>C1420515</t>
  </si>
  <si>
    <t>Check Holding Account (receipt)</t>
  </si>
  <si>
    <t>C1823158</t>
  </si>
  <si>
    <t>C1823159</t>
  </si>
  <si>
    <t>C2191024</t>
  </si>
  <si>
    <t>FVOCI Rabbi Debt Instmts non-cur-BB</t>
  </si>
  <si>
    <t>C2282110</t>
  </si>
  <si>
    <t>IBNR Captive Beginning Balance</t>
  </si>
  <si>
    <t>C2530270</t>
  </si>
  <si>
    <t>Pension Costs-Prov</t>
  </si>
  <si>
    <t>C2532008</t>
  </si>
  <si>
    <t>C2532027</t>
  </si>
  <si>
    <t>U2540110</t>
  </si>
  <si>
    <t>Regulatory Liability - Storage Deferral</t>
  </si>
  <si>
    <t>U2540569</t>
  </si>
  <si>
    <t>A1011050</t>
  </si>
  <si>
    <t>A1823158</t>
  </si>
  <si>
    <t>A1823159</t>
  </si>
  <si>
    <t>A2191004</t>
  </si>
  <si>
    <t>A426202Y</t>
  </si>
  <si>
    <t>NQ Pension Expense B/S In</t>
  </si>
  <si>
    <t>A4265080</t>
  </si>
  <si>
    <t>A426508Y</t>
  </si>
  <si>
    <t>A426509Y</t>
  </si>
  <si>
    <t>A600135Y</t>
  </si>
  <si>
    <t>A630520Y</t>
  </si>
  <si>
    <t>Contractors Services-Personnel-IC Charg</t>
  </si>
  <si>
    <t>A6604500</t>
  </si>
  <si>
    <t>A6604640</t>
  </si>
  <si>
    <t>Oth Exp-Salvage</t>
  </si>
  <si>
    <t>C417000Y</t>
  </si>
  <si>
    <t>Revenue from Nonutility Operations-IC C</t>
  </si>
  <si>
    <t>C426202Y</t>
  </si>
  <si>
    <t>C4265080</t>
  </si>
  <si>
    <t>C426508Y</t>
  </si>
  <si>
    <t>C4265090</t>
  </si>
  <si>
    <t>C426509Y</t>
  </si>
  <si>
    <t>C5550300</t>
  </si>
  <si>
    <t>Purchased Power-Electric</t>
  </si>
  <si>
    <t>C620333Y</t>
  </si>
  <si>
    <t>Material-Inventory Scrapping-Stock-IC C</t>
  </si>
  <si>
    <t>C660442W</t>
  </si>
  <si>
    <t>Oth Exp-Dues/Subscript-B/sheet Settleme</t>
  </si>
  <si>
    <t>C660730Y</t>
  </si>
  <si>
    <t>Oth Exp-Cons Load Mgmt-IC Charged In</t>
  </si>
  <si>
    <t>U6001100</t>
  </si>
  <si>
    <t>U6001200</t>
  </si>
  <si>
    <t>U6001350</t>
  </si>
  <si>
    <t>Narragansett Electric Co                    Regulatory US GAAP - Balance Sheet                    Time 07:47:02     Date  04/25/2022</t>
  </si>
  <si>
    <t>Providence                Ledger 0L                                                               RFBILA00/OLIVEJ   Page           1</t>
  </si>
  <si>
    <t>Dec-21</t>
  </si>
  <si>
    <t>(01.2022-09.2022)</t>
  </si>
  <si>
    <t>C1013010</t>
  </si>
  <si>
    <t>Land &amp; Building-101-Disposals</t>
  </si>
  <si>
    <t>C1083010</t>
  </si>
  <si>
    <t>Accum Deprec-101-LB-Disposal</t>
  </si>
  <si>
    <t>Providence                Ledger 0L                                                               RFBILA00/OLIVEJ   Page           2</t>
  </si>
  <si>
    <t>*538.5-</t>
  </si>
  <si>
    <t>Providence                Ledger 0L                                                               RFBILA00/OLIVEJ   Page           3</t>
  </si>
  <si>
    <t>A403010Y</t>
  </si>
  <si>
    <t>A403050Y</t>
  </si>
  <si>
    <t>Deprn Expense-MVOE-IC Chrg</t>
  </si>
  <si>
    <t>A411712Y</t>
  </si>
  <si>
    <t>Loss -Lease ROU Asset IC In</t>
  </si>
  <si>
    <t>A4265090</t>
  </si>
  <si>
    <t>A660401Y</t>
  </si>
  <si>
    <t>C6604300</t>
  </si>
  <si>
    <t>Oth Exp-Advertising</t>
  </si>
  <si>
    <t>C660740Y</t>
  </si>
  <si>
    <t>Oth Exp-Constr Reimb-IC Charged In</t>
  </si>
  <si>
    <t>C8040000</t>
  </si>
  <si>
    <t>U4081100</t>
  </si>
  <si>
    <t>Narragansett Electric Co                    Regulatory US GAAP - Balance Sheet                    Time 14:10:26     Date  06/06/2023</t>
  </si>
  <si>
    <t>Providence                Ledger 0L                                                               RFBILA00/HITTMA   Page           1</t>
  </si>
  <si>
    <t>(01.2022-16.2022)</t>
  </si>
  <si>
    <t>(01.2023-03.2023)</t>
  </si>
  <si>
    <t>*6000.0</t>
  </si>
  <si>
    <t>*2716.3</t>
  </si>
  <si>
    <t>C1087020</t>
  </si>
  <si>
    <t>Accum Deprec-101-MVOE-Reclass</t>
  </si>
  <si>
    <t>U1460010</t>
  </si>
  <si>
    <t>U1823195</t>
  </si>
  <si>
    <t>RDM Revenue Decoupling</t>
  </si>
  <si>
    <t>*4500.0</t>
  </si>
  <si>
    <t>Environmental Insurance Receivable</t>
  </si>
  <si>
    <t>C1866699</t>
  </si>
  <si>
    <t>Providence                Ledger 0L                                                               RFBILA00/HITTMA   Page           2</t>
  </si>
  <si>
    <t>UnappRE-Sh Based Payment Award-BB</t>
  </si>
  <si>
    <t>U2340010</t>
  </si>
  <si>
    <t>C2282550</t>
  </si>
  <si>
    <t>IBNR Claim Reserve-Released to P&amp;L</t>
  </si>
  <si>
    <t>*651.7-</t>
  </si>
  <si>
    <t>Providence                Ledger 0L                                                               RFBILA00/HITTMA   Page           3</t>
  </si>
  <si>
    <t>A1082020</t>
  </si>
  <si>
    <t>A1460010</t>
  </si>
  <si>
    <t>A2340010</t>
  </si>
  <si>
    <t>A4030500</t>
  </si>
  <si>
    <t>Deprn Expense-MVOE</t>
  </si>
  <si>
    <t>A405000Y</t>
  </si>
  <si>
    <t>*900.9-</t>
  </si>
  <si>
    <t>A435000Y</t>
  </si>
  <si>
    <t>Exceptional Costs - IC Charged In</t>
  </si>
  <si>
    <t>*924.2-</t>
  </si>
  <si>
    <t>A6604750</t>
  </si>
  <si>
    <t>C419100Y</t>
  </si>
  <si>
    <t>Int Income-AFUDC-IC Charged In</t>
  </si>
  <si>
    <t>C432000Y</t>
  </si>
  <si>
    <t>Allow Brwd Funds Dur Const-CR-IC Charge</t>
  </si>
  <si>
    <t>C4440030</t>
  </si>
  <si>
    <t>Street Lighting-Sales Revenue</t>
  </si>
  <si>
    <t>C4565002</t>
  </si>
  <si>
    <t>Oth Elec Rev-Misc</t>
  </si>
  <si>
    <t>*280.2-</t>
  </si>
  <si>
    <t>C4870000</t>
  </si>
  <si>
    <t>Forfeited Discounts-Gas</t>
  </si>
  <si>
    <t>*7211.2</t>
  </si>
  <si>
    <t>*519.8-</t>
  </si>
  <si>
    <t>C6604420</t>
  </si>
  <si>
    <t>Oth Exp-Dues/Subscriptions</t>
  </si>
  <si>
    <t>C660470Y</t>
  </si>
  <si>
    <t>Oth Exp-R&amp;D-IC Charged In</t>
  </si>
  <si>
    <t>C660755Y</t>
  </si>
  <si>
    <t>Oth Exp-A&amp;G Capital Overheads I/C In</t>
  </si>
  <si>
    <t>C660782W</t>
  </si>
  <si>
    <t>Oth Exp - GBE Mvmt-B/Sheet Sett</t>
  </si>
  <si>
    <t>C660782Y</t>
  </si>
  <si>
    <t>Oth Exp -GBE Mvmt -I/C Charged in</t>
  </si>
  <si>
    <t>C6609300</t>
  </si>
  <si>
    <t>TSA Markup Expense Management</t>
  </si>
  <si>
    <t>C660930W</t>
  </si>
  <si>
    <t>TSA Markup Expense-Mgt-B/S Settlement</t>
  </si>
  <si>
    <t>C660930X</t>
  </si>
  <si>
    <t>TSA Markup Expense-Mgt-IC Billed Out</t>
  </si>
  <si>
    <t>C660930Y</t>
  </si>
  <si>
    <t>TSA Markup Expense-Mgt-IC Charged In</t>
  </si>
  <si>
    <t>C660931W</t>
  </si>
  <si>
    <t>TSA Markup Expense Union-B/S Settlement</t>
  </si>
  <si>
    <t>C660931X</t>
  </si>
  <si>
    <t>TSA Markup Expense Union-IC Billed Out</t>
  </si>
  <si>
    <t>C660931Y</t>
  </si>
  <si>
    <t>TSA Markup Expense Union-IC Charged In</t>
  </si>
  <si>
    <t>*352.1-</t>
  </si>
  <si>
    <t>U411712Y</t>
  </si>
  <si>
    <t>*330.1-</t>
  </si>
  <si>
    <t>U6604010</t>
  </si>
  <si>
    <t>U6604750</t>
  </si>
  <si>
    <t>U6609300</t>
  </si>
  <si>
    <t>U6808100</t>
  </si>
  <si>
    <t>*985.1-</t>
  </si>
  <si>
    <t>S:\2021 ri gas\ESM\Support Schedules\Copy of 5360 NECO ADIT 2020.12 - Plant FREEZE</t>
  </si>
  <si>
    <t>Property Related Deferred Tax Balances</t>
  </si>
  <si>
    <t>CY 12-31-2020</t>
  </si>
  <si>
    <t>Source:  Tax Department.  Connie Kong and Pam Bushmich</t>
  </si>
  <si>
    <t>Narragansett - Gas Division</t>
  </si>
  <si>
    <t>(d) = sum (a):(c)</t>
  </si>
  <si>
    <t>(g) = (d)-(e)</t>
  </si>
  <si>
    <t>Total Plant ADIT</t>
  </si>
  <si>
    <t>FIN48</t>
  </si>
  <si>
    <t xml:space="preserve">Net Operating Loss </t>
  </si>
  <si>
    <t>Net of NOL &amp; FIN48</t>
  </si>
  <si>
    <t>Excess ADIT</t>
  </si>
  <si>
    <t>Net of FAS109</t>
  </si>
  <si>
    <t>Dec 31, 2019</t>
  </si>
  <si>
    <t>Mar 31, 2020</t>
  </si>
  <si>
    <t>June 30, 2020</t>
  </si>
  <si>
    <t>Sept 30, 2020</t>
  </si>
  <si>
    <t>Dec 31, 2020</t>
  </si>
  <si>
    <t>Narragansett - Gas Segment</t>
  </si>
  <si>
    <t>Property Related</t>
  </si>
  <si>
    <t>ADIT net of NOL</t>
  </si>
  <si>
    <t>Less: FAS109 ADIT</t>
  </si>
  <si>
    <t>- (e)</t>
  </si>
  <si>
    <t>Add Back Federal Rate Change - Plant</t>
  </si>
  <si>
    <t>Update due to IRS audit</t>
  </si>
  <si>
    <t>Excess ADIT rate change</t>
  </si>
  <si>
    <t>Amortization of Plant Rate Change</t>
  </si>
  <si>
    <t>Net Operating Loss</t>
  </si>
  <si>
    <t>Amortization rate change</t>
  </si>
  <si>
    <t>Add Back Federal Rate Change - NOL</t>
  </si>
  <si>
    <t>Amortization of NOL Rate Change</t>
  </si>
  <si>
    <t>TOTAL</t>
  </si>
  <si>
    <t>Impact of Elimination of ADIT and Hold Harmless Commitment for the 2025 Earnings Sharing Mechanism</t>
  </si>
  <si>
    <t>Capital Structure (%)</t>
  </si>
  <si>
    <t>Debt Rate (%)</t>
  </si>
  <si>
    <t>Cost (%)</t>
  </si>
  <si>
    <t>Cost Ratios (%)</t>
  </si>
  <si>
    <t>Lines 5 &amp; 6 (a) x (c)</t>
  </si>
  <si>
    <t>Lines 4+5+6, Col (d)</t>
  </si>
  <si>
    <t>Tax Gross-up on Common Equity</t>
  </si>
  <si>
    <t>Line 6(d) * 
Line 1(a) / (1 - Line 1(a))</t>
  </si>
  <si>
    <t>Lines 8+9, Col (d)</t>
  </si>
  <si>
    <t>Line 11, Col (f)</t>
  </si>
  <si>
    <t>- Line 13, Col (f)</t>
  </si>
  <si>
    <t>Lines 14 + 15</t>
  </si>
  <si>
    <t>Lines 16 * Line 4(d)</t>
  </si>
  <si>
    <t>Lines 16 * Line 5(d)</t>
  </si>
  <si>
    <t xml:space="preserve">Lines 16 * Line 6(d) </t>
  </si>
  <si>
    <t>(Line 19 / (1 - Line 1)) * Line 1</t>
  </si>
  <si>
    <t>Sum of Lines 17, 18, 19, 20</t>
  </si>
  <si>
    <t>- Line 13 * Line 10</t>
  </si>
  <si>
    <t>Lines 21 + 22</t>
  </si>
  <si>
    <t xml:space="preserve">Lines 16, Col (b) * Line 4(d) </t>
  </si>
  <si>
    <t>(Lines 23 - 24) * Line 1</t>
  </si>
  <si>
    <t>Lines 23 - 24 - 25</t>
  </si>
  <si>
    <t>LIHEAP Enhancement Plan</t>
  </si>
  <si>
    <t>Infrastructure, Safety and Reliability Factor</t>
  </si>
  <si>
    <t>Low-Income Discount Recovery Factor</t>
  </si>
  <si>
    <t>Pension Deferral</t>
  </si>
  <si>
    <t>Energy Efficiency Surcharge</t>
  </si>
  <si>
    <t>Gas Cost Recovery Clause</t>
  </si>
  <si>
    <t>FERC Account 487</t>
  </si>
  <si>
    <t>Unbilled GCR Revenue</t>
  </si>
  <si>
    <t>Unbilled EE Revenue</t>
  </si>
  <si>
    <t>ISR Paving</t>
  </si>
  <si>
    <t>Unbilled GCR</t>
  </si>
  <si>
    <t>Interest on Over / (Under) Collections</t>
  </si>
  <si>
    <t>Line 8</t>
  </si>
  <si>
    <t>Line 7</t>
  </si>
  <si>
    <t>Line 9</t>
  </si>
  <si>
    <t>Gas Procurement Incentive</t>
  </si>
  <si>
    <t>Pension/PBOP amounts recorded below the line</t>
  </si>
  <si>
    <t>IT Transformation</t>
  </si>
  <si>
    <t>Less Uncollectible Accounts Exp. Adjustment</t>
  </si>
  <si>
    <t>Page 5 of 15, Line 18, Column (e) - Page 5 of 15, Line 18 Column (a)</t>
  </si>
  <si>
    <t>Page 14 of 15, Line 22</t>
  </si>
  <si>
    <t>Page 14 of 15, Line 18 + Page 14 of 15, Line 19</t>
  </si>
  <si>
    <t>Page 14 of 15, Line 20</t>
  </si>
  <si>
    <t xml:space="preserve">If Line 15  &gt; 10.275%, then Line 15 minus 10.275%. </t>
  </si>
  <si>
    <t xml:space="preserve">If Line 15  &gt; 9.275% and &lt; 10.275%, then 10.275% minus 9.275%. </t>
  </si>
  <si>
    <t>Adjustment to calculate the interest expense impact of the increase in rate base due to the elimination of accumulated deferred income taxes
as a result of PPL's acqusition of the Company.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</si>
</sst>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4">
    <numFmt numFmtId="164" formatCode="_(* #,##0.00_);_(* \(#,##0.00\);_(* &quot;-&quot;??_);_(@_)"/>
    <numFmt numFmtId="165" formatCode="&quot;$&quot;#,##0_);\(&quot;$&quot;#,##0\)"/>
    <numFmt numFmtId="166" formatCode="&quot;$&quot;#,##0_);[Red]\(&quot;$&quot;#,##0\)"/>
    <numFmt numFmtId="167" formatCode="&quot;$&quot;#,##0.00_);\(&quot;$&quot;#,##0.00\)"/>
    <numFmt numFmtId="168" formatCode="&quot;$&quot;#,##0.00_);[Red]\(&quot;$&quot;#,##0.00\)"/>
    <numFmt numFmtId="169" formatCode="_(&quot;$&quot;* #,##0_);_(&quot;$&quot;* \(#,##0\);_(&quot;$&quot;* &quot;-&quot;_);_(@_)"/>
    <numFmt numFmtId="170" formatCode="_(* #,##0_);_(* \(#,##0\);_(* &quot;-&quot;_);_(@_)"/>
    <numFmt numFmtId="171" formatCode="_(&quot;$&quot;* #,##0.00_);_(&quot;$&quot;* \(#,##0.00\);_(&quot;$&quot;* &quot;-&quot;??_);_(@_)"/>
    <numFmt numFmtId="172" formatCode="_(* #,##0_);_(* \(#,##0\);_(* &quot;-&quot;??_);_(@_)"/>
    <numFmt numFmtId="173" formatCode="_(&quot;$&quot;* #,##0_);_(&quot;$&quot;* \(#,##0\);_(&quot;$&quot;* &quot;-&quot;??_);_(@_)"/>
    <numFmt numFmtId="174" formatCode="_(* #,##0.0000_);_(* \(#,##0.0000\);_(* &quot;-&quot;??_);_(@_)"/>
    <numFmt numFmtId="175" formatCode="0.0%"/>
    <numFmt numFmtId="176" formatCode="d\-mmm\-yyyy"/>
    <numFmt numFmtId="177" formatCode="0.000%"/>
    <numFmt numFmtId="178" formatCode="\$#,##0.00;[Red]&quot;($&quot;#,##0.00\)"/>
    <numFmt numFmtId="179" formatCode="\$#,##0;[Red]&quot;($&quot;#,##0\)"/>
    <numFmt numFmtId="180" formatCode="mmm\-yyyy"/>
    <numFmt numFmtId="181" formatCode="_([$€-2]* #,##0.00_);_([$€-2]* \(#,##0.00\);_([$€-2]* &quot;-&quot;??_)"/>
    <numFmt numFmtId="182" formatCode="mm/dd/yy;@"/>
    <numFmt numFmtId="183" formatCode="#,##0.0_);\(#,##0.0\)"/>
    <numFmt numFmtId="184" formatCode="_(* #,##0.0_);_(* \(#,##0.0\);_(* &quot;-&quot;??_);_(@_)"/>
    <numFmt numFmtId="185" formatCode="0.0"/>
    <numFmt numFmtId="186" formatCode="#,##0&quot; bps&quot;"/>
    <numFmt numFmtId="187" formatCode="#,##0.000000_);\(#,##0.000000\)"/>
    <numFmt numFmtId="188" formatCode="#,##0.0000000_);\(#,##0.0000000\)"/>
    <numFmt numFmtId="189" formatCode="\$#,##0.00;&quot;($&quot;#,##0.00\)"/>
    <numFmt numFmtId="190" formatCode="\ #,##0;\(#,##0\);\ &quot;-&quot;"/>
    <numFmt numFmtId="191" formatCode="_-* #,##0_-;\-* #,##0_-;_-* &quot;-&quot;??_-;_-@_-"/>
    <numFmt numFmtId="192" formatCode="#,##0_);\(#,##0\);_-* &quot;-&quot;??_-;_-@_-"/>
    <numFmt numFmtId="193" formatCode="\ #,##0.00;\(#,##0.00\);\ &quot;-&quot;"/>
    <numFmt numFmtId="194" formatCode="#,##0.0;[Red]#,##0.0"/>
    <numFmt numFmtId="195" formatCode="0.0000%"/>
    <numFmt numFmtId="196" formatCode="mmm\-yy_)"/>
    <numFmt numFmtId="197" formatCode=";;;@"/>
  </numFmts>
  <fonts count="109">
    <font>
      <sz val="11"/>
      <color theme="1"/>
      <name val="Calibri"/>
      <family val="2"/>
      <scheme val="minor"/>
    </font>
    <font>
      <sz val="11"/>
      <color theme="1"/>
      <name val="Calibri"/>
      <family val="2"/>
    </font>
    <font>
      <sz val="11"/>
      <color theme="1"/>
      <name val="Calibri"/>
      <family val="2"/>
    </font>
    <font>
      <sz val="11"/>
      <color theme="1"/>
      <name val="Times New Roman"/>
      <family val="2"/>
    </font>
    <font>
      <sz val="11"/>
      <color theme="1"/>
      <name val="Times New Roman"/>
      <family val="2"/>
    </font>
    <font>
      <sz val="11"/>
      <color theme="1"/>
      <name val="Calibri"/>
      <family val="2"/>
      <scheme val="minor"/>
    </font>
    <font>
      <b/>
      <sz val="11"/>
      <color theme="1"/>
      <name val="Times New Roman"/>
      <family val="1"/>
    </font>
    <font>
      <b/>
      <u/>
      <sz val="11"/>
      <color theme="1"/>
      <name val="Times New Roman"/>
      <family val="1"/>
    </font>
    <font>
      <sz val="12"/>
      <name val="Times New Roman"/>
      <family val="1"/>
    </font>
    <font>
      <b/>
      <sz val="12"/>
      <name val="Times New Roman"/>
      <family val="1"/>
    </font>
    <font>
      <sz val="12"/>
      <color indexed="10"/>
      <name val="Times New Roman"/>
      <family val="1"/>
    </font>
    <font>
      <u/>
      <sz val="12"/>
      <name val="Times New Roman"/>
      <family val="1"/>
    </font>
    <font>
      <sz val="12"/>
      <color theme="1"/>
      <name val="Times New Roman"/>
      <family val="1"/>
    </font>
    <font>
      <sz val="10"/>
      <name val="Arial"/>
      <family val="2"/>
    </font>
    <font>
      <u/>
      <sz val="11"/>
      <color theme="1"/>
      <name val="Times New Roman"/>
      <family val="2"/>
    </font>
    <font>
      <i/>
      <sz val="11"/>
      <color theme="1"/>
      <name val="Times New Roman"/>
      <family val="1"/>
    </font>
    <font>
      <sz val="11"/>
      <color theme="1"/>
      <name val="Times New Roman"/>
      <family val="1"/>
    </font>
    <font>
      <sz val="10"/>
      <color rgb="FF000000"/>
      <name val="Arial"/>
      <family val="2"/>
    </font>
    <font>
      <u/>
      <sz val="11"/>
      <color theme="1"/>
      <name val="Times New Roman"/>
      <family val="1"/>
    </font>
    <font>
      <sz val="11"/>
      <name val="Times New Roman"/>
      <family val="1"/>
    </font>
    <font>
      <b/>
      <sz val="11"/>
      <name val="Times New Roman"/>
      <family val="1"/>
    </font>
    <font>
      <b/>
      <sz val="11"/>
      <color rgb="FFFF0000"/>
      <name val="Times New Roman"/>
      <family val="1"/>
    </font>
    <font>
      <sz val="10"/>
      <name val="Times New Roman"/>
      <family val="1"/>
    </font>
    <font>
      <sz val="10"/>
      <color theme="1"/>
      <name val="Times New Roman"/>
      <family val="1"/>
    </font>
    <font>
      <sz val="12"/>
      <name val="Arial"/>
      <family val="2"/>
    </font>
    <font>
      <sz val="11"/>
      <name val="Times New Roman"/>
      <family val="2"/>
    </font>
    <font>
      <b/>
      <sz val="11"/>
      <name val="Times New Roman"/>
      <family val="2"/>
    </font>
    <font>
      <sz val="11"/>
      <color rgb="FF000000"/>
      <name val="Times New Roman"/>
      <family val="1"/>
    </font>
    <font>
      <b/>
      <sz val="11"/>
      <color rgb="FF000000"/>
      <name val="Times New Roman"/>
      <family val="1"/>
    </font>
    <font>
      <sz val="11"/>
      <color rgb="FF333333"/>
      <name val="Times New Roman"/>
      <family val="1"/>
    </font>
    <font>
      <b/>
      <sz val="11"/>
      <color rgb="FF333333"/>
      <name val="Times New Roman"/>
      <family val="1"/>
    </font>
    <font>
      <b/>
      <u/>
      <sz val="11"/>
      <color rgb="FF333333"/>
      <name val="Times New Roman"/>
      <family val="1"/>
    </font>
    <font>
      <b/>
      <u/>
      <sz val="11"/>
      <color rgb="FF000000"/>
      <name val="Times New Roman"/>
      <family val="1"/>
    </font>
    <font>
      <u val="singleAccounting"/>
      <sz val="11"/>
      <color rgb="FF000000"/>
      <name val="Times New Roman"/>
      <family val="1"/>
    </font>
    <font>
      <sz val="11"/>
      <color rgb="FFFF0000"/>
      <name val="Calibri"/>
      <family val="2"/>
      <scheme val="minor"/>
    </font>
    <font>
      <b/>
      <sz val="11"/>
      <color theme="1"/>
      <name val="Calibri"/>
      <family val="2"/>
      <scheme val="minor"/>
    </font>
    <font>
      <sz val="12"/>
      <color theme="1"/>
      <name val="Calibri"/>
      <family val="2"/>
      <scheme val="minor"/>
    </font>
    <font>
      <sz val="10"/>
      <color rgb="FF000000"/>
      <name val="Segoe UI"/>
      <family val="2"/>
    </font>
    <font>
      <sz val="11"/>
      <color rgb="FFFF0000"/>
      <name val="Times New Roman"/>
      <family val="1"/>
    </font>
    <font>
      <sz val="10"/>
      <color rgb="FFFF0000"/>
      <name val="Arial"/>
      <family val="2"/>
    </font>
    <font>
      <u/>
      <sz val="10"/>
      <name val="Times New Roman"/>
      <family val="1"/>
    </font>
    <font>
      <b/>
      <sz val="9"/>
      <color rgb="FF333333"/>
      <name val="Arial"/>
      <family val="2"/>
    </font>
    <font>
      <sz val="9"/>
      <color rgb="FF333333"/>
      <name val="Arial"/>
      <family val="2"/>
    </font>
    <font>
      <b/>
      <sz val="9"/>
      <color rgb="FF000000"/>
      <name val="Arial"/>
      <family val="2"/>
    </font>
    <font>
      <sz val="9"/>
      <color rgb="FFFF0000"/>
      <name val="Arial"/>
      <family val="2"/>
    </font>
    <font>
      <b/>
      <sz val="11"/>
      <color theme="4"/>
      <name val="Times New Roman"/>
      <family val="1"/>
    </font>
    <font>
      <sz val="11"/>
      <name val="Calibri"/>
      <family val="2"/>
      <scheme val="minor"/>
    </font>
    <font>
      <sz val="11"/>
      <color theme="1"/>
      <name val="Segoe Script"/>
      <family val="2"/>
    </font>
    <font>
      <b/>
      <sz val="10"/>
      <color theme="1"/>
      <name val="Arial"/>
      <family val="2"/>
    </font>
    <font>
      <sz val="9"/>
      <name val="Arial"/>
      <family val="2"/>
    </font>
    <font>
      <sz val="10"/>
      <color theme="1"/>
      <name val="Arial"/>
      <family val="2"/>
    </font>
    <font>
      <b/>
      <sz val="11"/>
      <color rgb="FFFF0000"/>
      <name val="Calibri"/>
      <family val="2"/>
      <scheme val="minor"/>
    </font>
    <font>
      <sz val="11"/>
      <color rgb="FF7030A0"/>
      <name val="Times New Roman"/>
      <family val="1"/>
    </font>
    <font>
      <b/>
      <u val="singleAccounting"/>
      <sz val="12"/>
      <name val="Times New Roman"/>
      <family val="1"/>
    </font>
    <font>
      <b/>
      <u val="singleAccounting"/>
      <sz val="10"/>
      <name val="Times New Roman"/>
      <family val="1"/>
    </font>
    <font>
      <u val="singleAccounting"/>
      <sz val="10"/>
      <name val="Times New Roman"/>
      <family val="1"/>
    </font>
    <font>
      <u val="doubleAccounting"/>
      <sz val="10"/>
      <name val="Times New Roman"/>
      <family val="1"/>
    </font>
    <font>
      <b/>
      <u val="doubleAccounting"/>
      <sz val="10"/>
      <name val="Times New Roman"/>
      <family val="1"/>
    </font>
    <font>
      <sz val="10"/>
      <color theme="0"/>
      <name val="Times New Roman"/>
      <family val="1"/>
    </font>
    <font>
      <sz val="10"/>
      <color rgb="FFFF0000"/>
      <name val="Times New Roman"/>
      <family val="1"/>
    </font>
    <font>
      <sz val="10"/>
      <color rgb="FF008000"/>
      <name val="Arial"/>
      <family val="2"/>
    </font>
    <font>
      <i/>
      <sz val="10"/>
      <color rgb="FF800000"/>
      <name val="Arial"/>
      <family val="2"/>
    </font>
    <font>
      <sz val="10"/>
      <color rgb="FF375623"/>
      <name val="Arial"/>
      <family val="2"/>
    </font>
    <font>
      <i/>
      <sz val="10"/>
      <color rgb="FF375623"/>
      <name val="Arial"/>
      <family val="2"/>
    </font>
    <font>
      <i/>
      <sz val="10"/>
      <color rgb="FF0000FF"/>
      <name val="Arial"/>
      <family val="2"/>
    </font>
    <font>
      <i/>
      <sz val="10"/>
      <color rgb="FF008000"/>
      <name val="Arial"/>
      <family val="2"/>
    </font>
    <font>
      <i/>
      <sz val="10"/>
      <color theme="1"/>
      <name val="Arial"/>
      <family val="2"/>
    </font>
    <font>
      <b/>
      <sz val="11"/>
      <color theme="0"/>
      <name val="Calibri"/>
      <family val="2"/>
      <scheme val="minor"/>
    </font>
    <font>
      <b/>
      <sz val="11"/>
      <color rgb="FF0070C0"/>
      <name val="Calibri"/>
      <family val="2"/>
    </font>
    <font>
      <sz val="11"/>
      <color rgb="FF000000"/>
      <name val="Calibri"/>
      <family val="2"/>
    </font>
    <font>
      <b/>
      <sz val="11"/>
      <color rgb="FF000000"/>
      <name val="Calibri"/>
      <family val="2"/>
    </font>
    <font>
      <sz val="11"/>
      <color theme="1"/>
      <name val="Arial"/>
      <family val="2"/>
    </font>
    <font>
      <b/>
      <sz val="11"/>
      <color rgb="FFFFFFFF"/>
      <name val="Calibri"/>
      <family val="2"/>
    </font>
    <font>
      <sz val="8"/>
      <color rgb="FF000000"/>
      <name val="Calibri"/>
      <family val="2"/>
    </font>
    <font>
      <sz val="8"/>
      <color theme="1"/>
      <name val="Calibri"/>
      <family val="2"/>
      <scheme val="minor"/>
    </font>
    <font>
      <b/>
      <sz val="11"/>
      <name val="Arial"/>
      <family val="2"/>
    </font>
    <font>
      <sz val="12"/>
      <color theme="1"/>
      <name val="Arial"/>
      <family val="2"/>
    </font>
    <font>
      <sz val="11"/>
      <color rgb="FFFF0000"/>
      <name val="Arial"/>
      <family val="2"/>
    </font>
    <font>
      <u/>
      <sz val="11"/>
      <color theme="1"/>
      <name val="Calibri"/>
      <family val="2"/>
      <scheme val="minor"/>
    </font>
    <font>
      <b/>
      <sz val="11"/>
      <color theme="1"/>
      <name val="Arial"/>
      <family val="2"/>
    </font>
    <font>
      <sz val="10"/>
      <name val="Calibri"/>
      <family val="2"/>
      <scheme val="minor"/>
    </font>
    <font>
      <sz val="11"/>
      <color rgb="FF000000"/>
      <name val="Arial"/>
      <family val="2"/>
    </font>
    <font>
      <b/>
      <sz val="10"/>
      <color rgb="FFFF0000"/>
      <name val="Arial"/>
      <family val="2"/>
    </font>
    <font>
      <i/>
      <sz val="10"/>
      <color rgb="FFFF0000"/>
      <name val="Arial"/>
      <family val="2"/>
    </font>
    <font>
      <sz val="10"/>
      <color indexed="8"/>
      <name val="Arial"/>
      <family val="2"/>
    </font>
    <font>
      <b/>
      <sz val="10"/>
      <color indexed="8"/>
      <name val="Arial"/>
      <family val="2"/>
    </font>
    <font>
      <i/>
      <sz val="10"/>
      <color indexed="8"/>
      <name val="Arial"/>
      <family val="2"/>
    </font>
    <font>
      <b/>
      <i/>
      <sz val="10"/>
      <color rgb="FFFF0000"/>
      <name val="Arial"/>
      <family val="2"/>
    </font>
    <font>
      <sz val="11"/>
      <color theme="1"/>
      <name val="Symbol"/>
      <family val="1"/>
      <charset val="2"/>
    </font>
    <font>
      <u/>
      <sz val="11"/>
      <color theme="10"/>
      <name val="Calibri"/>
      <family val="2"/>
      <scheme val="minor"/>
    </font>
    <font>
      <b/>
      <sz val="10"/>
      <color theme="1"/>
      <name val="Times New Roman"/>
      <family val="1"/>
    </font>
    <font>
      <u/>
      <sz val="11"/>
      <color theme="10"/>
      <name val="Times New Roman"/>
      <family val="1"/>
    </font>
    <font>
      <sz val="9"/>
      <color rgb="FF000000"/>
      <name val="Arial"/>
      <family val="2"/>
    </font>
    <font>
      <b/>
      <sz val="9"/>
      <name val="Arial"/>
      <family val="2"/>
    </font>
    <font>
      <b/>
      <sz val="11"/>
      <color theme="1"/>
      <name val="Symbol"/>
      <family val="1"/>
      <charset val="2"/>
    </font>
    <font>
      <b/>
      <sz val="10"/>
      <name val="Calibri"/>
      <family val="2"/>
      <scheme val="minor"/>
    </font>
    <font>
      <sz val="10"/>
      <color rgb="FF000000"/>
      <name val="Calibri"/>
      <family val="2"/>
      <scheme val="minor"/>
    </font>
    <font>
      <b/>
      <sz val="10"/>
      <color rgb="FF000000"/>
      <name val="Calibri"/>
      <family val="2"/>
      <scheme val="minor"/>
    </font>
    <font>
      <sz val="10"/>
      <color rgb="FFFF0000"/>
      <name val="Calibri"/>
      <family val="2"/>
    </font>
    <font>
      <b/>
      <sz val="10"/>
      <color rgb="FFFF0000"/>
      <name val="Calibri"/>
      <family val="2"/>
      <scheme val="minor"/>
    </font>
    <font>
      <sz val="11"/>
      <color rgb="FFFF0000"/>
      <name val="Calibri"/>
      <family val="2"/>
    </font>
    <font>
      <sz val="11"/>
      <color rgb="FF000000"/>
      <name val="Calibri"/>
      <family val="2"/>
      <scheme val="minor"/>
    </font>
    <font>
      <b/>
      <sz val="11"/>
      <color rgb="FF000000"/>
      <name val="Calibri"/>
      <family val="2"/>
      <scheme val="minor"/>
    </font>
    <font>
      <b/>
      <sz val="11"/>
      <color rgb="FF000000"/>
      <name val="Symbol"/>
      <family val="1"/>
      <charset val="2"/>
    </font>
    <font>
      <sz val="11"/>
      <color rgb="FF333333"/>
      <name val="Calibri"/>
      <family val="2"/>
      <scheme val="minor"/>
    </font>
    <font>
      <sz val="12"/>
      <color rgb="FFFF0000"/>
      <name val="Times New Roman"/>
      <family val="1"/>
    </font>
    <font>
      <sz val="11"/>
      <color indexed="8"/>
      <name val="Times New Roman"/>
      <family val="1"/>
    </font>
    <font>
      <sz val="10"/>
      <color rgb="FF000000"/>
      <name val="Liberation Sans"/>
      <family val="2"/>
    </font>
    <font>
      <sz val="11"/>
      <name val="Calibri"/>
      <family val="2"/>
    </font>
  </fonts>
  <fills count="35">
    <fill>
      <patternFill patternType="none"/>
    </fill>
    <fill>
      <patternFill patternType="gray125"/>
    </fill>
    <fill>
      <patternFill patternType="solid">
        <fgColor rgb="FFFFFF00"/>
        <bgColor indexed="64"/>
      </patternFill>
    </fill>
    <fill>
      <patternFill patternType="solid">
        <fgColor rgb="FF92D050"/>
        <bgColor indexed="64"/>
      </patternFill>
    </fill>
    <fill>
      <patternFill patternType="solid">
        <fgColor rgb="FFFFC000"/>
        <bgColor indexed="64"/>
      </patternFill>
    </fill>
    <fill>
      <patternFill patternType="solid">
        <fgColor rgb="FF00B0F0"/>
        <bgColor indexed="64"/>
      </patternFill>
    </fill>
    <fill>
      <patternFill patternType="solid">
        <fgColor rgb="FFCC66FF"/>
        <bgColor indexed="64"/>
      </patternFill>
    </fill>
    <fill>
      <patternFill patternType="solid">
        <fgColor rgb="FFFFAB57"/>
        <bgColor indexed="64"/>
      </patternFill>
    </fill>
    <fill>
      <patternFill patternType="solid">
        <fgColor rgb="FFF56176"/>
        <bgColor indexed="64"/>
      </patternFill>
    </fill>
    <fill>
      <patternFill patternType="solid">
        <fgColor theme="0" tint="-0.249977111117893"/>
        <bgColor indexed="64"/>
      </patternFill>
    </fill>
    <fill>
      <patternFill patternType="solid">
        <fgColor rgb="FFFFFFFF"/>
        <bgColor rgb="FFFFFFFF"/>
      </patternFill>
    </fill>
    <fill>
      <patternFill patternType="solid">
        <fgColor rgb="FF99CCFF"/>
        <bgColor rgb="FFFFFFFF"/>
      </patternFill>
    </fill>
    <fill>
      <patternFill patternType="solid">
        <fgColor theme="4" tint="0.79998168889431442"/>
        <bgColor theme="4" tint="0.79998168889431442"/>
      </patternFill>
    </fill>
    <fill>
      <patternFill patternType="solid">
        <fgColor theme="0" tint="-0.249977111117893"/>
        <bgColor rgb="FFFFFFFF"/>
      </patternFill>
    </fill>
    <fill>
      <patternFill patternType="solid">
        <fgColor theme="0"/>
        <bgColor indexed="64"/>
      </patternFill>
    </fill>
    <fill>
      <patternFill patternType="solid">
        <fgColor theme="4" tint="0.79998168889431442"/>
        <bgColor indexed="64"/>
      </patternFill>
    </fill>
    <fill>
      <patternFill patternType="solid">
        <fgColor theme="2" tint="-9.9978637043366805E-2"/>
        <bgColor rgb="FFFFFFFF"/>
      </patternFill>
    </fill>
    <fill>
      <patternFill patternType="solid">
        <fgColor rgb="FFF8FBFC"/>
        <bgColor rgb="FFFFFFFF"/>
      </patternFill>
    </fill>
    <fill>
      <patternFill patternType="solid">
        <fgColor theme="9" tint="0.59999389629810485"/>
        <bgColor indexed="64"/>
      </patternFill>
    </fill>
    <fill>
      <patternFill patternType="solid">
        <fgColor rgb="FF7030A0"/>
        <bgColor indexed="64"/>
      </patternFill>
    </fill>
    <fill>
      <patternFill patternType="solid">
        <fgColor rgb="FFCCFFFF"/>
        <bgColor indexed="64"/>
      </patternFill>
    </fill>
    <fill>
      <patternFill patternType="solid">
        <fgColor rgb="FF002060"/>
        <bgColor indexed="64"/>
      </patternFill>
    </fill>
    <fill>
      <patternFill patternType="solid">
        <fgColor theme="5" tint="0.79998168889431442"/>
        <bgColor indexed="64"/>
      </patternFill>
    </fill>
    <fill>
      <patternFill patternType="solid">
        <fgColor theme="6" tint="0.79998168889431442"/>
        <bgColor indexed="64"/>
      </patternFill>
    </fill>
    <fill>
      <patternFill patternType="solid">
        <fgColor theme="4" tint="0.59999389629810485"/>
        <bgColor rgb="FF000000"/>
      </patternFill>
    </fill>
    <fill>
      <patternFill patternType="solid">
        <fgColor theme="4"/>
        <bgColor rgb="FF000000"/>
      </patternFill>
    </fill>
    <fill>
      <patternFill patternType="solid">
        <fgColor theme="5" tint="0.79998168889431442"/>
        <bgColor rgb="FF000000"/>
      </patternFill>
    </fill>
    <fill>
      <patternFill patternType="solid">
        <fgColor theme="4" tint="-0.249977111117893"/>
        <bgColor indexed="64"/>
      </patternFill>
    </fill>
    <fill>
      <patternFill patternType="solid">
        <fgColor theme="7" tint="0.59999389629810485"/>
        <bgColor indexed="64"/>
      </patternFill>
    </fill>
    <fill>
      <patternFill patternType="solid">
        <fgColor theme="7" tint="0.79998168889431442"/>
        <bgColor indexed="64"/>
      </patternFill>
    </fill>
    <fill>
      <patternFill patternType="solid">
        <fgColor theme="6"/>
        <bgColor indexed="64"/>
      </patternFill>
    </fill>
    <fill>
      <patternFill patternType="solid">
        <fgColor rgb="FFFFFFCC"/>
        <bgColor indexed="64"/>
      </patternFill>
    </fill>
    <fill>
      <patternFill patternType="solid">
        <fgColor theme="0" tint="-4.9989318521683403E-2"/>
        <bgColor indexed="64"/>
      </patternFill>
    </fill>
    <fill>
      <patternFill patternType="solid">
        <fgColor rgb="FFFFFFCC"/>
        <bgColor rgb="FFFFFFFF"/>
      </patternFill>
    </fill>
    <fill>
      <patternFill patternType="solid">
        <fgColor rgb="FF00FF00"/>
        <bgColor indexed="64"/>
      </patternFill>
    </fill>
  </fills>
  <borders count="49">
    <border>
      <left/>
      <right/>
      <top/>
      <bottom/>
      <diagonal/>
    </border>
    <border>
      <left/>
      <right/>
      <top/>
      <bottom style="double">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top style="medium">
        <color indexed="64"/>
      </top>
      <bottom/>
      <diagonal/>
    </border>
    <border>
      <left/>
      <right/>
      <top/>
      <bottom style="medium">
        <color indexed="64"/>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top/>
      <bottom style="thin">
        <color auto="1"/>
      </bottom>
      <diagonal/>
    </border>
    <border>
      <left/>
      <right/>
      <top style="double">
        <color auto="1"/>
      </top>
      <bottom style="double">
        <color auto="1"/>
      </bottom>
      <diagonal/>
    </border>
    <border>
      <left/>
      <right/>
      <top style="thin">
        <color indexed="64"/>
      </top>
      <bottom/>
      <diagonal/>
    </border>
    <border>
      <left/>
      <right style="medium">
        <color indexed="64"/>
      </right>
      <top/>
      <bottom style="thin">
        <color indexed="64"/>
      </bottom>
      <diagonal/>
    </border>
    <border>
      <left style="medium">
        <color indexed="64"/>
      </left>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top style="thin">
        <color indexed="64"/>
      </top>
      <bottom style="double">
        <color indexed="64"/>
      </bottom>
      <diagonal/>
    </border>
    <border>
      <left/>
      <right/>
      <top/>
      <bottom style="thin">
        <color theme="4" tint="0.39997558519241921"/>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theme="4" tint="0.39997558519241921"/>
      </top>
      <bottom/>
      <diagonal/>
    </border>
    <border>
      <left/>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auto="1"/>
      </left>
      <right style="thin">
        <color auto="1"/>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auto="1"/>
      </left>
      <right/>
      <top/>
      <bottom/>
      <diagonal/>
    </border>
    <border>
      <left style="thin">
        <color indexed="64"/>
      </left>
      <right/>
      <top/>
      <bottom style="thin">
        <color indexed="64"/>
      </bottom>
      <diagonal/>
    </border>
    <border>
      <left style="thin">
        <color indexed="64"/>
      </left>
      <right style="thin">
        <color indexed="64"/>
      </right>
      <top/>
      <bottom style="double">
        <color indexed="64"/>
      </bottom>
      <diagonal/>
    </border>
    <border>
      <left style="thin">
        <color indexed="64"/>
      </left>
      <right/>
      <top/>
      <bottom style="double">
        <color indexed="64"/>
      </bottom>
      <diagonal/>
    </border>
    <border>
      <left style="thin">
        <color rgb="FF000000"/>
      </left>
      <right style="thin">
        <color rgb="FF000000"/>
      </right>
      <top style="thin">
        <color rgb="FF000000"/>
      </top>
      <bottom/>
      <diagonal/>
    </border>
    <border>
      <left/>
      <right style="thin">
        <color indexed="64"/>
      </right>
      <top/>
      <bottom style="thin">
        <color indexed="64"/>
      </bottom>
      <diagonal/>
    </border>
    <border>
      <left/>
      <right style="thin">
        <color indexed="64"/>
      </right>
      <top/>
      <bottom/>
      <diagonal/>
    </border>
    <border>
      <left/>
      <right style="thin">
        <color indexed="64"/>
      </right>
      <top style="thin">
        <color indexed="64"/>
      </top>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thin">
        <color rgb="FFCCCCCC"/>
      </left>
      <right style="thin">
        <color rgb="FFCCCCCC"/>
      </right>
      <top style="thin">
        <color rgb="FFCCCCCC"/>
      </top>
      <bottom style="thin">
        <color rgb="FFCCCCCC"/>
      </bottom>
      <diagonal/>
    </border>
  </borders>
  <cellStyleXfs count="44">
    <xf numFmtId="0" fontId="0" fillId="0" borderId="0"/>
    <xf numFmtId="164" fontId="5" fillId="0" borderId="0" applyFont="0" applyFill="0" applyBorder="0" applyAlignment="0" applyProtection="0"/>
    <xf numFmtId="9" fontId="5" fillId="0" borderId="0" applyFont="0" applyFill="0" applyBorder="0" applyAlignment="0" applyProtection="0"/>
    <xf numFmtId="164" fontId="5" fillId="0" borderId="0" applyFont="0" applyFill="0" applyBorder="0" applyAlignment="0" applyProtection="0"/>
    <xf numFmtId="171" fontId="13" fillId="0" borderId="0" applyFont="0" applyFill="0" applyBorder="0" applyAlignment="0" applyProtection="0"/>
    <xf numFmtId="0" fontId="13" fillId="0" borderId="0"/>
    <xf numFmtId="171" fontId="5" fillId="0" borderId="0" applyFont="0" applyFill="0" applyBorder="0" applyAlignment="0" applyProtection="0"/>
    <xf numFmtId="0" fontId="3" fillId="0" borderId="0"/>
    <xf numFmtId="164" fontId="3" fillId="0" borderId="0" applyFont="0" applyFill="0" applyBorder="0" applyAlignment="0" applyProtection="0"/>
    <xf numFmtId="164" fontId="13" fillId="0" borderId="0" applyFont="0" applyFill="0" applyBorder="0" applyAlignment="0" applyProtection="0"/>
    <xf numFmtId="0" fontId="13" fillId="0" borderId="0"/>
    <xf numFmtId="171" fontId="13" fillId="0" borderId="0" applyFont="0" applyFill="0" applyBorder="0" applyAlignment="0" applyProtection="0"/>
    <xf numFmtId="0" fontId="24" fillId="0" borderId="0"/>
    <xf numFmtId="39" fontId="13" fillId="0" borderId="0">
      <alignment horizontal="right"/>
    </xf>
    <xf numFmtId="164" fontId="13" fillId="0" borderId="0" applyFont="0" applyFill="0" applyBorder="0" applyAlignment="0" applyProtection="0"/>
    <xf numFmtId="9" fontId="13" fillId="0" borderId="0" applyFont="0" applyFill="0" applyBorder="0" applyAlignment="0" applyProtection="0"/>
    <xf numFmtId="181" fontId="22" fillId="0" borderId="0"/>
    <xf numFmtId="171" fontId="22" fillId="0" borderId="0" applyFont="0" applyFill="0" applyBorder="0" applyAlignment="0" applyProtection="0"/>
    <xf numFmtId="0" fontId="13" fillId="0" borderId="0"/>
    <xf numFmtId="164" fontId="22" fillId="0" borderId="0" applyFont="0" applyFill="0" applyBorder="0" applyAlignment="0" applyProtection="0"/>
    <xf numFmtId="0" fontId="19" fillId="0" borderId="0"/>
    <xf numFmtId="0" fontId="5" fillId="0" borderId="0"/>
    <xf numFmtId="9" fontId="5" fillId="0" borderId="0" applyFont="0" applyFill="0" applyBorder="0" applyAlignment="0" applyProtection="0"/>
    <xf numFmtId="164" fontId="76" fillId="0" borderId="0" applyFont="0" applyFill="0" applyBorder="0" applyAlignment="0" applyProtection="0"/>
    <xf numFmtId="9" fontId="76" fillId="0" borderId="0" applyFont="0" applyFill="0" applyBorder="0" applyAlignment="0" applyProtection="0"/>
    <xf numFmtId="0" fontId="13" fillId="0" borderId="0"/>
    <xf numFmtId="0" fontId="22" fillId="0" borderId="0"/>
    <xf numFmtId="0" fontId="17" fillId="0" borderId="0"/>
    <xf numFmtId="164" fontId="17" fillId="0" borderId="0" applyFont="0" applyFill="0" applyBorder="0" applyAlignment="0" applyProtection="0"/>
    <xf numFmtId="164" fontId="5" fillId="0" borderId="0" applyFont="0" applyFill="0" applyBorder="0" applyAlignment="0" applyProtection="0"/>
    <xf numFmtId="0" fontId="89" fillId="0" borderId="0" applyNumberFormat="0" applyFill="0" applyBorder="0" applyAlignment="0" applyProtection="0"/>
    <xf numFmtId="9" fontId="17" fillId="0" borderId="0" applyFont="0" applyFill="0" applyBorder="0" applyAlignment="0" applyProtection="0"/>
    <xf numFmtId="164" fontId="5" fillId="0" borderId="0" applyFont="0" applyFill="0" applyBorder="0" applyAlignment="0" applyProtection="0"/>
    <xf numFmtId="0" fontId="5" fillId="0" borderId="0"/>
    <xf numFmtId="9" fontId="5" fillId="0" borderId="0" applyFont="0" applyFill="0" applyBorder="0" applyAlignment="0" applyProtection="0"/>
    <xf numFmtId="171" fontId="5" fillId="0" borderId="0" applyFont="0" applyFill="0" applyBorder="0" applyAlignment="0" applyProtection="0"/>
    <xf numFmtId="9" fontId="5" fillId="0" borderId="0" applyFont="0" applyFill="0" applyBorder="0" applyAlignment="0" applyProtection="0"/>
    <xf numFmtId="0" fontId="2" fillId="0" borderId="0"/>
    <xf numFmtId="164" fontId="2" fillId="0" borderId="0" applyFont="0" applyFill="0" applyBorder="0" applyAlignment="0" applyProtection="0"/>
    <xf numFmtId="0" fontId="13" fillId="0" borderId="0"/>
    <xf numFmtId="164" fontId="50" fillId="0" borderId="0" applyFont="0" applyFill="0" applyBorder="0" applyAlignment="0" applyProtection="0"/>
    <xf numFmtId="197" fontId="107" fillId="0" borderId="48" applyFill="0" applyProtection="0">
      <alignment horizontal="left" vertical="center" wrapText="1" indent="1"/>
    </xf>
    <xf numFmtId="0" fontId="50" fillId="0" borderId="0"/>
    <xf numFmtId="0" fontId="5" fillId="0" borderId="0"/>
  </cellStyleXfs>
  <cellXfs count="852">
    <xf numFmtId="0" fontId="0" fillId="0" borderId="0" xfId="0"/>
    <xf numFmtId="172" fontId="16" fillId="0" borderId="0" xfId="1" applyNumberFormat="1" applyFont="1"/>
    <xf numFmtId="0" fontId="6" fillId="0" borderId="0" xfId="0" applyFont="1" applyAlignment="1">
      <alignment horizontal="right"/>
    </xf>
    <xf numFmtId="165" fontId="0" fillId="0" borderId="0" xfId="0" applyNumberFormat="1"/>
    <xf numFmtId="165" fontId="0" fillId="0" borderId="1" xfId="0" applyNumberFormat="1" applyBorder="1"/>
    <xf numFmtId="0" fontId="0" fillId="0" borderId="0" xfId="0" applyAlignment="1">
      <alignment horizontal="right"/>
    </xf>
    <xf numFmtId="0" fontId="0" fillId="0" borderId="0" xfId="0" quotePrefix="1"/>
    <xf numFmtId="0" fontId="6" fillId="0" borderId="0" xfId="0" applyFont="1"/>
    <xf numFmtId="0" fontId="7" fillId="0" borderId="0" xfId="0" applyFont="1" applyAlignment="1">
      <alignment horizontal="center"/>
    </xf>
    <xf numFmtId="167" fontId="0" fillId="0" borderId="0" xfId="0" applyNumberFormat="1"/>
    <xf numFmtId="0" fontId="8" fillId="0" borderId="0" xfId="0" applyFont="1"/>
    <xf numFmtId="0" fontId="10" fillId="0" borderId="0" xfId="0" applyFont="1" applyAlignment="1">
      <alignment horizontal="center"/>
    </xf>
    <xf numFmtId="0" fontId="8" fillId="0" borderId="0" xfId="0" applyFont="1" applyAlignment="1">
      <alignment horizontal="center"/>
    </xf>
    <xf numFmtId="0" fontId="11" fillId="0" borderId="0" xfId="0" applyFont="1" applyAlignment="1">
      <alignment horizontal="left"/>
    </xf>
    <xf numFmtId="0" fontId="11" fillId="0" borderId="0" xfId="0" applyFont="1" applyAlignment="1">
      <alignment horizontal="center"/>
    </xf>
    <xf numFmtId="170" fontId="8" fillId="0" borderId="0" xfId="0" applyNumberFormat="1" applyFont="1"/>
    <xf numFmtId="17" fontId="8" fillId="0" borderId="0" xfId="0" applyNumberFormat="1" applyFont="1" applyAlignment="1">
      <alignment horizontal="left"/>
    </xf>
    <xf numFmtId="10" fontId="8" fillId="0" borderId="0" xfId="0" applyNumberFormat="1" applyFont="1"/>
    <xf numFmtId="173" fontId="8" fillId="0" borderId="0" xfId="0" applyNumberFormat="1" applyFont="1"/>
    <xf numFmtId="0" fontId="9" fillId="0" borderId="0" xfId="0" applyFont="1"/>
    <xf numFmtId="0" fontId="8" fillId="0" borderId="0" xfId="0" quotePrefix="1" applyFont="1" applyAlignment="1">
      <alignment horizontal="center"/>
    </xf>
    <xf numFmtId="10" fontId="0" fillId="0" borderId="0" xfId="0" applyNumberFormat="1"/>
    <xf numFmtId="0" fontId="14" fillId="0" borderId="0" xfId="0" applyFont="1"/>
    <xf numFmtId="0" fontId="7" fillId="0" borderId="0" xfId="0" applyFont="1"/>
    <xf numFmtId="0" fontId="15" fillId="0" borderId="0" xfId="0" applyFont="1"/>
    <xf numFmtId="164" fontId="0" fillId="0" borderId="0" xfId="0" applyNumberFormat="1"/>
    <xf numFmtId="0" fontId="16" fillId="0" borderId="0" xfId="0" applyFont="1"/>
    <xf numFmtId="165" fontId="16" fillId="0" borderId="0" xfId="0" applyNumberFormat="1" applyFont="1"/>
    <xf numFmtId="165" fontId="6" fillId="0" borderId="0" xfId="0" applyNumberFormat="1" applyFont="1"/>
    <xf numFmtId="0" fontId="18" fillId="0" borderId="0" xfId="0" applyFont="1"/>
    <xf numFmtId="0" fontId="16" fillId="0" borderId="0" xfId="0" applyFont="1" applyAlignment="1">
      <alignment horizontal="right"/>
    </xf>
    <xf numFmtId="4" fontId="0" fillId="0" borderId="0" xfId="0" applyNumberFormat="1"/>
    <xf numFmtId="172" fontId="0" fillId="0" borderId="0" xfId="0" applyNumberFormat="1"/>
    <xf numFmtId="0" fontId="19" fillId="0" borderId="0" xfId="0" applyFont="1"/>
    <xf numFmtId="0" fontId="23" fillId="0" borderId="0" xfId="0" applyFont="1"/>
    <xf numFmtId="0" fontId="19" fillId="0" borderId="0" xfId="0" applyFont="1" applyAlignment="1">
      <alignment horizontal="center"/>
    </xf>
    <xf numFmtId="0" fontId="16" fillId="0" borderId="0" xfId="0" applyFont="1" applyAlignment="1">
      <alignment horizontal="center"/>
    </xf>
    <xf numFmtId="10" fontId="16" fillId="0" borderId="0" xfId="0" applyNumberFormat="1" applyFont="1"/>
    <xf numFmtId="165" fontId="16" fillId="0" borderId="0" xfId="0" applyNumberFormat="1" applyFont="1" applyAlignment="1">
      <alignment horizontal="center"/>
    </xf>
    <xf numFmtId="0" fontId="20" fillId="0" borderId="0" xfId="0" applyFont="1"/>
    <xf numFmtId="0" fontId="0" fillId="0" borderId="0" xfId="0" applyAlignment="1">
      <alignment horizontal="left"/>
    </xf>
    <xf numFmtId="0" fontId="20" fillId="0" borderId="0" xfId="0" applyFont="1" applyAlignment="1">
      <alignment horizontal="right"/>
    </xf>
    <xf numFmtId="172" fontId="19" fillId="0" borderId="0" xfId="0" applyNumberFormat="1" applyFont="1"/>
    <xf numFmtId="10" fontId="19" fillId="0" borderId="0" xfId="0" applyNumberFormat="1" applyFont="1"/>
    <xf numFmtId="165" fontId="25" fillId="0" borderId="0" xfId="0" applyNumberFormat="1" applyFont="1"/>
    <xf numFmtId="165" fontId="26" fillId="0" borderId="0" xfId="0" applyNumberFormat="1" applyFont="1"/>
    <xf numFmtId="0" fontId="5" fillId="0" borderId="0" xfId="0" applyFont="1"/>
    <xf numFmtId="165" fontId="25" fillId="0" borderId="0" xfId="0" applyNumberFormat="1" applyFont="1" applyAlignment="1">
      <alignment wrapText="1"/>
    </xf>
    <xf numFmtId="165" fontId="26" fillId="0" borderId="0" xfId="0" applyNumberFormat="1" applyFont="1" applyAlignment="1">
      <alignment wrapText="1"/>
    </xf>
    <xf numFmtId="4" fontId="5" fillId="0" borderId="0" xfId="0" applyNumberFormat="1" applyFont="1"/>
    <xf numFmtId="0" fontId="29" fillId="10" borderId="0" xfId="0" applyFont="1" applyFill="1" applyAlignment="1">
      <alignment horizontal="left"/>
    </xf>
    <xf numFmtId="0" fontId="29" fillId="10" borderId="0" xfId="0" applyFont="1" applyFill="1" applyAlignment="1">
      <alignment horizontal="left" vertical="center"/>
    </xf>
    <xf numFmtId="49" fontId="28" fillId="11" borderId="10" xfId="0" applyNumberFormat="1" applyFont="1" applyFill="1" applyBorder="1" applyAlignment="1">
      <alignment vertical="center"/>
    </xf>
    <xf numFmtId="49" fontId="28" fillId="11" borderId="11" xfId="0" applyNumberFormat="1" applyFont="1" applyFill="1" applyBorder="1" applyAlignment="1">
      <alignment vertical="center"/>
    </xf>
    <xf numFmtId="49" fontId="28" fillId="11" borderId="12" xfId="0" applyNumberFormat="1" applyFont="1" applyFill="1" applyBorder="1" applyAlignment="1">
      <alignment vertical="center"/>
    </xf>
    <xf numFmtId="164" fontId="29" fillId="10" borderId="0" xfId="0" applyNumberFormat="1" applyFont="1" applyFill="1" applyAlignment="1">
      <alignment horizontal="left"/>
    </xf>
    <xf numFmtId="167" fontId="29" fillId="10" borderId="0" xfId="0" applyNumberFormat="1" applyFont="1" applyFill="1" applyAlignment="1">
      <alignment horizontal="left"/>
    </xf>
    <xf numFmtId="167" fontId="29" fillId="10" borderId="0" xfId="0" applyNumberFormat="1" applyFont="1" applyFill="1"/>
    <xf numFmtId="172" fontId="29" fillId="10" borderId="0" xfId="0" applyNumberFormat="1" applyFont="1" applyFill="1" applyAlignment="1">
      <alignment horizontal="left"/>
    </xf>
    <xf numFmtId="164" fontId="29" fillId="10" borderId="0" xfId="0" applyNumberFormat="1" applyFont="1" applyFill="1" applyAlignment="1">
      <alignment horizontal="left" vertical="center"/>
    </xf>
    <xf numFmtId="167" fontId="29" fillId="10" borderId="0" xfId="0" applyNumberFormat="1" applyFont="1" applyFill="1" applyAlignment="1">
      <alignment horizontal="left" vertical="center"/>
    </xf>
    <xf numFmtId="167" fontId="29" fillId="10" borderId="0" xfId="0" applyNumberFormat="1" applyFont="1" applyFill="1" applyAlignment="1">
      <alignment vertical="center"/>
    </xf>
    <xf numFmtId="172" fontId="29" fillId="10" borderId="0" xfId="0" applyNumberFormat="1" applyFont="1" applyFill="1" applyAlignment="1">
      <alignment horizontal="left" vertical="center"/>
    </xf>
    <xf numFmtId="0" fontId="31" fillId="10" borderId="4" xfId="0" applyFont="1" applyFill="1" applyBorder="1" applyAlignment="1">
      <alignment horizontal="left"/>
    </xf>
    <xf numFmtId="0" fontId="32" fillId="0" borderId="0" xfId="0" applyFont="1" applyAlignment="1">
      <alignment horizontal="left"/>
    </xf>
    <xf numFmtId="0" fontId="32" fillId="0" borderId="5" xfId="0" applyFont="1" applyBorder="1" applyAlignment="1">
      <alignment horizontal="right"/>
    </xf>
    <xf numFmtId="0" fontId="29" fillId="10" borderId="4" xfId="0" applyFont="1" applyFill="1" applyBorder="1" applyAlignment="1">
      <alignment horizontal="left"/>
    </xf>
    <xf numFmtId="167" fontId="27" fillId="0" borderId="0" xfId="0" applyNumberFormat="1" applyFont="1"/>
    <xf numFmtId="172" fontId="27" fillId="0" borderId="5" xfId="0" applyNumberFormat="1" applyFont="1" applyBorder="1"/>
    <xf numFmtId="167" fontId="19" fillId="0" borderId="0" xfId="0" applyNumberFormat="1" applyFont="1"/>
    <xf numFmtId="172" fontId="33" fillId="0" borderId="5" xfId="0" applyNumberFormat="1" applyFont="1" applyBorder="1"/>
    <xf numFmtId="0" fontId="29" fillId="10" borderId="6" xfId="0" applyFont="1" applyFill="1" applyBorder="1" applyAlignment="1">
      <alignment horizontal="left"/>
    </xf>
    <xf numFmtId="172" fontId="28" fillId="0" borderId="7" xfId="0" applyNumberFormat="1" applyFont="1" applyBorder="1"/>
    <xf numFmtId="0" fontId="20" fillId="0" borderId="9" xfId="0" applyFont="1" applyBorder="1" applyAlignment="1">
      <alignment horizontal="right"/>
    </xf>
    <xf numFmtId="0" fontId="29" fillId="10" borderId="0" xfId="0" applyFont="1" applyFill="1" applyAlignment="1">
      <alignment horizontal="center"/>
    </xf>
    <xf numFmtId="0" fontId="19" fillId="0" borderId="0" xfId="0" applyFont="1" applyAlignment="1">
      <alignment horizontal="left"/>
    </xf>
    <xf numFmtId="172" fontId="27" fillId="0" borderId="0" xfId="0" applyNumberFormat="1" applyFont="1"/>
    <xf numFmtId="172" fontId="33" fillId="0" borderId="0" xfId="0" applyNumberFormat="1" applyFont="1"/>
    <xf numFmtId="0" fontId="27" fillId="0" borderId="0" xfId="0" applyFont="1"/>
    <xf numFmtId="0" fontId="34" fillId="0" borderId="0" xfId="0" applyFont="1"/>
    <xf numFmtId="0" fontId="35" fillId="0" borderId="0" xfId="0" applyFont="1"/>
    <xf numFmtId="165" fontId="19" fillId="0" borderId="0" xfId="0" applyNumberFormat="1" applyFont="1"/>
    <xf numFmtId="165" fontId="25" fillId="0" borderId="0" xfId="0" applyNumberFormat="1" applyFont="1" applyAlignment="1">
      <alignment horizontal="right"/>
    </xf>
    <xf numFmtId="167" fontId="25" fillId="0" borderId="0" xfId="0" applyNumberFormat="1" applyFont="1"/>
    <xf numFmtId="165" fontId="26" fillId="0" borderId="0" xfId="0" applyNumberFormat="1" applyFont="1" applyAlignment="1">
      <alignment horizontal="right"/>
    </xf>
    <xf numFmtId="0" fontId="6" fillId="0" borderId="0" xfId="0" applyFont="1" applyAlignment="1">
      <alignment horizontal="left"/>
    </xf>
    <xf numFmtId="165" fontId="21" fillId="0" borderId="0" xfId="0" applyNumberFormat="1" applyFont="1"/>
    <xf numFmtId="164" fontId="6" fillId="0" borderId="0" xfId="0" applyNumberFormat="1" applyFont="1"/>
    <xf numFmtId="0" fontId="37" fillId="0" borderId="0" xfId="0" applyFont="1"/>
    <xf numFmtId="164" fontId="38" fillId="0" borderId="0" xfId="0" applyNumberFormat="1" applyFont="1"/>
    <xf numFmtId="165" fontId="38" fillId="0" borderId="0" xfId="0" applyNumberFormat="1" applyFont="1"/>
    <xf numFmtId="0" fontId="16" fillId="0" borderId="0" xfId="0" applyFont="1" applyAlignment="1">
      <alignment horizontal="center" wrapText="1"/>
    </xf>
    <xf numFmtId="164" fontId="16" fillId="0" borderId="0" xfId="0" applyNumberFormat="1" applyFont="1"/>
    <xf numFmtId="0" fontId="16" fillId="0" borderId="0" xfId="0" applyFont="1" applyAlignment="1">
      <alignment horizontal="left"/>
    </xf>
    <xf numFmtId="0" fontId="38" fillId="0" borderId="0" xfId="0" applyFont="1"/>
    <xf numFmtId="0" fontId="38" fillId="0" borderId="0" xfId="0" applyFont="1" applyAlignment="1">
      <alignment horizontal="left"/>
    </xf>
    <xf numFmtId="0" fontId="18" fillId="0" borderId="0" xfId="0" applyFont="1" applyAlignment="1">
      <alignment horizontal="center"/>
    </xf>
    <xf numFmtId="10" fontId="6" fillId="0" borderId="0" xfId="0" applyNumberFormat="1" applyFont="1"/>
    <xf numFmtId="171" fontId="9" fillId="0" borderId="0" xfId="0" applyNumberFormat="1" applyFont="1"/>
    <xf numFmtId="0" fontId="17" fillId="0" borderId="0" xfId="0" applyFont="1"/>
    <xf numFmtId="0" fontId="39" fillId="0" borderId="0" xfId="0" applyFont="1"/>
    <xf numFmtId="165" fontId="0" fillId="0" borderId="14" xfId="0" applyNumberFormat="1" applyBorder="1"/>
    <xf numFmtId="0" fontId="31" fillId="10" borderId="0" xfId="0" applyFont="1" applyFill="1" applyAlignment="1">
      <alignment horizontal="center"/>
    </xf>
    <xf numFmtId="0" fontId="29" fillId="10" borderId="9" xfId="0" applyFont="1" applyFill="1" applyBorder="1" applyAlignment="1">
      <alignment horizontal="center"/>
    </xf>
    <xf numFmtId="0" fontId="16" fillId="0" borderId="4" xfId="0" applyFont="1" applyBorder="1"/>
    <xf numFmtId="0" fontId="16" fillId="0" borderId="9" xfId="0" applyFont="1" applyBorder="1" applyAlignment="1">
      <alignment horizontal="right"/>
    </xf>
    <xf numFmtId="0" fontId="16" fillId="0" borderId="6" xfId="0" applyFont="1" applyBorder="1"/>
    <xf numFmtId="0" fontId="0" fillId="0" borderId="0" xfId="0" applyAlignment="1">
      <alignment horizontal="center"/>
    </xf>
    <xf numFmtId="0" fontId="0" fillId="0" borderId="0" xfId="0" applyAlignment="1">
      <alignment horizontal="center" vertical="center" wrapText="1"/>
    </xf>
    <xf numFmtId="0" fontId="6" fillId="0" borderId="0" xfId="0" applyFont="1" applyAlignment="1">
      <alignment horizontal="center"/>
    </xf>
    <xf numFmtId="0" fontId="8" fillId="0" borderId="0" xfId="0" applyFont="1" applyAlignment="1">
      <alignment wrapText="1"/>
    </xf>
    <xf numFmtId="165" fontId="16" fillId="0" borderId="1" xfId="0" applyNumberFormat="1" applyFont="1" applyBorder="1"/>
    <xf numFmtId="0" fontId="16" fillId="0" borderId="0" xfId="0" quotePrefix="1" applyFont="1"/>
    <xf numFmtId="172" fontId="16" fillId="0" borderId="0" xfId="0" applyNumberFormat="1" applyFont="1"/>
    <xf numFmtId="164" fontId="16" fillId="0" borderId="0" xfId="0" quotePrefix="1" applyNumberFormat="1" applyFont="1"/>
    <xf numFmtId="164" fontId="16" fillId="0" borderId="0" xfId="0" applyNumberFormat="1" applyFont="1" applyAlignment="1">
      <alignment horizontal="center"/>
    </xf>
    <xf numFmtId="0" fontId="16" fillId="0" borderId="0" xfId="0" quotePrefix="1" applyFont="1" applyAlignment="1">
      <alignment horizontal="center"/>
    </xf>
    <xf numFmtId="167" fontId="16" fillId="0" borderId="0" xfId="0" applyNumberFormat="1" applyFont="1"/>
    <xf numFmtId="165" fontId="16" fillId="0" borderId="0" xfId="0" applyNumberFormat="1" applyFont="1" applyAlignment="1">
      <alignment horizontal="right"/>
    </xf>
    <xf numFmtId="0" fontId="16" fillId="0" borderId="0" xfId="0" applyFont="1" applyAlignment="1">
      <alignment horizontal="left" indent="1"/>
    </xf>
    <xf numFmtId="165" fontId="16" fillId="0" borderId="14" xfId="0" applyNumberFormat="1" applyFont="1" applyBorder="1"/>
    <xf numFmtId="0" fontId="16" fillId="0" borderId="14" xfId="0" applyFont="1" applyBorder="1"/>
    <xf numFmtId="172" fontId="6" fillId="0" borderId="0" xfId="0" applyNumberFormat="1" applyFont="1"/>
    <xf numFmtId="0" fontId="16" fillId="0" borderId="0" xfId="0" applyFont="1" applyAlignment="1">
      <alignment horizontal="left" vertical="center"/>
    </xf>
    <xf numFmtId="0" fontId="16" fillId="0" borderId="0" xfId="0" applyFont="1" applyAlignment="1">
      <alignment vertical="center"/>
    </xf>
    <xf numFmtId="0" fontId="4" fillId="0" borderId="0" xfId="0" applyFont="1"/>
    <xf numFmtId="10" fontId="16" fillId="0" borderId="14" xfId="0" applyNumberFormat="1" applyFont="1" applyBorder="1"/>
    <xf numFmtId="0" fontId="41" fillId="10" borderId="0" xfId="0" applyFont="1" applyFill="1"/>
    <xf numFmtId="0" fontId="29" fillId="10" borderId="2" xfId="0" applyFont="1" applyFill="1" applyBorder="1" applyAlignment="1">
      <alignment horizontal="left"/>
    </xf>
    <xf numFmtId="164" fontId="29" fillId="10" borderId="8" xfId="0" applyNumberFormat="1" applyFont="1" applyFill="1" applyBorder="1" applyAlignment="1">
      <alignment horizontal="left"/>
    </xf>
    <xf numFmtId="167" fontId="29" fillId="10" borderId="3" xfId="0" applyNumberFormat="1" applyFont="1" applyFill="1" applyBorder="1" applyAlignment="1">
      <alignment horizontal="left"/>
    </xf>
    <xf numFmtId="167" fontId="29" fillId="10" borderId="5" xfId="0" applyNumberFormat="1" applyFont="1" applyFill="1" applyBorder="1" applyAlignment="1">
      <alignment horizontal="left"/>
    </xf>
    <xf numFmtId="49" fontId="43" fillId="11" borderId="13" xfId="0" applyNumberFormat="1" applyFont="1" applyFill="1" applyBorder="1" applyAlignment="1">
      <alignment horizontal="left" vertical="center" wrapText="1"/>
    </xf>
    <xf numFmtId="49" fontId="42" fillId="10" borderId="13" xfId="0" applyNumberFormat="1" applyFont="1" applyFill="1" applyBorder="1" applyAlignment="1">
      <alignment horizontal="left"/>
    </xf>
    <xf numFmtId="178" fontId="44" fillId="10" borderId="13" xfId="0" applyNumberFormat="1" applyFont="1" applyFill="1" applyBorder="1" applyAlignment="1">
      <alignment horizontal="right"/>
    </xf>
    <xf numFmtId="178" fontId="42" fillId="10" borderId="13" xfId="0" applyNumberFormat="1" applyFont="1" applyFill="1" applyBorder="1" applyAlignment="1">
      <alignment horizontal="right"/>
    </xf>
    <xf numFmtId="0" fontId="41" fillId="10" borderId="13" xfId="0" applyFont="1" applyFill="1" applyBorder="1" applyAlignment="1">
      <alignment horizontal="left"/>
    </xf>
    <xf numFmtId="49" fontId="41" fillId="10" borderId="13" xfId="0" applyNumberFormat="1" applyFont="1" applyFill="1" applyBorder="1" applyAlignment="1">
      <alignment horizontal="left"/>
    </xf>
    <xf numFmtId="167" fontId="45" fillId="10" borderId="0" xfId="0" applyNumberFormat="1" applyFont="1" applyFill="1" applyAlignment="1">
      <alignment horizontal="center"/>
    </xf>
    <xf numFmtId="0" fontId="16" fillId="0" borderId="0" xfId="0" pivotButton="1" applyFont="1"/>
    <xf numFmtId="164" fontId="16" fillId="0" borderId="0" xfId="0" pivotButton="1" applyNumberFormat="1" applyFont="1"/>
    <xf numFmtId="0" fontId="16" fillId="0" borderId="0" xfId="0" pivotButton="1" applyFont="1" applyAlignment="1">
      <alignment horizontal="left"/>
    </xf>
    <xf numFmtId="0" fontId="0" fillId="0" borderId="0" xfId="0" pivotButton="1"/>
    <xf numFmtId="165" fontId="16" fillId="0" borderId="0" xfId="0" pivotButton="1" applyNumberFormat="1" applyFont="1"/>
    <xf numFmtId="0" fontId="25" fillId="0" borderId="0" xfId="0" applyFont="1"/>
    <xf numFmtId="172" fontId="0" fillId="3" borderId="0" xfId="0" applyNumberFormat="1" applyFill="1"/>
    <xf numFmtId="0" fontId="13" fillId="0" borderId="0" xfId="0" applyFont="1" applyAlignment="1">
      <alignment wrapText="1"/>
    </xf>
    <xf numFmtId="4" fontId="13" fillId="0" borderId="0" xfId="0" applyNumberFormat="1" applyFont="1" applyAlignment="1">
      <alignment wrapText="1"/>
    </xf>
    <xf numFmtId="4" fontId="13" fillId="0" borderId="0" xfId="0" applyNumberFormat="1" applyFont="1" applyAlignment="1">
      <alignment horizontal="center" wrapText="1"/>
    </xf>
    <xf numFmtId="165" fontId="16" fillId="0" borderId="0" xfId="0" quotePrefix="1" applyNumberFormat="1" applyFont="1"/>
    <xf numFmtId="177" fontId="8" fillId="0" borderId="0" xfId="0" applyNumberFormat="1" applyFont="1"/>
    <xf numFmtId="0" fontId="36" fillId="0" borderId="0" xfId="0" applyFont="1"/>
    <xf numFmtId="172" fontId="36" fillId="0" borderId="0" xfId="0" applyNumberFormat="1" applyFont="1"/>
    <xf numFmtId="165" fontId="46" fillId="0" borderId="0" xfId="0" applyNumberFormat="1" applyFont="1"/>
    <xf numFmtId="164" fontId="25" fillId="0" borderId="0" xfId="0" applyNumberFormat="1" applyFont="1"/>
    <xf numFmtId="164" fontId="25" fillId="0" borderId="0" xfId="0" applyNumberFormat="1" applyFont="1" applyAlignment="1">
      <alignment wrapText="1"/>
    </xf>
    <xf numFmtId="0" fontId="47" fillId="0" borderId="0" xfId="0" applyFont="1"/>
    <xf numFmtId="0" fontId="47" fillId="0" borderId="0" xfId="0" quotePrefix="1" applyFont="1"/>
    <xf numFmtId="0" fontId="8" fillId="0" borderId="14" xfId="0" applyFont="1" applyBorder="1"/>
    <xf numFmtId="172" fontId="0" fillId="0" borderId="0" xfId="1" applyNumberFormat="1" applyFont="1"/>
    <xf numFmtId="0" fontId="19" fillId="0" borderId="0" xfId="0" applyFont="1" applyAlignment="1">
      <alignment horizontal="left" vertical="top"/>
    </xf>
    <xf numFmtId="0" fontId="7" fillId="0" borderId="0" xfId="0" pivotButton="1" applyFont="1"/>
    <xf numFmtId="0" fontId="48" fillId="12" borderId="23" xfId="0" applyFont="1" applyFill="1" applyBorder="1"/>
    <xf numFmtId="10" fontId="43" fillId="11" borderId="13" xfId="2" applyNumberFormat="1" applyFont="1" applyFill="1" applyBorder="1" applyAlignment="1">
      <alignment horizontal="left" vertical="center" wrapText="1"/>
    </xf>
    <xf numFmtId="178" fontId="49" fillId="10" borderId="13" xfId="0" applyNumberFormat="1" applyFont="1" applyFill="1" applyBorder="1"/>
    <xf numFmtId="49" fontId="49" fillId="10" borderId="13" xfId="0" applyNumberFormat="1" applyFont="1" applyFill="1" applyBorder="1"/>
    <xf numFmtId="39" fontId="44" fillId="10" borderId="13" xfId="0" applyNumberFormat="1" applyFont="1" applyFill="1" applyBorder="1" applyAlignment="1">
      <alignment horizontal="right"/>
    </xf>
    <xf numFmtId="39" fontId="49" fillId="10" borderId="13" xfId="0" applyNumberFormat="1" applyFont="1" applyFill="1" applyBorder="1" applyAlignment="1">
      <alignment horizontal="right"/>
    </xf>
    <xf numFmtId="164" fontId="19" fillId="0" borderId="0" xfId="1" applyFont="1"/>
    <xf numFmtId="12" fontId="16" fillId="0" borderId="0" xfId="0" applyNumberFormat="1" applyFont="1"/>
    <xf numFmtId="0" fontId="0" fillId="0" borderId="0" xfId="0" applyAlignment="1">
      <alignment wrapText="1"/>
    </xf>
    <xf numFmtId="164" fontId="0" fillId="0" borderId="0" xfId="1" applyFont="1"/>
    <xf numFmtId="10" fontId="0" fillId="0" borderId="0" xfId="2" applyNumberFormat="1" applyFont="1"/>
    <xf numFmtId="10" fontId="8" fillId="0" borderId="0" xfId="5" applyNumberFormat="1" applyFont="1"/>
    <xf numFmtId="165" fontId="8" fillId="0" borderId="0" xfId="4" applyNumberFormat="1" applyFont="1" applyFill="1"/>
    <xf numFmtId="164" fontId="0" fillId="4" borderId="0" xfId="0" applyNumberFormat="1" applyFill="1"/>
    <xf numFmtId="174" fontId="0" fillId="0" borderId="0" xfId="1" applyNumberFormat="1" applyFont="1"/>
    <xf numFmtId="10" fontId="8" fillId="0" borderId="0" xfId="2" applyNumberFormat="1" applyFont="1"/>
    <xf numFmtId="0" fontId="48" fillId="0" borderId="0" xfId="0" applyFont="1" applyAlignment="1">
      <alignment horizontal="left"/>
    </xf>
    <xf numFmtId="0" fontId="48" fillId="0" borderId="0" xfId="0" applyFont="1"/>
    <xf numFmtId="0" fontId="48" fillId="0" borderId="23" xfId="0" applyFont="1" applyBorder="1"/>
    <xf numFmtId="165" fontId="46" fillId="0" borderId="14" xfId="0" applyNumberFormat="1" applyFont="1" applyBorder="1"/>
    <xf numFmtId="172" fontId="35" fillId="0" borderId="0" xfId="0" applyNumberFormat="1" applyFont="1"/>
    <xf numFmtId="164" fontId="16" fillId="0" borderId="0" xfId="0" quotePrefix="1" applyNumberFormat="1" applyFont="1" applyAlignment="1">
      <alignment horizontal="center"/>
    </xf>
    <xf numFmtId="0" fontId="18" fillId="0" borderId="0" xfId="0" applyFont="1" applyAlignment="1">
      <alignment horizontal="center" wrapText="1"/>
    </xf>
    <xf numFmtId="15" fontId="16" fillId="0" borderId="0" xfId="0" quotePrefix="1" applyNumberFormat="1" applyFont="1" applyAlignment="1">
      <alignment horizontal="right"/>
    </xf>
    <xf numFmtId="0" fontId="16" fillId="0" borderId="0" xfId="0" quotePrefix="1" applyFont="1" applyAlignment="1">
      <alignment horizontal="right"/>
    </xf>
    <xf numFmtId="172" fontId="0" fillId="2" borderId="0" xfId="0" applyNumberFormat="1" applyFill="1"/>
    <xf numFmtId="0" fontId="16" fillId="0" borderId="0" xfId="0" applyFont="1" applyAlignment="1">
      <alignment horizontal="center" vertical="center"/>
    </xf>
    <xf numFmtId="10" fontId="36" fillId="0" borderId="0" xfId="0" applyNumberFormat="1" applyFont="1"/>
    <xf numFmtId="177" fontId="16" fillId="0" borderId="0" xfId="2" applyNumberFormat="1" applyFont="1" applyFill="1" applyBorder="1"/>
    <xf numFmtId="173" fontId="0" fillId="0" borderId="0" xfId="6" applyNumberFormat="1" applyFont="1"/>
    <xf numFmtId="0" fontId="16" fillId="0" borderId="0" xfId="0" applyFont="1" applyAlignment="1">
      <alignment wrapText="1"/>
    </xf>
    <xf numFmtId="180" fontId="16" fillId="0" borderId="0" xfId="0" quotePrefix="1" applyNumberFormat="1" applyFont="1" applyAlignment="1">
      <alignment horizontal="center"/>
    </xf>
    <xf numFmtId="180" fontId="16" fillId="0" borderId="0" xfId="0" applyNumberFormat="1" applyFont="1" applyAlignment="1">
      <alignment horizontal="center"/>
    </xf>
    <xf numFmtId="37" fontId="16" fillId="0" borderId="0" xfId="0" applyNumberFormat="1" applyFont="1"/>
    <xf numFmtId="172" fontId="16" fillId="0" borderId="25" xfId="0" applyNumberFormat="1" applyFont="1" applyBorder="1"/>
    <xf numFmtId="0" fontId="0" fillId="2" borderId="0" xfId="0" applyFill="1"/>
    <xf numFmtId="172" fontId="0" fillId="2" borderId="0" xfId="1" applyNumberFormat="1" applyFont="1" applyFill="1"/>
    <xf numFmtId="176" fontId="16" fillId="0" borderId="0" xfId="0" quotePrefix="1" applyNumberFormat="1" applyFont="1" applyAlignment="1">
      <alignment horizontal="right"/>
    </xf>
    <xf numFmtId="0" fontId="0" fillId="15" borderId="0" xfId="0" applyFill="1"/>
    <xf numFmtId="0" fontId="6" fillId="15" borderId="0" xfId="0" applyFont="1" applyFill="1"/>
    <xf numFmtId="0" fontId="16" fillId="0" borderId="0" xfId="0" applyFont="1" applyAlignment="1">
      <alignment horizontal="center" vertical="center" wrapText="1"/>
    </xf>
    <xf numFmtId="49" fontId="28" fillId="11" borderId="13" xfId="0" applyNumberFormat="1" applyFont="1" applyFill="1" applyBorder="1" applyAlignment="1">
      <alignment horizontal="left" vertical="center" wrapText="1"/>
    </xf>
    <xf numFmtId="178" fontId="19" fillId="10" borderId="13" xfId="0" applyNumberFormat="1" applyFont="1" applyFill="1" applyBorder="1"/>
    <xf numFmtId="178" fontId="29" fillId="10" borderId="13" xfId="0" applyNumberFormat="1" applyFont="1" applyFill="1" applyBorder="1" applyAlignment="1">
      <alignment horizontal="right"/>
    </xf>
    <xf numFmtId="49" fontId="19" fillId="10" borderId="13" xfId="0" applyNumberFormat="1" applyFont="1" applyFill="1" applyBorder="1"/>
    <xf numFmtId="49" fontId="28" fillId="11" borderId="13" xfId="0" applyNumberFormat="1" applyFont="1" applyFill="1" applyBorder="1" applyAlignment="1">
      <alignment horizontal="center" vertical="center" wrapText="1"/>
    </xf>
    <xf numFmtId="0" fontId="50" fillId="0" borderId="0" xfId="0" applyFont="1"/>
    <xf numFmtId="0" fontId="48" fillId="12" borderId="28" xfId="0" applyFont="1" applyFill="1" applyBorder="1"/>
    <xf numFmtId="164" fontId="48" fillId="12" borderId="28" xfId="0" applyNumberFormat="1" applyFont="1" applyFill="1" applyBorder="1"/>
    <xf numFmtId="164" fontId="16" fillId="0" borderId="0" xfId="0" applyNumberFormat="1" applyFont="1" applyAlignment="1">
      <alignment horizontal="left"/>
    </xf>
    <xf numFmtId="10" fontId="16" fillId="0" borderId="0" xfId="0" applyNumberFormat="1" applyFont="1" applyAlignment="1">
      <alignment horizontal="right"/>
    </xf>
    <xf numFmtId="0" fontId="16" fillId="0" borderId="24" xfId="0" applyFont="1" applyBorder="1"/>
    <xf numFmtId="0" fontId="6" fillId="12" borderId="23" xfId="0" applyFont="1" applyFill="1" applyBorder="1"/>
    <xf numFmtId="0" fontId="6" fillId="12" borderId="28" xfId="0" applyFont="1" applyFill="1" applyBorder="1"/>
    <xf numFmtId="164" fontId="6" fillId="12" borderId="28" xfId="0" applyNumberFormat="1" applyFont="1" applyFill="1" applyBorder="1"/>
    <xf numFmtId="49" fontId="28" fillId="13" borderId="13" xfId="0" applyNumberFormat="1" applyFont="1" applyFill="1" applyBorder="1" applyAlignment="1">
      <alignment horizontal="center" vertical="center" wrapText="1"/>
    </xf>
    <xf numFmtId="49" fontId="29" fillId="10" borderId="13" xfId="0" applyNumberFormat="1" applyFont="1" applyFill="1" applyBorder="1" applyAlignment="1">
      <alignment horizontal="left"/>
    </xf>
    <xf numFmtId="178" fontId="29" fillId="16" borderId="13" xfId="0" applyNumberFormat="1" applyFont="1" applyFill="1" applyBorder="1" applyAlignment="1">
      <alignment horizontal="right"/>
    </xf>
    <xf numFmtId="179" fontId="30" fillId="10" borderId="13" xfId="0" applyNumberFormat="1" applyFont="1" applyFill="1" applyBorder="1" applyAlignment="1">
      <alignment horizontal="right"/>
    </xf>
    <xf numFmtId="164" fontId="0" fillId="0" borderId="14" xfId="1" applyFont="1" applyBorder="1"/>
    <xf numFmtId="49" fontId="43" fillId="11" borderId="13" xfId="0" applyNumberFormat="1" applyFont="1" applyFill="1" applyBorder="1" applyAlignment="1">
      <alignment horizontal="center" vertical="top" wrapText="1"/>
    </xf>
    <xf numFmtId="49" fontId="42" fillId="10" borderId="13" xfId="0" applyNumberFormat="1" applyFont="1" applyFill="1" applyBorder="1" applyAlignment="1">
      <alignment horizontal="left" vertical="center" wrapText="1"/>
    </xf>
    <xf numFmtId="49" fontId="42" fillId="10" borderId="13" xfId="0" applyNumberFormat="1" applyFont="1" applyFill="1" applyBorder="1" applyAlignment="1">
      <alignment horizontal="right" vertical="center" wrapText="1"/>
    </xf>
    <xf numFmtId="178" fontId="42" fillId="10" borderId="13" xfId="0" applyNumberFormat="1" applyFont="1" applyFill="1" applyBorder="1" applyAlignment="1">
      <alignment horizontal="right" vertical="center" wrapText="1"/>
    </xf>
    <xf numFmtId="49" fontId="42" fillId="10" borderId="13" xfId="0" applyNumberFormat="1" applyFont="1" applyFill="1" applyBorder="1" applyAlignment="1">
      <alignment horizontal="left" vertical="center"/>
    </xf>
    <xf numFmtId="49" fontId="42" fillId="10" borderId="13" xfId="0" applyNumberFormat="1" applyFont="1" applyFill="1" applyBorder="1" applyAlignment="1">
      <alignment horizontal="right" vertical="center"/>
    </xf>
    <xf numFmtId="0" fontId="42" fillId="10" borderId="0" xfId="0" applyFont="1" applyFill="1" applyAlignment="1">
      <alignment horizontal="left"/>
    </xf>
    <xf numFmtId="0" fontId="48" fillId="4" borderId="0" xfId="0" applyFont="1" applyFill="1"/>
    <xf numFmtId="0" fontId="0" fillId="4" borderId="0" xfId="0" applyFill="1"/>
    <xf numFmtId="0" fontId="48" fillId="2" borderId="0" xfId="0" applyFont="1" applyFill="1"/>
    <xf numFmtId="164" fontId="0" fillId="2" borderId="0" xfId="0" applyNumberFormat="1" applyFill="1"/>
    <xf numFmtId="164" fontId="43" fillId="11" borderId="13" xfId="1" applyFont="1" applyFill="1" applyBorder="1" applyAlignment="1">
      <alignment horizontal="left" vertical="center" wrapText="1"/>
    </xf>
    <xf numFmtId="164" fontId="42" fillId="10" borderId="13" xfId="1" applyFont="1" applyFill="1" applyBorder="1" applyAlignment="1">
      <alignment horizontal="right"/>
    </xf>
    <xf numFmtId="164" fontId="44" fillId="10" borderId="13" xfId="1" applyFont="1" applyFill="1" applyBorder="1" applyAlignment="1">
      <alignment horizontal="right"/>
    </xf>
    <xf numFmtId="178" fontId="41" fillId="10" borderId="13" xfId="0" applyNumberFormat="1" applyFont="1" applyFill="1" applyBorder="1" applyAlignment="1">
      <alignment horizontal="right"/>
    </xf>
    <xf numFmtId="0" fontId="13" fillId="2" borderId="0" xfId="0" applyFont="1" applyFill="1" applyAlignment="1">
      <alignment wrapText="1"/>
    </xf>
    <xf numFmtId="0" fontId="0" fillId="2" borderId="0" xfId="0" applyFill="1" applyAlignment="1">
      <alignment wrapText="1"/>
    </xf>
    <xf numFmtId="4" fontId="0" fillId="2" borderId="0" xfId="0" applyNumberFormat="1" applyFill="1"/>
    <xf numFmtId="164" fontId="17" fillId="0" borderId="0" xfId="1" applyFont="1"/>
    <xf numFmtId="164" fontId="0" fillId="0" borderId="0" xfId="1" quotePrefix="1" applyFont="1"/>
    <xf numFmtId="164" fontId="13" fillId="0" borderId="0" xfId="1" applyFont="1" applyAlignment="1">
      <alignment wrapText="1"/>
    </xf>
    <xf numFmtId="164" fontId="13" fillId="0" borderId="0" xfId="1" applyFont="1" applyAlignment="1">
      <alignment horizontal="center" wrapText="1"/>
    </xf>
    <xf numFmtId="164" fontId="16" fillId="0" borderId="0" xfId="1" applyFont="1"/>
    <xf numFmtId="164" fontId="16" fillId="0" borderId="16" xfId="0" applyNumberFormat="1" applyFont="1" applyBorder="1"/>
    <xf numFmtId="172" fontId="16" fillId="0" borderId="0" xfId="1" applyNumberFormat="1" applyFont="1" applyBorder="1"/>
    <xf numFmtId="164" fontId="6" fillId="12" borderId="23" xfId="1" applyFont="1" applyFill="1" applyBorder="1"/>
    <xf numFmtId="0" fontId="6" fillId="0" borderId="23" xfId="0" applyFont="1" applyBorder="1"/>
    <xf numFmtId="164" fontId="6" fillId="12" borderId="28" xfId="1" applyFont="1" applyFill="1" applyBorder="1"/>
    <xf numFmtId="49" fontId="28" fillId="11" borderId="13" xfId="0" applyNumberFormat="1" applyFont="1" applyFill="1" applyBorder="1" applyAlignment="1">
      <alignment horizontal="center" vertical="top" wrapText="1"/>
    </xf>
    <xf numFmtId="49" fontId="29" fillId="17" borderId="13" xfId="0" applyNumberFormat="1" applyFont="1" applyFill="1" applyBorder="1" applyAlignment="1">
      <alignment horizontal="left" vertical="center" wrapText="1"/>
    </xf>
    <xf numFmtId="49" fontId="29" fillId="17" borderId="13" xfId="0" applyNumberFormat="1" applyFont="1" applyFill="1" applyBorder="1" applyAlignment="1">
      <alignment horizontal="right" vertical="center" wrapText="1"/>
    </xf>
    <xf numFmtId="49" fontId="29" fillId="17" borderId="13" xfId="0" applyNumberFormat="1" applyFont="1" applyFill="1" applyBorder="1" applyAlignment="1">
      <alignment horizontal="right" vertical="center"/>
    </xf>
    <xf numFmtId="178" fontId="29" fillId="17" borderId="13" xfId="0" applyNumberFormat="1" applyFont="1" applyFill="1" applyBorder="1" applyAlignment="1">
      <alignment horizontal="right" vertical="center"/>
    </xf>
    <xf numFmtId="178" fontId="38" fillId="17" borderId="13" xfId="0" applyNumberFormat="1" applyFont="1" applyFill="1" applyBorder="1" applyAlignment="1">
      <alignment horizontal="right" vertical="center"/>
    </xf>
    <xf numFmtId="49" fontId="29" fillId="10" borderId="13" xfId="0" applyNumberFormat="1" applyFont="1" applyFill="1" applyBorder="1" applyAlignment="1">
      <alignment horizontal="left" vertical="center" wrapText="1"/>
    </xf>
    <xf numFmtId="49" fontId="29" fillId="10" borderId="13" xfId="0" applyNumberFormat="1" applyFont="1" applyFill="1" applyBorder="1" applyAlignment="1">
      <alignment horizontal="right" vertical="center" wrapText="1"/>
    </xf>
    <xf numFmtId="49" fontId="29" fillId="10" borderId="13" xfId="0" applyNumberFormat="1" applyFont="1" applyFill="1" applyBorder="1" applyAlignment="1">
      <alignment horizontal="right" vertical="center"/>
    </xf>
    <xf numFmtId="178" fontId="38" fillId="10" borderId="13" xfId="0" applyNumberFormat="1" applyFont="1" applyFill="1" applyBorder="1" applyAlignment="1">
      <alignment horizontal="right" vertical="center"/>
    </xf>
    <xf numFmtId="178" fontId="29" fillId="10" borderId="13" xfId="0" applyNumberFormat="1" applyFont="1" applyFill="1" applyBorder="1" applyAlignment="1">
      <alignment horizontal="right" vertical="center"/>
    </xf>
    <xf numFmtId="165" fontId="9" fillId="0" borderId="0" xfId="16" applyNumberFormat="1" applyFont="1"/>
    <xf numFmtId="173" fontId="0" fillId="0" borderId="0" xfId="17" applyNumberFormat="1" applyFont="1"/>
    <xf numFmtId="181" fontId="22" fillId="0" borderId="0" xfId="16"/>
    <xf numFmtId="181" fontId="19" fillId="0" borderId="0" xfId="16" applyFont="1" applyAlignment="1">
      <alignment horizontal="right"/>
    </xf>
    <xf numFmtId="14" fontId="9" fillId="0" borderId="0" xfId="16" applyNumberFormat="1" applyFont="1" applyAlignment="1">
      <alignment horizontal="left"/>
    </xf>
    <xf numFmtId="0" fontId="19" fillId="0" borderId="0" xfId="18" applyFont="1" applyAlignment="1">
      <alignment horizontal="right"/>
    </xf>
    <xf numFmtId="181" fontId="53" fillId="0" borderId="0" xfId="16" applyFont="1"/>
    <xf numFmtId="165" fontId="54" fillId="0" borderId="0" xfId="17" applyNumberFormat="1" applyFont="1" applyAlignment="1">
      <alignment horizontal="center"/>
    </xf>
    <xf numFmtId="165" fontId="0" fillId="0" borderId="0" xfId="17" applyNumberFormat="1" applyFont="1" applyFill="1"/>
    <xf numFmtId="165" fontId="22" fillId="0" borderId="0" xfId="17" applyNumberFormat="1" applyFont="1" applyFill="1"/>
    <xf numFmtId="173" fontId="0" fillId="0" borderId="0" xfId="17" applyNumberFormat="1" applyFont="1" applyFill="1"/>
    <xf numFmtId="165" fontId="55" fillId="0" borderId="0" xfId="17" applyNumberFormat="1" applyFont="1" applyFill="1"/>
    <xf numFmtId="165" fontId="55" fillId="0" borderId="0" xfId="17" applyNumberFormat="1" applyFont="1"/>
    <xf numFmtId="165" fontId="0" fillId="0" borderId="0" xfId="17" applyNumberFormat="1" applyFont="1"/>
    <xf numFmtId="165" fontId="22" fillId="0" borderId="0" xfId="17" applyNumberFormat="1" applyFont="1"/>
    <xf numFmtId="165" fontId="54" fillId="0" borderId="0" xfId="17" applyNumberFormat="1" applyFont="1" applyAlignment="1">
      <alignment horizontal="center" wrapText="1"/>
    </xf>
    <xf numFmtId="165" fontId="0" fillId="0" borderId="0" xfId="17" applyNumberFormat="1" applyFont="1" applyAlignment="1">
      <alignment horizontal="center"/>
    </xf>
    <xf numFmtId="182" fontId="54" fillId="0" borderId="0" xfId="17" applyNumberFormat="1" applyFont="1" applyAlignment="1">
      <alignment horizontal="center" wrapText="1"/>
    </xf>
    <xf numFmtId="181" fontId="22" fillId="0" borderId="0" xfId="16" applyAlignment="1">
      <alignment horizontal="center" wrapText="1"/>
    </xf>
    <xf numFmtId="181" fontId="22" fillId="0" borderId="0" xfId="16" applyAlignment="1">
      <alignment wrapText="1"/>
    </xf>
    <xf numFmtId="165" fontId="22" fillId="0" borderId="0" xfId="17" applyNumberFormat="1" applyFont="1" applyAlignment="1">
      <alignment horizontal="center"/>
    </xf>
    <xf numFmtId="173" fontId="22" fillId="0" borderId="0" xfId="17" applyNumberFormat="1" applyFont="1" applyAlignment="1">
      <alignment horizontal="center"/>
    </xf>
    <xf numFmtId="172" fontId="0" fillId="0" borderId="0" xfId="19" applyNumberFormat="1" applyFont="1"/>
    <xf numFmtId="165" fontId="0" fillId="18" borderId="0" xfId="17" applyNumberFormat="1" applyFont="1" applyFill="1"/>
    <xf numFmtId="172" fontId="22" fillId="0" borderId="0" xfId="1" applyNumberFormat="1" applyFont="1"/>
    <xf numFmtId="165" fontId="0" fillId="0" borderId="14" xfId="17" applyNumberFormat="1" applyFont="1" applyBorder="1"/>
    <xf numFmtId="165" fontId="40" fillId="0" borderId="0" xfId="17" applyNumberFormat="1" applyFont="1"/>
    <xf numFmtId="173" fontId="55" fillId="0" borderId="0" xfId="17" applyNumberFormat="1" applyFont="1"/>
    <xf numFmtId="172" fontId="55" fillId="0" borderId="0" xfId="19" applyNumberFormat="1" applyFont="1"/>
    <xf numFmtId="172" fontId="22" fillId="0" borderId="14" xfId="1" applyNumberFormat="1" applyFont="1" applyBorder="1"/>
    <xf numFmtId="173" fontId="55" fillId="2" borderId="0" xfId="17" applyNumberFormat="1" applyFont="1" applyFill="1"/>
    <xf numFmtId="172" fontId="55" fillId="2" borderId="0" xfId="19" applyNumberFormat="1" applyFont="1" applyFill="1"/>
    <xf numFmtId="165" fontId="56" fillId="0" borderId="0" xfId="17" applyNumberFormat="1" applyFont="1"/>
    <xf numFmtId="165" fontId="57" fillId="0" borderId="0" xfId="17" applyNumberFormat="1" applyFont="1"/>
    <xf numFmtId="165" fontId="0" fillId="0" borderId="0" xfId="17" applyNumberFormat="1" applyFont="1" applyFill="1" applyBorder="1"/>
    <xf numFmtId="165" fontId="55" fillId="0" borderId="0" xfId="17" applyNumberFormat="1" applyFont="1" applyFill="1" applyBorder="1"/>
    <xf numFmtId="171" fontId="22" fillId="0" borderId="0" xfId="6" applyFont="1"/>
    <xf numFmtId="172" fontId="58" fillId="19" borderId="0" xfId="1" applyNumberFormat="1" applyFont="1" applyFill="1"/>
    <xf numFmtId="173" fontId="0" fillId="2" borderId="0" xfId="17" applyNumberFormat="1" applyFont="1" applyFill="1"/>
    <xf numFmtId="181" fontId="59" fillId="0" borderId="0" xfId="16" applyFont="1"/>
    <xf numFmtId="0" fontId="16" fillId="15" borderId="0" xfId="0" applyFont="1" applyFill="1" applyAlignment="1">
      <alignment horizontal="right"/>
    </xf>
    <xf numFmtId="0" fontId="16" fillId="15" borderId="0" xfId="0" applyFont="1" applyFill="1"/>
    <xf numFmtId="165" fontId="16" fillId="15" borderId="0" xfId="0" applyNumberFormat="1" applyFont="1" applyFill="1"/>
    <xf numFmtId="172" fontId="0" fillId="15" borderId="0" xfId="0" quotePrefix="1" applyNumberFormat="1" applyFill="1" applyAlignment="1">
      <alignment horizontal="right"/>
    </xf>
    <xf numFmtId="0" fontId="52" fillId="15" borderId="0" xfId="0" applyFont="1" applyFill="1" applyAlignment="1">
      <alignment horizontal="right"/>
    </xf>
    <xf numFmtId="165" fontId="52" fillId="15" borderId="0" xfId="0" applyNumberFormat="1" applyFont="1" applyFill="1"/>
    <xf numFmtId="0" fontId="52" fillId="15" borderId="0" xfId="0" quotePrefix="1" applyFont="1" applyFill="1"/>
    <xf numFmtId="16" fontId="16" fillId="15" borderId="0" xfId="0" applyNumberFormat="1" applyFont="1" applyFill="1"/>
    <xf numFmtId="172" fontId="16" fillId="15" borderId="0" xfId="1" applyNumberFormat="1" applyFont="1" applyFill="1"/>
    <xf numFmtId="0" fontId="0" fillId="0" borderId="0" xfId="0" applyAlignment="1">
      <alignment vertical="center"/>
    </xf>
    <xf numFmtId="0" fontId="50" fillId="20" borderId="29" xfId="0" applyFont="1" applyFill="1" applyBorder="1" applyAlignment="1">
      <alignment horizontal="center" vertical="center"/>
    </xf>
    <xf numFmtId="0" fontId="60" fillId="0" borderId="0" xfId="0" applyFont="1" applyAlignment="1">
      <alignment horizontal="center" vertical="center"/>
    </xf>
    <xf numFmtId="0" fontId="50" fillId="0" borderId="0" xfId="0" applyFont="1" applyAlignment="1">
      <alignment horizontal="right" vertical="center"/>
    </xf>
    <xf numFmtId="16" fontId="48" fillId="20" borderId="30" xfId="0" applyNumberFormat="1" applyFont="1" applyFill="1" applyBorder="1" applyAlignment="1">
      <alignment horizontal="center" vertical="center"/>
    </xf>
    <xf numFmtId="16" fontId="48" fillId="20" borderId="7" xfId="0" applyNumberFormat="1" applyFont="1" applyFill="1" applyBorder="1" applyAlignment="1">
      <alignment horizontal="center" vertical="center"/>
    </xf>
    <xf numFmtId="0" fontId="62" fillId="0" borderId="0" xfId="0" applyFont="1" applyAlignment="1">
      <alignment horizontal="center" vertical="center"/>
    </xf>
    <xf numFmtId="0" fontId="63" fillId="0" borderId="0" xfId="0" applyFont="1" applyAlignment="1">
      <alignment horizontal="center" vertical="center"/>
    </xf>
    <xf numFmtId="0" fontId="61" fillId="20" borderId="0" xfId="0" applyFont="1" applyFill="1" applyAlignment="1">
      <alignment vertical="center"/>
    </xf>
    <xf numFmtId="0" fontId="65" fillId="0" borderId="0" xfId="0" applyFont="1" applyAlignment="1">
      <alignment horizontal="right" vertical="center"/>
    </xf>
    <xf numFmtId="0" fontId="66" fillId="0" borderId="0" xfId="0" applyFont="1" applyAlignment="1">
      <alignment horizontal="right" vertical="center"/>
    </xf>
    <xf numFmtId="0" fontId="64" fillId="20" borderId="0" xfId="0" applyFont="1" applyFill="1" applyAlignment="1">
      <alignment vertical="center"/>
    </xf>
    <xf numFmtId="2" fontId="61" fillId="20" borderId="0" xfId="0" applyNumberFormat="1" applyFont="1" applyFill="1" applyAlignment="1">
      <alignment vertical="center"/>
    </xf>
    <xf numFmtId="164" fontId="16" fillId="0" borderId="0" xfId="1" applyFont="1" applyFill="1"/>
    <xf numFmtId="16" fontId="16" fillId="0" borderId="0" xfId="0" applyNumberFormat="1" applyFont="1" applyAlignment="1">
      <alignment horizontal="center"/>
    </xf>
    <xf numFmtId="165" fontId="16" fillId="5" borderId="0" xfId="0" applyNumberFormat="1" applyFont="1" applyFill="1"/>
    <xf numFmtId="0" fontId="0" fillId="3" borderId="0" xfId="0" applyFill="1"/>
    <xf numFmtId="165" fontId="0" fillId="3" borderId="0" xfId="0" applyNumberFormat="1" applyFill="1"/>
    <xf numFmtId="0" fontId="18" fillId="0" borderId="0" xfId="0" applyFont="1" applyAlignment="1">
      <alignment horizontal="right"/>
    </xf>
    <xf numFmtId="0" fontId="16" fillId="3" borderId="0" xfId="0" applyFont="1" applyFill="1"/>
    <xf numFmtId="165" fontId="16" fillId="3" borderId="0" xfId="0" applyNumberFormat="1" applyFont="1" applyFill="1"/>
    <xf numFmtId="165" fontId="16" fillId="0" borderId="22" xfId="0" applyNumberFormat="1" applyFont="1" applyBorder="1"/>
    <xf numFmtId="0" fontId="18" fillId="0" borderId="0" xfId="0" applyFont="1" applyAlignment="1">
      <alignment vertical="center"/>
    </xf>
    <xf numFmtId="0" fontId="18" fillId="0" borderId="0" xfId="0" applyFont="1" applyAlignment="1">
      <alignment horizontal="center" vertical="center"/>
    </xf>
    <xf numFmtId="165" fontId="16" fillId="0" borderId="0" xfId="0" applyNumberFormat="1" applyFont="1" applyAlignment="1">
      <alignment vertical="center"/>
    </xf>
    <xf numFmtId="10" fontId="16" fillId="0" borderId="0" xfId="0" applyNumberFormat="1" applyFont="1" applyAlignment="1">
      <alignment vertical="center"/>
    </xf>
    <xf numFmtId="165" fontId="16" fillId="0" borderId="14" xfId="0" applyNumberFormat="1" applyFont="1" applyBorder="1" applyAlignment="1">
      <alignment vertical="center"/>
    </xf>
    <xf numFmtId="10" fontId="16" fillId="0" borderId="14" xfId="0" applyNumberFormat="1" applyFont="1" applyBorder="1" applyAlignment="1">
      <alignment vertical="center"/>
    </xf>
    <xf numFmtId="10" fontId="16" fillId="14" borderId="0" xfId="0" applyNumberFormat="1" applyFont="1" applyFill="1" applyAlignment="1">
      <alignment vertical="center"/>
    </xf>
    <xf numFmtId="0" fontId="16" fillId="0" borderId="0" xfId="0" applyFont="1" applyAlignment="1">
      <alignment horizontal="left" vertical="center" indent="1"/>
    </xf>
    <xf numFmtId="3" fontId="16" fillId="0" borderId="0" xfId="0" applyNumberFormat="1" applyFont="1" applyAlignment="1">
      <alignment vertical="center"/>
    </xf>
    <xf numFmtId="10" fontId="16" fillId="0" borderId="22" xfId="0" applyNumberFormat="1" applyFont="1" applyBorder="1" applyAlignment="1">
      <alignment vertical="center"/>
    </xf>
    <xf numFmtId="175" fontId="16" fillId="0" borderId="0" xfId="0" applyNumberFormat="1" applyFont="1"/>
    <xf numFmtId="0" fontId="67" fillId="21" borderId="33" xfId="0" applyFont="1" applyFill="1" applyBorder="1" applyAlignment="1">
      <alignment horizontal="center"/>
    </xf>
    <xf numFmtId="183" fontId="69" fillId="14" borderId="36" xfId="21" applyNumberFormat="1" applyFont="1" applyFill="1" applyBorder="1" applyAlignment="1">
      <alignment horizontal="center" vertical="center"/>
    </xf>
    <xf numFmtId="183" fontId="69" fillId="14" borderId="37" xfId="21" applyNumberFormat="1" applyFont="1" applyFill="1" applyBorder="1" applyAlignment="1">
      <alignment horizontal="center" vertical="center"/>
    </xf>
    <xf numFmtId="183" fontId="69" fillId="14" borderId="34" xfId="21" applyNumberFormat="1" applyFont="1" applyFill="1" applyBorder="1" applyAlignment="1">
      <alignment horizontal="center" vertical="center"/>
    </xf>
    <xf numFmtId="183" fontId="69" fillId="14" borderId="38" xfId="21" applyNumberFormat="1" applyFont="1" applyFill="1" applyBorder="1" applyAlignment="1">
      <alignment horizontal="center" vertical="center"/>
    </xf>
    <xf numFmtId="183" fontId="69" fillId="0" borderId="34" xfId="21" applyNumberFormat="1" applyFont="1" applyBorder="1" applyAlignment="1">
      <alignment horizontal="center" vertical="center"/>
    </xf>
    <xf numFmtId="183" fontId="69" fillId="0" borderId="38" xfId="21" applyNumberFormat="1" applyFont="1" applyBorder="1" applyAlignment="1">
      <alignment horizontal="center" vertical="center"/>
    </xf>
    <xf numFmtId="183" fontId="69" fillId="22" borderId="34" xfId="21" applyNumberFormat="1" applyFont="1" applyFill="1" applyBorder="1" applyAlignment="1">
      <alignment horizontal="center" vertical="center"/>
    </xf>
    <xf numFmtId="183" fontId="69" fillId="22" borderId="38" xfId="21" applyNumberFormat="1" applyFont="1" applyFill="1" applyBorder="1" applyAlignment="1">
      <alignment horizontal="center" vertical="center"/>
    </xf>
    <xf numFmtId="183" fontId="69" fillId="23" borderId="34" xfId="21" applyNumberFormat="1" applyFont="1" applyFill="1" applyBorder="1" applyAlignment="1">
      <alignment horizontal="center" vertical="center"/>
    </xf>
    <xf numFmtId="183" fontId="69" fillId="23" borderId="39" xfId="21" applyNumberFormat="1" applyFont="1" applyFill="1" applyBorder="1" applyAlignment="1">
      <alignment horizontal="center" vertical="center"/>
    </xf>
    <xf numFmtId="183" fontId="69" fillId="23" borderId="35" xfId="21" applyNumberFormat="1" applyFont="1" applyFill="1" applyBorder="1" applyAlignment="1">
      <alignment horizontal="center" vertical="center"/>
    </xf>
    <xf numFmtId="183" fontId="70" fillId="24" borderId="36" xfId="21" applyNumberFormat="1" applyFont="1" applyFill="1" applyBorder="1" applyAlignment="1">
      <alignment horizontal="center"/>
    </xf>
    <xf numFmtId="183" fontId="70" fillId="24" borderId="34" xfId="21" applyNumberFormat="1" applyFont="1" applyFill="1" applyBorder="1" applyAlignment="1">
      <alignment horizontal="center"/>
    </xf>
    <xf numFmtId="183" fontId="69" fillId="0" borderId="38" xfId="21" applyNumberFormat="1" applyFont="1" applyBorder="1" applyAlignment="1">
      <alignment horizontal="left"/>
    </xf>
    <xf numFmtId="0" fontId="71" fillId="14" borderId="34" xfId="21" applyFont="1" applyFill="1" applyBorder="1"/>
    <xf numFmtId="0" fontId="71" fillId="14" borderId="38" xfId="21" applyFont="1" applyFill="1" applyBorder="1"/>
    <xf numFmtId="183" fontId="72" fillId="25" borderId="34" xfId="21" applyNumberFormat="1" applyFont="1" applyFill="1" applyBorder="1" applyAlignment="1">
      <alignment horizontal="center" vertical="center"/>
    </xf>
    <xf numFmtId="183" fontId="72" fillId="25" borderId="38" xfId="21" applyNumberFormat="1" applyFont="1" applyFill="1" applyBorder="1" applyAlignment="1">
      <alignment horizontal="center" vertical="center"/>
    </xf>
    <xf numFmtId="183" fontId="69" fillId="14" borderId="34" xfId="21" applyNumberFormat="1" applyFont="1" applyFill="1" applyBorder="1"/>
    <xf numFmtId="183" fontId="69" fillId="14" borderId="38" xfId="21" applyNumberFormat="1" applyFont="1" applyFill="1" applyBorder="1"/>
    <xf numFmtId="183" fontId="70" fillId="14" borderId="34" xfId="21" applyNumberFormat="1" applyFont="1" applyFill="1" applyBorder="1"/>
    <xf numFmtId="183" fontId="70" fillId="14" borderId="38" xfId="21" applyNumberFormat="1" applyFont="1" applyFill="1" applyBorder="1"/>
    <xf numFmtId="183" fontId="69" fillId="0" borderId="34" xfId="21" applyNumberFormat="1" applyFont="1" applyBorder="1" applyAlignment="1">
      <alignment horizontal="center"/>
    </xf>
    <xf numFmtId="183" fontId="69" fillId="0" borderId="38" xfId="21" applyNumberFormat="1" applyFont="1" applyBorder="1" applyAlignment="1">
      <alignment horizontal="center"/>
    </xf>
    <xf numFmtId="183" fontId="69" fillId="14" borderId="34" xfId="21" applyNumberFormat="1" applyFont="1" applyFill="1" applyBorder="1" applyAlignment="1">
      <alignment horizontal="center"/>
    </xf>
    <xf numFmtId="183" fontId="69" fillId="14" borderId="38" xfId="21" applyNumberFormat="1" applyFont="1" applyFill="1" applyBorder="1" applyAlignment="1">
      <alignment horizontal="center"/>
    </xf>
    <xf numFmtId="183" fontId="70" fillId="14" borderId="36" xfId="21" applyNumberFormat="1" applyFont="1" applyFill="1" applyBorder="1" applyAlignment="1">
      <alignment horizontal="center"/>
    </xf>
    <xf numFmtId="183" fontId="70" fillId="14" borderId="37" xfId="21" applyNumberFormat="1" applyFont="1" applyFill="1" applyBorder="1" applyAlignment="1">
      <alignment horizontal="center"/>
    </xf>
    <xf numFmtId="183" fontId="71" fillId="0" borderId="40" xfId="21" applyNumberFormat="1" applyFont="1" applyBorder="1" applyAlignment="1">
      <alignment horizontal="center"/>
    </xf>
    <xf numFmtId="183" fontId="71" fillId="0" borderId="41" xfId="21" applyNumberFormat="1" applyFont="1" applyBorder="1" applyAlignment="1">
      <alignment horizontal="center"/>
    </xf>
    <xf numFmtId="0" fontId="71" fillId="14" borderId="34" xfId="21" applyFont="1" applyFill="1" applyBorder="1" applyAlignment="1">
      <alignment horizontal="center"/>
    </xf>
    <xf numFmtId="0" fontId="71" fillId="14" borderId="38" xfId="21" applyFont="1" applyFill="1" applyBorder="1" applyAlignment="1">
      <alignment horizontal="center"/>
    </xf>
    <xf numFmtId="183" fontId="70" fillId="24" borderId="34" xfId="21" applyNumberFormat="1" applyFont="1" applyFill="1" applyBorder="1" applyAlignment="1">
      <alignment horizontal="center" vertical="center"/>
    </xf>
    <xf numFmtId="183" fontId="70" fillId="26" borderId="34" xfId="21" applyNumberFormat="1" applyFont="1" applyFill="1" applyBorder="1" applyAlignment="1">
      <alignment horizontal="center" vertical="center"/>
    </xf>
    <xf numFmtId="175" fontId="69" fillId="14" borderId="34" xfId="22" applyNumberFormat="1" applyFont="1" applyFill="1" applyBorder="1" applyAlignment="1">
      <alignment horizontal="center"/>
    </xf>
    <xf numFmtId="175" fontId="69" fillId="14" borderId="38" xfId="22" applyNumberFormat="1" applyFont="1" applyFill="1" applyBorder="1" applyAlignment="1">
      <alignment horizontal="center"/>
    </xf>
    <xf numFmtId="37" fontId="69" fillId="14" borderId="34" xfId="21" applyNumberFormat="1" applyFont="1" applyFill="1" applyBorder="1" applyAlignment="1">
      <alignment horizontal="center"/>
    </xf>
    <xf numFmtId="175" fontId="69" fillId="0" borderId="34" xfId="22" applyNumberFormat="1" applyFont="1" applyFill="1" applyBorder="1" applyAlignment="1">
      <alignment horizontal="center" vertical="center"/>
    </xf>
    <xf numFmtId="175" fontId="69" fillId="0" borderId="38" xfId="22" applyNumberFormat="1" applyFont="1" applyFill="1" applyBorder="1" applyAlignment="1">
      <alignment horizontal="center" vertical="center"/>
    </xf>
    <xf numFmtId="175" fontId="69" fillId="0" borderId="34" xfId="22" applyNumberFormat="1" applyFont="1" applyFill="1" applyBorder="1" applyAlignment="1">
      <alignment horizontal="center"/>
    </xf>
    <xf numFmtId="175" fontId="69" fillId="0" borderId="38" xfId="22" applyNumberFormat="1" applyFont="1" applyFill="1" applyBorder="1" applyAlignment="1">
      <alignment horizontal="center"/>
    </xf>
    <xf numFmtId="37" fontId="73" fillId="14" borderId="38" xfId="21" applyNumberFormat="1" applyFont="1" applyFill="1" applyBorder="1" applyAlignment="1">
      <alignment horizontal="center"/>
    </xf>
    <xf numFmtId="0" fontId="74" fillId="0" borderId="0" xfId="0" applyFont="1"/>
    <xf numFmtId="9" fontId="69" fillId="14" borderId="34" xfId="22" applyFont="1" applyFill="1" applyBorder="1" applyAlignment="1">
      <alignment horizontal="center"/>
    </xf>
    <xf numFmtId="9" fontId="69" fillId="14" borderId="38" xfId="22" applyFont="1" applyFill="1" applyBorder="1" applyAlignment="1">
      <alignment horizontal="center"/>
    </xf>
    <xf numFmtId="9" fontId="73" fillId="14" borderId="38" xfId="22" applyFont="1" applyFill="1" applyBorder="1" applyAlignment="1">
      <alignment horizontal="center"/>
    </xf>
    <xf numFmtId="175" fontId="70" fillId="24" borderId="35" xfId="22" applyNumberFormat="1" applyFont="1" applyFill="1" applyBorder="1" applyAlignment="1">
      <alignment horizontal="center"/>
    </xf>
    <xf numFmtId="175" fontId="70" fillId="24" borderId="39" xfId="22" applyNumberFormat="1" applyFont="1" applyFill="1" applyBorder="1" applyAlignment="1">
      <alignment horizontal="center"/>
    </xf>
    <xf numFmtId="175" fontId="70" fillId="24" borderId="34" xfId="2" applyNumberFormat="1" applyFont="1" applyFill="1" applyBorder="1" applyAlignment="1">
      <alignment horizontal="center"/>
    </xf>
    <xf numFmtId="0" fontId="71" fillId="14" borderId="0" xfId="21" applyFont="1" applyFill="1"/>
    <xf numFmtId="175" fontId="69" fillId="14" borderId="24" xfId="2" applyNumberFormat="1" applyFont="1" applyFill="1" applyBorder="1" applyAlignment="1">
      <alignment horizontal="center"/>
    </xf>
    <xf numFmtId="175" fontId="70" fillId="24" borderId="24" xfId="2" applyNumberFormat="1" applyFont="1" applyFill="1" applyBorder="1" applyAlignment="1">
      <alignment horizontal="center"/>
    </xf>
    <xf numFmtId="0" fontId="5" fillId="14" borderId="0" xfId="21" applyFill="1"/>
    <xf numFmtId="0" fontId="5" fillId="0" borderId="0" xfId="21"/>
    <xf numFmtId="9" fontId="67" fillId="27" borderId="24" xfId="21" applyNumberFormat="1" applyFont="1" applyFill="1" applyBorder="1" applyAlignment="1">
      <alignment horizontal="center"/>
    </xf>
    <xf numFmtId="172" fontId="5" fillId="14" borderId="34" xfId="1" applyNumberFormat="1" applyFill="1" applyBorder="1"/>
    <xf numFmtId="184" fontId="75" fillId="0" borderId="35" xfId="1" applyNumberFormat="1" applyFont="1" applyFill="1" applyBorder="1" applyAlignment="1">
      <alignment horizontal="center" vertical="center"/>
    </xf>
    <xf numFmtId="185" fontId="77" fillId="28" borderId="24" xfId="23" applyNumberFormat="1" applyFont="1" applyFill="1" applyBorder="1" applyAlignment="1">
      <alignment horizontal="center" vertical="center"/>
    </xf>
    <xf numFmtId="10" fontId="77" fillId="14" borderId="34" xfId="24" applyNumberFormat="1" applyFont="1" applyFill="1" applyBorder="1" applyAlignment="1">
      <alignment horizontal="center" vertical="center"/>
    </xf>
    <xf numFmtId="186" fontId="51" fillId="14" borderId="35" xfId="24" applyNumberFormat="1" applyFont="1" applyFill="1" applyBorder="1" applyAlignment="1">
      <alignment horizontal="center"/>
    </xf>
    <xf numFmtId="0" fontId="5" fillId="14" borderId="25" xfId="21" applyFill="1" applyBorder="1"/>
    <xf numFmtId="185" fontId="77" fillId="28" borderId="35" xfId="23" applyNumberFormat="1" applyFont="1" applyFill="1" applyBorder="1" applyAlignment="1">
      <alignment horizontal="center" vertical="center"/>
    </xf>
    <xf numFmtId="172" fontId="0" fillId="0" borderId="0" xfId="1" applyNumberFormat="1" applyFont="1" applyBorder="1"/>
    <xf numFmtId="172" fontId="0" fillId="0" borderId="14" xfId="1" applyNumberFormat="1" applyFont="1" applyBorder="1"/>
    <xf numFmtId="175" fontId="0" fillId="0" borderId="0" xfId="2" applyNumberFormat="1" applyFont="1"/>
    <xf numFmtId="183" fontId="0" fillId="0" borderId="0" xfId="0" applyNumberFormat="1"/>
    <xf numFmtId="188" fontId="70" fillId="24" borderId="37" xfId="21" applyNumberFormat="1" applyFont="1" applyFill="1" applyBorder="1" applyAlignment="1">
      <alignment horizontal="center"/>
    </xf>
    <xf numFmtId="188" fontId="70" fillId="24" borderId="38" xfId="21" applyNumberFormat="1" applyFont="1" applyFill="1" applyBorder="1" applyAlignment="1">
      <alignment horizontal="center"/>
    </xf>
    <xf numFmtId="187" fontId="69" fillId="14" borderId="38" xfId="21" applyNumberFormat="1" applyFont="1" applyFill="1" applyBorder="1" applyAlignment="1">
      <alignment horizontal="center"/>
    </xf>
    <xf numFmtId="187" fontId="69" fillId="0" borderId="38" xfId="21" applyNumberFormat="1" applyFont="1" applyBorder="1" applyAlignment="1">
      <alignment horizontal="center"/>
    </xf>
    <xf numFmtId="187" fontId="70" fillId="24" borderId="38" xfId="21" applyNumberFormat="1" applyFont="1" applyFill="1" applyBorder="1" applyAlignment="1">
      <alignment horizontal="center" vertical="center"/>
    </xf>
    <xf numFmtId="183" fontId="69" fillId="29" borderId="38" xfId="21" applyNumberFormat="1" applyFont="1" applyFill="1" applyBorder="1" applyAlignment="1">
      <alignment horizontal="center" vertical="center"/>
    </xf>
    <xf numFmtId="183" fontId="69" fillId="0" borderId="37" xfId="21" applyNumberFormat="1" applyFont="1" applyBorder="1" applyAlignment="1">
      <alignment horizontal="center" vertical="center"/>
    </xf>
    <xf numFmtId="0" fontId="0" fillId="30" borderId="0" xfId="0" applyFill="1"/>
    <xf numFmtId="4" fontId="0" fillId="30" borderId="0" xfId="0" applyNumberFormat="1" applyFill="1"/>
    <xf numFmtId="4" fontId="0" fillId="3" borderId="0" xfId="0" applyNumberFormat="1" applyFill="1"/>
    <xf numFmtId="0" fontId="13" fillId="0" borderId="0" xfId="0" applyFont="1"/>
    <xf numFmtId="9" fontId="0" fillId="0" borderId="0" xfId="2" applyFont="1"/>
    <xf numFmtId="165" fontId="35" fillId="0" borderId="0" xfId="0" applyNumberFormat="1" applyFont="1"/>
    <xf numFmtId="0" fontId="28" fillId="15" borderId="0" xfId="0" applyFont="1" applyFill="1" applyAlignment="1">
      <alignment horizontal="right"/>
    </xf>
    <xf numFmtId="0" fontId="27" fillId="0" borderId="0" xfId="0" applyFont="1" applyAlignment="1">
      <alignment horizontal="left"/>
    </xf>
    <xf numFmtId="0" fontId="28" fillId="15" borderId="0" xfId="0" applyFont="1" applyFill="1" applyAlignment="1">
      <alignment horizontal="left"/>
    </xf>
    <xf numFmtId="165" fontId="0" fillId="2" borderId="0" xfId="0" applyNumberFormat="1" applyFill="1"/>
    <xf numFmtId="166" fontId="80" fillId="0" borderId="0" xfId="0" applyNumberFormat="1" applyFont="1"/>
    <xf numFmtId="0" fontId="81" fillId="0" borderId="0" xfId="27" applyFont="1"/>
    <xf numFmtId="0" fontId="71" fillId="0" borderId="0" xfId="27" applyFont="1"/>
    <xf numFmtId="178" fontId="44" fillId="17" borderId="13" xfId="27" applyNumberFormat="1" applyFont="1" applyFill="1" applyBorder="1" applyAlignment="1">
      <alignment horizontal="right" vertical="center" wrapText="1"/>
    </xf>
    <xf numFmtId="49" fontId="42" fillId="17" borderId="13" xfId="27" applyNumberFormat="1" applyFont="1" applyFill="1" applyBorder="1" applyAlignment="1">
      <alignment horizontal="right" vertical="center" wrapText="1"/>
    </xf>
    <xf numFmtId="49" fontId="42" fillId="17" borderId="13" xfId="27" applyNumberFormat="1" applyFont="1" applyFill="1" applyBorder="1" applyAlignment="1">
      <alignment horizontal="left" vertical="center" wrapText="1"/>
    </xf>
    <xf numFmtId="178" fontId="44" fillId="10" borderId="13" xfId="27" applyNumberFormat="1" applyFont="1" applyFill="1" applyBorder="1" applyAlignment="1">
      <alignment horizontal="right" vertical="center" wrapText="1"/>
    </xf>
    <xf numFmtId="49" fontId="42" fillId="10" borderId="13" xfId="27" applyNumberFormat="1" applyFont="1" applyFill="1" applyBorder="1" applyAlignment="1">
      <alignment horizontal="right" vertical="center" wrapText="1"/>
    </xf>
    <xf numFmtId="49" fontId="42" fillId="10" borderId="13" xfId="27" applyNumberFormat="1" applyFont="1" applyFill="1" applyBorder="1" applyAlignment="1">
      <alignment horizontal="left" vertical="center" wrapText="1"/>
    </xf>
    <xf numFmtId="178" fontId="42" fillId="17" borderId="13" xfId="27" applyNumberFormat="1" applyFont="1" applyFill="1" applyBorder="1" applyAlignment="1">
      <alignment horizontal="right" vertical="center" wrapText="1"/>
    </xf>
    <xf numFmtId="178" fontId="42" fillId="10" borderId="13" xfId="27" applyNumberFormat="1" applyFont="1" applyFill="1" applyBorder="1" applyAlignment="1">
      <alignment horizontal="right" vertical="center" wrapText="1"/>
    </xf>
    <xf numFmtId="49" fontId="43" fillId="11" borderId="13" xfId="27" applyNumberFormat="1" applyFont="1" applyFill="1" applyBorder="1" applyAlignment="1">
      <alignment horizontal="center" vertical="top" wrapText="1"/>
    </xf>
    <xf numFmtId="164" fontId="81" fillId="0" borderId="0" xfId="27" applyNumberFormat="1" applyFont="1"/>
    <xf numFmtId="164" fontId="81" fillId="0" borderId="14" xfId="28" applyFont="1" applyBorder="1"/>
    <xf numFmtId="0" fontId="71" fillId="0" borderId="0" xfId="27" applyFont="1" applyAlignment="1">
      <alignment horizontal="right"/>
    </xf>
    <xf numFmtId="164" fontId="71" fillId="0" borderId="16" xfId="27" applyNumberFormat="1" applyFont="1" applyBorder="1"/>
    <xf numFmtId="0" fontId="71" fillId="0" borderId="0" xfId="27" applyFont="1" applyAlignment="1">
      <alignment horizontal="left"/>
    </xf>
    <xf numFmtId="0" fontId="69" fillId="0" borderId="0" xfId="27" applyFont="1" applyAlignment="1">
      <alignment horizontal="right"/>
    </xf>
    <xf numFmtId="164" fontId="79" fillId="12" borderId="28" xfId="27" applyNumberFormat="1" applyFont="1" applyFill="1" applyBorder="1"/>
    <xf numFmtId="0" fontId="79" fillId="12" borderId="28" xfId="27" applyFont="1" applyFill="1" applyBorder="1"/>
    <xf numFmtId="0" fontId="79" fillId="0" borderId="0" xfId="27" applyFont="1"/>
    <xf numFmtId="0" fontId="79" fillId="0" borderId="23" xfId="27" applyFont="1" applyBorder="1"/>
    <xf numFmtId="0" fontId="79" fillId="12" borderId="23" xfId="27" applyFont="1" applyFill="1" applyBorder="1"/>
    <xf numFmtId="0" fontId="42" fillId="10" borderId="0" xfId="27" applyFont="1" applyFill="1" applyAlignment="1">
      <alignment horizontal="left"/>
    </xf>
    <xf numFmtId="0" fontId="29" fillId="10" borderId="2" xfId="27" applyFont="1" applyFill="1" applyBorder="1" applyAlignment="1">
      <alignment horizontal="left"/>
    </xf>
    <xf numFmtId="164" fontId="29" fillId="10" borderId="8" xfId="27" applyNumberFormat="1" applyFont="1" applyFill="1" applyBorder="1" applyAlignment="1">
      <alignment horizontal="left"/>
    </xf>
    <xf numFmtId="167" fontId="29" fillId="10" borderId="3" xfId="27" applyNumberFormat="1" applyFont="1" applyFill="1" applyBorder="1" applyAlignment="1">
      <alignment horizontal="left"/>
    </xf>
    <xf numFmtId="0" fontId="16" fillId="0" borderId="4" xfId="27" applyFont="1" applyBorder="1"/>
    <xf numFmtId="0" fontId="31" fillId="10" borderId="0" xfId="27" applyFont="1" applyFill="1" applyAlignment="1">
      <alignment horizontal="center"/>
    </xf>
    <xf numFmtId="0" fontId="32" fillId="0" borderId="0" xfId="27" applyFont="1" applyAlignment="1">
      <alignment horizontal="left"/>
    </xf>
    <xf numFmtId="0" fontId="32" fillId="0" borderId="5" xfId="27" applyFont="1" applyBorder="1" applyAlignment="1">
      <alignment horizontal="right"/>
    </xf>
    <xf numFmtId="0" fontId="31" fillId="10" borderId="4" xfId="27" applyFont="1" applyFill="1" applyBorder="1" applyAlignment="1">
      <alignment horizontal="left"/>
    </xf>
    <xf numFmtId="0" fontId="29" fillId="10" borderId="0" xfId="27" applyFont="1" applyFill="1" applyAlignment="1">
      <alignment horizontal="center"/>
    </xf>
    <xf numFmtId="167" fontId="19" fillId="0" borderId="0" xfId="27" applyNumberFormat="1" applyFont="1"/>
    <xf numFmtId="172" fontId="27" fillId="0" borderId="5" xfId="27" applyNumberFormat="1" applyFont="1" applyBorder="1"/>
    <xf numFmtId="0" fontId="29" fillId="10" borderId="4" xfId="27" applyFont="1" applyFill="1" applyBorder="1" applyAlignment="1">
      <alignment horizontal="left"/>
    </xf>
    <xf numFmtId="167" fontId="27" fillId="0" borderId="0" xfId="27" applyNumberFormat="1" applyFont="1"/>
    <xf numFmtId="172" fontId="33" fillId="0" borderId="5" xfId="27" applyNumberFormat="1" applyFont="1" applyBorder="1"/>
    <xf numFmtId="0" fontId="16" fillId="0" borderId="6" xfId="27" applyFont="1" applyBorder="1"/>
    <xf numFmtId="0" fontId="29" fillId="10" borderId="9" xfId="27" applyFont="1" applyFill="1" applyBorder="1" applyAlignment="1">
      <alignment horizontal="center"/>
    </xf>
    <xf numFmtId="0" fontId="20" fillId="0" borderId="9" xfId="27" applyFont="1" applyBorder="1" applyAlignment="1">
      <alignment horizontal="right"/>
    </xf>
    <xf numFmtId="172" fontId="28" fillId="0" borderId="7" xfId="27" applyNumberFormat="1" applyFont="1" applyBorder="1"/>
    <xf numFmtId="164" fontId="29" fillId="10" borderId="0" xfId="27" applyNumberFormat="1" applyFont="1" applyFill="1" applyAlignment="1">
      <alignment horizontal="left"/>
    </xf>
    <xf numFmtId="167" fontId="29" fillId="10" borderId="5" xfId="27" applyNumberFormat="1" applyFont="1" applyFill="1" applyBorder="1" applyAlignment="1">
      <alignment horizontal="left"/>
    </xf>
    <xf numFmtId="0" fontId="29" fillId="10" borderId="6" xfId="27" applyFont="1" applyFill="1" applyBorder="1" applyAlignment="1">
      <alignment horizontal="left"/>
    </xf>
    <xf numFmtId="0" fontId="16" fillId="0" borderId="9" xfId="27" applyFont="1" applyBorder="1" applyAlignment="1">
      <alignment horizontal="right"/>
    </xf>
    <xf numFmtId="49" fontId="43" fillId="11" borderId="13" xfId="27" applyNumberFormat="1" applyFont="1" applyFill="1" applyBorder="1" applyAlignment="1">
      <alignment horizontal="left" vertical="center" wrapText="1"/>
    </xf>
    <xf numFmtId="49" fontId="28" fillId="11" borderId="42" xfId="27" applyNumberFormat="1" applyFont="1" applyFill="1" applyBorder="1" applyAlignment="1">
      <alignment horizontal="left" vertical="center" wrapText="1"/>
    </xf>
    <xf numFmtId="49" fontId="43" fillId="11" borderId="42" xfId="27" applyNumberFormat="1" applyFont="1" applyFill="1" applyBorder="1" applyAlignment="1">
      <alignment horizontal="left" vertical="center" wrapText="1"/>
    </xf>
    <xf numFmtId="49" fontId="42" fillId="10" borderId="13" xfId="27" applyNumberFormat="1" applyFont="1" applyFill="1" applyBorder="1" applyAlignment="1">
      <alignment horizontal="left"/>
    </xf>
    <xf numFmtId="189" fontId="42" fillId="10" borderId="10" xfId="27" applyNumberFormat="1" applyFont="1" applyFill="1" applyBorder="1" applyAlignment="1">
      <alignment horizontal="right"/>
    </xf>
    <xf numFmtId="0" fontId="42" fillId="10" borderId="24" xfId="27" applyFont="1" applyFill="1" applyBorder="1" applyAlignment="1">
      <alignment horizontal="left"/>
    </xf>
    <xf numFmtId="0" fontId="41" fillId="10" borderId="13" xfId="27" applyFont="1" applyFill="1" applyBorder="1" applyAlignment="1">
      <alignment horizontal="left"/>
    </xf>
    <xf numFmtId="49" fontId="41" fillId="10" borderId="13" xfId="27" applyNumberFormat="1" applyFont="1" applyFill="1" applyBorder="1" applyAlignment="1">
      <alignment horizontal="left"/>
    </xf>
    <xf numFmtId="189" fontId="41" fillId="10" borderId="13" xfId="27" applyNumberFormat="1" applyFont="1" applyFill="1" applyBorder="1" applyAlignment="1">
      <alignment horizontal="right"/>
    </xf>
    <xf numFmtId="0" fontId="17" fillId="0" borderId="0" xfId="27"/>
    <xf numFmtId="189" fontId="42" fillId="0" borderId="10" xfId="27" applyNumberFormat="1" applyFont="1" applyBorder="1" applyAlignment="1">
      <alignment horizontal="right"/>
    </xf>
    <xf numFmtId="10" fontId="43" fillId="11" borderId="42" xfId="2" applyNumberFormat="1" applyFont="1" applyFill="1" applyBorder="1" applyAlignment="1">
      <alignment horizontal="left" vertical="center" wrapText="1"/>
    </xf>
    <xf numFmtId="49" fontId="43" fillId="11" borderId="42" xfId="0" applyNumberFormat="1" applyFont="1" applyFill="1" applyBorder="1" applyAlignment="1">
      <alignment horizontal="left" vertical="center" wrapText="1"/>
    </xf>
    <xf numFmtId="39" fontId="49" fillId="10" borderId="24" xfId="0" applyNumberFormat="1" applyFont="1" applyFill="1" applyBorder="1" applyAlignment="1">
      <alignment horizontal="right"/>
    </xf>
    <xf numFmtId="9" fontId="39" fillId="0" borderId="0" xfId="2" applyFont="1"/>
    <xf numFmtId="190" fontId="39" fillId="0" borderId="0" xfId="0" applyNumberFormat="1" applyFont="1"/>
    <xf numFmtId="0" fontId="82" fillId="0" borderId="0" xfId="0" quotePrefix="1" applyFont="1"/>
    <xf numFmtId="190" fontId="39" fillId="0" borderId="0" xfId="0" applyNumberFormat="1" applyFont="1" applyAlignment="1">
      <alignment vertical="center"/>
    </xf>
    <xf numFmtId="0" fontId="82" fillId="0" borderId="0" xfId="0" applyFont="1"/>
    <xf numFmtId="190" fontId="13" fillId="0" borderId="0" xfId="1" applyNumberFormat="1" applyFont="1" applyFill="1" applyBorder="1" applyAlignment="1" applyProtection="1">
      <alignment horizontal="left" vertical="top" wrapText="1"/>
      <protection locked="0"/>
    </xf>
    <xf numFmtId="190" fontId="13" fillId="0" borderId="0" xfId="1" applyNumberFormat="1" applyFont="1" applyFill="1" applyBorder="1" applyAlignment="1" applyProtection="1">
      <alignment horizontal="left" vertical="top"/>
      <protection locked="0"/>
    </xf>
    <xf numFmtId="190" fontId="13" fillId="0" borderId="0" xfId="1" applyNumberFormat="1" applyFont="1" applyFill="1" applyBorder="1" applyAlignment="1" applyProtection="1">
      <alignment horizontal="center" vertical="top" wrapText="1"/>
      <protection locked="0"/>
    </xf>
    <xf numFmtId="9" fontId="39" fillId="0" borderId="0" xfId="2" applyFont="1" applyFill="1"/>
    <xf numFmtId="190" fontId="13" fillId="0" borderId="0" xfId="29" applyNumberFormat="1" applyFont="1" applyFill="1" applyBorder="1" applyAlignment="1" applyProtection="1">
      <alignment horizontal="left" vertical="top" wrapText="1"/>
      <protection locked="0"/>
    </xf>
    <xf numFmtId="190" fontId="13" fillId="0" borderId="0" xfId="1" applyNumberFormat="1" applyFont="1" applyFill="1" applyBorder="1" applyAlignment="1" applyProtection="1">
      <alignment vertical="top"/>
      <protection locked="0"/>
    </xf>
    <xf numFmtId="0" fontId="82" fillId="0" borderId="0" xfId="0" applyFont="1" applyAlignment="1">
      <alignment horizontal="center"/>
    </xf>
    <xf numFmtId="190" fontId="13" fillId="0" borderId="0" xfId="29" applyNumberFormat="1" applyFont="1" applyFill="1" applyBorder="1" applyAlignment="1" applyProtection="1">
      <alignment vertical="top"/>
      <protection locked="0"/>
    </xf>
    <xf numFmtId="191" fontId="50" fillId="0" borderId="0" xfId="0" applyNumberFormat="1" applyFont="1"/>
    <xf numFmtId="10" fontId="13" fillId="0" borderId="43" xfId="2" applyNumberFormat="1" applyFont="1" applyBorder="1" applyAlignment="1">
      <alignment horizontal="center"/>
    </xf>
    <xf numFmtId="0" fontId="50" fillId="0" borderId="14" xfId="0" applyFont="1" applyBorder="1"/>
    <xf numFmtId="10" fontId="13" fillId="0" borderId="14" xfId="2" applyNumberFormat="1" applyFont="1" applyFill="1" applyBorder="1" applyAlignment="1">
      <alignment horizontal="center"/>
    </xf>
    <xf numFmtId="0" fontId="13" fillId="0" borderId="14" xfId="0" applyFont="1" applyBorder="1"/>
    <xf numFmtId="0" fontId="13" fillId="0" borderId="39" xfId="0" applyFont="1" applyBorder="1"/>
    <xf numFmtId="190" fontId="13" fillId="31" borderId="44" xfId="1" applyNumberFormat="1" applyFont="1" applyFill="1" applyBorder="1" applyAlignment="1" applyProtection="1">
      <alignment horizontal="center"/>
    </xf>
    <xf numFmtId="190" fontId="13" fillId="0" borderId="0" xfId="1" applyNumberFormat="1" applyFont="1" applyFill="1" applyBorder="1" applyAlignment="1" applyProtection="1">
      <alignment horizontal="center"/>
    </xf>
    <xf numFmtId="0" fontId="13" fillId="0" borderId="38" xfId="0" applyFont="1" applyBorder="1"/>
    <xf numFmtId="190" fontId="13" fillId="0" borderId="45" xfId="1" applyNumberFormat="1" applyFont="1" applyFill="1" applyBorder="1" applyAlignment="1" applyProtection="1">
      <alignment horizontal="center"/>
    </xf>
    <xf numFmtId="0" fontId="50" fillId="0" borderId="16" xfId="0" applyFont="1" applyBorder="1"/>
    <xf numFmtId="190" fontId="13" fillId="0" borderId="16" xfId="1" applyNumberFormat="1" applyFont="1" applyFill="1" applyBorder="1" applyAlignment="1" applyProtection="1">
      <alignment horizontal="center"/>
    </xf>
    <xf numFmtId="0" fontId="13" fillId="0" borderId="16" xfId="0" applyFont="1" applyBorder="1"/>
    <xf numFmtId="0" fontId="13" fillId="0" borderId="37" xfId="0" applyFont="1" applyBorder="1"/>
    <xf numFmtId="190" fontId="13" fillId="14" borderId="0" xfId="0" applyNumberFormat="1" applyFont="1" applyFill="1"/>
    <xf numFmtId="0" fontId="13" fillId="14" borderId="0" xfId="0" applyFont="1" applyFill="1"/>
    <xf numFmtId="192" fontId="13" fillId="0" borderId="0" xfId="0" applyNumberFormat="1" applyFont="1" applyAlignment="1">
      <alignment horizontal="center" vertical="center"/>
    </xf>
    <xf numFmtId="0" fontId="83" fillId="0" borderId="0" xfId="0" applyFont="1"/>
    <xf numFmtId="190" fontId="39" fillId="0" borderId="0" xfId="1" applyNumberFormat="1" applyFont="1" applyFill="1" applyBorder="1" applyAlignment="1" applyProtection="1">
      <alignment horizontal="center"/>
    </xf>
    <xf numFmtId="190" fontId="83" fillId="0" borderId="0" xfId="1" applyNumberFormat="1" applyFont="1" applyFill="1" applyBorder="1" applyAlignment="1" applyProtection="1">
      <alignment horizontal="center"/>
    </xf>
    <xf numFmtId="4" fontId="50" fillId="0" borderId="0" xfId="0" applyNumberFormat="1" applyFont="1" applyAlignment="1">
      <alignment horizontal="center"/>
    </xf>
    <xf numFmtId="190" fontId="84" fillId="0" borderId="0" xfId="1" applyNumberFormat="1" applyFont="1" applyFill="1" applyBorder="1" applyAlignment="1" applyProtection="1">
      <alignment horizontal="center"/>
    </xf>
    <xf numFmtId="0" fontId="48" fillId="0" borderId="0" xfId="0" applyFont="1" applyAlignment="1">
      <alignment horizontal="center"/>
    </xf>
    <xf numFmtId="190" fontId="85" fillId="0" borderId="0" xfId="1" applyNumberFormat="1" applyFont="1" applyFill="1" applyBorder="1" applyAlignment="1" applyProtection="1">
      <alignment horizontal="center"/>
    </xf>
    <xf numFmtId="190" fontId="85" fillId="0" borderId="22" xfId="1" applyNumberFormat="1" applyFont="1" applyFill="1" applyBorder="1" applyAlignment="1" applyProtection="1">
      <alignment horizontal="center"/>
    </xf>
    <xf numFmtId="0" fontId="48" fillId="32" borderId="22" xfId="0" applyFont="1" applyFill="1" applyBorder="1"/>
    <xf numFmtId="190" fontId="84" fillId="0" borderId="38" xfId="1" applyNumberFormat="1" applyFont="1" applyFill="1" applyBorder="1" applyAlignment="1" applyProtection="1">
      <alignment horizontal="center"/>
    </xf>
    <xf numFmtId="190" fontId="84" fillId="0" borderId="44" xfId="1" applyNumberFormat="1" applyFont="1" applyFill="1" applyBorder="1" applyAlignment="1" applyProtection="1">
      <alignment horizontal="center"/>
    </xf>
    <xf numFmtId="193" fontId="85" fillId="0" borderId="0" xfId="1" applyNumberFormat="1" applyFont="1" applyFill="1" applyBorder="1" applyAlignment="1" applyProtection="1">
      <alignment horizontal="center"/>
    </xf>
    <xf numFmtId="193" fontId="48" fillId="0" borderId="0" xfId="0" applyNumberFormat="1" applyFont="1" applyAlignment="1">
      <alignment horizontal="center"/>
    </xf>
    <xf numFmtId="193" fontId="48" fillId="0" borderId="26" xfId="0" applyNumberFormat="1" applyFont="1" applyBorder="1" applyAlignment="1">
      <alignment horizontal="center"/>
    </xf>
    <xf numFmtId="193" fontId="85" fillId="0" borderId="27" xfId="1" applyNumberFormat="1" applyFont="1" applyFill="1" applyBorder="1" applyAlignment="1" applyProtection="1">
      <alignment horizontal="center"/>
    </xf>
    <xf numFmtId="193" fontId="48" fillId="0" borderId="25" xfId="0" applyNumberFormat="1" applyFont="1" applyBorder="1" applyAlignment="1">
      <alignment horizontal="center"/>
    </xf>
    <xf numFmtId="0" fontId="48" fillId="0" borderId="25" xfId="0" applyFont="1" applyBorder="1"/>
    <xf numFmtId="10" fontId="66" fillId="0" borderId="0" xfId="2" applyNumberFormat="1" applyFont="1" applyFill="1" applyBorder="1" applyAlignment="1">
      <alignment horizontal="center" vertical="center"/>
    </xf>
    <xf numFmtId="190" fontId="13" fillId="0" borderId="38" xfId="1" applyNumberFormat="1" applyFont="1" applyFill="1" applyBorder="1" applyAlignment="1" applyProtection="1">
      <alignment horizontal="center"/>
    </xf>
    <xf numFmtId="10" fontId="66" fillId="0" borderId="44" xfId="2" applyNumberFormat="1" applyFont="1" applyFill="1" applyBorder="1" applyAlignment="1">
      <alignment horizontal="center" vertical="center"/>
    </xf>
    <xf numFmtId="0" fontId="50" fillId="0" borderId="0" xfId="0" applyFont="1" applyAlignment="1">
      <alignment horizontal="center"/>
    </xf>
    <xf numFmtId="9" fontId="66" fillId="0" borderId="0" xfId="2" applyFont="1" applyFill="1"/>
    <xf numFmtId="9" fontId="66" fillId="0" borderId="0" xfId="2" applyFont="1"/>
    <xf numFmtId="10" fontId="66" fillId="0" borderId="38" xfId="2" applyNumberFormat="1" applyFont="1" applyFill="1" applyBorder="1" applyAlignment="1">
      <alignment horizontal="center" vertical="center"/>
    </xf>
    <xf numFmtId="0" fontId="66" fillId="0" borderId="0" xfId="0" applyFont="1" applyAlignment="1">
      <alignment horizontal="center" vertical="center"/>
    </xf>
    <xf numFmtId="0" fontId="66" fillId="0" borderId="0" xfId="0" applyFont="1" applyAlignment="1">
      <alignment horizontal="left" vertical="center" indent="1"/>
    </xf>
    <xf numFmtId="0" fontId="50" fillId="0" borderId="38" xfId="0" applyFont="1" applyBorder="1"/>
    <xf numFmtId="0" fontId="50" fillId="0" borderId="44" xfId="0" applyFont="1" applyBorder="1"/>
    <xf numFmtId="190" fontId="48" fillId="0" borderId="0" xfId="0" applyNumberFormat="1" applyFont="1" applyAlignment="1">
      <alignment horizontal="center"/>
    </xf>
    <xf numFmtId="190" fontId="48" fillId="0" borderId="26" xfId="0" applyNumberFormat="1" applyFont="1" applyBorder="1" applyAlignment="1">
      <alignment horizontal="center"/>
    </xf>
    <xf numFmtId="190" fontId="50" fillId="0" borderId="34" xfId="0" applyNumberFormat="1" applyFont="1" applyBorder="1" applyAlignment="1">
      <alignment horizontal="center"/>
    </xf>
    <xf numFmtId="190" fontId="85" fillId="0" borderId="27" xfId="1" applyNumberFormat="1" applyFont="1" applyFill="1" applyBorder="1" applyAlignment="1" applyProtection="1">
      <alignment horizontal="center"/>
    </xf>
    <xf numFmtId="190" fontId="48" fillId="0" borderId="25" xfId="0" applyNumberFormat="1" applyFont="1" applyBorder="1" applyAlignment="1">
      <alignment horizontal="center"/>
    </xf>
    <xf numFmtId="190" fontId="50" fillId="0" borderId="44" xfId="0" applyNumberFormat="1" applyFont="1" applyBorder="1" applyAlignment="1">
      <alignment horizontal="center"/>
    </xf>
    <xf numFmtId="170" fontId="50" fillId="0" borderId="0" xfId="0" applyNumberFormat="1" applyFont="1" applyAlignment="1">
      <alignment horizontal="center"/>
    </xf>
    <xf numFmtId="190" fontId="13" fillId="0" borderId="39" xfId="1" applyNumberFormat="1" applyFont="1" applyFill="1" applyBorder="1" applyAlignment="1" applyProtection="1">
      <alignment horizontal="center"/>
    </xf>
    <xf numFmtId="0" fontId="50" fillId="0" borderId="34" xfId="0" applyFont="1" applyBorder="1" applyAlignment="1">
      <alignment horizontal="center"/>
    </xf>
    <xf numFmtId="170" fontId="50" fillId="0" borderId="43" xfId="0" applyNumberFormat="1" applyFont="1" applyBorder="1" applyAlignment="1">
      <alignment horizontal="center"/>
    </xf>
    <xf numFmtId="190" fontId="13" fillId="0" borderId="14" xfId="1" applyNumberFormat="1" applyFont="1" applyFill="1" applyBorder="1" applyAlignment="1" applyProtection="1">
      <alignment horizontal="center"/>
    </xf>
    <xf numFmtId="0" fontId="50" fillId="0" borderId="44" xfId="0" applyFont="1" applyBorder="1" applyAlignment="1">
      <alignment horizontal="center"/>
    </xf>
    <xf numFmtId="170" fontId="50" fillId="0" borderId="44" xfId="0" applyNumberFormat="1" applyFont="1" applyBorder="1" applyAlignment="1">
      <alignment horizontal="center"/>
    </xf>
    <xf numFmtId="190" fontId="84" fillId="0" borderId="37" xfId="1" applyNumberFormat="1" applyFont="1" applyFill="1" applyBorder="1" applyAlignment="1" applyProtection="1">
      <alignment horizontal="center"/>
    </xf>
    <xf numFmtId="190" fontId="84" fillId="0" borderId="45" xfId="1" applyNumberFormat="1" applyFont="1" applyFill="1" applyBorder="1" applyAlignment="1" applyProtection="1">
      <alignment horizontal="center"/>
    </xf>
    <xf numFmtId="190" fontId="84" fillId="0" borderId="16" xfId="1" applyNumberFormat="1" applyFont="1" applyFill="1" applyBorder="1" applyAlignment="1" applyProtection="1">
      <alignment horizontal="center"/>
    </xf>
    <xf numFmtId="4" fontId="50" fillId="0" borderId="34" xfId="0" applyNumberFormat="1" applyFont="1" applyBorder="1" applyAlignment="1">
      <alignment horizontal="center"/>
    </xf>
    <xf numFmtId="4" fontId="50" fillId="0" borderId="44" xfId="0" applyNumberFormat="1" applyFont="1" applyBorder="1" applyAlignment="1">
      <alignment horizontal="center"/>
    </xf>
    <xf numFmtId="193" fontId="84" fillId="0" borderId="0" xfId="1" applyNumberFormat="1" applyFont="1" applyFill="1" applyBorder="1" applyAlignment="1" applyProtection="1">
      <alignment horizontal="center"/>
    </xf>
    <xf numFmtId="193" fontId="84" fillId="0" borderId="38" xfId="1" applyNumberFormat="1" applyFont="1" applyFill="1" applyBorder="1" applyAlignment="1" applyProtection="1">
      <alignment horizontal="center"/>
    </xf>
    <xf numFmtId="193" fontId="84" fillId="0" borderId="44" xfId="1" applyNumberFormat="1" applyFont="1" applyFill="1" applyBorder="1" applyAlignment="1" applyProtection="1">
      <alignment horizontal="center"/>
    </xf>
    <xf numFmtId="170" fontId="50" fillId="0" borderId="38" xfId="0" applyNumberFormat="1" applyFont="1" applyBorder="1" applyAlignment="1">
      <alignment horizontal="center"/>
    </xf>
    <xf numFmtId="170" fontId="86" fillId="0" borderId="0" xfId="2" applyNumberFormat="1" applyFont="1" applyFill="1" applyBorder="1" applyAlignment="1" applyProtection="1">
      <alignment horizontal="center"/>
    </xf>
    <xf numFmtId="170" fontId="86" fillId="0" borderId="38" xfId="2" applyNumberFormat="1" applyFont="1" applyFill="1" applyBorder="1" applyAlignment="1" applyProtection="1">
      <alignment horizontal="center"/>
    </xf>
    <xf numFmtId="190" fontId="86" fillId="0" borderId="0" xfId="1" applyNumberFormat="1" applyFont="1" applyFill="1" applyBorder="1" applyAlignment="1" applyProtection="1">
      <alignment horizontal="center"/>
    </xf>
    <xf numFmtId="190" fontId="86" fillId="0" borderId="44" xfId="1" applyNumberFormat="1" applyFont="1" applyFill="1" applyBorder="1" applyAlignment="1" applyProtection="1">
      <alignment horizontal="center"/>
    </xf>
    <xf numFmtId="0" fontId="50" fillId="0" borderId="0" xfId="0" applyFont="1" applyAlignment="1">
      <alignment horizontal="center" vertical="center"/>
    </xf>
    <xf numFmtId="0" fontId="50" fillId="0" borderId="0" xfId="0" applyFont="1" applyAlignment="1">
      <alignment horizontal="left"/>
    </xf>
    <xf numFmtId="10" fontId="86" fillId="0" borderId="0" xfId="2" applyNumberFormat="1" applyFont="1" applyFill="1" applyBorder="1" applyAlignment="1" applyProtection="1">
      <alignment horizontal="center"/>
    </xf>
    <xf numFmtId="10" fontId="86" fillId="0" borderId="38" xfId="2" applyNumberFormat="1" applyFont="1" applyFill="1" applyBorder="1" applyAlignment="1" applyProtection="1">
      <alignment horizontal="center"/>
    </xf>
    <xf numFmtId="10" fontId="86" fillId="0" borderId="44" xfId="2" applyNumberFormat="1" applyFont="1" applyFill="1" applyBorder="1" applyAlignment="1" applyProtection="1">
      <alignment horizontal="center"/>
    </xf>
    <xf numFmtId="0" fontId="66" fillId="0" borderId="0" xfId="0" applyFont="1" applyAlignment="1">
      <alignment horizontal="right"/>
    </xf>
    <xf numFmtId="190" fontId="85" fillId="0" borderId="46" xfId="1" applyNumberFormat="1" applyFont="1" applyFill="1" applyBorder="1" applyAlignment="1" applyProtection="1">
      <alignment horizontal="center"/>
    </xf>
    <xf numFmtId="192" fontId="50" fillId="0" borderId="34" xfId="0" applyNumberFormat="1" applyFont="1" applyBorder="1" applyAlignment="1">
      <alignment horizontal="center" vertical="center"/>
    </xf>
    <xf numFmtId="190" fontId="85" fillId="0" borderId="47" xfId="1" applyNumberFormat="1" applyFont="1" applyFill="1" applyBorder="1" applyAlignment="1" applyProtection="1">
      <alignment horizontal="center"/>
    </xf>
    <xf numFmtId="192" fontId="13" fillId="0" borderId="44" xfId="0" applyNumberFormat="1" applyFont="1" applyBorder="1" applyAlignment="1">
      <alignment horizontal="center" vertical="center"/>
    </xf>
    <xf numFmtId="0" fontId="48" fillId="0" borderId="0" xfId="0" applyFont="1" applyAlignment="1">
      <alignment horizontal="center" vertical="center"/>
    </xf>
    <xf numFmtId="0" fontId="50" fillId="0" borderId="0" xfId="0" quotePrefix="1" applyFont="1" applyAlignment="1">
      <alignment horizontal="right"/>
    </xf>
    <xf numFmtId="190" fontId="13" fillId="0" borderId="44" xfId="1" applyNumberFormat="1" applyFont="1" applyFill="1" applyBorder="1" applyAlignment="1" applyProtection="1">
      <alignment horizontal="center"/>
    </xf>
    <xf numFmtId="10" fontId="50" fillId="31" borderId="0" xfId="0" applyNumberFormat="1" applyFont="1" applyFill="1" applyAlignment="1">
      <alignment horizontal="center" vertical="center"/>
    </xf>
    <xf numFmtId="0" fontId="13" fillId="0" borderId="0" xfId="0" applyFont="1" applyAlignment="1">
      <alignment horizontal="center" vertical="center"/>
    </xf>
    <xf numFmtId="0" fontId="13" fillId="0" borderId="0" xfId="0" applyFont="1" applyAlignment="1">
      <alignment vertical="center"/>
    </xf>
    <xf numFmtId="0" fontId="48" fillId="0" borderId="0" xfId="0" applyFont="1" applyAlignment="1">
      <alignment horizontal="center" vertical="center" wrapText="1"/>
    </xf>
    <xf numFmtId="0" fontId="48" fillId="0" borderId="38" xfId="0" applyFont="1" applyBorder="1" applyAlignment="1">
      <alignment horizontal="center" vertical="center" wrapText="1"/>
    </xf>
    <xf numFmtId="0" fontId="48" fillId="0" borderId="34" xfId="0" applyFont="1" applyBorder="1" applyAlignment="1">
      <alignment horizontal="center" vertical="center" wrapText="1"/>
    </xf>
    <xf numFmtId="0" fontId="48" fillId="0" borderId="44" xfId="0" applyFont="1" applyBorder="1" applyAlignment="1">
      <alignment horizontal="center" vertical="center" wrapText="1"/>
    </xf>
    <xf numFmtId="17" fontId="48" fillId="0" borderId="0" xfId="0" applyNumberFormat="1" applyFont="1" applyAlignment="1">
      <alignment horizontal="center" vertical="center"/>
    </xf>
    <xf numFmtId="9" fontId="48" fillId="0" borderId="0" xfId="0" applyNumberFormat="1" applyFont="1" applyAlignment="1">
      <alignment horizontal="center" vertical="center"/>
    </xf>
    <xf numFmtId="9" fontId="48" fillId="0" borderId="38" xfId="0" applyNumberFormat="1" applyFont="1" applyBorder="1" applyAlignment="1">
      <alignment horizontal="center" vertical="center"/>
    </xf>
    <xf numFmtId="0" fontId="50" fillId="0" borderId="34" xfId="0" applyFont="1" applyBorder="1"/>
    <xf numFmtId="17" fontId="48" fillId="0" borderId="44" xfId="0" applyNumberFormat="1" applyFont="1" applyBorder="1" applyAlignment="1">
      <alignment horizontal="center" vertical="center"/>
    </xf>
    <xf numFmtId="17" fontId="48" fillId="0" borderId="34" xfId="0" applyNumberFormat="1" applyFont="1" applyBorder="1" applyAlignment="1">
      <alignment horizontal="center"/>
    </xf>
    <xf numFmtId="17" fontId="48" fillId="0" borderId="44" xfId="0" applyNumberFormat="1" applyFont="1" applyBorder="1" applyAlignment="1">
      <alignment horizontal="center"/>
    </xf>
    <xf numFmtId="0" fontId="87" fillId="0" borderId="0" xfId="0" applyFont="1"/>
    <xf numFmtId="191" fontId="48" fillId="0" borderId="14" xfId="0" applyNumberFormat="1" applyFont="1" applyBorder="1"/>
    <xf numFmtId="191" fontId="39" fillId="2" borderId="0" xfId="0" applyNumberFormat="1" applyFont="1" applyFill="1"/>
    <xf numFmtId="191" fontId="50" fillId="2" borderId="0" xfId="0" applyNumberFormat="1" applyFont="1" applyFill="1"/>
    <xf numFmtId="0" fontId="21" fillId="0" borderId="0" xfId="0" applyFont="1"/>
    <xf numFmtId="16" fontId="0" fillId="0" borderId="0" xfId="0" quotePrefix="1" applyNumberFormat="1"/>
    <xf numFmtId="0" fontId="0" fillId="30" borderId="0" xfId="0" quotePrefix="1" applyFill="1"/>
    <xf numFmtId="165" fontId="88" fillId="0" borderId="0" xfId="0" applyNumberFormat="1" applyFont="1"/>
    <xf numFmtId="165" fontId="16" fillId="0" borderId="25" xfId="0" applyNumberFormat="1" applyFont="1" applyBorder="1"/>
    <xf numFmtId="10" fontId="16" fillId="0" borderId="24" xfId="0" applyNumberFormat="1" applyFont="1" applyBorder="1"/>
    <xf numFmtId="0" fontId="16" fillId="0" borderId="14" xfId="0" applyFont="1" applyBorder="1" applyAlignment="1">
      <alignment horizontal="center"/>
    </xf>
    <xf numFmtId="10" fontId="16" fillId="0" borderId="22" xfId="0" applyNumberFormat="1" applyFont="1" applyBorder="1"/>
    <xf numFmtId="165" fontId="12" fillId="0" borderId="25" xfId="0" applyNumberFormat="1" applyFont="1" applyBorder="1"/>
    <xf numFmtId="10" fontId="8" fillId="0" borderId="25" xfId="0" applyNumberFormat="1" applyFont="1" applyBorder="1"/>
    <xf numFmtId="165" fontId="6" fillId="0" borderId="25" xfId="0" applyNumberFormat="1" applyFont="1" applyBorder="1"/>
    <xf numFmtId="172" fontId="6" fillId="0" borderId="25" xfId="0" applyNumberFormat="1" applyFont="1" applyBorder="1"/>
    <xf numFmtId="172" fontId="6" fillId="3" borderId="25" xfId="0" applyNumberFormat="1" applyFont="1" applyFill="1" applyBorder="1" applyAlignment="1">
      <alignment horizontal="center" vertical="center" wrapText="1"/>
    </xf>
    <xf numFmtId="172" fontId="6" fillId="6" borderId="25" xfId="0" applyNumberFormat="1" applyFont="1" applyFill="1" applyBorder="1" applyAlignment="1">
      <alignment horizontal="center" vertical="center" wrapText="1"/>
    </xf>
    <xf numFmtId="172" fontId="6" fillId="7" borderId="25" xfId="0" applyNumberFormat="1" applyFont="1" applyFill="1" applyBorder="1" applyAlignment="1">
      <alignment horizontal="center" vertical="center" wrapText="1"/>
    </xf>
    <xf numFmtId="172" fontId="6" fillId="8" borderId="25" xfId="0" applyNumberFormat="1" applyFont="1" applyFill="1" applyBorder="1" applyAlignment="1">
      <alignment horizontal="center" vertical="center" wrapText="1"/>
    </xf>
    <xf numFmtId="172" fontId="6" fillId="9" borderId="25" xfId="0" applyNumberFormat="1" applyFont="1" applyFill="1" applyBorder="1" applyAlignment="1">
      <alignment horizontal="center" vertical="center" wrapText="1"/>
    </xf>
    <xf numFmtId="0" fontId="3" fillId="0" borderId="0" xfId="0" applyFont="1"/>
    <xf numFmtId="164" fontId="16" fillId="0" borderId="22" xfId="0" applyNumberFormat="1" applyFont="1" applyBorder="1"/>
    <xf numFmtId="172" fontId="3" fillId="0" borderId="0" xfId="0" applyNumberFormat="1" applyFont="1"/>
    <xf numFmtId="165" fontId="3" fillId="0" borderId="0" xfId="0" applyNumberFormat="1" applyFont="1"/>
    <xf numFmtId="164" fontId="3" fillId="0" borderId="0" xfId="0" applyNumberFormat="1" applyFont="1"/>
    <xf numFmtId="165" fontId="0" fillId="0" borderId="25" xfId="0" applyNumberFormat="1" applyBorder="1"/>
    <xf numFmtId="165" fontId="0" fillId="0" borderId="22" xfId="0" applyNumberFormat="1" applyBorder="1"/>
    <xf numFmtId="0" fontId="88" fillId="0" borderId="0" xfId="0" applyFont="1"/>
    <xf numFmtId="0" fontId="23" fillId="12" borderId="23" xfId="0" applyFont="1" applyFill="1" applyBorder="1"/>
    <xf numFmtId="0" fontId="90" fillId="0" borderId="0" xfId="0" applyFont="1" applyAlignment="1">
      <alignment horizontal="left"/>
    </xf>
    <xf numFmtId="0" fontId="90" fillId="15" borderId="0" xfId="0" applyFont="1" applyFill="1"/>
    <xf numFmtId="0" fontId="6" fillId="15" borderId="0" xfId="0" applyFont="1" applyFill="1" applyAlignment="1">
      <alignment horizontal="left"/>
    </xf>
    <xf numFmtId="0" fontId="23" fillId="2" borderId="0" xfId="0" applyFont="1" applyFill="1"/>
    <xf numFmtId="164" fontId="16" fillId="2" borderId="0" xfId="1" applyFont="1" applyFill="1" applyAlignment="1">
      <alignment horizontal="left"/>
    </xf>
    <xf numFmtId="164" fontId="16" fillId="0" borderId="0" xfId="1" applyFont="1" applyAlignment="1">
      <alignment horizontal="left"/>
    </xf>
    <xf numFmtId="0" fontId="23" fillId="0" borderId="23" xfId="0" applyFont="1" applyBorder="1"/>
    <xf numFmtId="0" fontId="23" fillId="0" borderId="23" xfId="0" applyFont="1" applyBorder="1" applyAlignment="1">
      <alignment horizontal="left"/>
    </xf>
    <xf numFmtId="0" fontId="90" fillId="15" borderId="23" xfId="0" applyFont="1" applyFill="1" applyBorder="1" applyAlignment="1">
      <alignment horizontal="left"/>
    </xf>
    <xf numFmtId="164" fontId="16" fillId="15" borderId="0" xfId="1" applyFont="1" applyFill="1" applyAlignment="1">
      <alignment horizontal="left"/>
    </xf>
    <xf numFmtId="0" fontId="91" fillId="0" borderId="0" xfId="30" applyFont="1"/>
    <xf numFmtId="164" fontId="16" fillId="15" borderId="0" xfId="1" applyFont="1" applyFill="1"/>
    <xf numFmtId="164" fontId="6" fillId="15" borderId="0" xfId="1" applyFont="1" applyFill="1"/>
    <xf numFmtId="0" fontId="92" fillId="0" borderId="0" xfId="27" applyFont="1"/>
    <xf numFmtId="168" fontId="93" fillId="10" borderId="24" xfId="27" applyNumberFormat="1" applyFont="1" applyFill="1" applyBorder="1" applyAlignment="1">
      <alignment horizontal="right"/>
    </xf>
    <xf numFmtId="178" fontId="41" fillId="10" borderId="10" xfId="27" applyNumberFormat="1" applyFont="1" applyFill="1" applyBorder="1" applyAlignment="1">
      <alignment horizontal="right"/>
    </xf>
    <xf numFmtId="168" fontId="49" fillId="10" borderId="24" xfId="27" applyNumberFormat="1" applyFont="1" applyFill="1" applyBorder="1" applyAlignment="1">
      <alignment horizontal="right"/>
    </xf>
    <xf numFmtId="178" fontId="42" fillId="10" borderId="10" xfId="27" applyNumberFormat="1" applyFont="1" applyFill="1" applyBorder="1" applyAlignment="1">
      <alignment horizontal="right"/>
    </xf>
    <xf numFmtId="168" fontId="49" fillId="10" borderId="24" xfId="27" applyNumberFormat="1" applyFont="1" applyFill="1" applyBorder="1" applyAlignment="1">
      <alignment horizontal="left"/>
    </xf>
    <xf numFmtId="178" fontId="44" fillId="10" borderId="10" xfId="27" applyNumberFormat="1" applyFont="1" applyFill="1" applyBorder="1" applyAlignment="1">
      <alignment horizontal="right"/>
    </xf>
    <xf numFmtId="168" fontId="44" fillId="0" borderId="0" xfId="27" applyNumberFormat="1" applyFont="1" applyAlignment="1">
      <alignment horizontal="right"/>
    </xf>
    <xf numFmtId="168" fontId="49" fillId="33" borderId="24" xfId="27" applyNumberFormat="1" applyFont="1" applyFill="1" applyBorder="1" applyAlignment="1">
      <alignment horizontal="right"/>
    </xf>
    <xf numFmtId="0" fontId="42" fillId="33" borderId="24" xfId="27" applyFont="1" applyFill="1" applyBorder="1" applyAlignment="1">
      <alignment horizontal="left"/>
    </xf>
    <xf numFmtId="168" fontId="44" fillId="33" borderId="13" xfId="27" applyNumberFormat="1" applyFont="1" applyFill="1" applyBorder="1" applyAlignment="1">
      <alignment horizontal="right"/>
    </xf>
    <xf numFmtId="0" fontId="42" fillId="33" borderId="13" xfId="27" applyFont="1" applyFill="1" applyBorder="1" applyAlignment="1">
      <alignment horizontal="left"/>
    </xf>
    <xf numFmtId="49" fontId="42" fillId="33" borderId="13" xfId="27" applyNumberFormat="1" applyFont="1" applyFill="1" applyBorder="1" applyAlignment="1">
      <alignment horizontal="left"/>
    </xf>
    <xf numFmtId="10" fontId="43" fillId="11" borderId="42" xfId="31" applyNumberFormat="1" applyFont="1" applyFill="1" applyBorder="1" applyAlignment="1">
      <alignment horizontal="left" vertical="center" wrapText="1"/>
    </xf>
    <xf numFmtId="0" fontId="94" fillId="0" borderId="0" xfId="0" applyFont="1"/>
    <xf numFmtId="0" fontId="95" fillId="12" borderId="23" xfId="27" applyFont="1" applyFill="1" applyBorder="1"/>
    <xf numFmtId="0" fontId="96" fillId="0" borderId="0" xfId="27" applyFont="1"/>
    <xf numFmtId="0" fontId="80" fillId="0" borderId="0" xfId="27" applyFont="1"/>
    <xf numFmtId="0" fontId="97" fillId="0" borderId="0" xfId="27" applyFont="1"/>
    <xf numFmtId="164" fontId="96" fillId="0" borderId="0" xfId="28" applyFont="1"/>
    <xf numFmtId="164" fontId="80" fillId="0" borderId="0" xfId="27" applyNumberFormat="1" applyFont="1"/>
    <xf numFmtId="0" fontId="95" fillId="12" borderId="28" xfId="27" applyFont="1" applyFill="1" applyBorder="1"/>
    <xf numFmtId="164" fontId="95" fillId="12" borderId="28" xfId="28" applyFont="1" applyFill="1" applyBorder="1"/>
    <xf numFmtId="0" fontId="96" fillId="0" borderId="0" xfId="27" applyFont="1" applyAlignment="1">
      <alignment horizontal="left"/>
    </xf>
    <xf numFmtId="0" fontId="96" fillId="0" borderId="0" xfId="27" applyFont="1" applyAlignment="1">
      <alignment horizontal="right"/>
    </xf>
    <xf numFmtId="164" fontId="96" fillId="0" borderId="14" xfId="28" applyFont="1" applyBorder="1"/>
    <xf numFmtId="164" fontId="96" fillId="0" borderId="0" xfId="27" applyNumberFormat="1" applyFont="1"/>
    <xf numFmtId="168" fontId="92" fillId="0" borderId="0" xfId="27" applyNumberFormat="1" applyFont="1" applyAlignment="1">
      <alignment horizontal="right" vertical="center"/>
    </xf>
    <xf numFmtId="0" fontId="98" fillId="0" borderId="0" xfId="27" applyFont="1" applyAlignment="1">
      <alignment vertical="center"/>
    </xf>
    <xf numFmtId="0" fontId="92" fillId="0" borderId="0" xfId="27" applyFont="1" applyAlignment="1">
      <alignment vertical="center"/>
    </xf>
    <xf numFmtId="0" fontId="99" fillId="0" borderId="0" xfId="27" applyFont="1"/>
    <xf numFmtId="167" fontId="16" fillId="0" borderId="0" xfId="1" applyNumberFormat="1" applyFont="1"/>
    <xf numFmtId="167" fontId="6" fillId="15" borderId="0" xfId="1" applyNumberFormat="1" applyFont="1" applyFill="1"/>
    <xf numFmtId="167" fontId="28" fillId="15" borderId="16" xfId="0" applyNumberFormat="1" applyFont="1" applyFill="1" applyBorder="1"/>
    <xf numFmtId="167" fontId="16" fillId="0" borderId="15" xfId="0" applyNumberFormat="1" applyFont="1" applyBorder="1"/>
    <xf numFmtId="0" fontId="100" fillId="0" borderId="0" xfId="27" applyFont="1"/>
    <xf numFmtId="0" fontId="100" fillId="0" borderId="0" xfId="27" applyFont="1" applyAlignment="1">
      <alignment horizontal="center"/>
    </xf>
    <xf numFmtId="0" fontId="100" fillId="0" borderId="0" xfId="0" applyFont="1"/>
    <xf numFmtId="0" fontId="101" fillId="0" borderId="0" xfId="27" applyFont="1"/>
    <xf numFmtId="0" fontId="35" fillId="12" borderId="23" xfId="27" applyFont="1" applyFill="1" applyBorder="1"/>
    <xf numFmtId="0" fontId="102" fillId="0" borderId="0" xfId="27" applyFont="1"/>
    <xf numFmtId="167" fontId="101" fillId="0" borderId="0" xfId="27" applyNumberFormat="1" applyFont="1"/>
    <xf numFmtId="0" fontId="35" fillId="12" borderId="28" xfId="27" applyFont="1" applyFill="1" applyBorder="1"/>
    <xf numFmtId="167" fontId="35" fillId="12" borderId="28" xfId="27" applyNumberFormat="1" applyFont="1" applyFill="1" applyBorder="1"/>
    <xf numFmtId="165" fontId="20" fillId="0" borderId="0" xfId="0" applyNumberFormat="1" applyFont="1"/>
    <xf numFmtId="0" fontId="51" fillId="0" borderId="0" xfId="27" applyFont="1"/>
    <xf numFmtId="167" fontId="81" fillId="0" borderId="0" xfId="28" applyNumberFormat="1" applyFont="1"/>
    <xf numFmtId="164" fontId="101" fillId="0" borderId="0" xfId="28" applyFont="1"/>
    <xf numFmtId="0" fontId="5" fillId="0" borderId="0" xfId="27" applyFont="1"/>
    <xf numFmtId="164" fontId="35" fillId="12" borderId="28" xfId="28" applyFont="1" applyFill="1" applyBorder="1"/>
    <xf numFmtId="164" fontId="101" fillId="0" borderId="0" xfId="27" applyNumberFormat="1" applyFont="1"/>
    <xf numFmtId="0" fontId="103" fillId="0" borderId="0" xfId="27" applyFont="1"/>
    <xf numFmtId="49" fontId="42" fillId="17" borderId="13" xfId="0" applyNumberFormat="1" applyFont="1" applyFill="1" applyBorder="1" applyAlignment="1">
      <alignment horizontal="left" vertical="center" wrapText="1"/>
    </xf>
    <xf numFmtId="49" fontId="42" fillId="17" borderId="13" xfId="0" applyNumberFormat="1" applyFont="1" applyFill="1" applyBorder="1" applyAlignment="1">
      <alignment horizontal="right" vertical="center" wrapText="1"/>
    </xf>
    <xf numFmtId="178" fontId="42" fillId="17" borderId="13" xfId="0" applyNumberFormat="1" applyFont="1" applyFill="1" applyBorder="1" applyAlignment="1">
      <alignment horizontal="right" vertical="center" wrapText="1"/>
    </xf>
    <xf numFmtId="178" fontId="44" fillId="10" borderId="13" xfId="0" applyNumberFormat="1" applyFont="1" applyFill="1" applyBorder="1" applyAlignment="1">
      <alignment horizontal="right" vertical="center" wrapText="1"/>
    </xf>
    <xf numFmtId="178" fontId="44" fillId="17" borderId="13" xfId="0" applyNumberFormat="1" applyFont="1" applyFill="1" applyBorder="1" applyAlignment="1">
      <alignment horizontal="right" vertical="center" wrapText="1"/>
    </xf>
    <xf numFmtId="0" fontId="42" fillId="0" borderId="0" xfId="0" applyFont="1" applyAlignment="1">
      <alignment horizontal="left"/>
    </xf>
    <xf numFmtId="0" fontId="5" fillId="0" borderId="0" xfId="27" applyFont="1" applyAlignment="1">
      <alignment horizontal="left"/>
    </xf>
    <xf numFmtId="167" fontId="101" fillId="0" borderId="0" xfId="28" applyNumberFormat="1" applyFont="1"/>
    <xf numFmtId="164" fontId="5" fillId="0" borderId="16" xfId="27" applyNumberFormat="1" applyFont="1" applyBorder="1"/>
    <xf numFmtId="164" fontId="101" fillId="0" borderId="14" xfId="28" applyFont="1" applyBorder="1"/>
    <xf numFmtId="49" fontId="102" fillId="11" borderId="13" xfId="0" applyNumberFormat="1" applyFont="1" applyFill="1" applyBorder="1" applyAlignment="1">
      <alignment horizontal="center" wrapText="1"/>
    </xf>
    <xf numFmtId="49" fontId="104" fillId="17" borderId="13" xfId="0" applyNumberFormat="1" applyFont="1" applyFill="1" applyBorder="1" applyAlignment="1">
      <alignment horizontal="left" vertical="center" wrapText="1"/>
    </xf>
    <xf numFmtId="49" fontId="104" fillId="17" borderId="13" xfId="0" applyNumberFormat="1" applyFont="1" applyFill="1" applyBorder="1" applyAlignment="1">
      <alignment horizontal="right" vertical="center" wrapText="1"/>
    </xf>
    <xf numFmtId="178" fontId="104" fillId="17" borderId="13" xfId="0" applyNumberFormat="1" applyFont="1" applyFill="1" applyBorder="1" applyAlignment="1">
      <alignment horizontal="right" vertical="center" wrapText="1"/>
    </xf>
    <xf numFmtId="0" fontId="104" fillId="0" borderId="0" xfId="0" applyFont="1" applyAlignment="1">
      <alignment horizontal="left"/>
    </xf>
    <xf numFmtId="49" fontId="104" fillId="10" borderId="13" xfId="0" applyNumberFormat="1" applyFont="1" applyFill="1" applyBorder="1" applyAlignment="1">
      <alignment horizontal="left" vertical="center" wrapText="1"/>
    </xf>
    <xf numFmtId="49" fontId="104" fillId="10" borderId="13" xfId="0" applyNumberFormat="1" applyFont="1" applyFill="1" applyBorder="1" applyAlignment="1">
      <alignment horizontal="right" vertical="center" wrapText="1"/>
    </xf>
    <xf numFmtId="178" fontId="34" fillId="10" borderId="13" xfId="0" applyNumberFormat="1" applyFont="1" applyFill="1" applyBorder="1" applyAlignment="1">
      <alignment horizontal="right" vertical="center" wrapText="1"/>
    </xf>
    <xf numFmtId="178" fontId="34" fillId="17" borderId="13" xfId="0" applyNumberFormat="1" applyFont="1" applyFill="1" applyBorder="1" applyAlignment="1">
      <alignment horizontal="right" vertical="center" wrapText="1"/>
    </xf>
    <xf numFmtId="178" fontId="104" fillId="10" borderId="13" xfId="0" applyNumberFormat="1" applyFont="1" applyFill="1" applyBorder="1" applyAlignment="1">
      <alignment horizontal="right" vertical="center" wrapText="1"/>
    </xf>
    <xf numFmtId="0" fontId="19" fillId="0" borderId="0" xfId="0" quotePrefix="1" applyFont="1"/>
    <xf numFmtId="49" fontId="16" fillId="0" borderId="0" xfId="0" applyNumberFormat="1" applyFont="1" applyAlignment="1">
      <alignment horizontal="center"/>
    </xf>
    <xf numFmtId="0" fontId="16" fillId="2" borderId="0" xfId="0" applyFont="1" applyFill="1" applyAlignment="1">
      <alignment horizontal="center"/>
    </xf>
    <xf numFmtId="0" fontId="16" fillId="2" borderId="0" xfId="0" applyFont="1" applyFill="1"/>
    <xf numFmtId="165" fontId="16" fillId="2" borderId="0" xfId="0" applyNumberFormat="1" applyFont="1" applyFill="1"/>
    <xf numFmtId="165" fontId="88" fillId="2" borderId="0" xfId="0" applyNumberFormat="1" applyFont="1" applyFill="1"/>
    <xf numFmtId="165" fontId="19" fillId="2" borderId="0" xfId="0" applyNumberFormat="1" applyFont="1" applyFill="1"/>
    <xf numFmtId="172" fontId="19" fillId="2" borderId="0" xfId="0" applyNumberFormat="1" applyFont="1" applyFill="1"/>
    <xf numFmtId="165" fontId="19" fillId="0" borderId="0" xfId="0" quotePrefix="1" applyNumberFormat="1" applyFont="1"/>
    <xf numFmtId="172" fontId="16" fillId="2" borderId="0" xfId="0" applyNumberFormat="1" applyFont="1" applyFill="1"/>
    <xf numFmtId="165" fontId="19" fillId="34" borderId="0" xfId="0" applyNumberFormat="1" applyFont="1" applyFill="1"/>
    <xf numFmtId="165" fontId="16" fillId="34" borderId="0" xfId="0" applyNumberFormat="1" applyFont="1" applyFill="1"/>
    <xf numFmtId="172" fontId="19" fillId="34" borderId="0" xfId="0" applyNumberFormat="1" applyFont="1" applyFill="1"/>
    <xf numFmtId="177" fontId="16" fillId="0" borderId="0" xfId="0" applyNumberFormat="1" applyFont="1" applyAlignment="1">
      <alignment vertical="center"/>
    </xf>
    <xf numFmtId="176" fontId="16" fillId="0" borderId="0" xfId="0" applyNumberFormat="1" applyFont="1" applyAlignment="1">
      <alignment vertical="center"/>
    </xf>
    <xf numFmtId="176" fontId="16" fillId="0" borderId="0" xfId="0" applyNumberFormat="1" applyFont="1"/>
    <xf numFmtId="0" fontId="105" fillId="0" borderId="0" xfId="0" applyFont="1" applyAlignment="1">
      <alignment wrapText="1"/>
    </xf>
    <xf numFmtId="194" fontId="16" fillId="0" borderId="0" xfId="0" applyNumberFormat="1" applyFont="1"/>
    <xf numFmtId="0" fontId="1" fillId="0" borderId="0" xfId="0" applyFont="1" applyAlignment="1">
      <alignment horizontal="center"/>
    </xf>
    <xf numFmtId="165" fontId="1" fillId="0" borderId="0" xfId="0" applyNumberFormat="1" applyFont="1"/>
    <xf numFmtId="165" fontId="1" fillId="0" borderId="0" xfId="0" applyNumberFormat="1" applyFont="1" applyAlignment="1">
      <alignment horizontal="center"/>
    </xf>
    <xf numFmtId="0" fontId="19" fillId="0" borderId="0" xfId="0" applyFont="1" applyAlignment="1">
      <alignment vertical="center"/>
    </xf>
    <xf numFmtId="177" fontId="19" fillId="0" borderId="0" xfId="0" applyNumberFormat="1" applyFont="1" applyAlignment="1">
      <alignment vertical="center"/>
    </xf>
    <xf numFmtId="176" fontId="19" fillId="0" borderId="0" xfId="0" applyNumberFormat="1" applyFont="1" applyAlignment="1">
      <alignment vertical="center"/>
    </xf>
    <xf numFmtId="165" fontId="19" fillId="0" borderId="0" xfId="0" applyNumberFormat="1" applyFont="1" applyAlignment="1">
      <alignment vertical="center"/>
    </xf>
    <xf numFmtId="10" fontId="19" fillId="0" borderId="0" xfId="0" applyNumberFormat="1" applyFont="1" applyAlignment="1">
      <alignment vertical="center"/>
    </xf>
    <xf numFmtId="172" fontId="16" fillId="0" borderId="0" xfId="1" applyNumberFormat="1" applyFont="1" applyFill="1"/>
    <xf numFmtId="165" fontId="38" fillId="0" borderId="0" xfId="0" applyNumberFormat="1" applyFont="1" applyAlignment="1">
      <alignment horizontal="center"/>
    </xf>
    <xf numFmtId="172" fontId="16" fillId="0" borderId="0" xfId="32" applyNumberFormat="1" applyFont="1"/>
    <xf numFmtId="0" fontId="16" fillId="0" borderId="0" xfId="32" applyNumberFormat="1" applyFont="1"/>
    <xf numFmtId="0" fontId="16" fillId="0" borderId="0" xfId="32" applyNumberFormat="1" applyFont="1" applyAlignment="1">
      <alignment horizontal="center"/>
    </xf>
    <xf numFmtId="0" fontId="6" fillId="0" borderId="0" xfId="32" applyNumberFormat="1" applyFont="1" applyBorder="1" applyAlignment="1">
      <alignment horizontal="left"/>
    </xf>
    <xf numFmtId="0" fontId="16" fillId="0" borderId="0" xfId="32" applyNumberFormat="1" applyFont="1" applyBorder="1" applyAlignment="1">
      <alignment horizontal="center"/>
    </xf>
    <xf numFmtId="0" fontId="16" fillId="0" borderId="0" xfId="33" applyFont="1"/>
    <xf numFmtId="0" fontId="16" fillId="0" borderId="0" xfId="33" applyFont="1" applyAlignment="1">
      <alignment horizontal="center" wrapText="1"/>
    </xf>
    <xf numFmtId="0" fontId="6" fillId="0" borderId="0" xfId="33" applyFont="1"/>
    <xf numFmtId="0" fontId="6" fillId="0" borderId="0" xfId="33" applyFont="1" applyAlignment="1">
      <alignment horizontal="center" wrapText="1"/>
    </xf>
    <xf numFmtId="0" fontId="19" fillId="0" borderId="0" xfId="33" applyFont="1"/>
    <xf numFmtId="177" fontId="6" fillId="0" borderId="0" xfId="34" applyNumberFormat="1" applyFont="1"/>
    <xf numFmtId="196" fontId="19" fillId="0" borderId="0" xfId="39" applyNumberFormat="1" applyFont="1" applyAlignment="1" applyProtection="1">
      <alignment horizontal="center"/>
      <protection locked="0"/>
    </xf>
    <xf numFmtId="0" fontId="106" fillId="0" borderId="14" xfId="39" applyFont="1" applyBorder="1" applyAlignment="1">
      <alignment horizontal="center"/>
    </xf>
    <xf numFmtId="0" fontId="19" fillId="0" borderId="14" xfId="39" quotePrefix="1" applyFont="1" applyBorder="1" applyAlignment="1">
      <alignment horizontal="center"/>
    </xf>
    <xf numFmtId="172" fontId="16" fillId="0" borderId="0" xfId="32" applyNumberFormat="1" applyFont="1" applyFill="1" applyBorder="1"/>
    <xf numFmtId="169" fontId="19" fillId="0" borderId="0" xfId="35" applyNumberFormat="1" applyFont="1" applyFill="1" applyBorder="1"/>
    <xf numFmtId="172" fontId="16" fillId="0" borderId="0" xfId="32" applyNumberFormat="1" applyFont="1" applyFill="1" applyBorder="1" applyAlignment="1">
      <alignment horizontal="left" indent="1"/>
    </xf>
    <xf numFmtId="169" fontId="20" fillId="0" borderId="22" xfId="35" applyNumberFormat="1" applyFont="1" applyFill="1" applyBorder="1"/>
    <xf numFmtId="172" fontId="6" fillId="14" borderId="24" xfId="1" applyNumberFormat="1" applyFont="1" applyFill="1" applyBorder="1" applyAlignment="1">
      <alignment horizontal="center" vertical="center" wrapText="1"/>
    </xf>
    <xf numFmtId="172" fontId="20" fillId="0" borderId="24" xfId="1" applyNumberFormat="1" applyFont="1" applyFill="1" applyBorder="1" applyAlignment="1">
      <alignment horizontal="center" wrapText="1"/>
    </xf>
    <xf numFmtId="0" fontId="6" fillId="0" borderId="24" xfId="0" applyFont="1" applyBorder="1" applyAlignment="1">
      <alignment horizontal="center" vertical="center"/>
    </xf>
    <xf numFmtId="0" fontId="16" fillId="0" borderId="0" xfId="0" quotePrefix="1" applyFont="1" applyAlignment="1">
      <alignment horizontal="center" wrapText="1"/>
    </xf>
    <xf numFmtId="0" fontId="6" fillId="0" borderId="0" xfId="0" applyFont="1" applyAlignment="1">
      <alignment horizontal="center" wrapText="1"/>
    </xf>
    <xf numFmtId="172" fontId="6" fillId="0" borderId="16" xfId="0" applyNumberFormat="1" applyFont="1" applyBorder="1"/>
    <xf numFmtId="195" fontId="16" fillId="0" borderId="0" xfId="2" applyNumberFormat="1" applyFont="1"/>
    <xf numFmtId="0" fontId="3" fillId="0" borderId="0" xfId="7"/>
    <xf numFmtId="0" fontId="3" fillId="0" borderId="0" xfId="7" applyAlignment="1">
      <alignment horizontal="center"/>
    </xf>
    <xf numFmtId="0" fontId="3" fillId="0" borderId="14" xfId="7" applyBorder="1" applyAlignment="1">
      <alignment horizontal="center"/>
    </xf>
    <xf numFmtId="14" fontId="3" fillId="0" borderId="0" xfId="7" applyNumberFormat="1" applyAlignment="1">
      <alignment horizontal="center"/>
    </xf>
    <xf numFmtId="165" fontId="3" fillId="0" borderId="0" xfId="7" applyNumberFormat="1"/>
    <xf numFmtId="0" fontId="16" fillId="0" borderId="0" xfId="7" applyFont="1"/>
    <xf numFmtId="0" fontId="3" fillId="0" borderId="0" xfId="7" applyAlignment="1">
      <alignment horizontal="right"/>
    </xf>
    <xf numFmtId="182" fontId="3" fillId="0" borderId="0" xfId="7" applyNumberFormat="1" applyAlignment="1">
      <alignment horizontal="center"/>
    </xf>
    <xf numFmtId="0" fontId="3" fillId="0" borderId="0" xfId="7" applyAlignment="1">
      <alignment wrapText="1"/>
    </xf>
    <xf numFmtId="165" fontId="3" fillId="0" borderId="22" xfId="7" applyNumberFormat="1" applyBorder="1"/>
    <xf numFmtId="169" fontId="0" fillId="0" borderId="0" xfId="0" applyNumberFormat="1"/>
    <xf numFmtId="10" fontId="5" fillId="0" borderId="24" xfId="2" applyNumberFormat="1" applyFont="1" applyFill="1" applyBorder="1"/>
    <xf numFmtId="10" fontId="5" fillId="0" borderId="0" xfId="2" applyNumberFormat="1" applyFont="1" applyFill="1" applyBorder="1"/>
    <xf numFmtId="0" fontId="78" fillId="0" borderId="0" xfId="0" applyFont="1" applyAlignment="1">
      <alignment horizontal="center" wrapText="1"/>
    </xf>
    <xf numFmtId="0" fontId="78" fillId="0" borderId="0" xfId="0" applyFont="1" applyAlignment="1">
      <alignment horizontal="center"/>
    </xf>
    <xf numFmtId="0" fontId="0" fillId="0" borderId="0" xfId="0" applyAlignment="1">
      <alignment horizontal="center" wrapText="1"/>
    </xf>
    <xf numFmtId="177" fontId="5" fillId="0" borderId="0" xfId="2" applyNumberFormat="1" applyFont="1" applyFill="1" applyBorder="1"/>
    <xf numFmtId="10" fontId="5" fillId="0" borderId="36" xfId="2" applyNumberFormat="1" applyFont="1" applyFill="1" applyBorder="1"/>
    <xf numFmtId="10" fontId="5" fillId="0" borderId="35" xfId="2" applyNumberFormat="1" applyFont="1" applyFill="1" applyBorder="1"/>
    <xf numFmtId="177" fontId="5" fillId="0" borderId="0" xfId="2" applyNumberFormat="1" applyFont="1" applyFill="1" applyBorder="1" applyAlignment="1">
      <alignment horizontal="center"/>
    </xf>
    <xf numFmtId="177" fontId="5" fillId="0" borderId="34" xfId="2" applyNumberFormat="1" applyFont="1" applyFill="1" applyBorder="1"/>
    <xf numFmtId="177" fontId="0" fillId="0" borderId="24" xfId="0" applyNumberFormat="1" applyBorder="1" applyAlignment="1">
      <alignment horizontal="center"/>
    </xf>
    <xf numFmtId="10" fontId="0" fillId="0" borderId="24" xfId="0" applyNumberFormat="1" applyBorder="1" applyAlignment="1">
      <alignment horizontal="center"/>
    </xf>
    <xf numFmtId="10" fontId="0" fillId="0" borderId="0" xfId="0" applyNumberFormat="1" applyAlignment="1">
      <alignment horizontal="center"/>
    </xf>
    <xf numFmtId="177" fontId="0" fillId="0" borderId="0" xfId="0" applyNumberFormat="1" applyAlignment="1">
      <alignment horizontal="center"/>
    </xf>
    <xf numFmtId="172" fontId="16" fillId="0" borderId="14" xfId="0" applyNumberFormat="1" applyFont="1" applyBorder="1"/>
    <xf numFmtId="0" fontId="16" fillId="0" borderId="0" xfId="0" quotePrefix="1" applyFont="1" applyAlignment="1">
      <alignment horizontal="left" vertical="center"/>
    </xf>
    <xf numFmtId="172" fontId="19" fillId="0" borderId="14" xfId="0" applyNumberFormat="1" applyFont="1" applyBorder="1"/>
    <xf numFmtId="165" fontId="19" fillId="0" borderId="14" xfId="0" applyNumberFormat="1" applyFont="1" applyBorder="1"/>
    <xf numFmtId="165" fontId="108" fillId="0" borderId="0" xfId="0" applyNumberFormat="1" applyFont="1"/>
    <xf numFmtId="0" fontId="16" fillId="0" borderId="0" xfId="0" applyFont="1" applyAlignment="1">
      <alignment horizontal="center" vertical="top"/>
    </xf>
    <xf numFmtId="0" fontId="6" fillId="0" borderId="0" xfId="0" applyFont="1" applyAlignment="1">
      <alignment horizontal="center"/>
    </xf>
    <xf numFmtId="0" fontId="7" fillId="0" borderId="0" xfId="0" applyFont="1" applyAlignment="1">
      <alignment horizontal="center"/>
    </xf>
    <xf numFmtId="0" fontId="16" fillId="0" borderId="0" xfId="0" quotePrefix="1" applyFont="1" applyAlignment="1">
      <alignment vertical="top" wrapText="1"/>
    </xf>
    <xf numFmtId="0" fontId="16" fillId="0" borderId="0" xfId="0" applyFont="1" applyAlignment="1">
      <alignment horizontal="left" wrapText="1"/>
    </xf>
    <xf numFmtId="0" fontId="18" fillId="0" borderId="0" xfId="0" applyFont="1" applyAlignment="1">
      <alignment horizontal="center"/>
    </xf>
    <xf numFmtId="0" fontId="9" fillId="0" borderId="0" xfId="0" applyFont="1" applyAlignment="1">
      <alignment horizontal="center"/>
    </xf>
    <xf numFmtId="0" fontId="8" fillId="0" borderId="0" xfId="0" applyFont="1" applyAlignment="1">
      <alignment horizontal="left" wrapText="1"/>
    </xf>
    <xf numFmtId="0" fontId="20" fillId="0" borderId="0" xfId="0" applyFont="1" applyAlignment="1">
      <alignment horizontal="center"/>
    </xf>
    <xf numFmtId="0" fontId="16" fillId="0" borderId="0" xfId="0" applyFont="1" applyAlignment="1">
      <alignment horizontal="center"/>
    </xf>
    <xf numFmtId="0" fontId="74" fillId="0" borderId="0" xfId="0" applyFont="1" applyAlignment="1">
      <alignment horizontal="center" wrapText="1"/>
    </xf>
    <xf numFmtId="0" fontId="67" fillId="21" borderId="31" xfId="0" applyFont="1" applyFill="1" applyBorder="1" applyAlignment="1">
      <alignment horizontal="center"/>
    </xf>
    <xf numFmtId="0" fontId="67" fillId="21" borderId="32" xfId="0" applyFont="1" applyFill="1" applyBorder="1" applyAlignment="1">
      <alignment horizontal="center"/>
    </xf>
    <xf numFmtId="0" fontId="67" fillId="21" borderId="4" xfId="0" applyFont="1" applyFill="1" applyBorder="1" applyAlignment="1">
      <alignment horizontal="center"/>
    </xf>
    <xf numFmtId="0" fontId="67" fillId="21" borderId="0" xfId="0" applyFont="1" applyFill="1" applyAlignment="1">
      <alignment horizontal="center"/>
    </xf>
    <xf numFmtId="9" fontId="68" fillId="14" borderId="34" xfId="21" applyNumberFormat="1" applyFont="1" applyFill="1" applyBorder="1" applyAlignment="1">
      <alignment horizontal="center" vertical="center"/>
    </xf>
    <xf numFmtId="9" fontId="68" fillId="14" borderId="35" xfId="21" applyNumberFormat="1" applyFont="1" applyFill="1" applyBorder="1" applyAlignment="1">
      <alignment horizontal="center" vertical="center"/>
    </xf>
    <xf numFmtId="9" fontId="68" fillId="14" borderId="34" xfId="21" applyNumberFormat="1" applyFont="1" applyFill="1" applyBorder="1" applyAlignment="1">
      <alignment horizontal="center" vertical="center" wrapText="1"/>
    </xf>
    <xf numFmtId="0" fontId="16" fillId="0" borderId="0" xfId="32" quotePrefix="1" applyNumberFormat="1" applyFont="1" applyAlignment="1">
      <alignment wrapText="1"/>
    </xf>
    <xf numFmtId="0" fontId="6" fillId="0" borderId="0" xfId="32" applyNumberFormat="1" applyFont="1" applyAlignment="1">
      <alignment wrapText="1"/>
    </xf>
    <xf numFmtId="0" fontId="61" fillId="0" borderId="0" xfId="0" applyFont="1" applyAlignment="1">
      <alignment vertical="center"/>
    </xf>
    <xf numFmtId="0" fontId="64" fillId="0" borderId="0" xfId="0" applyFont="1" applyAlignment="1">
      <alignment vertical="center"/>
    </xf>
    <xf numFmtId="49" fontId="43" fillId="11" borderId="10" xfId="27" applyNumberFormat="1" applyFont="1" applyFill="1" applyBorder="1" applyAlignment="1">
      <alignment horizontal="left" vertical="center"/>
    </xf>
    <xf numFmtId="49" fontId="43" fillId="11" borderId="12" xfId="27" applyNumberFormat="1" applyFont="1" applyFill="1" applyBorder="1" applyAlignment="1">
      <alignment horizontal="left" vertical="center"/>
    </xf>
    <xf numFmtId="0" fontId="41" fillId="10" borderId="18" xfId="27" applyFont="1" applyFill="1" applyBorder="1" applyAlignment="1">
      <alignment horizontal="center"/>
    </xf>
    <xf numFmtId="0" fontId="41" fillId="10" borderId="14" xfId="27" applyFont="1" applyFill="1" applyBorder="1" applyAlignment="1">
      <alignment horizontal="center"/>
    </xf>
    <xf numFmtId="0" fontId="41" fillId="10" borderId="17" xfId="27" applyFont="1" applyFill="1" applyBorder="1" applyAlignment="1">
      <alignment horizontal="center"/>
    </xf>
    <xf numFmtId="0" fontId="30" fillId="10" borderId="19" xfId="27" applyFont="1" applyFill="1" applyBorder="1" applyAlignment="1">
      <alignment horizontal="center"/>
    </xf>
    <xf numFmtId="0" fontId="30" fillId="10" borderId="20" xfId="27" applyFont="1" applyFill="1" applyBorder="1" applyAlignment="1">
      <alignment horizontal="center"/>
    </xf>
    <xf numFmtId="0" fontId="30" fillId="10" borderId="21" xfId="27" applyFont="1" applyFill="1" applyBorder="1" applyAlignment="1">
      <alignment horizontal="center"/>
    </xf>
    <xf numFmtId="49" fontId="42" fillId="10" borderId="13" xfId="27" applyNumberFormat="1" applyFont="1" applyFill="1" applyBorder="1" applyAlignment="1">
      <alignment horizontal="left" wrapText="1"/>
    </xf>
    <xf numFmtId="49" fontId="42" fillId="10" borderId="10" xfId="27" applyNumberFormat="1" applyFont="1" applyFill="1" applyBorder="1" applyAlignment="1">
      <alignment horizontal="left" wrapText="1"/>
    </xf>
    <xf numFmtId="49" fontId="42" fillId="10" borderId="11" xfId="27" applyNumberFormat="1" applyFont="1" applyFill="1" applyBorder="1" applyAlignment="1">
      <alignment horizontal="left" wrapText="1"/>
    </xf>
    <xf numFmtId="49" fontId="42" fillId="10" borderId="12" xfId="27" applyNumberFormat="1" applyFont="1" applyFill="1" applyBorder="1" applyAlignment="1">
      <alignment horizontal="left" wrapText="1"/>
    </xf>
    <xf numFmtId="49" fontId="43" fillId="11" borderId="13" xfId="27" applyNumberFormat="1" applyFont="1" applyFill="1" applyBorder="1" applyAlignment="1">
      <alignment horizontal="left" vertical="center"/>
    </xf>
    <xf numFmtId="0" fontId="41" fillId="10" borderId="18" xfId="0" applyFont="1" applyFill="1" applyBorder="1" applyAlignment="1">
      <alignment horizontal="center"/>
    </xf>
    <xf numFmtId="0" fontId="41" fillId="10" borderId="14" xfId="0" applyFont="1" applyFill="1" applyBorder="1" applyAlignment="1">
      <alignment horizontal="center"/>
    </xf>
    <xf numFmtId="0" fontId="41" fillId="10" borderId="17" xfId="0" applyFont="1" applyFill="1" applyBorder="1" applyAlignment="1">
      <alignment horizontal="center"/>
    </xf>
    <xf numFmtId="0" fontId="30" fillId="10" borderId="19" xfId="0" applyFont="1" applyFill="1" applyBorder="1" applyAlignment="1">
      <alignment horizontal="center"/>
    </xf>
    <xf numFmtId="0" fontId="30" fillId="10" borderId="20" xfId="0" applyFont="1" applyFill="1" applyBorder="1" applyAlignment="1">
      <alignment horizontal="center"/>
    </xf>
    <xf numFmtId="0" fontId="30" fillId="10" borderId="21" xfId="0" applyFont="1" applyFill="1" applyBorder="1" applyAlignment="1">
      <alignment horizontal="center"/>
    </xf>
    <xf numFmtId="49" fontId="28" fillId="11" borderId="13" xfId="0" applyNumberFormat="1" applyFont="1" applyFill="1" applyBorder="1" applyAlignment="1">
      <alignment horizontal="left" vertical="center"/>
    </xf>
    <xf numFmtId="49" fontId="42" fillId="10" borderId="13" xfId="0" applyNumberFormat="1" applyFont="1" applyFill="1" applyBorder="1" applyAlignment="1">
      <alignment horizontal="left" wrapText="1"/>
    </xf>
    <xf numFmtId="0" fontId="48" fillId="0" borderId="0" xfId="0" applyFont="1" applyAlignment="1">
      <alignment horizontal="left"/>
    </xf>
    <xf numFmtId="17" fontId="48" fillId="31" borderId="37" xfId="0" applyNumberFormat="1" applyFont="1" applyFill="1" applyBorder="1" applyAlignment="1">
      <alignment horizontal="center" vertical="center"/>
    </xf>
    <xf numFmtId="17" fontId="48" fillId="31" borderId="16" xfId="0" applyNumberFormat="1" applyFont="1" applyFill="1" applyBorder="1" applyAlignment="1">
      <alignment horizontal="center" vertical="center"/>
    </xf>
    <xf numFmtId="17" fontId="48" fillId="31" borderId="45" xfId="0" applyNumberFormat="1" applyFont="1" applyFill="1" applyBorder="1" applyAlignment="1">
      <alignment horizontal="center" vertical="center"/>
    </xf>
    <xf numFmtId="17" fontId="48" fillId="31" borderId="39" xfId="0" applyNumberFormat="1" applyFont="1" applyFill="1" applyBorder="1" applyAlignment="1">
      <alignment horizontal="center" vertical="center"/>
    </xf>
    <xf numFmtId="17" fontId="48" fillId="31" borderId="14" xfId="0" applyNumberFormat="1" applyFont="1" applyFill="1" applyBorder="1" applyAlignment="1">
      <alignment horizontal="center" vertical="center"/>
    </xf>
    <xf numFmtId="17" fontId="48" fillId="31" borderId="43" xfId="0" applyNumberFormat="1" applyFont="1" applyFill="1" applyBorder="1" applyAlignment="1">
      <alignment horizontal="center" vertical="center"/>
    </xf>
    <xf numFmtId="17" fontId="48" fillId="0" borderId="37" xfId="0" applyNumberFormat="1" applyFont="1" applyBorder="1" applyAlignment="1">
      <alignment horizontal="center" vertical="center"/>
    </xf>
    <xf numFmtId="17" fontId="48" fillId="0" borderId="16" xfId="0" applyNumberFormat="1" applyFont="1" applyBorder="1" applyAlignment="1">
      <alignment horizontal="center" vertical="center"/>
    </xf>
    <xf numFmtId="17" fontId="48" fillId="0" borderId="45" xfId="0" applyNumberFormat="1" applyFont="1" applyBorder="1" applyAlignment="1">
      <alignment horizontal="center" vertical="center"/>
    </xf>
    <xf numFmtId="17" fontId="48" fillId="0" borderId="39" xfId="0" applyNumberFormat="1" applyFont="1" applyBorder="1" applyAlignment="1">
      <alignment horizontal="center" vertical="center"/>
    </xf>
    <xf numFmtId="17" fontId="48" fillId="0" borderId="14" xfId="0" applyNumberFormat="1" applyFont="1" applyBorder="1" applyAlignment="1">
      <alignment horizontal="center" vertical="center"/>
    </xf>
    <xf numFmtId="17" fontId="48" fillId="0" borderId="43" xfId="0" applyNumberFormat="1" applyFont="1" applyBorder="1" applyAlignment="1">
      <alignment horizontal="center" vertical="center"/>
    </xf>
  </cellXfs>
  <cellStyles count="44">
    <cellStyle name="Comma" xfId="1" builtinId="3"/>
    <cellStyle name="Comma 10" xfId="9" xr:uid="{F2AD7E62-4CC6-4B51-864F-A6E13063D65F}"/>
    <cellStyle name="Comma 10 2 10 2 2" xfId="29" xr:uid="{41D1C4F6-2723-4571-976D-6A45915D21E2}"/>
    <cellStyle name="Comma 2" xfId="8" xr:uid="{E5B350A1-3FEF-4DCF-87BA-0BE741CE1BFF}"/>
    <cellStyle name="Comma 2 2" xfId="19" xr:uid="{9BCF8522-0EE7-44F9-AB46-929E33084E47}"/>
    <cellStyle name="Comma 2 3" xfId="23" xr:uid="{EBCB9897-0B34-4C7F-8863-3C9B887A7739}"/>
    <cellStyle name="Comma 265" xfId="14" xr:uid="{88E6773C-57E1-4709-AE11-29156C7B45FB}"/>
    <cellStyle name="Comma 3" xfId="28" xr:uid="{2F939F32-D045-4B34-978C-F77767992370}"/>
    <cellStyle name="Comma 4" xfId="38" xr:uid="{B64694FF-0844-474C-B114-CEAFB2456DB2}"/>
    <cellStyle name="Comma 5" xfId="3" xr:uid="{263723DB-7F1B-42F4-9EE9-601E38A57B24}"/>
    <cellStyle name="Comma 6" xfId="40" xr:uid="{E4E8CED1-F53F-442C-AAAF-512B7926E582}"/>
    <cellStyle name="Comma 7" xfId="32" xr:uid="{16422C1E-71C2-4DD2-9A50-04EAD2E82829}"/>
    <cellStyle name="Currency" xfId="6" builtinId="4"/>
    <cellStyle name="Currency 10" xfId="4" xr:uid="{B7768372-E85A-4A98-A305-625C95CD7F30}"/>
    <cellStyle name="Currency 2" xfId="17" xr:uid="{FF048A0A-BC26-47C6-8A2E-61CC75145533}"/>
    <cellStyle name="Currency 2 2" xfId="35" xr:uid="{B4862EAA-6221-4CEB-BD50-DAF27A3AD9BF}"/>
    <cellStyle name="Currency 6 3 2" xfId="11" xr:uid="{5441D32C-4E45-4DB8-9F9A-B0328798C9F6}"/>
    <cellStyle name="Hyperlink" xfId="30" builtinId="8"/>
    <cellStyle name="MR_13_IND_1" xfId="41" xr:uid="{4F871992-D10E-4161-9661-961A2F5C63C1}"/>
    <cellStyle name="Normal" xfId="0" builtinId="0"/>
    <cellStyle name="Normal - Style1 11" xfId="5" xr:uid="{6AF5EA0E-EB96-4614-AD62-8EA0D22205D5}"/>
    <cellStyle name="Normal 13 7 4" xfId="10" xr:uid="{17E440D9-910B-4D9F-A46D-14EF13DD8655}"/>
    <cellStyle name="Normal 19" xfId="21" xr:uid="{3AEA12A5-3FAF-4128-A964-E30990E00183}"/>
    <cellStyle name="Normal 2" xfId="7" xr:uid="{F0D3F49E-78D9-4AA3-BC80-6092C87F299C}"/>
    <cellStyle name="Normal 2 2" xfId="16" xr:uid="{725C6AE3-5C1C-4052-A3B8-729EB88AAD7B}"/>
    <cellStyle name="Normal 2 3 2 2 2 3 2" xfId="25" xr:uid="{2FED5507-EBD6-4907-A2D3-FA1BFA5FC0FF}"/>
    <cellStyle name="Normal 23 7" xfId="12" xr:uid="{26ADB120-42FD-442B-981C-0613FBB4DA63}"/>
    <cellStyle name="Normal 270" xfId="13" xr:uid="{7F997F64-389E-4CD7-8873-9210FBA02B7D}"/>
    <cellStyle name="Normal 3" xfId="20" xr:uid="{2BA454BD-608A-4ED5-9548-FE9A73A2F57A}"/>
    <cellStyle name="Normal 3 2" xfId="26" xr:uid="{A82C694C-13BC-4AAD-87B3-BEB50CC38DFF}"/>
    <cellStyle name="Normal 340" xfId="43" xr:uid="{7D4B64A6-38EE-4715-8271-A4056A208E8C}"/>
    <cellStyle name="Normal 4" xfId="27" xr:uid="{07DE9B03-161C-4663-A86A-716550CE37CA}"/>
    <cellStyle name="Normal 5" xfId="37" xr:uid="{3726323C-3628-419C-8961-7873C1B64A46}"/>
    <cellStyle name="Normal 5 2" xfId="33" xr:uid="{BF32AC93-4E83-4904-BDDF-31D56EE2F315}"/>
    <cellStyle name="Normal 6" xfId="42" xr:uid="{666F01D5-9B57-4EA5-925D-E71164974319}"/>
    <cellStyle name="Normal_PJM-1 Update - Rev Reqs Summary KEDNY RW" xfId="18" xr:uid="{713B3F42-5ED6-44F0-ADA4-427646107E57}"/>
    <cellStyle name="Normal_Rate Base 5 Quarter Average 3" xfId="39" xr:uid="{860F35C4-00E8-4D99-B3EB-BFBEEF227A82}"/>
    <cellStyle name="Percent" xfId="2" builtinId="5"/>
    <cellStyle name="Percent 2" xfId="24" xr:uid="{43FA3079-D94F-4A30-B30A-7E5DB1720238}"/>
    <cellStyle name="Percent 2 2" xfId="34" xr:uid="{414E06D0-0B12-4DB8-81D7-259240B32DA8}"/>
    <cellStyle name="Percent 3" xfId="31" xr:uid="{5F11A70C-6DB0-4719-957A-3DD8D0B53D58}"/>
    <cellStyle name="Percent 4" xfId="36" xr:uid="{AF59D9AB-FB6E-4944-A2DC-BE7D68126D7B}"/>
    <cellStyle name="Percent 7" xfId="22" xr:uid="{0BB97FED-33A0-4CD9-BB3B-5E28E2D12A07}"/>
    <cellStyle name="Percent 7 3 2" xfId="15" xr:uid="{D8FF85FD-7445-46CD-92A6-621B37D75197}"/>
  </cellStyles>
  <dxfs count="2">
    <dxf>
      <font>
        <b/>
        <i val="0"/>
        <color rgb="FFFF0000"/>
      </font>
    </dxf>
    <dxf>
      <font>
        <b/>
        <i val="0"/>
        <color rgb="FFFF0000"/>
      </font>
    </dxf>
  </dxfs>
  <tableStyles count="0" defaultTableStyle="TableStyleMedium2" defaultPivotStyle="PivotStyleLight16"/>
  <colors>
    <mruColors>
      <color rgb="FFFFFFCC"/>
      <color rgb="FF66FF33"/>
      <color rgb="FF00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theme" Target="theme/theme1.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8" Type="http://schemas.openxmlformats.org/officeDocument/2006/relationships/worksheet" Target="worksheets/sheet8.xml"/><Relationship Id="rId51" Type="http://schemas.openxmlformats.org/officeDocument/2006/relationships/styles" Target="style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0" Type="http://schemas.openxmlformats.org/officeDocument/2006/relationships/worksheet" Target="worksheets/sheet20.xml"/><Relationship Id="rId41" Type="http://schemas.openxmlformats.org/officeDocument/2006/relationships/worksheet" Target="worksheets/sheet41.xml"/><Relationship Id="rId54" Type="http://schemas.microsoft.com/office/2017/10/relationships/person" Target="persons/person.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image" Target="../media/image4.png"/></Relationships>
</file>

<file path=xl/drawings/_rels/drawing4.x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image" Target="../media/image6.png"/></Relationships>
</file>

<file path=xl/drawings/drawing1.xml><?xml version="1.0" encoding="utf-8"?>
<xdr:wsDr xmlns:xdr="http://schemas.openxmlformats.org/drawingml/2006/spreadsheetDrawing" xmlns:a="http://schemas.openxmlformats.org/drawingml/2006/main">
  <xdr:twoCellAnchor editAs="oneCell">
    <xdr:from>
      <xdr:col>17</xdr:col>
      <xdr:colOff>219076</xdr:colOff>
      <xdr:row>0</xdr:row>
      <xdr:rowOff>104776</xdr:rowOff>
    </xdr:from>
    <xdr:to>
      <xdr:col>24</xdr:col>
      <xdr:colOff>523876</xdr:colOff>
      <xdr:row>27</xdr:row>
      <xdr:rowOff>9526</xdr:rowOff>
    </xdr:to>
    <xdr:pic>
      <xdr:nvPicPr>
        <xdr:cNvPr id="2" name="Picture 1">
          <a:extLst>
            <a:ext uri="{FF2B5EF4-FFF2-40B4-BE49-F238E27FC236}">
              <a16:creationId xmlns:a16="http://schemas.microsoft.com/office/drawing/2014/main" id="{65CB7CAC-9AD5-4CFA-826B-CD2E96BDFC51}"/>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1242" t="3328" r="32551" b="28565"/>
        <a:stretch/>
      </xdr:blipFill>
      <xdr:spPr>
        <a:xfrm>
          <a:off x="15325726" y="104776"/>
          <a:ext cx="4572000" cy="5067300"/>
        </a:xfrm>
        <a:prstGeom prst="rect">
          <a:avLst/>
        </a:prstGeom>
      </xdr:spPr>
    </xdr:pic>
    <xdr:clientData/>
  </xdr:twoCellAnchor>
  <xdr:twoCellAnchor editAs="oneCell">
    <xdr:from>
      <xdr:col>8</xdr:col>
      <xdr:colOff>438150</xdr:colOff>
      <xdr:row>0</xdr:row>
      <xdr:rowOff>95250</xdr:rowOff>
    </xdr:from>
    <xdr:to>
      <xdr:col>16</xdr:col>
      <xdr:colOff>152400</xdr:colOff>
      <xdr:row>27</xdr:row>
      <xdr:rowOff>28575</xdr:rowOff>
    </xdr:to>
    <xdr:pic>
      <xdr:nvPicPr>
        <xdr:cNvPr id="3" name="Picture 2">
          <a:extLst>
            <a:ext uri="{FF2B5EF4-FFF2-40B4-BE49-F238E27FC236}">
              <a16:creationId xmlns:a16="http://schemas.microsoft.com/office/drawing/2014/main" id="{CA731D22-D640-431E-BD45-61818159A5FC}"/>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t="3397" r="32482" b="31674"/>
        <a:stretch/>
      </xdr:blipFill>
      <xdr:spPr>
        <a:xfrm>
          <a:off x="9715500" y="95250"/>
          <a:ext cx="4933950" cy="509587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17</xdr:col>
      <xdr:colOff>160609</xdr:colOff>
      <xdr:row>37</xdr:row>
      <xdr:rowOff>132452</xdr:rowOff>
    </xdr:to>
    <xdr:pic>
      <xdr:nvPicPr>
        <xdr:cNvPr id="2" name="Picture 1">
          <a:extLst>
            <a:ext uri="{FF2B5EF4-FFF2-40B4-BE49-F238E27FC236}">
              <a16:creationId xmlns:a16="http://schemas.microsoft.com/office/drawing/2014/main" id="{07D5C03E-E3D9-F4F8-68E4-2D60061ECFA9}"/>
            </a:ext>
          </a:extLst>
        </xdr:cNvPr>
        <xdr:cNvPicPr>
          <a:picLocks noChangeAspect="1"/>
        </xdr:cNvPicPr>
      </xdr:nvPicPr>
      <xdr:blipFill>
        <a:blip xmlns:r="http://schemas.openxmlformats.org/officeDocument/2006/relationships" r:embed="rId1"/>
        <a:stretch>
          <a:fillRect/>
        </a:stretch>
      </xdr:blipFill>
      <xdr:spPr>
        <a:xfrm>
          <a:off x="0" y="0"/>
          <a:ext cx="10523809" cy="7180952"/>
        </a:xfrm>
        <a:prstGeom prst="rect">
          <a:avLst/>
        </a:prstGeom>
      </xdr:spPr>
    </xdr:pic>
    <xdr:clientData/>
  </xdr:twoCellAnchor>
  <xdr:twoCellAnchor>
    <xdr:from>
      <xdr:col>5</xdr:col>
      <xdr:colOff>79374</xdr:colOff>
      <xdr:row>17</xdr:row>
      <xdr:rowOff>39688</xdr:rowOff>
    </xdr:from>
    <xdr:to>
      <xdr:col>5</xdr:col>
      <xdr:colOff>420687</xdr:colOff>
      <xdr:row>18</xdr:row>
      <xdr:rowOff>174626</xdr:rowOff>
    </xdr:to>
    <xdr:sp macro="" textlink="">
      <xdr:nvSpPr>
        <xdr:cNvPr id="4" name="TextBox 3">
          <a:extLst>
            <a:ext uri="{FF2B5EF4-FFF2-40B4-BE49-F238E27FC236}">
              <a16:creationId xmlns:a16="http://schemas.microsoft.com/office/drawing/2014/main" id="{C14F65CE-5978-1EF6-8830-165B5821C4FD}"/>
            </a:ext>
          </a:extLst>
        </xdr:cNvPr>
        <xdr:cNvSpPr txBox="1"/>
      </xdr:nvSpPr>
      <xdr:spPr>
        <a:xfrm>
          <a:off x="3135312" y="3278188"/>
          <a:ext cx="341313" cy="3254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solidFill>
                <a:srgbClr val="FF0000"/>
              </a:solidFill>
            </a:rPr>
            <a:t>❼</a:t>
          </a:r>
        </a:p>
      </xdr:txBody>
    </xdr:sp>
    <xdr:clientData/>
  </xdr:twoCellAnchor>
</xdr:wsDr>
</file>

<file path=xl/drawings/drawing3.xml><?xml version="1.0" encoding="utf-8"?>
<xdr:wsDr xmlns:xdr="http://schemas.openxmlformats.org/drawingml/2006/spreadsheetDrawing" xmlns:a="http://schemas.openxmlformats.org/drawingml/2006/main">
  <xdr:oneCellAnchor>
    <xdr:from>
      <xdr:col>0</xdr:col>
      <xdr:colOff>0</xdr:colOff>
      <xdr:row>0</xdr:row>
      <xdr:rowOff>1</xdr:rowOff>
    </xdr:from>
    <xdr:ext cx="11955503" cy="4679950"/>
    <xdr:pic>
      <xdr:nvPicPr>
        <xdr:cNvPr id="2" name="Picture 1">
          <a:extLst>
            <a:ext uri="{FF2B5EF4-FFF2-40B4-BE49-F238E27FC236}">
              <a16:creationId xmlns:a16="http://schemas.microsoft.com/office/drawing/2014/main" id="{0C090CA4-CBF9-43ED-8C0C-434E34C98A6C}"/>
            </a:ext>
          </a:extLst>
        </xdr:cNvPr>
        <xdr:cNvPicPr>
          <a:picLocks noChangeAspect="1"/>
        </xdr:cNvPicPr>
      </xdr:nvPicPr>
      <xdr:blipFill>
        <a:blip xmlns:r="http://schemas.openxmlformats.org/officeDocument/2006/relationships" r:embed="rId1"/>
        <a:stretch>
          <a:fillRect/>
        </a:stretch>
      </xdr:blipFill>
      <xdr:spPr>
        <a:xfrm>
          <a:off x="0" y="1"/>
          <a:ext cx="11955503" cy="4679950"/>
        </a:xfrm>
        <a:prstGeom prst="rect">
          <a:avLst/>
        </a:prstGeom>
      </xdr:spPr>
    </xdr:pic>
    <xdr:clientData/>
  </xdr:oneCellAnchor>
  <xdr:oneCellAnchor>
    <xdr:from>
      <xdr:col>0</xdr:col>
      <xdr:colOff>9525</xdr:colOff>
      <xdr:row>28</xdr:row>
      <xdr:rowOff>137762</xdr:rowOff>
    </xdr:from>
    <xdr:ext cx="12012084" cy="3517245"/>
    <xdr:pic>
      <xdr:nvPicPr>
        <xdr:cNvPr id="3" name="Picture 2">
          <a:extLst>
            <a:ext uri="{FF2B5EF4-FFF2-40B4-BE49-F238E27FC236}">
              <a16:creationId xmlns:a16="http://schemas.microsoft.com/office/drawing/2014/main" id="{D9415203-973B-4D77-B7E2-C875582B1EEC}"/>
            </a:ext>
          </a:extLst>
        </xdr:cNvPr>
        <xdr:cNvPicPr>
          <a:picLocks noChangeAspect="1"/>
        </xdr:cNvPicPr>
      </xdr:nvPicPr>
      <xdr:blipFill>
        <a:blip xmlns:r="http://schemas.openxmlformats.org/officeDocument/2006/relationships" r:embed="rId2"/>
        <a:stretch>
          <a:fillRect/>
        </a:stretch>
      </xdr:blipFill>
      <xdr:spPr>
        <a:xfrm>
          <a:off x="9525" y="4747862"/>
          <a:ext cx="12012084" cy="3517245"/>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twoCellAnchor editAs="oneCell">
    <xdr:from>
      <xdr:col>0</xdr:col>
      <xdr:colOff>76200</xdr:colOff>
      <xdr:row>2</xdr:row>
      <xdr:rowOff>25400</xdr:rowOff>
    </xdr:from>
    <xdr:to>
      <xdr:col>20</xdr:col>
      <xdr:colOff>399483</xdr:colOff>
      <xdr:row>29</xdr:row>
      <xdr:rowOff>166600</xdr:rowOff>
    </xdr:to>
    <xdr:pic>
      <xdr:nvPicPr>
        <xdr:cNvPr id="2" name="Picture 1">
          <a:extLst>
            <a:ext uri="{FF2B5EF4-FFF2-40B4-BE49-F238E27FC236}">
              <a16:creationId xmlns:a16="http://schemas.microsoft.com/office/drawing/2014/main" id="{DC831F3D-AC2B-4283-B0F6-F1117B99CF35}"/>
            </a:ext>
          </a:extLst>
        </xdr:cNvPr>
        <xdr:cNvPicPr>
          <a:picLocks noChangeAspect="1"/>
        </xdr:cNvPicPr>
      </xdr:nvPicPr>
      <xdr:blipFill>
        <a:blip xmlns:r="http://schemas.openxmlformats.org/officeDocument/2006/relationships" r:embed="rId1"/>
        <a:stretch>
          <a:fillRect/>
        </a:stretch>
      </xdr:blipFill>
      <xdr:spPr>
        <a:xfrm>
          <a:off x="76200" y="381000"/>
          <a:ext cx="12769283" cy="4941800"/>
        </a:xfrm>
        <a:prstGeom prst="rect">
          <a:avLst/>
        </a:prstGeom>
      </xdr:spPr>
    </xdr:pic>
    <xdr:clientData/>
  </xdr:twoCellAnchor>
  <xdr:twoCellAnchor editAs="oneCell">
    <xdr:from>
      <xdr:col>0</xdr:col>
      <xdr:colOff>76200</xdr:colOff>
      <xdr:row>30</xdr:row>
      <xdr:rowOff>0</xdr:rowOff>
    </xdr:from>
    <xdr:to>
      <xdr:col>20</xdr:col>
      <xdr:colOff>532816</xdr:colOff>
      <xdr:row>49</xdr:row>
      <xdr:rowOff>16502</xdr:rowOff>
    </xdr:to>
    <xdr:pic>
      <xdr:nvPicPr>
        <xdr:cNvPr id="3" name="Picture 2">
          <a:extLst>
            <a:ext uri="{FF2B5EF4-FFF2-40B4-BE49-F238E27FC236}">
              <a16:creationId xmlns:a16="http://schemas.microsoft.com/office/drawing/2014/main" id="{35BD82AC-E6D1-4F04-B505-C7775AD18D44}"/>
            </a:ext>
          </a:extLst>
        </xdr:cNvPr>
        <xdr:cNvPicPr>
          <a:picLocks noChangeAspect="1"/>
        </xdr:cNvPicPr>
      </xdr:nvPicPr>
      <xdr:blipFill>
        <a:blip xmlns:r="http://schemas.openxmlformats.org/officeDocument/2006/relationships" r:embed="rId2"/>
        <a:stretch>
          <a:fillRect/>
        </a:stretch>
      </xdr:blipFill>
      <xdr:spPr>
        <a:xfrm>
          <a:off x="76200" y="5429250"/>
          <a:ext cx="12905791" cy="3455027"/>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person displayName="Hammer, Kathy" id="{B2A27D4E-33C1-44E1-8028-8C852C42346D}" userId="S::Kathy.Hammer@us.nationalgrid.com::0a36eb6c-3362-40b8-a9d9-dc57092c3c90"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A52" dT="2021-04-29T01:14:14.17" personId="{B2A27D4E-33C1-44E1-8028-8C852C42346D}" id="{F93913DF-1CB0-4E24-A98A-C9510D13ED05}">
    <text>Does not impact rate base</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 Id="rId4" Type="http://schemas.microsoft.com/office/2017/10/relationships/threadedComment" Target="../threadedComments/threadedComment1.xml"/></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M204"/>
  <sheetViews>
    <sheetView topLeftCell="A7" workbookViewId="0"/>
  </sheetViews>
  <sheetFormatPr defaultRowHeight="15" outlineLevelRow="1"/>
  <cols>
    <col min="1" max="1" width="72.140625" customWidth="1"/>
    <col min="4" max="4" width="11.5703125" bestFit="1" customWidth="1"/>
    <col min="6" max="7" width="9.140625" customWidth="1"/>
  </cols>
  <sheetData>
    <row r="1" spans="1:13" s="26" customFormat="1" hidden="1" outlineLevel="1">
      <c r="D1" s="30" t="s">
        <v>0</v>
      </c>
    </row>
    <row r="2" spans="1:13" s="26" customFormat="1" hidden="1" outlineLevel="1">
      <c r="D2" s="30" t="s">
        <v>1</v>
      </c>
    </row>
    <row r="3" spans="1:13" s="26" customFormat="1" hidden="1" outlineLevel="1">
      <c r="D3" s="30" t="s">
        <v>2</v>
      </c>
    </row>
    <row r="4" spans="1:13" s="26" customFormat="1" hidden="1" outlineLevel="1">
      <c r="D4" s="30" t="s">
        <v>3</v>
      </c>
    </row>
    <row r="5" spans="1:13" s="26" customFormat="1" hidden="1" outlineLevel="1">
      <c r="D5" s="30"/>
    </row>
    <row r="6" spans="1:13" s="26" customFormat="1" hidden="1" outlineLevel="1">
      <c r="D6" s="30"/>
    </row>
    <row r="7" spans="1:13" s="26" customFormat="1" collapsed="1">
      <c r="D7" s="30" t="s">
        <v>0</v>
      </c>
    </row>
    <row r="8" spans="1:13" s="26" customFormat="1">
      <c r="D8" s="30" t="s">
        <v>4</v>
      </c>
    </row>
    <row r="9" spans="1:13" s="26" customFormat="1">
      <c r="D9" s="30" t="s">
        <v>2</v>
      </c>
    </row>
    <row r="10" spans="1:13" s="26" customFormat="1">
      <c r="D10" s="30" t="s">
        <v>5</v>
      </c>
    </row>
    <row r="11" spans="1:13" s="26" customFormat="1">
      <c r="D11" s="30" t="s">
        <v>6</v>
      </c>
    </row>
    <row r="12" spans="1:13" s="26" customFormat="1">
      <c r="D12" s="199" t="s">
        <v>7</v>
      </c>
    </row>
    <row r="13" spans="1:13" s="26" customFormat="1">
      <c r="D13" s="30"/>
    </row>
    <row r="14" spans="1:13" ht="18.75">
      <c r="A14" s="156"/>
      <c r="B14" s="156"/>
      <c r="C14" s="156"/>
      <c r="F14" t="s">
        <v>8</v>
      </c>
      <c r="G14">
        <v>2024</v>
      </c>
      <c r="L14" s="26"/>
      <c r="M14" s="26"/>
    </row>
    <row r="15" spans="1:13" ht="19.149999999999999" customHeight="1">
      <c r="A15" s="797"/>
      <c r="B15" s="797"/>
      <c r="C15" s="797"/>
      <c r="D15" s="797"/>
      <c r="F15" t="s">
        <v>9</v>
      </c>
      <c r="L15" s="26"/>
      <c r="M15" s="26"/>
    </row>
    <row r="16" spans="1:13" ht="19.149999999999999" customHeight="1">
      <c r="A16" s="797"/>
      <c r="B16" s="797"/>
      <c r="C16" s="797"/>
      <c r="D16" s="797"/>
      <c r="F16" t="s">
        <v>10</v>
      </c>
      <c r="L16" s="26"/>
      <c r="M16" s="26"/>
    </row>
    <row r="17" spans="1:13" ht="19.149999999999999" customHeight="1">
      <c r="A17" s="797"/>
      <c r="B17" s="797"/>
      <c r="C17" s="797"/>
      <c r="D17" s="797"/>
      <c r="F17" t="s">
        <v>11</v>
      </c>
      <c r="G17">
        <v>2025</v>
      </c>
      <c r="L17" s="26"/>
      <c r="M17" s="26"/>
    </row>
    <row r="18" spans="1:13" ht="18.75">
      <c r="A18" s="156"/>
      <c r="B18" s="156"/>
      <c r="C18" s="157"/>
      <c r="D18" s="156"/>
      <c r="F18" t="s">
        <v>8</v>
      </c>
      <c r="G18">
        <v>2025</v>
      </c>
      <c r="L18" s="26"/>
      <c r="M18" s="26"/>
    </row>
    <row r="19" spans="1:13" ht="18.75">
      <c r="A19" s="156"/>
      <c r="B19" s="156"/>
      <c r="C19" s="157"/>
      <c r="D19" s="156"/>
      <c r="L19" s="26"/>
      <c r="M19" s="26"/>
    </row>
    <row r="20" spans="1:13">
      <c r="A20" s="26" t="s">
        <v>12</v>
      </c>
      <c r="B20" s="26" t="s">
        <v>13</v>
      </c>
      <c r="C20" s="26" t="s">
        <v>14</v>
      </c>
      <c r="D20" s="26"/>
      <c r="L20" s="26"/>
      <c r="M20" s="26"/>
    </row>
    <row r="21" spans="1:13">
      <c r="A21" s="26"/>
      <c r="B21" s="26"/>
      <c r="C21" s="26"/>
      <c r="D21" s="26"/>
      <c r="L21" s="26"/>
      <c r="M21" s="26"/>
    </row>
    <row r="22" spans="1:13">
      <c r="A22" s="26" t="str">
        <f>D4</f>
        <v>Gas Earnings Sharing Mechanism</v>
      </c>
      <c r="B22" s="36">
        <v>1</v>
      </c>
      <c r="C22" s="26" t="s">
        <v>15</v>
      </c>
      <c r="D22" s="26"/>
      <c r="L22" s="26"/>
      <c r="M22" s="26"/>
    </row>
    <row r="23" spans="1:13">
      <c r="A23" s="26" t="s">
        <v>16</v>
      </c>
      <c r="B23" s="36">
        <v>2</v>
      </c>
      <c r="C23" s="26" t="s">
        <v>17</v>
      </c>
      <c r="D23" s="26"/>
      <c r="L23" s="26"/>
      <c r="M23" s="26"/>
    </row>
    <row r="24" spans="1:13">
      <c r="A24" s="26" t="s">
        <v>18</v>
      </c>
      <c r="B24" s="36">
        <v>3</v>
      </c>
      <c r="C24" s="26" t="s">
        <v>19</v>
      </c>
      <c r="D24" s="26"/>
      <c r="L24" s="26"/>
      <c r="M24" s="26"/>
    </row>
    <row r="25" spans="1:13">
      <c r="A25" s="26" t="s">
        <v>20</v>
      </c>
      <c r="B25" s="36">
        <v>4</v>
      </c>
      <c r="C25" s="26" t="s">
        <v>21</v>
      </c>
      <c r="D25" s="26"/>
      <c r="L25" s="26"/>
      <c r="M25" s="26"/>
    </row>
    <row r="26" spans="1:13">
      <c r="A26" s="26" t="s">
        <v>22</v>
      </c>
      <c r="B26" s="36">
        <v>5</v>
      </c>
      <c r="C26" s="26" t="s">
        <v>23</v>
      </c>
      <c r="D26" s="26"/>
      <c r="L26" s="26"/>
      <c r="M26" s="26"/>
    </row>
    <row r="27" spans="1:13">
      <c r="A27" s="26" t="s">
        <v>24</v>
      </c>
      <c r="B27" s="36">
        <v>6</v>
      </c>
      <c r="C27" s="26" t="s">
        <v>25</v>
      </c>
      <c r="D27" s="26"/>
      <c r="L27" s="26"/>
      <c r="M27" s="26"/>
    </row>
    <row r="28" spans="1:13">
      <c r="A28" s="26" t="s">
        <v>26</v>
      </c>
      <c r="B28" s="36">
        <v>7</v>
      </c>
      <c r="C28" s="26" t="s">
        <v>27</v>
      </c>
      <c r="D28" s="26"/>
      <c r="L28" s="26"/>
      <c r="M28" s="26"/>
    </row>
    <row r="29" spans="1:13">
      <c r="A29" s="26" t="s">
        <v>28</v>
      </c>
      <c r="B29" s="36">
        <v>8</v>
      </c>
      <c r="C29" s="26" t="s">
        <v>29</v>
      </c>
      <c r="D29" s="26"/>
      <c r="L29" s="26"/>
      <c r="M29" s="26"/>
    </row>
    <row r="30" spans="1:13">
      <c r="A30" s="26" t="s">
        <v>30</v>
      </c>
      <c r="B30" s="36">
        <v>9</v>
      </c>
      <c r="C30" s="26" t="s">
        <v>31</v>
      </c>
      <c r="D30" s="26"/>
      <c r="L30" s="26"/>
      <c r="M30" s="26"/>
    </row>
    <row r="31" spans="1:13">
      <c r="A31" s="26" t="s">
        <v>32</v>
      </c>
      <c r="B31" s="36">
        <v>10</v>
      </c>
      <c r="C31" s="26" t="s">
        <v>33</v>
      </c>
      <c r="D31" s="26"/>
      <c r="L31" s="26"/>
      <c r="M31" s="26"/>
    </row>
    <row r="32" spans="1:13">
      <c r="A32" s="26" t="s">
        <v>34</v>
      </c>
      <c r="B32" s="36">
        <v>11</v>
      </c>
      <c r="C32" s="26" t="s">
        <v>35</v>
      </c>
      <c r="D32" s="26"/>
      <c r="L32" s="26"/>
      <c r="M32" s="26"/>
    </row>
    <row r="33" spans="1:13">
      <c r="A33" s="26" t="s">
        <v>36</v>
      </c>
      <c r="B33" s="36">
        <v>12</v>
      </c>
      <c r="C33" s="26" t="s">
        <v>37</v>
      </c>
      <c r="D33" s="26"/>
      <c r="L33" s="26"/>
      <c r="M33" s="26"/>
    </row>
    <row r="34" spans="1:13">
      <c r="A34" s="26" t="s">
        <v>38</v>
      </c>
      <c r="B34" s="36">
        <v>13</v>
      </c>
      <c r="C34" s="26" t="s">
        <v>39</v>
      </c>
      <c r="D34" s="26"/>
      <c r="L34" s="26"/>
      <c r="M34" s="26"/>
    </row>
    <row r="35" spans="1:13">
      <c r="A35" s="26" t="str">
        <f>"Reconciliation of "&amp;D4&amp;" to Annual Report"</f>
        <v>Reconciliation of Gas Earnings Sharing Mechanism to Annual Report</v>
      </c>
      <c r="B35" s="36">
        <v>14</v>
      </c>
      <c r="C35" s="26" t="s">
        <v>40</v>
      </c>
      <c r="D35" s="26"/>
      <c r="L35" s="26"/>
      <c r="M35" s="26"/>
    </row>
    <row r="36" spans="1:13">
      <c r="A36" s="26" t="s">
        <v>41</v>
      </c>
      <c r="B36" s="36">
        <v>15</v>
      </c>
      <c r="C36" s="26" t="s">
        <v>42</v>
      </c>
      <c r="L36" s="26"/>
      <c r="M36" s="26"/>
    </row>
    <row r="37" spans="1:13">
      <c r="L37" s="26"/>
      <c r="M37" s="26"/>
    </row>
    <row r="38" spans="1:13">
      <c r="L38" s="26"/>
      <c r="M38" s="26"/>
    </row>
    <row r="39" spans="1:13">
      <c r="L39" s="26"/>
      <c r="M39" s="26"/>
    </row>
    <row r="40" spans="1:13">
      <c r="L40" s="26"/>
      <c r="M40" s="26"/>
    </row>
    <row r="41" spans="1:13">
      <c r="L41" s="26"/>
      <c r="M41" s="26"/>
    </row>
    <row r="42" spans="1:13">
      <c r="L42" s="26"/>
      <c r="M42" s="26"/>
    </row>
    <row r="43" spans="1:13">
      <c r="L43" s="26"/>
      <c r="M43" s="26"/>
    </row>
    <row r="44" spans="1:13">
      <c r="L44" s="26"/>
      <c r="M44" s="26"/>
    </row>
    <row r="45" spans="1:13">
      <c r="L45" s="26"/>
      <c r="M45" s="26"/>
    </row>
    <row r="46" spans="1:13">
      <c r="L46" s="26"/>
      <c r="M46" s="26"/>
    </row>
    <row r="47" spans="1:13">
      <c r="L47" s="26"/>
      <c r="M47" s="26"/>
    </row>
    <row r="48" spans="1:13">
      <c r="L48" s="26"/>
      <c r="M48" s="26"/>
    </row>
    <row r="49" spans="12:13">
      <c r="L49" s="26"/>
      <c r="M49" s="26"/>
    </row>
    <row r="50" spans="12:13">
      <c r="L50" s="26"/>
      <c r="M50" s="26"/>
    </row>
    <row r="51" spans="12:13">
      <c r="L51" s="26"/>
      <c r="M51" s="26"/>
    </row>
    <row r="52" spans="12:13">
      <c r="L52" s="26"/>
      <c r="M52" s="26"/>
    </row>
    <row r="53" spans="12:13">
      <c r="L53" s="26"/>
      <c r="M53" s="26"/>
    </row>
    <row r="54" spans="12:13">
      <c r="L54" s="26"/>
      <c r="M54" s="26"/>
    </row>
    <row r="55" spans="12:13">
      <c r="L55" s="26"/>
      <c r="M55" s="26"/>
    </row>
    <row r="56" spans="12:13">
      <c r="L56" s="26"/>
      <c r="M56" s="26"/>
    </row>
    <row r="57" spans="12:13">
      <c r="L57" s="26"/>
      <c r="M57" s="26"/>
    </row>
    <row r="58" spans="12:13">
      <c r="L58" s="26"/>
      <c r="M58" s="26"/>
    </row>
    <row r="59" spans="12:13">
      <c r="L59" s="26"/>
      <c r="M59" s="26"/>
    </row>
    <row r="60" spans="12:13">
      <c r="L60" s="26"/>
      <c r="M60" s="26"/>
    </row>
    <row r="61" spans="12:13">
      <c r="L61" s="26"/>
      <c r="M61" s="26"/>
    </row>
    <row r="62" spans="12:13">
      <c r="L62" s="26"/>
      <c r="M62" s="26"/>
    </row>
    <row r="63" spans="12:13">
      <c r="L63" s="26"/>
      <c r="M63" s="26"/>
    </row>
    <row r="64" spans="12:13">
      <c r="L64" s="26"/>
      <c r="M64" s="26"/>
    </row>
    <row r="65" spans="12:13">
      <c r="L65" s="26"/>
      <c r="M65" s="26"/>
    </row>
    <row r="66" spans="12:13">
      <c r="L66" s="26"/>
      <c r="M66" s="26"/>
    </row>
    <row r="67" spans="12:13">
      <c r="L67" s="26"/>
      <c r="M67" s="26"/>
    </row>
    <row r="68" spans="12:13">
      <c r="L68" s="26"/>
      <c r="M68" s="26"/>
    </row>
    <row r="69" spans="12:13">
      <c r="L69" s="26"/>
      <c r="M69" s="26"/>
    </row>
    <row r="70" spans="12:13">
      <c r="L70" s="26"/>
      <c r="M70" s="26"/>
    </row>
    <row r="71" spans="12:13">
      <c r="L71" s="26"/>
      <c r="M71" s="26"/>
    </row>
    <row r="72" spans="12:13">
      <c r="L72" s="26"/>
      <c r="M72" s="26"/>
    </row>
    <row r="73" spans="12:13">
      <c r="L73" s="26"/>
      <c r="M73" s="26"/>
    </row>
    <row r="74" spans="12:13">
      <c r="L74" s="26"/>
      <c r="M74" s="26"/>
    </row>
    <row r="75" spans="12:13">
      <c r="L75" s="26"/>
      <c r="M75" s="26"/>
    </row>
    <row r="76" spans="12:13">
      <c r="L76" s="26"/>
      <c r="M76" s="26"/>
    </row>
    <row r="77" spans="12:13">
      <c r="L77" s="26"/>
      <c r="M77" s="26"/>
    </row>
    <row r="78" spans="12:13">
      <c r="L78" s="26"/>
      <c r="M78" s="26"/>
    </row>
    <row r="79" spans="12:13">
      <c r="L79" s="26"/>
      <c r="M79" s="26"/>
    </row>
    <row r="80" spans="12:13">
      <c r="L80" s="26"/>
      <c r="M80" s="26"/>
    </row>
    <row r="81" spans="12:13">
      <c r="L81" s="26"/>
      <c r="M81" s="26"/>
    </row>
    <row r="82" spans="12:13">
      <c r="L82" s="26"/>
      <c r="M82" s="26"/>
    </row>
    <row r="83" spans="12:13">
      <c r="L83" s="26"/>
      <c r="M83" s="26"/>
    </row>
    <row r="84" spans="12:13">
      <c r="L84" s="26"/>
      <c r="M84" s="26"/>
    </row>
    <row r="85" spans="12:13">
      <c r="L85" s="26"/>
      <c r="M85" s="26"/>
    </row>
    <row r="86" spans="12:13">
      <c r="L86" s="26"/>
      <c r="M86" s="26"/>
    </row>
    <row r="87" spans="12:13">
      <c r="L87" s="26"/>
      <c r="M87" s="26"/>
    </row>
    <row r="88" spans="12:13">
      <c r="L88" s="26"/>
      <c r="M88" s="26"/>
    </row>
    <row r="89" spans="12:13">
      <c r="L89" s="26"/>
      <c r="M89" s="26"/>
    </row>
    <row r="90" spans="12:13">
      <c r="L90" s="26"/>
      <c r="M90" s="26"/>
    </row>
    <row r="91" spans="12:13">
      <c r="L91" s="26"/>
      <c r="M91" s="26"/>
    </row>
    <row r="92" spans="12:13">
      <c r="L92" s="26"/>
      <c r="M92" s="26"/>
    </row>
    <row r="93" spans="12:13">
      <c r="L93" s="26"/>
      <c r="M93" s="26"/>
    </row>
    <row r="94" spans="12:13">
      <c r="L94" s="26"/>
      <c r="M94" s="26"/>
    </row>
    <row r="95" spans="12:13">
      <c r="L95" s="26"/>
      <c r="M95" s="26"/>
    </row>
    <row r="96" spans="12:13">
      <c r="L96" s="26"/>
      <c r="M96" s="26"/>
    </row>
    <row r="97" spans="12:13">
      <c r="L97" s="26"/>
      <c r="M97" s="26"/>
    </row>
    <row r="98" spans="12:13">
      <c r="L98" s="26"/>
      <c r="M98" s="26"/>
    </row>
    <row r="99" spans="12:13">
      <c r="L99" s="26"/>
      <c r="M99" s="26"/>
    </row>
    <row r="100" spans="12:13">
      <c r="L100" s="26"/>
      <c r="M100" s="26"/>
    </row>
    <row r="101" spans="12:13">
      <c r="L101" s="26"/>
      <c r="M101" s="26"/>
    </row>
    <row r="102" spans="12:13">
      <c r="L102" s="26"/>
      <c r="M102" s="26"/>
    </row>
    <row r="103" spans="12:13">
      <c r="L103" s="26"/>
      <c r="M103" s="26"/>
    </row>
    <row r="104" spans="12:13">
      <c r="L104" s="26"/>
      <c r="M104" s="26"/>
    </row>
    <row r="105" spans="12:13">
      <c r="L105" s="26"/>
      <c r="M105" s="26"/>
    </row>
    <row r="106" spans="12:13">
      <c r="L106" s="26"/>
      <c r="M106" s="26"/>
    </row>
    <row r="107" spans="12:13">
      <c r="L107" s="26"/>
      <c r="M107" s="26"/>
    </row>
    <row r="108" spans="12:13">
      <c r="L108" s="26"/>
      <c r="M108" s="26"/>
    </row>
    <row r="109" spans="12:13">
      <c r="L109" s="26"/>
      <c r="M109" s="26"/>
    </row>
    <row r="110" spans="12:13">
      <c r="L110" s="26"/>
      <c r="M110" s="26"/>
    </row>
    <row r="111" spans="12:13">
      <c r="L111" s="26"/>
      <c r="M111" s="26"/>
    </row>
    <row r="112" spans="12:13">
      <c r="L112" s="26"/>
      <c r="M112" s="26"/>
    </row>
    <row r="113" spans="12:13">
      <c r="L113" s="26"/>
      <c r="M113" s="26"/>
    </row>
    <row r="114" spans="12:13">
      <c r="L114" s="26"/>
      <c r="M114" s="26"/>
    </row>
    <row r="115" spans="12:13">
      <c r="L115" s="26"/>
      <c r="M115" s="26"/>
    </row>
    <row r="116" spans="12:13">
      <c r="L116" s="26"/>
      <c r="M116" s="26"/>
    </row>
    <row r="117" spans="12:13">
      <c r="L117" s="26"/>
      <c r="M117" s="26"/>
    </row>
    <row r="118" spans="12:13">
      <c r="L118" s="26"/>
      <c r="M118" s="26"/>
    </row>
    <row r="119" spans="12:13">
      <c r="L119" s="26"/>
      <c r="M119" s="26"/>
    </row>
    <row r="120" spans="12:13">
      <c r="L120" s="26"/>
      <c r="M120" s="26"/>
    </row>
    <row r="121" spans="12:13">
      <c r="L121" s="26"/>
      <c r="M121" s="26"/>
    </row>
    <row r="122" spans="12:13">
      <c r="L122" s="26"/>
      <c r="M122" s="26"/>
    </row>
    <row r="123" spans="12:13">
      <c r="L123" s="26"/>
      <c r="M123" s="26"/>
    </row>
    <row r="124" spans="12:13">
      <c r="L124" s="26"/>
      <c r="M124" s="26"/>
    </row>
    <row r="125" spans="12:13">
      <c r="L125" s="26"/>
      <c r="M125" s="26"/>
    </row>
    <row r="126" spans="12:13">
      <c r="L126" s="26"/>
      <c r="M126" s="26"/>
    </row>
    <row r="127" spans="12:13">
      <c r="L127" s="26"/>
      <c r="M127" s="26"/>
    </row>
    <row r="128" spans="12:13">
      <c r="L128" s="26"/>
      <c r="M128" s="26"/>
    </row>
    <row r="129" spans="12:13">
      <c r="L129" s="26"/>
      <c r="M129" s="26"/>
    </row>
    <row r="130" spans="12:13">
      <c r="L130" s="26"/>
      <c r="M130" s="26"/>
    </row>
    <row r="131" spans="12:13">
      <c r="L131" s="26"/>
      <c r="M131" s="26"/>
    </row>
    <row r="132" spans="12:13">
      <c r="L132" s="26"/>
      <c r="M132" s="26"/>
    </row>
    <row r="133" spans="12:13">
      <c r="L133" s="26"/>
      <c r="M133" s="26"/>
    </row>
    <row r="134" spans="12:13">
      <c r="L134" s="26"/>
      <c r="M134" s="26"/>
    </row>
    <row r="135" spans="12:13">
      <c r="L135" s="26"/>
      <c r="M135" s="26"/>
    </row>
    <row r="136" spans="12:13">
      <c r="L136" s="26"/>
      <c r="M136" s="26"/>
    </row>
    <row r="137" spans="12:13">
      <c r="L137" s="26"/>
      <c r="M137" s="26"/>
    </row>
    <row r="138" spans="12:13">
      <c r="L138" s="26"/>
      <c r="M138" s="26"/>
    </row>
    <row r="139" spans="12:13">
      <c r="L139" s="26"/>
      <c r="M139" s="26"/>
    </row>
    <row r="140" spans="12:13">
      <c r="L140" s="26"/>
      <c r="M140" s="26"/>
    </row>
    <row r="141" spans="12:13">
      <c r="L141" s="26"/>
      <c r="M141" s="26"/>
    </row>
    <row r="142" spans="12:13">
      <c r="L142" s="26"/>
      <c r="M142" s="26"/>
    </row>
    <row r="143" spans="12:13">
      <c r="L143" s="26"/>
      <c r="M143" s="26"/>
    </row>
    <row r="144" spans="12:13">
      <c r="L144" s="26"/>
      <c r="M144" s="26"/>
    </row>
    <row r="145" spans="12:13">
      <c r="L145" s="26"/>
      <c r="M145" s="26"/>
    </row>
    <row r="146" spans="12:13">
      <c r="L146" s="26"/>
      <c r="M146" s="26"/>
    </row>
    <row r="147" spans="12:13">
      <c r="L147" s="26"/>
      <c r="M147" s="26"/>
    </row>
    <row r="148" spans="12:13">
      <c r="L148" s="26"/>
      <c r="M148" s="26"/>
    </row>
    <row r="149" spans="12:13">
      <c r="L149" s="26"/>
      <c r="M149" s="26"/>
    </row>
    <row r="150" spans="12:13">
      <c r="L150" s="26"/>
      <c r="M150" s="26"/>
    </row>
    <row r="151" spans="12:13">
      <c r="L151" s="26"/>
      <c r="M151" s="26"/>
    </row>
    <row r="152" spans="12:13">
      <c r="L152" s="26"/>
      <c r="M152" s="26"/>
    </row>
    <row r="153" spans="12:13">
      <c r="L153" s="26"/>
      <c r="M153" s="26"/>
    </row>
    <row r="154" spans="12:13">
      <c r="L154" s="26"/>
      <c r="M154" s="26"/>
    </row>
    <row r="155" spans="12:13">
      <c r="L155" s="26"/>
      <c r="M155" s="26"/>
    </row>
    <row r="156" spans="12:13">
      <c r="L156" s="26"/>
      <c r="M156" s="26"/>
    </row>
    <row r="157" spans="12:13">
      <c r="L157" s="26"/>
      <c r="M157" s="26"/>
    </row>
    <row r="158" spans="12:13">
      <c r="L158" s="26"/>
      <c r="M158" s="26"/>
    </row>
    <row r="159" spans="12:13">
      <c r="L159" s="26"/>
      <c r="M159" s="26"/>
    </row>
    <row r="160" spans="12:13">
      <c r="L160" s="26"/>
      <c r="M160" s="26"/>
    </row>
    <row r="161" spans="12:13">
      <c r="L161" s="26"/>
      <c r="M161" s="26"/>
    </row>
    <row r="162" spans="12:13">
      <c r="L162" s="26"/>
      <c r="M162" s="26"/>
    </row>
    <row r="163" spans="12:13">
      <c r="L163" s="26"/>
      <c r="M163" s="26"/>
    </row>
    <row r="164" spans="12:13">
      <c r="L164" s="26"/>
      <c r="M164" s="26"/>
    </row>
    <row r="165" spans="12:13">
      <c r="L165" s="26"/>
      <c r="M165" s="26"/>
    </row>
    <row r="166" spans="12:13">
      <c r="L166" s="26"/>
      <c r="M166" s="26"/>
    </row>
    <row r="167" spans="12:13">
      <c r="L167" s="26"/>
      <c r="M167" s="26"/>
    </row>
    <row r="168" spans="12:13">
      <c r="L168" s="26"/>
      <c r="M168" s="26"/>
    </row>
    <row r="169" spans="12:13">
      <c r="L169" s="26"/>
      <c r="M169" s="26"/>
    </row>
    <row r="170" spans="12:13">
      <c r="L170" s="26"/>
      <c r="M170" s="26"/>
    </row>
    <row r="171" spans="12:13">
      <c r="L171" s="26"/>
      <c r="M171" s="26"/>
    </row>
    <row r="172" spans="12:13">
      <c r="L172" s="26"/>
      <c r="M172" s="26"/>
    </row>
    <row r="173" spans="12:13">
      <c r="L173" s="26"/>
      <c r="M173" s="26"/>
    </row>
    <row r="174" spans="12:13">
      <c r="L174" s="26"/>
      <c r="M174" s="26"/>
    </row>
    <row r="175" spans="12:13">
      <c r="L175" s="26"/>
      <c r="M175" s="26"/>
    </row>
    <row r="176" spans="12:13">
      <c r="L176" s="26"/>
      <c r="M176" s="26"/>
    </row>
    <row r="177" spans="12:13">
      <c r="L177" s="26"/>
      <c r="M177" s="26"/>
    </row>
    <row r="178" spans="12:13">
      <c r="L178" s="26"/>
      <c r="M178" s="26"/>
    </row>
    <row r="179" spans="12:13">
      <c r="L179" s="26"/>
      <c r="M179" s="26"/>
    </row>
    <row r="180" spans="12:13">
      <c r="L180" s="26"/>
      <c r="M180" s="26"/>
    </row>
    <row r="181" spans="12:13">
      <c r="L181" s="26"/>
      <c r="M181" s="26"/>
    </row>
    <row r="182" spans="12:13">
      <c r="L182" s="26"/>
      <c r="M182" s="26"/>
    </row>
    <row r="183" spans="12:13">
      <c r="L183" s="26"/>
      <c r="M183" s="26"/>
    </row>
    <row r="184" spans="12:13">
      <c r="L184" s="26"/>
      <c r="M184" s="26"/>
    </row>
    <row r="185" spans="12:13">
      <c r="L185" s="26"/>
      <c r="M185" s="26"/>
    </row>
    <row r="186" spans="12:13">
      <c r="L186" s="26"/>
      <c r="M186" s="26"/>
    </row>
    <row r="187" spans="12:13">
      <c r="L187" s="26"/>
      <c r="M187" s="26"/>
    </row>
    <row r="188" spans="12:13">
      <c r="L188" s="26"/>
      <c r="M188" s="26"/>
    </row>
    <row r="189" spans="12:13">
      <c r="L189" s="26"/>
      <c r="M189" s="26"/>
    </row>
    <row r="190" spans="12:13">
      <c r="L190" s="26"/>
      <c r="M190" s="26"/>
    </row>
    <row r="191" spans="12:13">
      <c r="L191" s="26"/>
      <c r="M191" s="26"/>
    </row>
    <row r="192" spans="12:13">
      <c r="L192" s="26"/>
      <c r="M192" s="26"/>
    </row>
    <row r="193" spans="12:13">
      <c r="L193" s="26"/>
      <c r="M193" s="26"/>
    </row>
    <row r="194" spans="12:13">
      <c r="L194" s="26"/>
      <c r="M194" s="26"/>
    </row>
    <row r="195" spans="12:13">
      <c r="L195" s="26"/>
      <c r="M195" s="26"/>
    </row>
    <row r="196" spans="12:13">
      <c r="L196" s="26"/>
      <c r="M196" s="26"/>
    </row>
    <row r="197" spans="12:13">
      <c r="L197" s="26"/>
      <c r="M197" s="26"/>
    </row>
    <row r="198" spans="12:13">
      <c r="L198" s="26"/>
      <c r="M198" s="26"/>
    </row>
    <row r="199" spans="12:13">
      <c r="L199" s="26"/>
      <c r="M199" s="26"/>
    </row>
    <row r="200" spans="12:13">
      <c r="L200" s="26"/>
      <c r="M200" s="26"/>
    </row>
    <row r="201" spans="12:13">
      <c r="L201" s="26"/>
      <c r="M201" s="26"/>
    </row>
    <row r="202" spans="12:13">
      <c r="L202" s="26"/>
      <c r="M202" s="26"/>
    </row>
    <row r="203" spans="12:13">
      <c r="L203" s="26"/>
      <c r="M203" s="26"/>
    </row>
    <row r="204" spans="12:13">
      <c r="L204" s="26"/>
      <c r="M204" s="26"/>
    </row>
  </sheetData>
  <mergeCells count="3">
    <mergeCell ref="A15:D15"/>
    <mergeCell ref="A16:D16"/>
    <mergeCell ref="A17:D17"/>
  </mergeCells>
  <pageMargins left="0.7" right="0.5" top="0.75" bottom="0.75" header="0.3" footer="0.3"/>
  <pageSetup scale="91"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pageSetUpPr fitToPage="1"/>
  </sheetPr>
  <dimension ref="A1:J225"/>
  <sheetViews>
    <sheetView topLeftCell="A6" workbookViewId="0">
      <selection activeCell="G55" sqref="G55"/>
    </sheetView>
  </sheetViews>
  <sheetFormatPr defaultRowHeight="15" outlineLevelRow="1"/>
  <cols>
    <col min="2" max="2" width="50.7109375" customWidth="1"/>
    <col min="3" max="3" width="23.140625" customWidth="1"/>
    <col min="4" max="4" width="2.7109375" customWidth="1"/>
    <col min="5" max="5" width="20.7109375" customWidth="1"/>
    <col min="6" max="6" width="2.7109375" customWidth="1"/>
    <col min="7" max="7" width="20.7109375" customWidth="1"/>
    <col min="8" max="8" width="11.5703125" bestFit="1" customWidth="1"/>
    <col min="9" max="11" width="17.28515625" customWidth="1"/>
    <col min="12" max="12" width="13" customWidth="1"/>
  </cols>
  <sheetData>
    <row r="1" spans="1:9" hidden="1" outlineLevel="1">
      <c r="G1" s="2" t="str">
        <f>Contents!$B1</f>
        <v>The Narragansett Electric Company</v>
      </c>
    </row>
    <row r="2" spans="1:9" hidden="1" outlineLevel="1">
      <c r="G2" s="2" t="str">
        <f>Contents!$B2</f>
        <v>d/b/a National Grid</v>
      </c>
    </row>
    <row r="3" spans="1:9" hidden="1" outlineLevel="1">
      <c r="G3" s="2" t="str">
        <f>Contents!$B3</f>
        <v>RIPUC Docket No. 4770</v>
      </c>
    </row>
    <row r="4" spans="1:9" hidden="1" outlineLevel="1">
      <c r="G4" s="2" t="str">
        <f>Contents!$B4</f>
        <v>Gas Earnings Sharing Mechanism</v>
      </c>
    </row>
    <row r="5" spans="1:9" hidden="1" outlineLevel="1">
      <c r="G5" s="2"/>
    </row>
    <row r="6" spans="1:9" collapsed="1">
      <c r="A6" s="26"/>
      <c r="B6" s="26"/>
      <c r="C6" s="26"/>
      <c r="D6" s="26"/>
      <c r="E6" s="26"/>
      <c r="F6" s="26"/>
      <c r="G6" s="2" t="str">
        <f>Contents!$B6</f>
        <v>The Narragansett Electric Company</v>
      </c>
    </row>
    <row r="7" spans="1:9">
      <c r="A7" s="26"/>
      <c r="B7" s="26"/>
      <c r="C7" s="26"/>
      <c r="D7" s="26"/>
      <c r="E7" s="26"/>
      <c r="F7" s="26"/>
      <c r="G7" s="2" t="str">
        <f>Contents!$B7</f>
        <v>d/b/a Rhode Island Energy</v>
      </c>
    </row>
    <row r="8" spans="1:9">
      <c r="A8" s="26"/>
      <c r="B8" s="26"/>
      <c r="C8" s="26"/>
      <c r="D8" s="26"/>
      <c r="E8" s="26"/>
      <c r="F8" s="26"/>
      <c r="G8" s="2" t="str">
        <f>Contents!$B8</f>
        <v>RIPUC Docket No. 4770</v>
      </c>
    </row>
    <row r="9" spans="1:9">
      <c r="A9" s="26"/>
      <c r="B9" s="26"/>
      <c r="C9" s="26"/>
      <c r="D9" s="26"/>
      <c r="E9" s="26"/>
      <c r="F9" s="26"/>
      <c r="G9" s="2" t="str">
        <f>Contents!$B9</f>
        <v>CY 2025 Gas Earnings Report</v>
      </c>
    </row>
    <row r="10" spans="1:9">
      <c r="A10" s="26"/>
      <c r="B10" s="26"/>
      <c r="C10" s="26"/>
      <c r="D10" s="26"/>
      <c r="E10" s="26"/>
      <c r="F10" s="26"/>
      <c r="G10" s="2" t="str">
        <f>Contents!$B10</f>
        <v>Schedule NECO-1</v>
      </c>
    </row>
    <row r="11" spans="1:9">
      <c r="A11" s="26"/>
      <c r="B11" s="26"/>
      <c r="C11" s="26"/>
      <c r="D11" s="26"/>
      <c r="E11" s="26"/>
      <c r="F11" s="26"/>
      <c r="G11" s="2" t="str">
        <f>Contents!$B11</f>
        <v>June 15, 2026</v>
      </c>
    </row>
    <row r="12" spans="1:9" collapsed="1">
      <c r="A12" s="26"/>
      <c r="B12" s="26"/>
      <c r="C12" s="26"/>
      <c r="D12" s="26"/>
      <c r="E12" s="26"/>
      <c r="F12" s="26"/>
      <c r="G12" s="2" t="str">
        <f>VLOOKUP($A$15,Index!$A:$C,3,FALSE)</f>
        <v>Page 7 of 15</v>
      </c>
    </row>
    <row r="13" spans="1:9">
      <c r="A13" s="26"/>
      <c r="B13" s="26"/>
      <c r="C13" s="26"/>
      <c r="D13" s="26"/>
      <c r="E13" s="26"/>
      <c r="F13" s="26"/>
      <c r="G13" s="2"/>
      <c r="I13" s="26"/>
    </row>
    <row r="14" spans="1:9">
      <c r="A14" s="797" t="str">
        <f>Contents!A13</f>
        <v>Rhode Island Energy - RI Gas</v>
      </c>
      <c r="B14" s="797"/>
      <c r="C14" s="797"/>
      <c r="D14" s="797"/>
      <c r="E14" s="797"/>
      <c r="F14" s="797"/>
      <c r="G14" s="797"/>
      <c r="I14" s="26"/>
    </row>
    <row r="15" spans="1:9">
      <c r="A15" s="797" t="s">
        <v>26</v>
      </c>
      <c r="B15" s="797"/>
      <c r="C15" s="797"/>
      <c r="D15" s="797"/>
      <c r="E15" s="797"/>
      <c r="F15" s="797"/>
      <c r="G15" s="797"/>
      <c r="I15" s="26"/>
    </row>
    <row r="16" spans="1:9">
      <c r="A16" s="797" t="str">
        <f>Contents!A15</f>
        <v>For the Twelve Months ended December 31, 2025</v>
      </c>
      <c r="B16" s="797"/>
      <c r="C16" s="797"/>
      <c r="D16" s="797"/>
      <c r="E16" s="797"/>
      <c r="F16" s="797"/>
      <c r="G16" s="797"/>
      <c r="I16" s="26"/>
    </row>
    <row r="17" spans="1:10">
      <c r="A17" s="26"/>
      <c r="B17" s="26"/>
      <c r="C17" s="26"/>
      <c r="D17" s="26"/>
      <c r="E17" s="26"/>
      <c r="F17" s="26"/>
      <c r="G17" s="26"/>
      <c r="I17" s="26"/>
    </row>
    <row r="18" spans="1:10">
      <c r="A18" s="26"/>
      <c r="B18" s="26"/>
      <c r="C18" s="8" t="s">
        <v>16</v>
      </c>
      <c r="D18" s="26"/>
      <c r="E18" s="8" t="s">
        <v>72</v>
      </c>
      <c r="F18" s="26"/>
      <c r="G18" s="8">
        <f>Index!G17</f>
        <v>2025</v>
      </c>
      <c r="I18" s="26"/>
    </row>
    <row r="19" spans="1:10">
      <c r="A19" s="26"/>
      <c r="B19" s="26"/>
      <c r="C19" s="36" t="s">
        <v>73</v>
      </c>
      <c r="D19" s="26"/>
      <c r="E19" s="36" t="s">
        <v>74</v>
      </c>
      <c r="F19" s="26"/>
      <c r="G19" s="36" t="s">
        <v>75</v>
      </c>
      <c r="I19" s="26"/>
    </row>
    <row r="20" spans="1:10">
      <c r="A20" s="26"/>
      <c r="B20" s="26"/>
      <c r="C20" s="36"/>
      <c r="D20" s="26"/>
      <c r="E20" s="36"/>
      <c r="F20" s="26"/>
      <c r="G20" s="36"/>
      <c r="I20" s="26"/>
    </row>
    <row r="21" spans="1:10">
      <c r="A21" s="36">
        <v>1</v>
      </c>
      <c r="B21" s="26" t="s">
        <v>295</v>
      </c>
      <c r="C21" s="81">
        <v>7196378</v>
      </c>
      <c r="D21" s="795"/>
      <c r="E21" s="81"/>
      <c r="F21" s="81"/>
      <c r="G21" s="27">
        <f>E21+C21</f>
        <v>7196378</v>
      </c>
      <c r="H21" s="732"/>
      <c r="I21" s="26"/>
    </row>
    <row r="22" spans="1:10">
      <c r="A22" s="36">
        <f>A21+1</f>
        <v>2</v>
      </c>
      <c r="B22" s="26"/>
      <c r="C22" s="81"/>
      <c r="D22" s="81"/>
      <c r="E22" s="81"/>
      <c r="F22" s="81"/>
      <c r="G22" s="27"/>
      <c r="I22" s="26"/>
    </row>
    <row r="23" spans="1:10" hidden="1" outlineLevel="1">
      <c r="A23" s="36"/>
      <c r="B23" s="26" t="s">
        <v>144</v>
      </c>
      <c r="C23" s="81"/>
      <c r="D23" s="81"/>
      <c r="E23" s="81">
        <v>23965319.710000001</v>
      </c>
      <c r="F23" s="795"/>
      <c r="G23" s="27"/>
      <c r="H23" s="79"/>
      <c r="I23" s="26"/>
    </row>
    <row r="24" spans="1:10" hidden="1" outlineLevel="1">
      <c r="A24" s="36"/>
      <c r="B24" s="26" t="s">
        <v>6181</v>
      </c>
      <c r="C24" s="81"/>
      <c r="D24" s="81"/>
      <c r="E24" s="81">
        <v>-10455657.9</v>
      </c>
      <c r="F24" s="795"/>
      <c r="G24" s="27"/>
      <c r="H24" s="79"/>
      <c r="I24" s="26"/>
    </row>
    <row r="25" spans="1:10" hidden="1" outlineLevel="1">
      <c r="A25" s="36"/>
      <c r="B25" s="26" t="s">
        <v>1727</v>
      </c>
      <c r="C25" s="81"/>
      <c r="D25" s="81"/>
      <c r="E25" s="42">
        <v>18407883.440000001</v>
      </c>
      <c r="F25" s="795"/>
      <c r="G25" s="27"/>
      <c r="H25" s="107"/>
      <c r="I25" s="36"/>
      <c r="J25" s="107"/>
    </row>
    <row r="26" spans="1:10" hidden="1" outlineLevel="1">
      <c r="A26" s="36"/>
      <c r="B26" s="26" t="s">
        <v>148</v>
      </c>
      <c r="C26" s="81"/>
      <c r="D26" s="81"/>
      <c r="E26" s="42">
        <v>-26024082.550000001</v>
      </c>
      <c r="F26" s="795"/>
      <c r="G26" s="27"/>
      <c r="H26" s="79"/>
      <c r="I26" s="26"/>
    </row>
    <row r="27" spans="1:10" hidden="1" outlineLevel="1">
      <c r="A27" s="36"/>
      <c r="B27" s="26" t="s">
        <v>150</v>
      </c>
      <c r="C27" s="81"/>
      <c r="D27" s="81"/>
      <c r="E27" s="42">
        <v>0</v>
      </c>
      <c r="F27" s="795"/>
      <c r="G27" s="27"/>
      <c r="H27" s="79"/>
      <c r="I27" s="26"/>
    </row>
    <row r="28" spans="1:10" hidden="1" outlineLevel="1">
      <c r="A28" s="36"/>
      <c r="B28" s="26" t="s">
        <v>6182</v>
      </c>
      <c r="C28" s="81"/>
      <c r="D28" s="81"/>
      <c r="E28" s="42">
        <v>8020849.8600000003</v>
      </c>
      <c r="F28" s="795"/>
      <c r="G28" s="27"/>
      <c r="H28" s="79"/>
      <c r="I28" s="26"/>
    </row>
    <row r="29" spans="1:10" hidden="1" outlineLevel="1">
      <c r="A29" s="36"/>
      <c r="B29" s="26" t="s">
        <v>3602</v>
      </c>
      <c r="C29" s="81"/>
      <c r="D29" s="81"/>
      <c r="E29" s="42">
        <v>-4111045.01</v>
      </c>
      <c r="F29" s="795"/>
      <c r="G29" s="27"/>
      <c r="I29" s="26"/>
    </row>
    <row r="30" spans="1:10" hidden="1" outlineLevel="1">
      <c r="A30" s="36"/>
      <c r="B30" s="26" t="s">
        <v>6178</v>
      </c>
      <c r="C30" s="81"/>
      <c r="D30" s="81"/>
      <c r="E30" s="42">
        <v>25769143.030000001</v>
      </c>
      <c r="F30" s="795"/>
      <c r="G30" s="27"/>
      <c r="H30" s="79"/>
      <c r="I30" s="26"/>
    </row>
    <row r="31" spans="1:10" hidden="1" outlineLevel="1">
      <c r="A31" s="36"/>
      <c r="B31" s="26" t="s">
        <v>6177</v>
      </c>
      <c r="C31" s="81"/>
      <c r="D31" s="81"/>
      <c r="E31" s="42">
        <v>-2837871.7</v>
      </c>
      <c r="F31" s="795"/>
      <c r="G31" s="27"/>
      <c r="H31" s="79"/>
      <c r="I31" s="26"/>
    </row>
    <row r="32" spans="1:10" hidden="1" outlineLevel="1">
      <c r="A32" s="36"/>
      <c r="B32" s="26" t="s">
        <v>6180</v>
      </c>
      <c r="C32" s="81"/>
      <c r="D32" s="81"/>
      <c r="E32" s="42">
        <v>1844978.3</v>
      </c>
      <c r="F32" s="795"/>
      <c r="G32" s="27"/>
      <c r="H32" s="79"/>
      <c r="I32" s="26"/>
    </row>
    <row r="33" spans="1:10" hidden="1" outlineLevel="1">
      <c r="A33" s="36"/>
      <c r="B33" s="26" t="s">
        <v>6179</v>
      </c>
      <c r="C33" s="81"/>
      <c r="D33" s="81"/>
      <c r="E33" s="42">
        <v>333033.84000000003</v>
      </c>
      <c r="F33" s="795"/>
      <c r="G33" s="27"/>
      <c r="H33" s="79"/>
      <c r="I33" s="26"/>
    </row>
    <row r="34" spans="1:10" collapsed="1">
      <c r="A34" s="36">
        <f>+A22+1</f>
        <v>3</v>
      </c>
      <c r="B34" s="26" t="s">
        <v>296</v>
      </c>
      <c r="C34" s="81">
        <f>-34874785-SUM(C36:C61)</f>
        <v>37766.020000010729</v>
      </c>
      <c r="D34" s="795"/>
      <c r="E34" s="81"/>
      <c r="F34" s="42"/>
      <c r="G34" s="27">
        <f>C34+E34</f>
        <v>37766.020000010729</v>
      </c>
      <c r="H34" s="732"/>
      <c r="I34" s="202"/>
      <c r="J34" s="108"/>
    </row>
    <row r="35" spans="1:10">
      <c r="A35" s="36">
        <f>A34+1</f>
        <v>4</v>
      </c>
      <c r="B35" s="26"/>
      <c r="C35" s="27"/>
      <c r="D35" s="27"/>
      <c r="E35" s="27"/>
      <c r="F35" s="113"/>
      <c r="G35" s="27"/>
      <c r="H35" s="9"/>
      <c r="I35" s="202"/>
      <c r="J35" s="108"/>
    </row>
    <row r="36" spans="1:10">
      <c r="A36" s="36">
        <f t="shared" ref="A36:A65" si="0">A35+1</f>
        <v>5</v>
      </c>
      <c r="B36" s="26" t="s">
        <v>144</v>
      </c>
      <c r="C36" s="27">
        <f>-E23</f>
        <v>-23965319.710000001</v>
      </c>
      <c r="D36" s="732"/>
      <c r="E36" s="27">
        <f>-C36</f>
        <v>23965319.710000001</v>
      </c>
      <c r="F36" s="732"/>
      <c r="G36" s="27">
        <f>C36+E36</f>
        <v>0</v>
      </c>
      <c r="H36" s="732"/>
      <c r="I36" s="202"/>
      <c r="J36" s="108"/>
    </row>
    <row r="37" spans="1:10">
      <c r="A37" s="36">
        <f t="shared" si="0"/>
        <v>6</v>
      </c>
      <c r="B37" s="26"/>
      <c r="C37" s="27"/>
      <c r="D37" s="27"/>
      <c r="E37" s="27"/>
      <c r="F37" s="113"/>
      <c r="G37" s="27"/>
      <c r="H37" s="9"/>
      <c r="I37" s="202"/>
      <c r="J37" s="108"/>
    </row>
    <row r="38" spans="1:10">
      <c r="A38" s="36">
        <f t="shared" si="0"/>
        <v>7</v>
      </c>
      <c r="B38" s="26" t="s">
        <v>297</v>
      </c>
      <c r="C38" s="113">
        <f>-E25</f>
        <v>-18407883.440000001</v>
      </c>
      <c r="D38" s="732"/>
      <c r="E38" s="27"/>
      <c r="F38" s="113"/>
      <c r="G38" s="27">
        <f>C38+E38</f>
        <v>-18407883.440000001</v>
      </c>
      <c r="H38" s="732"/>
      <c r="I38" s="26"/>
    </row>
    <row r="39" spans="1:10">
      <c r="A39" s="36">
        <f t="shared" si="0"/>
        <v>8</v>
      </c>
      <c r="B39" s="26" t="s">
        <v>298</v>
      </c>
      <c r="C39" s="27"/>
      <c r="D39" s="27"/>
      <c r="E39" s="27">
        <v>2308463.2000943609</v>
      </c>
      <c r="F39" s="732"/>
      <c r="G39" s="27">
        <f>C39+E39</f>
        <v>2308463.2000943609</v>
      </c>
      <c r="H39" s="732"/>
      <c r="I39" s="26"/>
    </row>
    <row r="40" spans="1:10">
      <c r="A40" s="36">
        <f t="shared" si="0"/>
        <v>9</v>
      </c>
      <c r="B40" s="26"/>
      <c r="C40" s="27"/>
      <c r="D40" s="27"/>
      <c r="E40" s="27"/>
      <c r="F40" s="113"/>
      <c r="G40" s="27"/>
      <c r="I40" s="26"/>
    </row>
    <row r="41" spans="1:10">
      <c r="A41" s="36">
        <f t="shared" si="0"/>
        <v>10</v>
      </c>
      <c r="B41" s="26" t="s">
        <v>6181</v>
      </c>
      <c r="C41" s="27">
        <f>-E24</f>
        <v>10455657.9</v>
      </c>
      <c r="D41" s="27"/>
      <c r="E41" s="27"/>
      <c r="F41" s="113"/>
      <c r="G41" s="27">
        <f>C41+E41</f>
        <v>10455657.9</v>
      </c>
      <c r="I41" s="26"/>
    </row>
    <row r="42" spans="1:10">
      <c r="A42" s="36">
        <f t="shared" si="0"/>
        <v>11</v>
      </c>
      <c r="B42" s="26" t="s">
        <v>6185</v>
      </c>
      <c r="C42" s="27"/>
      <c r="D42" s="27"/>
      <c r="E42" s="27">
        <v>520058.66578970011</v>
      </c>
      <c r="F42" s="113"/>
      <c r="G42" s="27">
        <f>C42+E42</f>
        <v>520058.66578970011</v>
      </c>
      <c r="I42" s="26"/>
    </row>
    <row r="43" spans="1:10">
      <c r="A43" s="36">
        <f t="shared" si="0"/>
        <v>12</v>
      </c>
      <c r="B43" s="26" t="s">
        <v>299</v>
      </c>
      <c r="C43" s="27"/>
      <c r="D43" s="27"/>
      <c r="E43" s="27">
        <v>-118775.62</v>
      </c>
      <c r="F43" s="113"/>
      <c r="G43" s="27">
        <f>C43+E43</f>
        <v>-118775.62</v>
      </c>
      <c r="I43" s="26"/>
    </row>
    <row r="44" spans="1:10">
      <c r="A44" s="36">
        <f t="shared" si="0"/>
        <v>13</v>
      </c>
      <c r="B44" s="26"/>
      <c r="C44" s="27"/>
      <c r="D44" s="27"/>
      <c r="E44" s="27"/>
      <c r="F44" s="113"/>
      <c r="G44" s="27"/>
      <c r="I44" s="26"/>
    </row>
    <row r="45" spans="1:10">
      <c r="A45" s="36">
        <f t="shared" si="0"/>
        <v>14</v>
      </c>
      <c r="B45" s="26" t="s">
        <v>6178</v>
      </c>
      <c r="C45" s="113">
        <f>-E30</f>
        <v>-25769143.030000001</v>
      </c>
      <c r="D45" s="27"/>
      <c r="E45" s="27">
        <v>-7571425.4900000002</v>
      </c>
      <c r="F45" s="113"/>
      <c r="G45" s="27">
        <f>C45+E45</f>
        <v>-33340568.520000003</v>
      </c>
      <c r="I45" s="26"/>
    </row>
    <row r="46" spans="1:10">
      <c r="A46" s="36">
        <f t="shared" si="0"/>
        <v>15</v>
      </c>
      <c r="B46" s="26" t="s">
        <v>6186</v>
      </c>
      <c r="C46" s="113"/>
      <c r="D46" s="27"/>
      <c r="E46" s="27">
        <f>-E45</f>
        <v>7571425.4900000002</v>
      </c>
      <c r="F46" s="113"/>
      <c r="G46" s="27">
        <f>C46+E46</f>
        <v>7571425.4900000002</v>
      </c>
      <c r="I46" s="26"/>
    </row>
    <row r="47" spans="1:10">
      <c r="A47" s="36">
        <f t="shared" si="0"/>
        <v>16</v>
      </c>
      <c r="B47" s="26"/>
      <c r="C47" s="27"/>
      <c r="D47" s="27"/>
      <c r="E47" s="27"/>
      <c r="F47" s="113"/>
      <c r="G47" s="27"/>
      <c r="I47" s="26"/>
    </row>
    <row r="48" spans="1:10">
      <c r="A48" s="36">
        <f t="shared" si="0"/>
        <v>17</v>
      </c>
      <c r="B48" s="26" t="s">
        <v>300</v>
      </c>
      <c r="C48" s="27">
        <f>-E26</f>
        <v>26024082.550000001</v>
      </c>
      <c r="D48" s="732"/>
      <c r="E48" s="27">
        <f>-C48</f>
        <v>-26024082.550000001</v>
      </c>
      <c r="F48" s="732"/>
      <c r="G48" s="27">
        <f>C48+E48</f>
        <v>0</v>
      </c>
      <c r="H48" s="732"/>
      <c r="I48" s="26"/>
    </row>
    <row r="49" spans="1:9">
      <c r="A49" s="36">
        <f t="shared" si="0"/>
        <v>18</v>
      </c>
      <c r="B49" s="26"/>
      <c r="C49" s="27"/>
      <c r="D49" s="27"/>
      <c r="E49" s="27"/>
      <c r="F49" s="113"/>
      <c r="G49" s="27"/>
      <c r="I49" s="26"/>
    </row>
    <row r="50" spans="1:9">
      <c r="A50" s="36">
        <f t="shared" si="0"/>
        <v>19</v>
      </c>
      <c r="B50" s="26" t="s">
        <v>6182</v>
      </c>
      <c r="C50" s="113">
        <f>-E28</f>
        <v>-8020849.8600000003</v>
      </c>
      <c r="D50" s="27"/>
      <c r="E50" s="27"/>
      <c r="F50" s="113"/>
      <c r="G50" s="27">
        <f>C50+E50</f>
        <v>-8020849.8600000003</v>
      </c>
      <c r="I50" s="26"/>
    </row>
    <row r="51" spans="1:9">
      <c r="A51" s="36">
        <f t="shared" si="0"/>
        <v>20</v>
      </c>
      <c r="B51" s="26" t="s">
        <v>6184</v>
      </c>
      <c r="C51" s="113"/>
      <c r="D51" s="27"/>
      <c r="E51" s="27">
        <v>-558221.90262529999</v>
      </c>
      <c r="F51" s="113"/>
      <c r="G51" s="27">
        <f>C51+E51</f>
        <v>-558221.90262529999</v>
      </c>
      <c r="I51" s="26"/>
    </row>
    <row r="52" spans="1:9">
      <c r="A52" s="36">
        <f t="shared" si="0"/>
        <v>21</v>
      </c>
      <c r="B52" s="26" t="s">
        <v>6192</v>
      </c>
      <c r="C52" s="113"/>
      <c r="D52" s="27"/>
      <c r="E52" s="27">
        <v>18399</v>
      </c>
      <c r="F52" s="113"/>
      <c r="G52" s="27">
        <f>C52+E52</f>
        <v>18399</v>
      </c>
      <c r="I52" s="26"/>
    </row>
    <row r="53" spans="1:9">
      <c r="A53" s="36">
        <f t="shared" si="0"/>
        <v>22</v>
      </c>
      <c r="B53" s="26"/>
      <c r="C53" s="27"/>
      <c r="D53" s="27"/>
      <c r="E53" s="27"/>
      <c r="F53" s="113"/>
      <c r="G53" s="27"/>
      <c r="I53" s="26"/>
    </row>
    <row r="54" spans="1:9">
      <c r="A54" s="36">
        <f t="shared" si="0"/>
        <v>23</v>
      </c>
      <c r="B54" s="26" t="s">
        <v>301</v>
      </c>
      <c r="C54" s="27">
        <f>-E27</f>
        <v>0</v>
      </c>
      <c r="D54" s="732"/>
      <c r="E54" s="27">
        <f>-C54</f>
        <v>0</v>
      </c>
      <c r="F54" s="732"/>
      <c r="G54" s="27">
        <f>C54+E54</f>
        <v>0</v>
      </c>
      <c r="H54" s="732"/>
      <c r="I54" s="26"/>
    </row>
    <row r="55" spans="1:9">
      <c r="A55" s="36">
        <f t="shared" si="0"/>
        <v>24</v>
      </c>
      <c r="B55" s="26"/>
      <c r="C55" s="27"/>
      <c r="D55" s="27"/>
      <c r="E55" s="27"/>
      <c r="F55" s="113"/>
      <c r="G55" s="27"/>
      <c r="I55" s="26"/>
    </row>
    <row r="56" spans="1:9">
      <c r="A56" s="36">
        <f t="shared" si="0"/>
        <v>25</v>
      </c>
      <c r="B56" s="26" t="s">
        <v>302</v>
      </c>
      <c r="C56" s="113">
        <f>-E31-E32-E33</f>
        <v>659859.56000000006</v>
      </c>
      <c r="D56" s="732"/>
      <c r="E56" s="27">
        <f>E31</f>
        <v>-2837871.7</v>
      </c>
      <c r="F56" s="732"/>
      <c r="G56" s="27">
        <f>E56+C56</f>
        <v>-2178012.14</v>
      </c>
      <c r="H56" s="732"/>
      <c r="I56" s="26"/>
    </row>
    <row r="57" spans="1:9">
      <c r="A57" s="36">
        <f t="shared" si="0"/>
        <v>26</v>
      </c>
      <c r="B57" s="26" t="s">
        <v>303</v>
      </c>
      <c r="C57" s="27"/>
      <c r="D57" s="27"/>
      <c r="E57" s="27">
        <f>-E31</f>
        <v>2837871.7</v>
      </c>
      <c r="F57" s="732"/>
      <c r="G57" s="27">
        <f>E57+C57</f>
        <v>2837871.7</v>
      </c>
      <c r="H57" s="732"/>
      <c r="I57" s="26"/>
    </row>
    <row r="58" spans="1:9">
      <c r="A58" s="36">
        <f t="shared" si="0"/>
        <v>27</v>
      </c>
      <c r="B58" s="26"/>
      <c r="C58" s="27"/>
      <c r="D58" s="27"/>
      <c r="E58" s="27"/>
      <c r="F58" s="113"/>
      <c r="G58" s="27"/>
      <c r="I58" s="26"/>
    </row>
    <row r="59" spans="1:9">
      <c r="A59" s="36">
        <f t="shared" si="0"/>
        <v>28</v>
      </c>
      <c r="B59" s="26" t="s">
        <v>3602</v>
      </c>
      <c r="C59" s="27">
        <f>-E29</f>
        <v>4111045.01</v>
      </c>
      <c r="D59" s="732"/>
      <c r="E59" s="27"/>
      <c r="F59" s="113"/>
      <c r="G59" s="27">
        <f>E59+C59</f>
        <v>4111045.01</v>
      </c>
      <c r="H59" s="732"/>
      <c r="I59" s="26"/>
    </row>
    <row r="60" spans="1:9">
      <c r="A60" s="36">
        <f t="shared" si="0"/>
        <v>29</v>
      </c>
      <c r="B60" s="26" t="s">
        <v>304</v>
      </c>
      <c r="C60" s="27"/>
      <c r="D60" s="27"/>
      <c r="E60" s="117">
        <v>-1099519.5529665016</v>
      </c>
      <c r="F60" s="732"/>
      <c r="G60" s="27">
        <f>E60+C60</f>
        <v>-1099519.5529665016</v>
      </c>
      <c r="H60" s="732"/>
      <c r="I60" s="26"/>
    </row>
    <row r="61" spans="1:9">
      <c r="A61" s="36">
        <f t="shared" si="0"/>
        <v>30</v>
      </c>
      <c r="B61" s="26"/>
      <c r="C61" s="27"/>
      <c r="D61" s="27"/>
      <c r="E61" s="27"/>
      <c r="F61" s="113"/>
      <c r="G61" s="27"/>
      <c r="I61" s="26"/>
    </row>
    <row r="62" spans="1:9">
      <c r="A62" s="36">
        <f t="shared" si="0"/>
        <v>31</v>
      </c>
      <c r="B62" s="26" t="s">
        <v>305</v>
      </c>
      <c r="C62" s="27">
        <f>584122+318364</f>
        <v>902486</v>
      </c>
      <c r="D62" s="732"/>
      <c r="E62" s="27">
        <f>-C62</f>
        <v>-902486</v>
      </c>
      <c r="F62" s="732"/>
      <c r="G62" s="27">
        <f>E62+C62</f>
        <v>0</v>
      </c>
      <c r="H62" s="732"/>
      <c r="I62" s="26"/>
    </row>
    <row r="63" spans="1:9">
      <c r="A63" s="36">
        <f t="shared" si="0"/>
        <v>32</v>
      </c>
      <c r="B63" s="26"/>
      <c r="C63" s="27"/>
      <c r="D63" s="27"/>
      <c r="E63" s="27"/>
      <c r="F63" s="113"/>
      <c r="G63" s="27"/>
      <c r="I63" s="26"/>
    </row>
    <row r="64" spans="1:9" outlineLevel="1">
      <c r="A64" s="36">
        <f t="shared" si="0"/>
        <v>33</v>
      </c>
      <c r="B64" s="26" t="s">
        <v>6183</v>
      </c>
      <c r="C64" s="27"/>
      <c r="D64" s="27"/>
      <c r="E64" s="27">
        <v>584122</v>
      </c>
      <c r="F64" s="732"/>
      <c r="G64" s="27"/>
      <c r="I64" s="26"/>
    </row>
    <row r="65" spans="1:9">
      <c r="A65" s="36">
        <f t="shared" si="0"/>
        <v>34</v>
      </c>
      <c r="B65" s="26" t="s">
        <v>306</v>
      </c>
      <c r="C65" s="120"/>
      <c r="D65" s="27"/>
      <c r="E65" s="120">
        <f>E64</f>
        <v>584122</v>
      </c>
      <c r="F65" s="732"/>
      <c r="G65" s="120">
        <f>E65+C65</f>
        <v>584122</v>
      </c>
      <c r="H65" s="732"/>
      <c r="I65" s="26"/>
    </row>
    <row r="66" spans="1:9">
      <c r="A66" s="36">
        <f>A65+1</f>
        <v>35</v>
      </c>
      <c r="B66" s="26"/>
      <c r="C66" s="27"/>
      <c r="D66" s="27"/>
      <c r="E66" s="27"/>
      <c r="F66" s="113"/>
      <c r="G66" s="27"/>
      <c r="I66" s="26"/>
    </row>
    <row r="67" spans="1:9" ht="15.75" thickBot="1">
      <c r="A67" s="36">
        <f>A66+1</f>
        <v>36</v>
      </c>
      <c r="B67" s="26" t="s">
        <v>307</v>
      </c>
      <c r="C67" s="111">
        <f>SUM(C21:C65)</f>
        <v>-26775921</v>
      </c>
      <c r="D67" s="27"/>
      <c r="E67" s="111">
        <f>SUM(E21,E34:E63,E65)</f>
        <v>-1306723.0497077405</v>
      </c>
      <c r="F67" s="113"/>
      <c r="G67" s="111">
        <f>SUM(G21:G65)</f>
        <v>-28082644.049707729</v>
      </c>
      <c r="I67" s="26"/>
    </row>
    <row r="68" spans="1:9" ht="15.75" thickTop="1">
      <c r="A68" s="36"/>
      <c r="B68" s="26"/>
      <c r="C68" s="26"/>
      <c r="D68" s="26"/>
      <c r="E68" s="26"/>
      <c r="F68" s="26"/>
      <c r="G68" s="26"/>
      <c r="I68" s="26"/>
    </row>
    <row r="69" spans="1:9">
      <c r="A69" s="36"/>
      <c r="B69" s="26"/>
      <c r="C69" s="26"/>
      <c r="D69" s="26"/>
      <c r="E69" s="27"/>
      <c r="F69" s="26"/>
      <c r="G69" s="27"/>
      <c r="I69" s="26"/>
    </row>
    <row r="70" spans="1:9">
      <c r="A70" s="26" t="s">
        <v>70</v>
      </c>
      <c r="C70" s="27"/>
      <c r="D70" s="26"/>
      <c r="E70" s="27"/>
      <c r="F70" s="26"/>
      <c r="G70" s="27"/>
      <c r="I70" s="26"/>
    </row>
    <row r="71" spans="1:9">
      <c r="A71" s="116" t="str">
        <f>C19</f>
        <v>(a)</v>
      </c>
      <c r="B71" s="26" t="s">
        <v>130</v>
      </c>
      <c r="C71" s="26"/>
      <c r="D71" s="26"/>
      <c r="E71" s="117"/>
      <c r="F71" s="26"/>
      <c r="G71" s="26"/>
      <c r="I71" s="26"/>
    </row>
    <row r="72" spans="1:9">
      <c r="A72" s="36" t="str">
        <f>E19</f>
        <v>(b)</v>
      </c>
      <c r="B72" s="26" t="str">
        <f>"From "&amp;'Recon of ESM to Annual- IS'!$H$12</f>
        <v>From Page 14 of 15</v>
      </c>
      <c r="C72" s="26"/>
      <c r="D72" s="26"/>
      <c r="E72" s="26"/>
      <c r="F72" s="26"/>
      <c r="G72" s="26"/>
      <c r="I72" s="26"/>
    </row>
    <row r="73" spans="1:9">
      <c r="A73" s="36" t="str">
        <f>G19</f>
        <v>(c)</v>
      </c>
      <c r="B73" s="26" t="str">
        <f>C19&amp;" + "&amp;E19</f>
        <v>(a) + (b)</v>
      </c>
      <c r="C73" s="26"/>
      <c r="D73" s="26"/>
      <c r="E73" s="26"/>
      <c r="F73" s="26"/>
      <c r="G73" s="26"/>
      <c r="I73" s="26"/>
    </row>
    <row r="74" spans="1:9">
      <c r="A74" s="26"/>
      <c r="B74" s="26"/>
      <c r="C74" s="26"/>
      <c r="D74" s="26"/>
      <c r="E74" s="27"/>
      <c r="F74" s="26"/>
      <c r="G74" s="26"/>
      <c r="I74" s="26"/>
    </row>
    <row r="75" spans="1:9">
      <c r="A75" s="26"/>
      <c r="B75" s="30"/>
      <c r="C75" s="27"/>
      <c r="D75" s="26"/>
      <c r="E75" s="26"/>
      <c r="F75" s="26"/>
      <c r="G75" s="27"/>
      <c r="I75" s="26"/>
    </row>
    <row r="76" spans="1:9">
      <c r="G76" s="9"/>
      <c r="I76" s="26"/>
    </row>
    <row r="77" spans="1:9">
      <c r="G77" s="9"/>
      <c r="I77" s="26"/>
    </row>
    <row r="78" spans="1:9">
      <c r="G78" s="9"/>
      <c r="I78" s="26"/>
    </row>
    <row r="79" spans="1:9">
      <c r="I79" s="26"/>
    </row>
    <row r="80" spans="1:9">
      <c r="I80" s="26"/>
    </row>
    <row r="81" spans="9:9">
      <c r="I81" s="26"/>
    </row>
    <row r="82" spans="9:9">
      <c r="I82" s="26"/>
    </row>
    <row r="83" spans="9:9">
      <c r="I83" s="26"/>
    </row>
    <row r="84" spans="9:9">
      <c r="I84" s="26"/>
    </row>
    <row r="85" spans="9:9">
      <c r="I85" s="26"/>
    </row>
    <row r="86" spans="9:9">
      <c r="I86" s="26"/>
    </row>
    <row r="87" spans="9:9">
      <c r="I87" s="26"/>
    </row>
    <row r="88" spans="9:9">
      <c r="I88" s="26"/>
    </row>
    <row r="89" spans="9:9">
      <c r="I89" s="26"/>
    </row>
    <row r="90" spans="9:9">
      <c r="I90" s="26"/>
    </row>
    <row r="91" spans="9:9">
      <c r="I91" s="26"/>
    </row>
    <row r="92" spans="9:9">
      <c r="I92" s="26"/>
    </row>
    <row r="93" spans="9:9">
      <c r="I93" s="26"/>
    </row>
    <row r="94" spans="9:9">
      <c r="I94" s="26"/>
    </row>
    <row r="95" spans="9:9">
      <c r="I95" s="26"/>
    </row>
    <row r="96" spans="9:9">
      <c r="I96" s="26"/>
    </row>
    <row r="97" spans="9:9">
      <c r="I97" s="26"/>
    </row>
    <row r="98" spans="9:9">
      <c r="I98" s="26"/>
    </row>
    <row r="99" spans="9:9">
      <c r="I99" s="26"/>
    </row>
    <row r="100" spans="9:9">
      <c r="I100" s="26"/>
    </row>
    <row r="101" spans="9:9">
      <c r="I101" s="26"/>
    </row>
    <row r="102" spans="9:9">
      <c r="I102" s="26"/>
    </row>
    <row r="103" spans="9:9">
      <c r="I103" s="26"/>
    </row>
    <row r="104" spans="9:9">
      <c r="I104" s="26"/>
    </row>
    <row r="105" spans="9:9">
      <c r="I105" s="26"/>
    </row>
    <row r="106" spans="9:9">
      <c r="I106" s="26"/>
    </row>
    <row r="107" spans="9:9">
      <c r="I107" s="26"/>
    </row>
    <row r="108" spans="9:9">
      <c r="I108" s="26"/>
    </row>
    <row r="109" spans="9:9">
      <c r="I109" s="26"/>
    </row>
    <row r="110" spans="9:9">
      <c r="I110" s="26"/>
    </row>
    <row r="111" spans="9:9">
      <c r="I111" s="26"/>
    </row>
    <row r="112" spans="9:9">
      <c r="I112" s="26"/>
    </row>
    <row r="113" spans="9:9">
      <c r="I113" s="26"/>
    </row>
    <row r="114" spans="9:9">
      <c r="I114" s="26"/>
    </row>
    <row r="115" spans="9:9">
      <c r="I115" s="26"/>
    </row>
    <row r="116" spans="9:9">
      <c r="I116" s="26"/>
    </row>
    <row r="117" spans="9:9">
      <c r="I117" s="26"/>
    </row>
    <row r="118" spans="9:9">
      <c r="I118" s="26"/>
    </row>
    <row r="119" spans="9:9">
      <c r="I119" s="26"/>
    </row>
    <row r="120" spans="9:9">
      <c r="I120" s="26"/>
    </row>
    <row r="121" spans="9:9">
      <c r="I121" s="26"/>
    </row>
    <row r="122" spans="9:9">
      <c r="I122" s="26"/>
    </row>
    <row r="123" spans="9:9">
      <c r="I123" s="26"/>
    </row>
    <row r="124" spans="9:9">
      <c r="I124" s="26"/>
    </row>
    <row r="125" spans="9:9">
      <c r="I125" s="26"/>
    </row>
    <row r="126" spans="9:9">
      <c r="I126" s="26"/>
    </row>
    <row r="127" spans="9:9">
      <c r="I127" s="26"/>
    </row>
    <row r="128" spans="9:9">
      <c r="I128" s="26"/>
    </row>
    <row r="129" spans="9:9">
      <c r="I129" s="26"/>
    </row>
    <row r="130" spans="9:9">
      <c r="I130" s="26"/>
    </row>
    <row r="131" spans="9:9">
      <c r="I131" s="26"/>
    </row>
    <row r="132" spans="9:9">
      <c r="I132" s="26"/>
    </row>
    <row r="133" spans="9:9">
      <c r="I133" s="26"/>
    </row>
    <row r="134" spans="9:9">
      <c r="I134" s="26"/>
    </row>
    <row r="135" spans="9:9">
      <c r="I135" s="26"/>
    </row>
    <row r="136" spans="9:9">
      <c r="I136" s="26"/>
    </row>
    <row r="137" spans="9:9">
      <c r="I137" s="26"/>
    </row>
    <row r="138" spans="9:9">
      <c r="I138" s="26"/>
    </row>
    <row r="139" spans="9:9">
      <c r="I139" s="26"/>
    </row>
    <row r="140" spans="9:9">
      <c r="I140" s="26"/>
    </row>
    <row r="141" spans="9:9">
      <c r="I141" s="26"/>
    </row>
    <row r="142" spans="9:9">
      <c r="I142" s="26"/>
    </row>
    <row r="143" spans="9:9">
      <c r="I143" s="26"/>
    </row>
    <row r="144" spans="9:9">
      <c r="I144" s="26"/>
    </row>
    <row r="145" spans="9:9">
      <c r="I145" s="26"/>
    </row>
    <row r="146" spans="9:9">
      <c r="I146" s="26"/>
    </row>
    <row r="147" spans="9:9">
      <c r="I147" s="26"/>
    </row>
    <row r="148" spans="9:9">
      <c r="I148" s="26"/>
    </row>
    <row r="149" spans="9:9">
      <c r="I149" s="26"/>
    </row>
    <row r="150" spans="9:9">
      <c r="I150" s="26"/>
    </row>
    <row r="151" spans="9:9">
      <c r="I151" s="26"/>
    </row>
    <row r="152" spans="9:9">
      <c r="I152" s="26"/>
    </row>
    <row r="153" spans="9:9">
      <c r="I153" s="26"/>
    </row>
    <row r="154" spans="9:9">
      <c r="I154" s="26"/>
    </row>
    <row r="155" spans="9:9">
      <c r="I155" s="26"/>
    </row>
    <row r="156" spans="9:9">
      <c r="I156" s="26"/>
    </row>
    <row r="157" spans="9:9">
      <c r="I157" s="26"/>
    </row>
    <row r="158" spans="9:9">
      <c r="I158" s="26"/>
    </row>
    <row r="159" spans="9:9">
      <c r="I159" s="26"/>
    </row>
    <row r="160" spans="9:9">
      <c r="I160" s="26"/>
    </row>
    <row r="161" spans="9:9">
      <c r="I161" s="26"/>
    </row>
    <row r="162" spans="9:9">
      <c r="I162" s="26"/>
    </row>
    <row r="163" spans="9:9">
      <c r="I163" s="26"/>
    </row>
    <row r="164" spans="9:9">
      <c r="I164" s="26"/>
    </row>
    <row r="165" spans="9:9">
      <c r="I165" s="26"/>
    </row>
    <row r="166" spans="9:9">
      <c r="I166" s="26"/>
    </row>
    <row r="167" spans="9:9">
      <c r="I167" s="26"/>
    </row>
    <row r="168" spans="9:9">
      <c r="I168" s="26"/>
    </row>
    <row r="169" spans="9:9">
      <c r="I169" s="26"/>
    </row>
    <row r="170" spans="9:9">
      <c r="I170" s="26"/>
    </row>
    <row r="171" spans="9:9">
      <c r="I171" s="26"/>
    </row>
    <row r="172" spans="9:9">
      <c r="I172" s="26"/>
    </row>
    <row r="173" spans="9:9">
      <c r="I173" s="26"/>
    </row>
    <row r="174" spans="9:9">
      <c r="I174" s="26"/>
    </row>
    <row r="175" spans="9:9">
      <c r="I175" s="26"/>
    </row>
    <row r="176" spans="9:9">
      <c r="I176" s="26"/>
    </row>
    <row r="177" spans="9:9">
      <c r="I177" s="26"/>
    </row>
    <row r="178" spans="9:9">
      <c r="I178" s="26"/>
    </row>
    <row r="179" spans="9:9">
      <c r="I179" s="26"/>
    </row>
    <row r="180" spans="9:9">
      <c r="I180" s="26"/>
    </row>
    <row r="181" spans="9:9">
      <c r="I181" s="26"/>
    </row>
    <row r="182" spans="9:9">
      <c r="I182" s="26"/>
    </row>
    <row r="183" spans="9:9">
      <c r="I183" s="26"/>
    </row>
    <row r="184" spans="9:9">
      <c r="I184" s="26"/>
    </row>
    <row r="185" spans="9:9">
      <c r="I185" s="26"/>
    </row>
    <row r="186" spans="9:9">
      <c r="I186" s="26"/>
    </row>
    <row r="187" spans="9:9">
      <c r="I187" s="26"/>
    </row>
    <row r="188" spans="9:9">
      <c r="I188" s="26"/>
    </row>
    <row r="189" spans="9:9">
      <c r="I189" s="26"/>
    </row>
    <row r="190" spans="9:9">
      <c r="I190" s="26"/>
    </row>
    <row r="191" spans="9:9">
      <c r="I191" s="26"/>
    </row>
    <row r="192" spans="9:9">
      <c r="I192" s="26"/>
    </row>
    <row r="193" spans="9:9">
      <c r="I193" s="26"/>
    </row>
    <row r="194" spans="9:9">
      <c r="I194" s="26"/>
    </row>
    <row r="195" spans="9:9">
      <c r="I195" s="26"/>
    </row>
    <row r="196" spans="9:9">
      <c r="I196" s="26"/>
    </row>
    <row r="197" spans="9:9">
      <c r="I197" s="26"/>
    </row>
    <row r="198" spans="9:9">
      <c r="I198" s="26"/>
    </row>
    <row r="199" spans="9:9">
      <c r="I199" s="26"/>
    </row>
    <row r="200" spans="9:9">
      <c r="I200" s="26"/>
    </row>
    <row r="201" spans="9:9">
      <c r="I201" s="26"/>
    </row>
    <row r="202" spans="9:9">
      <c r="I202" s="26"/>
    </row>
    <row r="203" spans="9:9">
      <c r="I203" s="26"/>
    </row>
    <row r="204" spans="9:9">
      <c r="I204" s="26"/>
    </row>
    <row r="205" spans="9:9">
      <c r="I205" s="26"/>
    </row>
    <row r="206" spans="9:9">
      <c r="I206" s="26"/>
    </row>
    <row r="207" spans="9:9">
      <c r="I207" s="26"/>
    </row>
    <row r="208" spans="9:9">
      <c r="I208" s="26"/>
    </row>
    <row r="209" spans="9:9">
      <c r="I209" s="26"/>
    </row>
    <row r="210" spans="9:9">
      <c r="I210" s="26"/>
    </row>
    <row r="211" spans="9:9">
      <c r="I211" s="26"/>
    </row>
    <row r="212" spans="9:9">
      <c r="I212" s="26"/>
    </row>
    <row r="213" spans="9:9">
      <c r="I213" s="26"/>
    </row>
    <row r="214" spans="9:9">
      <c r="I214" s="26"/>
    </row>
    <row r="215" spans="9:9">
      <c r="I215" s="26"/>
    </row>
    <row r="216" spans="9:9">
      <c r="I216" s="26"/>
    </row>
    <row r="217" spans="9:9">
      <c r="I217" s="26"/>
    </row>
    <row r="218" spans="9:9">
      <c r="I218" s="26"/>
    </row>
    <row r="219" spans="9:9">
      <c r="I219" s="26"/>
    </row>
    <row r="220" spans="9:9">
      <c r="I220" s="26"/>
    </row>
    <row r="221" spans="9:9">
      <c r="I221" s="26"/>
    </row>
    <row r="222" spans="9:9">
      <c r="I222" s="26"/>
    </row>
    <row r="223" spans="9:9">
      <c r="I223" s="26"/>
    </row>
    <row r="224" spans="9:9">
      <c r="I224" s="26"/>
    </row>
    <row r="225" spans="9:9">
      <c r="I225" s="26"/>
    </row>
  </sheetData>
  <mergeCells count="3">
    <mergeCell ref="A14:G14"/>
    <mergeCell ref="A15:G15"/>
    <mergeCell ref="A16:G16"/>
  </mergeCells>
  <pageMargins left="0.7" right="0.7" top="0.75" bottom="0.75" header="0.3" footer="0.3"/>
  <pageSetup scale="70" orientation="portrait" horizontalDpi="1200" verticalDpi="120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pageSetUpPr fitToPage="1"/>
  </sheetPr>
  <dimension ref="A1:M165"/>
  <sheetViews>
    <sheetView topLeftCell="A6" workbookViewId="0">
      <selection activeCell="G55" sqref="G55"/>
    </sheetView>
  </sheetViews>
  <sheetFormatPr defaultRowHeight="15" outlineLevelRow="1"/>
  <cols>
    <col min="2" max="2" width="30.7109375" customWidth="1"/>
    <col min="4" max="4" width="16.7109375" bestFit="1" customWidth="1"/>
    <col min="5" max="5" width="1.7109375" customWidth="1"/>
    <col min="6" max="6" width="12.140625" customWidth="1"/>
    <col min="7" max="7" width="1.7109375" customWidth="1"/>
    <col min="8" max="8" width="17" customWidth="1"/>
  </cols>
  <sheetData>
    <row r="1" spans="1:13" hidden="1" outlineLevel="1">
      <c r="H1" s="2" t="str">
        <f>Contents!$B1</f>
        <v>The Narragansett Electric Company</v>
      </c>
    </row>
    <row r="2" spans="1:13" hidden="1" outlineLevel="1">
      <c r="H2" s="2" t="str">
        <f>Contents!$B2</f>
        <v>d/b/a National Grid</v>
      </c>
    </row>
    <row r="3" spans="1:13" hidden="1" outlineLevel="1">
      <c r="H3" s="2" t="str">
        <f>Contents!$B3</f>
        <v>RIPUC Docket No. 4770</v>
      </c>
    </row>
    <row r="4" spans="1:13" hidden="1" outlineLevel="1">
      <c r="H4" s="2" t="str">
        <f>Contents!$B4</f>
        <v>Gas Earnings Sharing Mechanism</v>
      </c>
    </row>
    <row r="5" spans="1:13" hidden="1" outlineLevel="1">
      <c r="H5" s="2"/>
    </row>
    <row r="6" spans="1:13" collapsed="1">
      <c r="A6" s="26"/>
      <c r="B6" s="26"/>
      <c r="C6" s="26"/>
      <c r="D6" s="26"/>
      <c r="E6" s="26"/>
      <c r="F6" s="26"/>
      <c r="G6" s="26"/>
      <c r="H6" s="2" t="str">
        <f>Contents!$B6</f>
        <v>The Narragansett Electric Company</v>
      </c>
      <c r="I6" s="26"/>
    </row>
    <row r="7" spans="1:13">
      <c r="A7" s="26"/>
      <c r="B7" s="26"/>
      <c r="C7" s="26"/>
      <c r="D7" s="26"/>
      <c r="E7" s="26"/>
      <c r="F7" s="26"/>
      <c r="G7" s="26"/>
      <c r="H7" s="2" t="str">
        <f>Contents!$B7</f>
        <v>d/b/a Rhode Island Energy</v>
      </c>
      <c r="I7" s="26"/>
    </row>
    <row r="8" spans="1:13">
      <c r="A8" s="26"/>
      <c r="B8" s="26"/>
      <c r="C8" s="26"/>
      <c r="D8" s="26"/>
      <c r="E8" s="26"/>
      <c r="F8" s="26"/>
      <c r="G8" s="26"/>
      <c r="H8" s="2" t="str">
        <f>Contents!$B8</f>
        <v>RIPUC Docket No. 4770</v>
      </c>
      <c r="I8" s="26"/>
    </row>
    <row r="9" spans="1:13">
      <c r="A9" s="26"/>
      <c r="B9" s="26"/>
      <c r="C9" s="26"/>
      <c r="D9" s="26"/>
      <c r="E9" s="26"/>
      <c r="F9" s="26"/>
      <c r="G9" s="26"/>
      <c r="H9" s="2" t="str">
        <f>Contents!$B9</f>
        <v>CY 2025 Gas Earnings Report</v>
      </c>
      <c r="I9" s="26"/>
    </row>
    <row r="10" spans="1:13">
      <c r="A10" s="26"/>
      <c r="B10" s="26"/>
      <c r="C10" s="26"/>
      <c r="D10" s="26"/>
      <c r="E10" s="26"/>
      <c r="F10" s="26"/>
      <c r="G10" s="26"/>
      <c r="H10" s="2" t="str">
        <f>Contents!$B10</f>
        <v>Schedule NECO-1</v>
      </c>
      <c r="I10" s="26"/>
    </row>
    <row r="11" spans="1:13">
      <c r="A11" s="26"/>
      <c r="B11" s="26"/>
      <c r="C11" s="26"/>
      <c r="D11" s="26"/>
      <c r="E11" s="26"/>
      <c r="F11" s="26"/>
      <c r="G11" s="26"/>
      <c r="H11" s="2" t="str">
        <f>Contents!$B11</f>
        <v>June 15, 2026</v>
      </c>
      <c r="I11" s="26"/>
    </row>
    <row r="12" spans="1:13" collapsed="1">
      <c r="A12" s="26"/>
      <c r="B12" s="26"/>
      <c r="C12" s="26"/>
      <c r="D12" s="26"/>
      <c r="E12" s="26"/>
      <c r="F12" s="26"/>
      <c r="G12" s="26"/>
      <c r="H12" s="2" t="str">
        <f>VLOOKUP($A$15,Index!$A:$C,3,FALSE)</f>
        <v>Page 8 of 15</v>
      </c>
      <c r="I12" s="26"/>
    </row>
    <row r="13" spans="1:13">
      <c r="A13" s="26"/>
      <c r="B13" s="26"/>
      <c r="C13" s="26"/>
      <c r="D13" s="26"/>
      <c r="E13" s="26"/>
      <c r="F13" s="26"/>
      <c r="G13" s="26"/>
      <c r="H13" s="2"/>
      <c r="I13" s="26"/>
      <c r="L13" s="26"/>
      <c r="M13" s="26"/>
    </row>
    <row r="14" spans="1:13">
      <c r="A14" s="797" t="str">
        <f>Contents!A13</f>
        <v>Rhode Island Energy - RI Gas</v>
      </c>
      <c r="B14" s="797"/>
      <c r="C14" s="797"/>
      <c r="D14" s="797"/>
      <c r="E14" s="797"/>
      <c r="F14" s="797"/>
      <c r="G14" s="797"/>
      <c r="H14" s="797"/>
      <c r="I14" s="26"/>
      <c r="L14" s="26"/>
      <c r="M14" s="26"/>
    </row>
    <row r="15" spans="1:13">
      <c r="A15" s="797" t="s">
        <v>28</v>
      </c>
      <c r="B15" s="797"/>
      <c r="C15" s="797"/>
      <c r="D15" s="797"/>
      <c r="E15" s="797"/>
      <c r="F15" s="797"/>
      <c r="G15" s="797"/>
      <c r="H15" s="797"/>
      <c r="I15" s="26"/>
      <c r="L15" s="26"/>
      <c r="M15" s="26"/>
    </row>
    <row r="16" spans="1:13">
      <c r="A16" s="797" t="str">
        <f>Contents!A15</f>
        <v>For the Twelve Months ended December 31, 2025</v>
      </c>
      <c r="B16" s="797"/>
      <c r="C16" s="797"/>
      <c r="D16" s="797"/>
      <c r="E16" s="797"/>
      <c r="F16" s="797"/>
      <c r="G16" s="797"/>
      <c r="H16" s="797"/>
      <c r="I16" s="26"/>
      <c r="L16" s="26"/>
      <c r="M16" s="26"/>
    </row>
    <row r="17" spans="1:13">
      <c r="A17" s="797"/>
      <c r="B17" s="797"/>
      <c r="C17" s="797"/>
      <c r="D17" s="797"/>
      <c r="E17" s="797"/>
      <c r="F17" s="797"/>
      <c r="G17" s="797"/>
      <c r="H17" s="797"/>
      <c r="I17" s="26"/>
      <c r="L17" s="26"/>
      <c r="M17" s="26"/>
    </row>
    <row r="18" spans="1:13">
      <c r="A18" s="26"/>
      <c r="B18" s="26"/>
      <c r="C18" s="26"/>
      <c r="D18" s="26"/>
      <c r="E18" s="26"/>
      <c r="F18" s="26"/>
      <c r="G18" s="26"/>
      <c r="H18" s="26"/>
      <c r="I18" s="26"/>
      <c r="L18" s="26"/>
      <c r="M18" s="26"/>
    </row>
    <row r="19" spans="1:13">
      <c r="A19" s="26"/>
      <c r="B19" s="26"/>
      <c r="C19" s="26"/>
      <c r="D19" s="8" t="s">
        <v>16</v>
      </c>
      <c r="E19" s="26"/>
      <c r="F19" s="8" t="s">
        <v>72</v>
      </c>
      <c r="G19" s="26"/>
      <c r="H19" s="8">
        <f>Index!G17</f>
        <v>2025</v>
      </c>
      <c r="I19" s="26"/>
      <c r="L19" s="26"/>
      <c r="M19" s="26"/>
    </row>
    <row r="20" spans="1:13">
      <c r="A20" s="26"/>
      <c r="B20" s="26"/>
      <c r="C20" s="26"/>
      <c r="D20" s="36" t="s">
        <v>73</v>
      </c>
      <c r="E20" s="26"/>
      <c r="F20" s="36" t="s">
        <v>74</v>
      </c>
      <c r="G20" s="26"/>
      <c r="H20" s="36" t="s">
        <v>75</v>
      </c>
      <c r="I20" s="26"/>
      <c r="L20" s="26"/>
      <c r="M20" s="26"/>
    </row>
    <row r="21" spans="1:13">
      <c r="A21" s="26"/>
      <c r="B21" s="26"/>
      <c r="C21" s="26"/>
      <c r="D21" s="36"/>
      <c r="E21" s="26"/>
      <c r="F21" s="36"/>
      <c r="G21" s="26"/>
      <c r="H21" s="36"/>
      <c r="I21" s="26"/>
      <c r="L21" s="26"/>
      <c r="M21" s="26"/>
    </row>
    <row r="22" spans="1:13">
      <c r="A22" s="36">
        <v>1</v>
      </c>
      <c r="B22" s="26" t="s">
        <v>308</v>
      </c>
      <c r="C22" s="26"/>
      <c r="D22" s="27">
        <v>3957857.82</v>
      </c>
      <c r="E22" s="26"/>
      <c r="F22" s="27">
        <f>-3957857.82+58661.43</f>
        <v>-3899196.3899999997</v>
      </c>
      <c r="G22" s="26"/>
      <c r="H22" s="27">
        <f>SUM(D22:G22)</f>
        <v>58661.430000000168</v>
      </c>
      <c r="I22" s="94"/>
      <c r="L22" s="26"/>
      <c r="M22" s="26"/>
    </row>
    <row r="23" spans="1:13">
      <c r="A23" s="36">
        <f>A22+1</f>
        <v>2</v>
      </c>
      <c r="B23" s="26"/>
      <c r="C23" s="26"/>
      <c r="D23" s="26"/>
      <c r="E23" s="26"/>
      <c r="F23" s="26"/>
      <c r="G23" s="26"/>
      <c r="H23" s="26"/>
      <c r="I23" s="26"/>
      <c r="L23" s="26"/>
      <c r="M23" s="26"/>
    </row>
    <row r="24" spans="1:13" ht="15.75" thickBot="1">
      <c r="A24" s="36">
        <f>A23+1</f>
        <v>3</v>
      </c>
      <c r="B24" s="26" t="s">
        <v>309</v>
      </c>
      <c r="C24" s="26"/>
      <c r="D24" s="331">
        <f>SUM(D22:D23)</f>
        <v>3957857.82</v>
      </c>
      <c r="E24" s="26"/>
      <c r="F24" s="331">
        <f>SUM(F22:F22)</f>
        <v>-3899196.3899999997</v>
      </c>
      <c r="G24" s="26"/>
      <c r="H24" s="331">
        <f>SUM(H22:H23)</f>
        <v>58661.430000000168</v>
      </c>
      <c r="I24" s="26"/>
      <c r="L24" s="26"/>
      <c r="M24" s="26"/>
    </row>
    <row r="25" spans="1:13" ht="15.75" thickTop="1">
      <c r="A25" s="36"/>
      <c r="B25" s="26"/>
      <c r="C25" s="26"/>
      <c r="D25" s="26"/>
      <c r="E25" s="26"/>
      <c r="F25" s="26"/>
      <c r="G25" s="26"/>
      <c r="H25" s="26"/>
      <c r="I25" s="26"/>
      <c r="L25" s="26"/>
      <c r="M25" s="26"/>
    </row>
    <row r="26" spans="1:13">
      <c r="A26" s="36"/>
      <c r="B26" s="26"/>
      <c r="C26" s="26"/>
      <c r="D26" s="26"/>
      <c r="E26" s="26"/>
      <c r="F26" s="26"/>
      <c r="G26" s="26"/>
      <c r="H26" s="26"/>
      <c r="I26" s="26"/>
      <c r="L26" s="26"/>
      <c r="M26" s="26"/>
    </row>
    <row r="27" spans="1:13">
      <c r="A27" s="26" t="s">
        <v>70</v>
      </c>
      <c r="C27" s="26"/>
      <c r="D27" s="26"/>
      <c r="E27" s="26"/>
      <c r="F27" s="26"/>
      <c r="G27" s="26"/>
      <c r="H27" s="26"/>
      <c r="I27" s="26"/>
      <c r="L27" s="26"/>
      <c r="M27" s="26"/>
    </row>
    <row r="28" spans="1:13">
      <c r="A28" s="36" t="str">
        <f>D20</f>
        <v>(a)</v>
      </c>
      <c r="B28" s="26" t="s">
        <v>130</v>
      </c>
      <c r="C28" s="26"/>
      <c r="D28" s="26"/>
      <c r="E28" s="26"/>
      <c r="F28" s="26"/>
      <c r="G28" s="26"/>
      <c r="H28" s="26"/>
      <c r="I28" s="26"/>
      <c r="L28" s="26"/>
      <c r="M28" s="26"/>
    </row>
    <row r="29" spans="1:13">
      <c r="A29" s="36" t="str">
        <f>F20</f>
        <v>(b)</v>
      </c>
      <c r="B29" s="26" t="str">
        <f>H20&amp;" - "&amp;D20</f>
        <v>(c) - (a)</v>
      </c>
      <c r="C29" s="26"/>
      <c r="D29" s="26"/>
      <c r="E29" s="26"/>
      <c r="F29" s="26"/>
      <c r="G29" s="26"/>
      <c r="H29" s="26"/>
      <c r="I29" s="26"/>
      <c r="L29" s="26"/>
      <c r="M29" s="26"/>
    </row>
    <row r="30" spans="1:13">
      <c r="A30" s="36" t="str">
        <f>H20</f>
        <v>(c)</v>
      </c>
      <c r="B30" s="26" t="s">
        <v>308</v>
      </c>
      <c r="C30" s="26"/>
      <c r="D30" s="26"/>
      <c r="E30" s="26"/>
      <c r="F30" s="26"/>
      <c r="G30" s="26"/>
      <c r="H30" s="26"/>
      <c r="I30" s="26"/>
      <c r="L30" s="26"/>
      <c r="M30" s="26"/>
    </row>
    <row r="31" spans="1:13">
      <c r="A31" s="26"/>
      <c r="B31" s="26"/>
      <c r="C31" s="26"/>
      <c r="D31" s="26"/>
      <c r="E31" s="26"/>
      <c r="F31" s="26"/>
      <c r="G31" s="26"/>
      <c r="H31" s="26"/>
      <c r="I31" s="26"/>
      <c r="L31" s="26"/>
      <c r="M31" s="26"/>
    </row>
    <row r="32" spans="1:13">
      <c r="L32" s="26"/>
      <c r="M32" s="26"/>
    </row>
    <row r="33" spans="12:13">
      <c r="L33" s="26"/>
      <c r="M33" s="26"/>
    </row>
    <row r="34" spans="12:13">
      <c r="L34" s="26"/>
      <c r="M34" s="26"/>
    </row>
    <row r="35" spans="12:13">
      <c r="L35" s="26"/>
      <c r="M35" s="26"/>
    </row>
    <row r="36" spans="12:13">
      <c r="L36" s="26"/>
      <c r="M36" s="26"/>
    </row>
    <row r="37" spans="12:13">
      <c r="L37" s="26"/>
      <c r="M37" s="26"/>
    </row>
    <row r="38" spans="12:13">
      <c r="L38" s="26"/>
      <c r="M38" s="26"/>
    </row>
    <row r="39" spans="12:13">
      <c r="L39" s="26"/>
      <c r="M39" s="26"/>
    </row>
    <row r="40" spans="12:13">
      <c r="L40" s="26"/>
      <c r="M40" s="26"/>
    </row>
    <row r="41" spans="12:13">
      <c r="L41" s="26"/>
      <c r="M41" s="26"/>
    </row>
    <row r="42" spans="12:13">
      <c r="L42" s="26"/>
      <c r="M42" s="26"/>
    </row>
    <row r="43" spans="12:13">
      <c r="L43" s="26"/>
      <c r="M43" s="26"/>
    </row>
    <row r="44" spans="12:13">
      <c r="L44" s="26"/>
      <c r="M44" s="26"/>
    </row>
    <row r="45" spans="12:13">
      <c r="L45" s="26"/>
      <c r="M45" s="26"/>
    </row>
    <row r="46" spans="12:13">
      <c r="L46" s="26"/>
      <c r="M46" s="26"/>
    </row>
    <row r="47" spans="12:13">
      <c r="L47" s="26"/>
      <c r="M47" s="26"/>
    </row>
    <row r="48" spans="12:13">
      <c r="L48" s="26"/>
      <c r="M48" s="26"/>
    </row>
    <row r="49" spans="12:13">
      <c r="L49" s="26"/>
      <c r="M49" s="26"/>
    </row>
    <row r="50" spans="12:13">
      <c r="L50" s="26"/>
      <c r="M50" s="26"/>
    </row>
    <row r="51" spans="12:13">
      <c r="L51" s="26"/>
      <c r="M51" s="26"/>
    </row>
    <row r="52" spans="12:13">
      <c r="L52" s="26"/>
      <c r="M52" s="26"/>
    </row>
    <row r="53" spans="12:13">
      <c r="L53" s="26"/>
      <c r="M53" s="26"/>
    </row>
    <row r="54" spans="12:13">
      <c r="L54" s="26"/>
      <c r="M54" s="26"/>
    </row>
    <row r="55" spans="12:13">
      <c r="L55" s="26"/>
      <c r="M55" s="26"/>
    </row>
    <row r="56" spans="12:13">
      <c r="L56" s="26"/>
      <c r="M56" s="26"/>
    </row>
    <row r="57" spans="12:13">
      <c r="L57" s="26"/>
      <c r="M57" s="26"/>
    </row>
    <row r="58" spans="12:13">
      <c r="L58" s="26"/>
      <c r="M58" s="26"/>
    </row>
    <row r="59" spans="12:13">
      <c r="L59" s="26"/>
      <c r="M59" s="26"/>
    </row>
    <row r="60" spans="12:13">
      <c r="L60" s="26"/>
      <c r="M60" s="26"/>
    </row>
    <row r="61" spans="12:13">
      <c r="L61" s="26"/>
      <c r="M61" s="26"/>
    </row>
    <row r="62" spans="12:13">
      <c r="L62" s="26"/>
      <c r="M62" s="26"/>
    </row>
    <row r="63" spans="12:13">
      <c r="L63" s="26"/>
      <c r="M63" s="26"/>
    </row>
    <row r="64" spans="12:13">
      <c r="L64" s="26"/>
      <c r="M64" s="26"/>
    </row>
    <row r="65" spans="12:13">
      <c r="L65" s="26"/>
      <c r="M65" s="26"/>
    </row>
    <row r="66" spans="12:13">
      <c r="L66" s="26"/>
      <c r="M66" s="26"/>
    </row>
    <row r="67" spans="12:13">
      <c r="L67" s="26"/>
      <c r="M67" s="26"/>
    </row>
    <row r="68" spans="12:13">
      <c r="L68" s="26"/>
      <c r="M68" s="26"/>
    </row>
    <row r="69" spans="12:13">
      <c r="L69" s="26"/>
      <c r="M69" s="26"/>
    </row>
    <row r="70" spans="12:13">
      <c r="L70" s="26"/>
      <c r="M70" s="26"/>
    </row>
    <row r="71" spans="12:13">
      <c r="L71" s="26"/>
      <c r="M71" s="26"/>
    </row>
    <row r="72" spans="12:13">
      <c r="L72" s="26"/>
      <c r="M72" s="26"/>
    </row>
    <row r="73" spans="12:13">
      <c r="L73" s="26"/>
      <c r="M73" s="26"/>
    </row>
    <row r="74" spans="12:13">
      <c r="L74" s="26"/>
      <c r="M74" s="26"/>
    </row>
    <row r="75" spans="12:13">
      <c r="L75" s="26"/>
      <c r="M75" s="26"/>
    </row>
    <row r="76" spans="12:13">
      <c r="L76" s="26"/>
      <c r="M76" s="26"/>
    </row>
    <row r="77" spans="12:13">
      <c r="L77" s="26"/>
      <c r="M77" s="26"/>
    </row>
    <row r="78" spans="12:13">
      <c r="L78" s="26"/>
      <c r="M78" s="26"/>
    </row>
    <row r="79" spans="12:13">
      <c r="L79" s="26"/>
      <c r="M79" s="26"/>
    </row>
    <row r="80" spans="12:13">
      <c r="L80" s="26"/>
      <c r="M80" s="26"/>
    </row>
    <row r="81" spans="12:13">
      <c r="L81" s="26"/>
      <c r="M81" s="26"/>
    </row>
    <row r="82" spans="12:13">
      <c r="L82" s="26"/>
      <c r="M82" s="26"/>
    </row>
    <row r="83" spans="12:13">
      <c r="L83" s="26"/>
      <c r="M83" s="26"/>
    </row>
    <row r="84" spans="12:13">
      <c r="L84" s="26"/>
      <c r="M84" s="26"/>
    </row>
    <row r="85" spans="12:13">
      <c r="L85" s="26"/>
      <c r="M85" s="26"/>
    </row>
    <row r="86" spans="12:13">
      <c r="L86" s="26"/>
      <c r="M86" s="26"/>
    </row>
    <row r="87" spans="12:13">
      <c r="L87" s="26"/>
      <c r="M87" s="26"/>
    </row>
    <row r="88" spans="12:13">
      <c r="L88" s="26"/>
      <c r="M88" s="26"/>
    </row>
    <row r="89" spans="12:13">
      <c r="L89" s="26"/>
      <c r="M89" s="26"/>
    </row>
    <row r="90" spans="12:13">
      <c r="L90" s="26"/>
      <c r="M90" s="26"/>
    </row>
    <row r="91" spans="12:13">
      <c r="L91" s="26"/>
      <c r="M91" s="26"/>
    </row>
    <row r="92" spans="12:13">
      <c r="L92" s="26"/>
      <c r="M92" s="26"/>
    </row>
    <row r="93" spans="12:13">
      <c r="L93" s="26"/>
      <c r="M93" s="26"/>
    </row>
    <row r="94" spans="12:13">
      <c r="L94" s="26"/>
      <c r="M94" s="26"/>
    </row>
    <row r="95" spans="12:13">
      <c r="L95" s="26"/>
      <c r="M95" s="26"/>
    </row>
    <row r="96" spans="12:13">
      <c r="L96" s="26"/>
      <c r="M96" s="26"/>
    </row>
    <row r="97" spans="12:13">
      <c r="L97" s="26"/>
      <c r="M97" s="26"/>
    </row>
    <row r="98" spans="12:13">
      <c r="L98" s="26"/>
      <c r="M98" s="26"/>
    </row>
    <row r="99" spans="12:13">
      <c r="L99" s="26"/>
      <c r="M99" s="26"/>
    </row>
    <row r="100" spans="12:13">
      <c r="L100" s="26"/>
      <c r="M100" s="26"/>
    </row>
    <row r="101" spans="12:13">
      <c r="L101" s="26"/>
      <c r="M101" s="26"/>
    </row>
    <row r="102" spans="12:13">
      <c r="L102" s="26"/>
      <c r="M102" s="26"/>
    </row>
    <row r="103" spans="12:13">
      <c r="L103" s="26"/>
      <c r="M103" s="26"/>
    </row>
    <row r="104" spans="12:13">
      <c r="L104" s="26"/>
      <c r="M104" s="26"/>
    </row>
    <row r="105" spans="12:13">
      <c r="L105" s="26"/>
      <c r="M105" s="26"/>
    </row>
    <row r="106" spans="12:13">
      <c r="L106" s="26"/>
      <c r="M106" s="26"/>
    </row>
    <row r="107" spans="12:13">
      <c r="L107" s="26"/>
      <c r="M107" s="26"/>
    </row>
    <row r="108" spans="12:13">
      <c r="L108" s="26"/>
      <c r="M108" s="26"/>
    </row>
    <row r="109" spans="12:13">
      <c r="L109" s="26"/>
      <c r="M109" s="26"/>
    </row>
    <row r="110" spans="12:13">
      <c r="L110" s="26"/>
      <c r="M110" s="26"/>
    </row>
    <row r="111" spans="12:13">
      <c r="L111" s="26"/>
      <c r="M111" s="26"/>
    </row>
    <row r="112" spans="12:13">
      <c r="L112" s="26"/>
      <c r="M112" s="26"/>
    </row>
    <row r="113" spans="12:13">
      <c r="L113" s="26"/>
      <c r="M113" s="26"/>
    </row>
    <row r="114" spans="12:13">
      <c r="L114" s="26"/>
      <c r="M114" s="26"/>
    </row>
    <row r="115" spans="12:13">
      <c r="L115" s="26"/>
      <c r="M115" s="26"/>
    </row>
    <row r="116" spans="12:13">
      <c r="L116" s="26"/>
      <c r="M116" s="26"/>
    </row>
    <row r="117" spans="12:13">
      <c r="L117" s="26"/>
      <c r="M117" s="26"/>
    </row>
    <row r="118" spans="12:13">
      <c r="L118" s="26"/>
      <c r="M118" s="26"/>
    </row>
    <row r="119" spans="12:13">
      <c r="L119" s="26"/>
      <c r="M119" s="26"/>
    </row>
    <row r="120" spans="12:13">
      <c r="L120" s="26"/>
      <c r="M120" s="26"/>
    </row>
    <row r="121" spans="12:13">
      <c r="L121" s="26"/>
      <c r="M121" s="26"/>
    </row>
    <row r="122" spans="12:13">
      <c r="L122" s="26"/>
      <c r="M122" s="26"/>
    </row>
    <row r="123" spans="12:13">
      <c r="L123" s="26"/>
      <c r="M123" s="26"/>
    </row>
    <row r="124" spans="12:13">
      <c r="L124" s="26"/>
      <c r="M124" s="26"/>
    </row>
    <row r="125" spans="12:13">
      <c r="L125" s="26"/>
      <c r="M125" s="26"/>
    </row>
    <row r="126" spans="12:13">
      <c r="L126" s="26"/>
      <c r="M126" s="26"/>
    </row>
    <row r="127" spans="12:13">
      <c r="L127" s="26"/>
      <c r="M127" s="26"/>
    </row>
    <row r="128" spans="12:13">
      <c r="L128" s="26"/>
      <c r="M128" s="26"/>
    </row>
    <row r="129" spans="12:13">
      <c r="L129" s="26"/>
      <c r="M129" s="26"/>
    </row>
    <row r="130" spans="12:13">
      <c r="L130" s="26"/>
      <c r="M130" s="26"/>
    </row>
    <row r="131" spans="12:13">
      <c r="L131" s="26"/>
      <c r="M131" s="26"/>
    </row>
    <row r="132" spans="12:13">
      <c r="L132" s="26"/>
      <c r="M132" s="26"/>
    </row>
    <row r="133" spans="12:13">
      <c r="L133" s="26"/>
      <c r="M133" s="26"/>
    </row>
    <row r="134" spans="12:13">
      <c r="L134" s="26"/>
      <c r="M134" s="26"/>
    </row>
    <row r="135" spans="12:13">
      <c r="L135" s="26"/>
      <c r="M135" s="26"/>
    </row>
    <row r="136" spans="12:13">
      <c r="L136" s="26"/>
      <c r="M136" s="26"/>
    </row>
    <row r="137" spans="12:13">
      <c r="L137" s="26"/>
      <c r="M137" s="26"/>
    </row>
    <row r="138" spans="12:13">
      <c r="L138" s="26"/>
      <c r="M138" s="26"/>
    </row>
    <row r="139" spans="12:13">
      <c r="L139" s="26"/>
      <c r="M139" s="26"/>
    </row>
    <row r="140" spans="12:13">
      <c r="L140" s="26"/>
      <c r="M140" s="26"/>
    </row>
    <row r="141" spans="12:13">
      <c r="L141" s="26"/>
      <c r="M141" s="26"/>
    </row>
    <row r="142" spans="12:13">
      <c r="L142" s="26"/>
      <c r="M142" s="26"/>
    </row>
    <row r="143" spans="12:13">
      <c r="L143" s="26"/>
      <c r="M143" s="26"/>
    </row>
    <row r="144" spans="12:13">
      <c r="L144" s="26"/>
      <c r="M144" s="26"/>
    </row>
    <row r="145" spans="12:13">
      <c r="L145" s="26"/>
      <c r="M145" s="26"/>
    </row>
    <row r="146" spans="12:13">
      <c r="L146" s="26"/>
      <c r="M146" s="26"/>
    </row>
    <row r="147" spans="12:13">
      <c r="L147" s="26"/>
      <c r="M147" s="26"/>
    </row>
    <row r="148" spans="12:13">
      <c r="L148" s="26"/>
      <c r="M148" s="26"/>
    </row>
    <row r="149" spans="12:13">
      <c r="L149" s="26"/>
      <c r="M149" s="26"/>
    </row>
    <row r="150" spans="12:13">
      <c r="L150" s="26"/>
      <c r="M150" s="26"/>
    </row>
    <row r="151" spans="12:13">
      <c r="L151" s="26"/>
      <c r="M151" s="26"/>
    </row>
    <row r="152" spans="12:13">
      <c r="L152" s="26"/>
      <c r="M152" s="26"/>
    </row>
    <row r="153" spans="12:13">
      <c r="L153" s="26"/>
      <c r="M153" s="26"/>
    </row>
    <row r="154" spans="12:13">
      <c r="L154" s="26"/>
      <c r="M154" s="26"/>
    </row>
    <row r="155" spans="12:13">
      <c r="L155" s="26"/>
      <c r="M155" s="26"/>
    </row>
    <row r="156" spans="12:13">
      <c r="L156" s="26"/>
      <c r="M156" s="26"/>
    </row>
    <row r="157" spans="12:13">
      <c r="L157" s="26"/>
      <c r="M157" s="26"/>
    </row>
    <row r="158" spans="12:13">
      <c r="L158" s="26"/>
      <c r="M158" s="26"/>
    </row>
    <row r="159" spans="12:13">
      <c r="L159" s="26"/>
      <c r="M159" s="26"/>
    </row>
    <row r="160" spans="12:13">
      <c r="L160" s="26"/>
      <c r="M160" s="26"/>
    </row>
    <row r="161" spans="12:13">
      <c r="L161" s="26"/>
      <c r="M161" s="26"/>
    </row>
    <row r="162" spans="12:13">
      <c r="L162" s="26"/>
      <c r="M162" s="26"/>
    </row>
    <row r="163" spans="12:13">
      <c r="L163" s="26"/>
      <c r="M163" s="26"/>
    </row>
    <row r="164" spans="12:13">
      <c r="L164" s="26"/>
      <c r="M164" s="26"/>
    </row>
    <row r="165" spans="12:13">
      <c r="L165" s="26"/>
      <c r="M165" s="26"/>
    </row>
  </sheetData>
  <mergeCells count="4">
    <mergeCell ref="A14:H14"/>
    <mergeCell ref="A15:H15"/>
    <mergeCell ref="A16:H16"/>
    <mergeCell ref="A17:H17"/>
  </mergeCells>
  <pageMargins left="0.7" right="0.7" top="0.75" bottom="0.75" header="0.3" footer="0.3"/>
  <pageSetup scale="92" orientation="portrait" horizontalDpi="1200" verticalDpi="120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pageSetUpPr fitToPage="1"/>
  </sheetPr>
  <dimension ref="A1:O84"/>
  <sheetViews>
    <sheetView topLeftCell="A6" workbookViewId="0">
      <selection activeCell="G55" sqref="G55"/>
    </sheetView>
  </sheetViews>
  <sheetFormatPr defaultRowHeight="15" outlineLevelRow="1"/>
  <cols>
    <col min="1" max="1" width="5.28515625" bestFit="1" customWidth="1"/>
    <col min="2" max="2" width="59.28515625" customWidth="1"/>
    <col min="3" max="3" width="2.7109375" customWidth="1"/>
    <col min="4" max="4" width="18.28515625" customWidth="1"/>
    <col min="5" max="5" width="2.7109375" customWidth="1"/>
    <col min="6" max="6" width="14.85546875" customWidth="1"/>
    <col min="7" max="7" width="2.7109375" customWidth="1"/>
    <col min="8" max="8" width="13.140625" customWidth="1"/>
    <col min="10" max="10" width="60.42578125" bestFit="1" customWidth="1"/>
    <col min="11" max="11" width="11.7109375" bestFit="1" customWidth="1"/>
    <col min="12" max="12" width="14.5703125" customWidth="1"/>
    <col min="13" max="13" width="13.5703125" bestFit="1" customWidth="1"/>
  </cols>
  <sheetData>
    <row r="1" spans="1:8" hidden="1" outlineLevel="1">
      <c r="H1" s="2" t="str">
        <f>Contents!$B1</f>
        <v>The Narragansett Electric Company</v>
      </c>
    </row>
    <row r="2" spans="1:8" hidden="1" outlineLevel="1">
      <c r="H2" s="2" t="str">
        <f>Contents!$B2</f>
        <v>d/b/a National Grid</v>
      </c>
    </row>
    <row r="3" spans="1:8" hidden="1" outlineLevel="1">
      <c r="H3" s="2" t="str">
        <f>Contents!$B3</f>
        <v>RIPUC Docket No. 4770</v>
      </c>
    </row>
    <row r="4" spans="1:8" hidden="1" outlineLevel="1">
      <c r="H4" s="2" t="str">
        <f>Contents!$B4</f>
        <v>Gas Earnings Sharing Mechanism</v>
      </c>
    </row>
    <row r="5" spans="1:8" hidden="1" outlineLevel="1">
      <c r="H5" s="2"/>
    </row>
    <row r="6" spans="1:8" collapsed="1">
      <c r="A6" s="26"/>
      <c r="B6" s="26"/>
      <c r="C6" s="26"/>
      <c r="D6" s="26"/>
      <c r="E6" s="26"/>
      <c r="F6" s="26"/>
      <c r="G6" s="26"/>
      <c r="H6" s="2" t="str">
        <f>Contents!$B6</f>
        <v>The Narragansett Electric Company</v>
      </c>
    </row>
    <row r="7" spans="1:8">
      <c r="A7" s="26"/>
      <c r="B7" s="26"/>
      <c r="C7" s="26"/>
      <c r="D7" s="26"/>
      <c r="E7" s="26"/>
      <c r="F7" s="26"/>
      <c r="G7" s="26"/>
      <c r="H7" s="2" t="str">
        <f>Contents!$B7</f>
        <v>d/b/a Rhode Island Energy</v>
      </c>
    </row>
    <row r="8" spans="1:8">
      <c r="A8" s="26"/>
      <c r="B8" s="26"/>
      <c r="C8" s="26"/>
      <c r="D8" s="26"/>
      <c r="E8" s="26"/>
      <c r="F8" s="26"/>
      <c r="G8" s="26"/>
      <c r="H8" s="2" t="str">
        <f>Contents!$B8</f>
        <v>RIPUC Docket No. 4770</v>
      </c>
    </row>
    <row r="9" spans="1:8">
      <c r="A9" s="26"/>
      <c r="B9" s="26"/>
      <c r="C9" s="26"/>
      <c r="D9" s="26"/>
      <c r="E9" s="26"/>
      <c r="F9" s="26"/>
      <c r="G9" s="26"/>
      <c r="H9" s="2" t="str">
        <f>Contents!$B9</f>
        <v>CY 2025 Gas Earnings Report</v>
      </c>
    </row>
    <row r="10" spans="1:8">
      <c r="A10" s="26"/>
      <c r="B10" s="26"/>
      <c r="C10" s="26"/>
      <c r="D10" s="26"/>
      <c r="E10" s="26"/>
      <c r="F10" s="26"/>
      <c r="G10" s="26"/>
      <c r="H10" s="2" t="str">
        <f>Contents!$B10</f>
        <v>Schedule NECO-1</v>
      </c>
    </row>
    <row r="11" spans="1:8">
      <c r="A11" s="26"/>
      <c r="B11" s="26"/>
      <c r="C11" s="26"/>
      <c r="D11" s="26"/>
      <c r="E11" s="26"/>
      <c r="F11" s="26"/>
      <c r="G11" s="26"/>
      <c r="H11" s="2" t="str">
        <f>Contents!$B11</f>
        <v>June 15, 2026</v>
      </c>
    </row>
    <row r="12" spans="1:8" collapsed="1">
      <c r="A12" s="26"/>
      <c r="B12" s="26"/>
      <c r="C12" s="26"/>
      <c r="D12" s="26"/>
      <c r="E12" s="26"/>
      <c r="F12" s="26"/>
      <c r="G12" s="26"/>
      <c r="H12" s="2" t="str">
        <f>VLOOKUP($A$15,Index!$A:$C,3,FALSE)</f>
        <v>Page 9 of 15</v>
      </c>
    </row>
    <row r="13" spans="1:8">
      <c r="A13" s="26"/>
      <c r="B13" s="26"/>
      <c r="C13" s="26"/>
      <c r="D13" s="26"/>
      <c r="E13" s="26"/>
      <c r="F13" s="26"/>
      <c r="G13" s="26"/>
      <c r="H13" s="2"/>
    </row>
    <row r="14" spans="1:8">
      <c r="A14" s="797" t="str">
        <f>Contents!A13</f>
        <v>Rhode Island Energy - RI Gas</v>
      </c>
      <c r="B14" s="797"/>
      <c r="C14" s="797"/>
      <c r="D14" s="797"/>
      <c r="E14" s="797"/>
      <c r="F14" s="797"/>
      <c r="G14" s="797"/>
      <c r="H14" s="797"/>
    </row>
    <row r="15" spans="1:8">
      <c r="A15" s="797" t="s">
        <v>30</v>
      </c>
      <c r="B15" s="797"/>
      <c r="C15" s="797"/>
      <c r="D15" s="797"/>
      <c r="E15" s="797"/>
      <c r="F15" s="797"/>
      <c r="G15" s="797"/>
      <c r="H15" s="797"/>
    </row>
    <row r="16" spans="1:8">
      <c r="A16" s="797" t="str">
        <f>Contents!A15</f>
        <v>For the Twelve Months ended December 31, 2025</v>
      </c>
      <c r="B16" s="797"/>
      <c r="C16" s="797"/>
      <c r="D16" s="797"/>
      <c r="E16" s="797"/>
      <c r="F16" s="797"/>
      <c r="G16" s="797"/>
      <c r="H16" s="797"/>
    </row>
    <row r="17" spans="1:12">
      <c r="A17" s="26"/>
      <c r="B17" s="26"/>
      <c r="C17" s="26"/>
      <c r="D17" s="26"/>
      <c r="E17" s="26"/>
      <c r="F17" s="26"/>
      <c r="G17" s="26"/>
      <c r="H17" s="26"/>
    </row>
    <row r="18" spans="1:12">
      <c r="A18" s="26"/>
      <c r="B18" s="26"/>
      <c r="C18" s="26"/>
      <c r="D18" s="8" t="s">
        <v>16</v>
      </c>
      <c r="E18" s="36"/>
      <c r="F18" s="8" t="s">
        <v>72</v>
      </c>
      <c r="G18" s="26"/>
      <c r="H18" s="8">
        <f>Index!G17</f>
        <v>2025</v>
      </c>
    </row>
    <row r="19" spans="1:12">
      <c r="A19" s="26"/>
      <c r="B19" s="26"/>
      <c r="C19" s="26"/>
      <c r="D19" s="36" t="s">
        <v>73</v>
      </c>
      <c r="E19" s="36"/>
      <c r="F19" s="36" t="s">
        <v>74</v>
      </c>
      <c r="G19" s="26"/>
      <c r="H19" s="36" t="s">
        <v>75</v>
      </c>
    </row>
    <row r="20" spans="1:12">
      <c r="A20" s="26"/>
      <c r="B20" s="26"/>
      <c r="C20" s="26"/>
      <c r="D20" s="8"/>
      <c r="E20" s="36"/>
      <c r="F20" s="8"/>
      <c r="G20" s="26"/>
      <c r="H20" s="8"/>
    </row>
    <row r="21" spans="1:12">
      <c r="A21" s="36">
        <v>1</v>
      </c>
      <c r="B21" s="26" t="s">
        <v>310</v>
      </c>
      <c r="C21" s="626"/>
      <c r="D21" s="113">
        <v>-56524.7</v>
      </c>
      <c r="E21" s="731"/>
      <c r="F21" s="8"/>
      <c r="G21" s="26"/>
      <c r="H21" s="27">
        <f>F21+D21</f>
        <v>-56524.7</v>
      </c>
      <c r="I21" s="626"/>
      <c r="J21" s="26"/>
      <c r="K21" s="113"/>
      <c r="L21" s="113"/>
    </row>
    <row r="22" spans="1:12">
      <c r="A22" s="36">
        <f>A21+1</f>
        <v>2</v>
      </c>
      <c r="B22" s="26"/>
      <c r="C22" s="26"/>
      <c r="D22" s="27"/>
      <c r="E22" s="36"/>
      <c r="F22" s="8"/>
      <c r="G22" s="26"/>
      <c r="H22" s="27"/>
      <c r="J22" s="26"/>
      <c r="K22" s="27"/>
      <c r="L22" s="27"/>
    </row>
    <row r="23" spans="1:12">
      <c r="A23" s="36">
        <f t="shared" ref="A23:A45" si="0">A22+1</f>
        <v>3</v>
      </c>
      <c r="B23" s="26" t="s">
        <v>311</v>
      </c>
      <c r="C23" s="626"/>
      <c r="D23" s="27">
        <v>0</v>
      </c>
      <c r="E23" s="731"/>
      <c r="F23" s="27"/>
      <c r="G23" s="26"/>
      <c r="H23" s="27">
        <f>F23+D23</f>
        <v>0</v>
      </c>
      <c r="I23" s="626"/>
      <c r="J23" s="26"/>
      <c r="K23" s="27"/>
      <c r="L23" s="27"/>
    </row>
    <row r="24" spans="1:12">
      <c r="A24" s="36">
        <f t="shared" si="0"/>
        <v>4</v>
      </c>
      <c r="B24" s="26"/>
      <c r="C24" s="26"/>
      <c r="D24" s="27"/>
      <c r="E24" s="26"/>
      <c r="F24" s="27"/>
      <c r="G24" s="26"/>
      <c r="H24" s="27"/>
      <c r="J24" s="26"/>
      <c r="K24" s="27"/>
      <c r="L24" s="27"/>
    </row>
    <row r="25" spans="1:12">
      <c r="A25" s="36">
        <f t="shared" si="0"/>
        <v>5</v>
      </c>
      <c r="B25" s="26" t="s">
        <v>312</v>
      </c>
      <c r="C25" s="626"/>
      <c r="D25" s="113">
        <v>-485245.27</v>
      </c>
      <c r="E25" s="731"/>
      <c r="F25" s="26"/>
      <c r="G25" s="26"/>
      <c r="H25" s="27">
        <f>F25+D25</f>
        <v>-485245.27</v>
      </c>
      <c r="I25" s="626"/>
      <c r="J25" s="26"/>
      <c r="K25" s="113"/>
      <c r="L25" s="113"/>
    </row>
    <row r="26" spans="1:12">
      <c r="A26" s="36">
        <f t="shared" si="0"/>
        <v>6</v>
      </c>
      <c r="B26" s="26"/>
      <c r="C26" s="26"/>
      <c r="D26" s="27"/>
      <c r="E26" s="26"/>
      <c r="F26" s="26"/>
      <c r="G26" s="26"/>
      <c r="H26" s="27"/>
      <c r="J26" s="26"/>
      <c r="K26" s="27"/>
      <c r="L26" s="27"/>
    </row>
    <row r="27" spans="1:12">
      <c r="A27" s="36">
        <f t="shared" si="0"/>
        <v>7</v>
      </c>
      <c r="B27" s="26" t="s">
        <v>314</v>
      </c>
      <c r="C27" s="626"/>
      <c r="D27" s="113">
        <v>-206935.17</v>
      </c>
      <c r="E27" s="731"/>
      <c r="F27" s="27"/>
      <c r="G27" s="26"/>
      <c r="H27" s="27">
        <f>F27+D27</f>
        <v>-206935.17</v>
      </c>
      <c r="I27" s="626"/>
      <c r="J27" s="26"/>
      <c r="K27" s="113"/>
      <c r="L27" s="113"/>
    </row>
    <row r="28" spans="1:12">
      <c r="A28" s="36">
        <f t="shared" si="0"/>
        <v>8</v>
      </c>
      <c r="B28" s="26"/>
      <c r="C28" s="26"/>
      <c r="D28" s="27"/>
      <c r="E28" s="26"/>
      <c r="F28" s="27"/>
      <c r="G28" s="26"/>
      <c r="H28" s="27"/>
      <c r="J28" s="26"/>
      <c r="K28" s="27"/>
      <c r="L28" s="27"/>
    </row>
    <row r="29" spans="1:12">
      <c r="A29" s="36">
        <f t="shared" si="0"/>
        <v>9</v>
      </c>
      <c r="B29" s="26" t="s">
        <v>315</v>
      </c>
      <c r="C29" s="626"/>
      <c r="D29" s="42">
        <v>-601051.07999999996</v>
      </c>
      <c r="E29" s="731"/>
      <c r="F29" s="26"/>
      <c r="G29" s="26"/>
      <c r="H29" s="27">
        <f>F29+D29</f>
        <v>-601051.07999999996</v>
      </c>
      <c r="I29" s="626"/>
      <c r="J29" s="26"/>
      <c r="K29" s="113"/>
      <c r="L29" s="113"/>
    </row>
    <row r="30" spans="1:12">
      <c r="A30" s="36">
        <f t="shared" si="0"/>
        <v>10</v>
      </c>
      <c r="B30" s="26"/>
      <c r="C30" s="26"/>
      <c r="D30" s="27"/>
      <c r="E30" s="26"/>
      <c r="F30" s="26"/>
      <c r="G30" s="26"/>
      <c r="H30" s="27"/>
      <c r="J30" s="26"/>
      <c r="K30" s="27"/>
      <c r="L30" s="27"/>
    </row>
    <row r="31" spans="1:12">
      <c r="A31" s="36">
        <f t="shared" si="0"/>
        <v>11</v>
      </c>
      <c r="B31" s="26" t="s">
        <v>316</v>
      </c>
      <c r="C31" s="626"/>
      <c r="D31" s="113">
        <v>-6942</v>
      </c>
      <c r="E31" s="731"/>
      <c r="F31" s="26"/>
      <c r="G31" s="26"/>
      <c r="H31" s="27">
        <f>F31+D31</f>
        <v>-6942</v>
      </c>
      <c r="I31" s="626"/>
      <c r="J31" s="26"/>
      <c r="K31" s="113"/>
      <c r="L31" s="113"/>
    </row>
    <row r="32" spans="1:12">
      <c r="A32" s="36">
        <f t="shared" si="0"/>
        <v>12</v>
      </c>
      <c r="B32" s="26" t="s">
        <v>317</v>
      </c>
      <c r="C32" s="626"/>
      <c r="D32" s="113">
        <v>0</v>
      </c>
      <c r="E32" s="731"/>
      <c r="F32" s="27">
        <v>0</v>
      </c>
      <c r="G32" s="731"/>
      <c r="H32" s="27">
        <f>F32+D32</f>
        <v>0</v>
      </c>
      <c r="I32" s="626"/>
      <c r="J32" s="26"/>
      <c r="K32" s="27"/>
      <c r="L32" s="27"/>
    </row>
    <row r="33" spans="1:15">
      <c r="A33" s="36">
        <f t="shared" si="0"/>
        <v>13</v>
      </c>
      <c r="B33" s="26" t="s">
        <v>318</v>
      </c>
      <c r="C33" s="26"/>
      <c r="D33" s="26"/>
      <c r="E33" s="626"/>
      <c r="F33" s="27">
        <v>0</v>
      </c>
      <c r="G33" s="731"/>
      <c r="H33" s="27">
        <f>F33+D33</f>
        <v>0</v>
      </c>
      <c r="I33" s="626"/>
      <c r="J33" s="26"/>
      <c r="K33" s="26"/>
      <c r="L33" s="26"/>
    </row>
    <row r="34" spans="1:15">
      <c r="A34" s="36">
        <f t="shared" si="0"/>
        <v>14</v>
      </c>
      <c r="B34" s="26"/>
      <c r="C34" s="26"/>
      <c r="D34" s="27"/>
      <c r="E34" s="26"/>
      <c r="F34" s="27"/>
      <c r="G34" s="26"/>
      <c r="H34" s="26"/>
      <c r="J34" s="26"/>
      <c r="K34" s="27"/>
      <c r="L34" s="27"/>
    </row>
    <row r="35" spans="1:15">
      <c r="A35" s="36">
        <f t="shared" si="0"/>
        <v>15</v>
      </c>
      <c r="B35" s="26" t="s">
        <v>6188</v>
      </c>
      <c r="C35" s="626"/>
      <c r="D35" s="113">
        <v>4201188.8407809995</v>
      </c>
      <c r="E35" s="731"/>
      <c r="F35" s="27"/>
      <c r="G35" s="26"/>
      <c r="H35" s="27">
        <f>F35+D35</f>
        <v>4201188.8407809995</v>
      </c>
      <c r="I35" s="626"/>
      <c r="J35" s="26"/>
      <c r="K35" s="27"/>
      <c r="L35" s="27"/>
    </row>
    <row r="36" spans="1:15">
      <c r="A36" s="36">
        <f t="shared" si="0"/>
        <v>16</v>
      </c>
      <c r="B36" s="26" t="s">
        <v>319</v>
      </c>
      <c r="C36" s="626"/>
      <c r="D36" s="27"/>
      <c r="E36" s="731"/>
      <c r="F36" s="27">
        <v>0</v>
      </c>
      <c r="G36" s="731"/>
      <c r="H36" s="27">
        <f>F36+D36</f>
        <v>0</v>
      </c>
      <c r="J36" s="26"/>
      <c r="K36" s="27"/>
      <c r="L36" s="27"/>
    </row>
    <row r="37" spans="1:15">
      <c r="A37" s="36">
        <f t="shared" si="0"/>
        <v>17</v>
      </c>
      <c r="B37" s="26"/>
      <c r="C37" s="26"/>
      <c r="D37" s="27"/>
      <c r="E37" s="26"/>
      <c r="F37" s="27"/>
      <c r="G37" s="26"/>
      <c r="H37" s="26"/>
      <c r="J37" s="26"/>
      <c r="K37" s="27"/>
      <c r="L37" s="27"/>
    </row>
    <row r="38" spans="1:15">
      <c r="A38" s="36">
        <f t="shared" si="0"/>
        <v>18</v>
      </c>
      <c r="B38" s="26" t="s">
        <v>320</v>
      </c>
      <c r="C38" s="626"/>
      <c r="D38" s="113">
        <v>0</v>
      </c>
      <c r="E38" s="731"/>
      <c r="G38" s="26"/>
      <c r="H38" s="27">
        <f>F38+D38</f>
        <v>0</v>
      </c>
      <c r="I38" s="626"/>
      <c r="J38" s="26"/>
      <c r="K38" s="27"/>
      <c r="L38" s="27"/>
    </row>
    <row r="39" spans="1:15">
      <c r="A39" s="36">
        <f t="shared" si="0"/>
        <v>19</v>
      </c>
      <c r="B39" s="26" t="s">
        <v>321</v>
      </c>
      <c r="C39" s="626"/>
      <c r="D39" s="27"/>
      <c r="E39" s="626"/>
      <c r="F39" s="27">
        <f>318364+584122-0-0</f>
        <v>902486</v>
      </c>
      <c r="G39" s="626"/>
      <c r="H39" s="27">
        <f>F39+D39</f>
        <v>902486</v>
      </c>
      <c r="I39" s="626"/>
      <c r="J39" s="26"/>
      <c r="K39" s="27"/>
      <c r="L39" s="27"/>
    </row>
    <row r="40" spans="1:15">
      <c r="A40" s="36">
        <f t="shared" si="0"/>
        <v>20</v>
      </c>
      <c r="B40" s="26"/>
      <c r="C40" s="26"/>
      <c r="D40" s="27"/>
      <c r="E40" s="26"/>
      <c r="G40" s="26"/>
      <c r="H40" s="26"/>
      <c r="J40" s="26"/>
      <c r="K40" s="27"/>
      <c r="L40" s="27"/>
    </row>
    <row r="41" spans="1:15">
      <c r="A41" s="36">
        <f t="shared" si="0"/>
        <v>21</v>
      </c>
      <c r="B41" s="26" t="s">
        <v>322</v>
      </c>
      <c r="C41" s="626"/>
      <c r="D41" s="27">
        <v>-1073443.3500000001</v>
      </c>
      <c r="E41" s="731"/>
      <c r="F41" s="27"/>
      <c r="G41" s="26"/>
      <c r="H41" s="27">
        <f>F41+D41</f>
        <v>-1073443.3500000001</v>
      </c>
      <c r="I41" s="626"/>
      <c r="J41" s="26"/>
      <c r="K41" s="27"/>
      <c r="L41" s="27"/>
    </row>
    <row r="42" spans="1:15">
      <c r="A42" s="36">
        <f t="shared" si="0"/>
        <v>22</v>
      </c>
      <c r="B42" s="26"/>
      <c r="C42" s="26"/>
      <c r="D42" s="27"/>
      <c r="E42" s="26"/>
      <c r="G42" s="26"/>
      <c r="H42" s="26"/>
    </row>
    <row r="43" spans="1:15">
      <c r="A43" s="36">
        <f t="shared" si="0"/>
        <v>23</v>
      </c>
      <c r="B43" s="26" t="s">
        <v>323</v>
      </c>
      <c r="D43" s="120"/>
      <c r="E43" s="26"/>
      <c r="F43" s="791">
        <f>-SUM(D21:F42)</f>
        <v>-2673533.2707809997</v>
      </c>
      <c r="G43" s="731"/>
      <c r="H43" s="120">
        <f>F43+D43</f>
        <v>-2673533.2707809997</v>
      </c>
      <c r="I43" s="626"/>
      <c r="K43" s="32"/>
      <c r="L43" s="32"/>
    </row>
    <row r="44" spans="1:15">
      <c r="A44" s="36">
        <f t="shared" si="0"/>
        <v>24</v>
      </c>
      <c r="C44" s="26"/>
      <c r="D44" s="27"/>
      <c r="E44" s="26"/>
      <c r="F44" s="27"/>
      <c r="G44" s="26"/>
      <c r="H44" s="27"/>
    </row>
    <row r="45" spans="1:15" ht="15.75" thickBot="1">
      <c r="A45" s="36">
        <f t="shared" si="0"/>
        <v>25</v>
      </c>
      <c r="B45" s="26" t="s">
        <v>324</v>
      </c>
      <c r="C45" s="626"/>
      <c r="D45" s="111">
        <f>SUM(D21:D44)</f>
        <v>1771047.2707809997</v>
      </c>
      <c r="E45" s="626"/>
      <c r="F45" s="111">
        <f>SUM(F21:F44)</f>
        <v>-1771047.2707809997</v>
      </c>
      <c r="G45" s="626"/>
      <c r="H45" s="111">
        <f>SUM(H21:H44)</f>
        <v>0</v>
      </c>
      <c r="I45" s="626"/>
    </row>
    <row r="46" spans="1:15" ht="15.75" thickTop="1">
      <c r="A46" s="36"/>
      <c r="B46" s="26"/>
      <c r="C46" s="26"/>
      <c r="D46" s="26"/>
      <c r="E46" s="26"/>
      <c r="F46" s="26"/>
      <c r="G46" s="26"/>
      <c r="H46" s="26"/>
      <c r="K46" s="32"/>
      <c r="L46" s="32"/>
      <c r="M46" s="32"/>
      <c r="O46" s="626"/>
    </row>
    <row r="47" spans="1:15">
      <c r="A47" s="36"/>
      <c r="B47" s="26"/>
      <c r="C47" s="26"/>
      <c r="D47" s="27"/>
      <c r="E47" s="26"/>
      <c r="F47" s="26"/>
      <c r="G47" s="26"/>
      <c r="H47" s="26"/>
      <c r="K47" s="32"/>
      <c r="L47" s="32"/>
      <c r="M47" s="32"/>
      <c r="O47" s="626"/>
    </row>
    <row r="48" spans="1:15">
      <c r="A48" s="26" t="s">
        <v>70</v>
      </c>
      <c r="C48" s="26"/>
      <c r="D48" s="26"/>
      <c r="E48" s="26"/>
      <c r="F48" s="26"/>
      <c r="G48" s="26"/>
      <c r="H48" s="26"/>
      <c r="K48" s="32"/>
      <c r="L48" s="32"/>
      <c r="M48" s="32"/>
      <c r="O48" s="626"/>
    </row>
    <row r="49" spans="1:15">
      <c r="A49" s="324" t="str">
        <f>D19</f>
        <v>(a)</v>
      </c>
      <c r="B49" s="26" t="s">
        <v>130</v>
      </c>
      <c r="C49" s="26"/>
      <c r="D49" s="26"/>
      <c r="E49" s="26"/>
      <c r="F49" s="26"/>
      <c r="G49" s="26"/>
      <c r="H49" s="26"/>
      <c r="K49" s="32"/>
      <c r="L49" s="32"/>
      <c r="M49" s="32"/>
      <c r="O49" s="626"/>
    </row>
    <row r="50" spans="1:15">
      <c r="A50" s="36" t="str">
        <f>A36&amp;F19</f>
        <v>16(b)</v>
      </c>
      <c r="B50" s="26" t="str">
        <f>"Reclass Interest on Customer Arrears to Other Revenue on "&amp;'Detail Other Rev'!G12&amp;", line "&amp;'Detail Other Rev'!A65&amp;'Detail Other Rev'!E19</f>
        <v>Reclass Interest on Customer Arrears to Other Revenue on Page 7 of 15, line 34(b)</v>
      </c>
      <c r="C50" s="26"/>
      <c r="D50" s="26"/>
      <c r="E50" s="26"/>
      <c r="F50" s="26"/>
      <c r="G50" s="26"/>
      <c r="H50" s="26"/>
      <c r="K50" s="32"/>
      <c r="L50" s="32"/>
      <c r="M50" s="32"/>
      <c r="O50" s="626"/>
    </row>
    <row r="51" spans="1:15">
      <c r="A51" s="36" t="str">
        <f>A39&amp;F19</f>
        <v>19(b)</v>
      </c>
      <c r="B51" s="26" t="str">
        <f>"Reclass Miscellaneous Service Revenues from Other Revenue on "&amp;'Detail Other Rev'!G12&amp;", line "&amp;'Detail Other Rev'!A62&amp;'Detail Other Rev'!E19</f>
        <v>Reclass Miscellaneous Service Revenues from Other Revenue on Page 7 of 15, line 31(b)</v>
      </c>
      <c r="C51" s="26"/>
      <c r="D51" s="26"/>
      <c r="E51" s="26"/>
      <c r="F51" s="26"/>
      <c r="G51" s="26"/>
      <c r="H51" s="26"/>
      <c r="J51" s="170"/>
      <c r="K51" s="32"/>
      <c r="L51" s="32"/>
      <c r="M51" s="32"/>
      <c r="O51" s="626"/>
    </row>
    <row r="52" spans="1:15">
      <c r="A52" s="36" t="str">
        <f>A43&amp;F19</f>
        <v>23(b)</v>
      </c>
      <c r="B52" s="26" t="str">
        <f>"(Sum of Lines "&amp;A21&amp;D19&amp;" through "&amp;A41&amp;F19&amp;") * -1"</f>
        <v>(Sum of Lines 1(a) through 21(b)) * -1</v>
      </c>
      <c r="C52" s="26"/>
      <c r="D52" s="26"/>
      <c r="E52" s="26"/>
      <c r="F52" s="26"/>
      <c r="G52" s="26"/>
      <c r="H52" s="26"/>
      <c r="K52" s="32"/>
      <c r="L52" s="32"/>
      <c r="M52" s="32"/>
      <c r="O52" s="626"/>
    </row>
    <row r="53" spans="1:15">
      <c r="A53" s="36" t="str">
        <f>H19</f>
        <v>(c)</v>
      </c>
      <c r="B53" s="26" t="str">
        <f>D19&amp;" + "&amp;F19</f>
        <v>(a) + (b)</v>
      </c>
      <c r="C53" s="26"/>
      <c r="D53" s="26"/>
      <c r="E53" s="26"/>
      <c r="F53" s="26"/>
      <c r="G53" s="26"/>
      <c r="H53" s="26"/>
      <c r="K53" s="32"/>
      <c r="L53" s="32"/>
      <c r="M53" s="32"/>
      <c r="O53" s="626"/>
    </row>
    <row r="54" spans="1:15">
      <c r="A54" s="36"/>
      <c r="B54" s="26"/>
      <c r="C54" s="26"/>
      <c r="D54" s="26"/>
      <c r="E54" s="26"/>
      <c r="F54" s="26"/>
      <c r="G54" s="26"/>
      <c r="H54" s="26"/>
    </row>
    <row r="55" spans="1:15">
      <c r="A55" s="26"/>
      <c r="B55" s="26"/>
      <c r="C55" s="26"/>
      <c r="D55" s="26"/>
      <c r="E55" s="26"/>
      <c r="F55" s="26"/>
      <c r="G55" s="26"/>
      <c r="H55" s="26"/>
      <c r="K55" s="32"/>
      <c r="L55" s="32"/>
      <c r="M55" s="32"/>
      <c r="O55" s="626"/>
    </row>
    <row r="56" spans="1:15">
      <c r="A56" s="26"/>
      <c r="B56" s="30"/>
      <c r="C56" s="26"/>
      <c r="D56" s="27"/>
      <c r="E56" s="26"/>
      <c r="F56" s="94"/>
      <c r="G56" s="26"/>
      <c r="H56" s="27"/>
    </row>
    <row r="57" spans="1:15">
      <c r="A57" s="26"/>
      <c r="B57" s="26"/>
      <c r="C57" s="26"/>
      <c r="D57" s="25"/>
      <c r="E57" s="26"/>
      <c r="F57" s="26"/>
      <c r="G57" s="26"/>
      <c r="H57" s="26"/>
      <c r="K57" s="32"/>
      <c r="L57" s="32"/>
      <c r="M57" s="32"/>
      <c r="O57" s="626"/>
    </row>
    <row r="58" spans="1:15">
      <c r="K58" s="32"/>
      <c r="L58" s="32"/>
      <c r="M58" s="32"/>
    </row>
    <row r="59" spans="1:15">
      <c r="K59" s="32"/>
      <c r="L59" s="32"/>
      <c r="M59" s="32"/>
    </row>
    <row r="60" spans="1:15">
      <c r="K60" s="32"/>
      <c r="L60" s="32"/>
      <c r="M60" s="32"/>
      <c r="O60" s="626"/>
    </row>
    <row r="61" spans="1:15">
      <c r="K61" s="32"/>
      <c r="L61" s="32"/>
      <c r="M61" s="32"/>
    </row>
    <row r="62" spans="1:15">
      <c r="K62" s="32"/>
      <c r="L62" s="32"/>
      <c r="M62" s="32"/>
      <c r="O62" s="626"/>
    </row>
    <row r="63" spans="1:15">
      <c r="K63" s="32"/>
      <c r="L63" s="32"/>
      <c r="M63" s="32"/>
      <c r="O63" s="626"/>
    </row>
    <row r="64" spans="1:15">
      <c r="K64" s="32"/>
      <c r="L64" s="32"/>
      <c r="M64" s="32"/>
    </row>
    <row r="65" spans="10:15">
      <c r="J65" s="170"/>
      <c r="K65" s="32"/>
      <c r="L65" s="32"/>
      <c r="M65" s="32"/>
      <c r="O65" s="626"/>
    </row>
    <row r="66" spans="10:15">
      <c r="K66" s="32"/>
      <c r="L66" s="32"/>
      <c r="M66" s="32"/>
      <c r="O66" s="626"/>
    </row>
    <row r="68" spans="10:15">
      <c r="K68" s="32"/>
      <c r="L68" s="32"/>
      <c r="M68" s="32"/>
      <c r="O68" s="626"/>
    </row>
    <row r="69" spans="10:15">
      <c r="K69" s="32"/>
      <c r="L69" s="159"/>
      <c r="M69" s="32"/>
    </row>
    <row r="70" spans="10:15">
      <c r="K70" s="32"/>
      <c r="L70" s="32"/>
      <c r="M70" s="32"/>
    </row>
    <row r="71" spans="10:15">
      <c r="K71" s="32"/>
      <c r="L71" s="32"/>
      <c r="M71" s="32"/>
    </row>
    <row r="72" spans="10:15">
      <c r="K72" s="32"/>
      <c r="L72" s="32"/>
      <c r="M72" s="32"/>
    </row>
    <row r="74" spans="10:15">
      <c r="M74" s="32"/>
    </row>
    <row r="75" spans="10:15">
      <c r="M75" s="9"/>
    </row>
    <row r="78" spans="10:15">
      <c r="K78" s="32"/>
      <c r="L78" s="32"/>
      <c r="M78" s="32"/>
    </row>
    <row r="84" spans="12:12">
      <c r="L84" s="32"/>
    </row>
  </sheetData>
  <dataConsolidate link="1"/>
  <mergeCells count="3">
    <mergeCell ref="A14:H14"/>
    <mergeCell ref="A15:H15"/>
    <mergeCell ref="A16:H16"/>
  </mergeCells>
  <pageMargins left="0.7" right="0.7" top="0.75" bottom="0.75" header="0.3" footer="0.3"/>
  <pageSetup scale="77" orientation="portrait" horizontalDpi="1200" verticalDpi="120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O58"/>
  <sheetViews>
    <sheetView topLeftCell="A6" workbookViewId="0">
      <selection activeCell="G55" sqref="G55"/>
    </sheetView>
  </sheetViews>
  <sheetFormatPr defaultColWidth="8.85546875" defaultRowHeight="15" outlineLevelRow="1"/>
  <cols>
    <col min="1" max="1" width="10.140625" style="26" bestFit="1" customWidth="1"/>
    <col min="2" max="2" width="23.140625" style="26" bestFit="1" customWidth="1"/>
    <col min="3" max="3" width="8.140625" style="26" bestFit="1" customWidth="1"/>
    <col min="4" max="4" width="13.7109375" style="26" bestFit="1" customWidth="1"/>
    <col min="5" max="5" width="15.28515625" style="26" bestFit="1" customWidth="1"/>
    <col min="6" max="6" width="14.42578125" style="26" bestFit="1" customWidth="1"/>
    <col min="7" max="7" width="19.5703125" style="26" bestFit="1" customWidth="1"/>
    <col min="8" max="8" width="13.7109375" style="26" bestFit="1" customWidth="1"/>
    <col min="9" max="9" width="12.28515625" style="26" bestFit="1" customWidth="1"/>
    <col min="10" max="10" width="3.28515625" style="26" customWidth="1"/>
    <col min="11" max="11" width="13.42578125" style="26" bestFit="1" customWidth="1"/>
    <col min="12" max="14" width="8.85546875" style="26"/>
    <col min="15" max="15" width="10.28515625" style="26" bestFit="1" customWidth="1"/>
    <col min="16" max="16384" width="8.85546875" style="26"/>
  </cols>
  <sheetData>
    <row r="1" spans="1:9" hidden="1" outlineLevel="1">
      <c r="I1" s="2" t="str">
        <f>Contents!$B1</f>
        <v>The Narragansett Electric Company</v>
      </c>
    </row>
    <row r="2" spans="1:9" hidden="1" outlineLevel="1">
      <c r="I2" s="2" t="str">
        <f>Contents!$B2</f>
        <v>d/b/a National Grid</v>
      </c>
    </row>
    <row r="3" spans="1:9" hidden="1" outlineLevel="1">
      <c r="I3" s="2" t="str">
        <f>Contents!$B3</f>
        <v>RIPUC Docket No. 4770</v>
      </c>
    </row>
    <row r="4" spans="1:9" hidden="1" outlineLevel="1">
      <c r="I4" s="2" t="str">
        <f>Contents!$B4</f>
        <v>Gas Earnings Sharing Mechanism</v>
      </c>
    </row>
    <row r="5" spans="1:9" hidden="1" outlineLevel="1">
      <c r="I5" s="2"/>
    </row>
    <row r="6" spans="1:9" collapsed="1">
      <c r="H6" s="2"/>
      <c r="I6" s="2" t="str">
        <f>Contents!$B6</f>
        <v>The Narragansett Electric Company</v>
      </c>
    </row>
    <row r="7" spans="1:9">
      <c r="H7" s="2"/>
      <c r="I7" s="2" t="str">
        <f>Contents!$B7</f>
        <v>d/b/a Rhode Island Energy</v>
      </c>
    </row>
    <row r="8" spans="1:9">
      <c r="H8" s="2"/>
      <c r="I8" s="2" t="str">
        <f>Contents!$B8</f>
        <v>RIPUC Docket No. 4770</v>
      </c>
    </row>
    <row r="9" spans="1:9">
      <c r="H9" s="2"/>
      <c r="I9" s="2" t="str">
        <f>Contents!$B9</f>
        <v>CY 2025 Gas Earnings Report</v>
      </c>
    </row>
    <row r="10" spans="1:9">
      <c r="H10" s="2"/>
      <c r="I10" s="2" t="str">
        <f>Contents!$B10</f>
        <v>Schedule NECO-1</v>
      </c>
    </row>
    <row r="11" spans="1:9">
      <c r="H11" s="2"/>
      <c r="I11" s="2" t="str">
        <f>Contents!$B11</f>
        <v>June 15, 2026</v>
      </c>
    </row>
    <row r="12" spans="1:9">
      <c r="H12" s="2"/>
      <c r="I12" s="2" t="str">
        <f>VLOOKUP($A$15,Index!A:C,3,FALSE)</f>
        <v>Page 10 of 15</v>
      </c>
    </row>
    <row r="13" spans="1:9">
      <c r="H13" s="2"/>
      <c r="I13" s="2"/>
    </row>
    <row r="14" spans="1:9">
      <c r="A14" s="797" t="str">
        <f>Contents!A13</f>
        <v>Rhode Island Energy - RI Gas</v>
      </c>
      <c r="B14" s="797"/>
      <c r="C14" s="797"/>
      <c r="D14" s="797"/>
      <c r="E14" s="797"/>
      <c r="F14" s="797"/>
      <c r="G14" s="797"/>
      <c r="H14" s="797"/>
      <c r="I14" s="797"/>
    </row>
    <row r="15" spans="1:9">
      <c r="A15" s="797" t="s">
        <v>32</v>
      </c>
      <c r="B15" s="797"/>
      <c r="C15" s="797"/>
      <c r="D15" s="797"/>
      <c r="E15" s="797"/>
      <c r="F15" s="797"/>
      <c r="G15" s="797"/>
      <c r="H15" s="797"/>
      <c r="I15" s="797"/>
    </row>
    <row r="16" spans="1:9">
      <c r="A16" s="797" t="str">
        <f>Contents!A15</f>
        <v>For the Twelve Months ended December 31, 2025</v>
      </c>
      <c r="B16" s="797"/>
      <c r="C16" s="797"/>
      <c r="D16" s="797"/>
      <c r="E16" s="797"/>
      <c r="F16" s="797"/>
      <c r="G16" s="797"/>
      <c r="H16" s="797"/>
      <c r="I16" s="797"/>
    </row>
    <row r="17" spans="1:15">
      <c r="F17" s="36"/>
      <c r="G17" s="36"/>
      <c r="H17" s="801"/>
      <c r="I17" s="801"/>
    </row>
    <row r="18" spans="1:15">
      <c r="G18" s="188" t="s">
        <v>348</v>
      </c>
    </row>
    <row r="19" spans="1:15">
      <c r="B19" s="332" t="s">
        <v>349</v>
      </c>
      <c r="C19" s="333" t="s">
        <v>350</v>
      </c>
      <c r="D19" s="333" t="s">
        <v>351</v>
      </c>
      <c r="E19" s="333" t="s">
        <v>352</v>
      </c>
      <c r="F19" s="333" t="s">
        <v>353</v>
      </c>
      <c r="G19" s="333" t="s">
        <v>354</v>
      </c>
      <c r="H19" s="333" t="s">
        <v>355</v>
      </c>
      <c r="I19" s="333" t="s">
        <v>356</v>
      </c>
    </row>
    <row r="20" spans="1:15">
      <c r="C20" s="36" t="s">
        <v>73</v>
      </c>
      <c r="D20" s="36" t="s">
        <v>74</v>
      </c>
      <c r="E20" s="36" t="s">
        <v>75</v>
      </c>
      <c r="F20" s="36" t="s">
        <v>247</v>
      </c>
      <c r="G20" s="36" t="s">
        <v>248</v>
      </c>
      <c r="H20" s="36" t="s">
        <v>249</v>
      </c>
      <c r="I20" s="36" t="s">
        <v>357</v>
      </c>
    </row>
    <row r="21" spans="1:15">
      <c r="B21" s="332"/>
      <c r="C21" s="332"/>
      <c r="D21" s="332"/>
      <c r="E21" s="332"/>
      <c r="F21" s="332"/>
    </row>
    <row r="22" spans="1:15">
      <c r="A22" s="36">
        <v>1</v>
      </c>
      <c r="B22" s="332" t="s">
        <v>358</v>
      </c>
      <c r="F22" s="334"/>
    </row>
    <row r="23" spans="1:15">
      <c r="A23" s="36">
        <f>+A22+1</f>
        <v>2</v>
      </c>
      <c r="B23" s="124" t="s">
        <v>359</v>
      </c>
      <c r="C23" s="726">
        <v>5.638E-2</v>
      </c>
      <c r="D23" s="727">
        <v>51210</v>
      </c>
      <c r="E23" s="334">
        <v>300000000</v>
      </c>
      <c r="F23" s="334">
        <v>16914000</v>
      </c>
      <c r="G23" s="737">
        <v>56015.529999999992</v>
      </c>
      <c r="H23" s="334">
        <f>F23+G23</f>
        <v>16970015.530000001</v>
      </c>
      <c r="I23" s="335">
        <f>ROUND(H23/E23,4)</f>
        <v>5.6599999999999998E-2</v>
      </c>
      <c r="K23" s="1"/>
    </row>
    <row r="24" spans="1:15">
      <c r="A24" s="36">
        <f>+A23+1</f>
        <v>3</v>
      </c>
      <c r="B24" s="124" t="s">
        <v>360</v>
      </c>
      <c r="C24" s="726">
        <v>4.1700000000000001E-2</v>
      </c>
      <c r="D24" s="727">
        <v>52210</v>
      </c>
      <c r="E24" s="334">
        <v>250000000</v>
      </c>
      <c r="F24" s="334">
        <v>10425000</v>
      </c>
      <c r="G24" s="737">
        <v>49122.79</v>
      </c>
      <c r="H24" s="334">
        <f>F24+G24</f>
        <v>10474122.789999999</v>
      </c>
      <c r="I24" s="335">
        <f>ROUND(H24/E24,4)</f>
        <v>4.19E-2</v>
      </c>
      <c r="K24" s="1"/>
      <c r="O24" s="113"/>
    </row>
    <row r="25" spans="1:15">
      <c r="A25" s="36">
        <f>+A24+1</f>
        <v>4</v>
      </c>
      <c r="B25" s="124" t="s">
        <v>360</v>
      </c>
      <c r="C25" s="726">
        <v>3.9190000000000003E-2</v>
      </c>
      <c r="D25" s="727">
        <v>46966</v>
      </c>
      <c r="E25" s="334">
        <v>350000000</v>
      </c>
      <c r="F25" s="334">
        <v>13716500</v>
      </c>
      <c r="G25" s="737">
        <v>186199.7</v>
      </c>
      <c r="H25" s="334">
        <f>F25+G25</f>
        <v>13902699.699999999</v>
      </c>
      <c r="I25" s="335">
        <f>ROUND(H25/E25,4)</f>
        <v>3.9699999999999999E-2</v>
      </c>
      <c r="K25" s="1"/>
    </row>
    <row r="26" spans="1:15" s="33" customFormat="1">
      <c r="A26" s="35">
        <f>+A25+1</f>
        <v>5</v>
      </c>
      <c r="B26" s="734" t="s">
        <v>360</v>
      </c>
      <c r="C26" s="735">
        <v>5.3499999999999999E-2</v>
      </c>
      <c r="D26" s="736">
        <v>49065</v>
      </c>
      <c r="E26" s="737">
        <v>500000000</v>
      </c>
      <c r="F26" s="737">
        <v>26750000</v>
      </c>
      <c r="G26" s="737">
        <v>374112.8</v>
      </c>
      <c r="H26" s="737">
        <f>F26+G26</f>
        <v>27124112.800000001</v>
      </c>
      <c r="I26" s="738">
        <f>ROUND(H26/E26,4)</f>
        <v>5.4199999999999998E-2</v>
      </c>
      <c r="K26" s="1"/>
    </row>
    <row r="27" spans="1:15">
      <c r="A27" s="36">
        <f>+A26+1</f>
        <v>6</v>
      </c>
      <c r="B27" s="124" t="s">
        <v>360</v>
      </c>
      <c r="C27" s="726">
        <v>3.3950000000000001E-2</v>
      </c>
      <c r="D27" s="727">
        <v>47582</v>
      </c>
      <c r="E27" s="334">
        <v>600000000</v>
      </c>
      <c r="F27" s="334">
        <v>20370000</v>
      </c>
      <c r="G27" s="737">
        <v>273120.73</v>
      </c>
      <c r="H27" s="334">
        <f>F27+G27</f>
        <v>20643120.73</v>
      </c>
      <c r="I27" s="335">
        <f>ROUND(H27/E27,4)</f>
        <v>3.44E-2</v>
      </c>
      <c r="K27" s="1"/>
    </row>
    <row r="28" spans="1:15">
      <c r="B28" s="124"/>
      <c r="C28" s="37"/>
      <c r="D28" s="728"/>
      <c r="E28" s="334"/>
      <c r="F28" s="27"/>
      <c r="G28" s="737"/>
      <c r="H28" s="334"/>
      <c r="I28" s="335"/>
      <c r="K28" s="1"/>
    </row>
    <row r="29" spans="1:15">
      <c r="A29" s="36">
        <f>A27+1</f>
        <v>7</v>
      </c>
      <c r="B29" s="332" t="s">
        <v>361</v>
      </c>
      <c r="D29" s="727"/>
      <c r="E29" s="27"/>
      <c r="F29" s="27"/>
      <c r="G29" s="737"/>
      <c r="H29" s="334"/>
      <c r="I29" s="335"/>
      <c r="K29" s="1"/>
    </row>
    <row r="30" spans="1:15">
      <c r="A30" s="36">
        <f>+A29+1</f>
        <v>8</v>
      </c>
      <c r="B30" s="124" t="s">
        <v>362</v>
      </c>
      <c r="C30" s="726">
        <v>7.4999999999999997E-2</v>
      </c>
      <c r="D30" s="727">
        <v>46006</v>
      </c>
      <c r="E30" s="334">
        <v>750000</v>
      </c>
      <c r="F30" s="334">
        <v>53750</v>
      </c>
      <c r="G30" s="737">
        <v>1053.3400000000001</v>
      </c>
      <c r="H30" s="334">
        <f>F30+G30</f>
        <v>54803.34</v>
      </c>
      <c r="I30" s="335">
        <f>ROUND(H30/E30,4)</f>
        <v>7.3099999999999998E-2</v>
      </c>
      <c r="K30" s="739"/>
    </row>
    <row r="31" spans="1:15">
      <c r="A31" s="36"/>
      <c r="E31" s="336"/>
      <c r="F31" s="337"/>
      <c r="G31" s="337"/>
      <c r="H31" s="337"/>
      <c r="I31" s="335"/>
    </row>
    <row r="32" spans="1:15" ht="15.75" thickBot="1">
      <c r="A32" s="36">
        <f>+A30+1</f>
        <v>9</v>
      </c>
      <c r="B32" s="124" t="s">
        <v>188</v>
      </c>
      <c r="E32" s="111">
        <f>SUM(E23:E30)</f>
        <v>2000750000</v>
      </c>
      <c r="F32" s="111">
        <f>SUM(F23:F30)</f>
        <v>88229250</v>
      </c>
      <c r="G32" s="111">
        <f>SUM(G23:G30)</f>
        <v>939624.89</v>
      </c>
      <c r="H32" s="111">
        <f>SUM(H23:H30)</f>
        <v>89168874.890000001</v>
      </c>
      <c r="I32" s="341">
        <f>ROUND(H32/E32,4)</f>
        <v>4.4600000000000001E-2</v>
      </c>
    </row>
    <row r="33" spans="1:11" ht="15.75" thickTop="1">
      <c r="A33" s="36"/>
      <c r="B33" s="124"/>
      <c r="E33" s="27"/>
      <c r="F33" s="27"/>
      <c r="G33" s="27"/>
      <c r="H33" s="27"/>
      <c r="I33" s="335"/>
    </row>
    <row r="34" spans="1:11">
      <c r="A34" s="36">
        <f>A32+1</f>
        <v>10</v>
      </c>
      <c r="B34" s="124" t="s">
        <v>363</v>
      </c>
      <c r="C34" s="338">
        <v>0.7</v>
      </c>
      <c r="E34" s="334">
        <f>E32*$C$34</f>
        <v>1400525000</v>
      </c>
      <c r="F34" s="334">
        <f>+SUM(F23:F27)*E34/SUM(E23:E27)</f>
        <v>61745996.068750001</v>
      </c>
      <c r="G34" s="334">
        <f>+SUM(G23:G27)*E34/SUM(E23:E27)</f>
        <v>657246.46003187494</v>
      </c>
      <c r="H34" s="334">
        <f>+F34+G34</f>
        <v>62403242.528781876</v>
      </c>
      <c r="I34" s="335">
        <f t="shared" ref="I34:I39" si="0">ROUND(H34/E34,4)</f>
        <v>4.4600000000000001E-2</v>
      </c>
    </row>
    <row r="35" spans="1:11">
      <c r="A35" s="36">
        <f>A34+1</f>
        <v>11</v>
      </c>
      <c r="B35" s="124" t="s">
        <v>364</v>
      </c>
      <c r="C35" s="335">
        <v>0.3</v>
      </c>
      <c r="E35" s="334">
        <f>E36+E37</f>
        <v>600225000</v>
      </c>
      <c r="F35" s="334">
        <f>F36+F37</f>
        <v>26483253.931249999</v>
      </c>
      <c r="G35" s="334">
        <f>G36+G37</f>
        <v>282378.42996812513</v>
      </c>
      <c r="H35" s="334">
        <f>+F35+G35</f>
        <v>26765632.361218125</v>
      </c>
      <c r="I35" s="335">
        <f t="shared" si="0"/>
        <v>4.4600000000000001E-2</v>
      </c>
    </row>
    <row r="36" spans="1:11">
      <c r="A36" s="36">
        <f>A35+1</f>
        <v>12</v>
      </c>
      <c r="B36" s="339" t="s">
        <v>365</v>
      </c>
      <c r="C36" s="335"/>
      <c r="E36" s="334">
        <f>SUM(E30:E30)</f>
        <v>750000</v>
      </c>
      <c r="F36" s="334">
        <f>SUM(F30:F30)</f>
        <v>53750</v>
      </c>
      <c r="G36" s="334">
        <f>SUM(G30:G30)</f>
        <v>1053.3400000000001</v>
      </c>
      <c r="H36" s="334">
        <f>+F36+G36</f>
        <v>54803.34</v>
      </c>
      <c r="I36" s="335">
        <f t="shared" si="0"/>
        <v>7.3099999999999998E-2</v>
      </c>
    </row>
    <row r="37" spans="1:11">
      <c r="A37" s="36">
        <f>A36+1</f>
        <v>13</v>
      </c>
      <c r="B37" s="339" t="s">
        <v>366</v>
      </c>
      <c r="C37" s="335"/>
      <c r="E37" s="334">
        <f>SUM(E23:E27)-E34</f>
        <v>599475000</v>
      </c>
      <c r="F37" s="334">
        <f>SUM(F23:F27)-F34</f>
        <v>26429503.931249999</v>
      </c>
      <c r="G37" s="334">
        <f>SUM(G23:G27)-G34</f>
        <v>281325.0899681251</v>
      </c>
      <c r="H37" s="334">
        <f>+F37+G37</f>
        <v>26710829.021218125</v>
      </c>
      <c r="I37" s="335">
        <f t="shared" si="0"/>
        <v>4.4600000000000001E-2</v>
      </c>
    </row>
    <row r="38" spans="1:11">
      <c r="A38" s="36">
        <f>A37+1</f>
        <v>14</v>
      </c>
      <c r="B38" s="124"/>
      <c r="C38" s="335"/>
      <c r="E38" s="340"/>
      <c r="F38" s="340"/>
      <c r="G38" s="340"/>
      <c r="H38" s="340"/>
    </row>
    <row r="39" spans="1:11" ht="15.75" thickBot="1">
      <c r="A39" s="36">
        <f>A38+1</f>
        <v>15</v>
      </c>
      <c r="B39" s="124" t="s">
        <v>367</v>
      </c>
      <c r="E39" s="331">
        <f>E34+E35</f>
        <v>2000750000</v>
      </c>
      <c r="F39" s="331">
        <f>F34+F35</f>
        <v>88229250</v>
      </c>
      <c r="G39" s="331">
        <f>G34+G35</f>
        <v>939624.89000000013</v>
      </c>
      <c r="H39" s="331">
        <f>H34+H35</f>
        <v>89168874.890000001</v>
      </c>
      <c r="I39" s="341">
        <f t="shared" si="0"/>
        <v>4.4600000000000001E-2</v>
      </c>
    </row>
    <row r="40" spans="1:11" ht="15.75" thickTop="1">
      <c r="A40" s="36"/>
      <c r="C40" s="27"/>
      <c r="D40" s="43"/>
      <c r="E40" s="27"/>
      <c r="F40" s="27"/>
      <c r="G40" s="27"/>
      <c r="H40" s="27"/>
      <c r="I40" s="27"/>
    </row>
    <row r="41" spans="1:11">
      <c r="A41" s="36"/>
      <c r="C41" s="27"/>
      <c r="D41" s="43"/>
      <c r="E41" s="27"/>
      <c r="F41" s="740"/>
      <c r="G41" s="740"/>
      <c r="H41" s="190"/>
      <c r="I41" s="27"/>
      <c r="K41" s="94"/>
    </row>
    <row r="42" spans="1:11">
      <c r="A42" s="124" t="s">
        <v>70</v>
      </c>
      <c r="E42" s="27"/>
      <c r="F42" s="27"/>
      <c r="G42" s="27"/>
      <c r="H42" s="27"/>
      <c r="I42" s="97"/>
      <c r="K42" s="94"/>
    </row>
    <row r="43" spans="1:11">
      <c r="A43" s="116" t="s">
        <v>370</v>
      </c>
      <c r="B43" s="124" t="s">
        <v>371</v>
      </c>
      <c r="E43" s="27"/>
      <c r="F43" s="27"/>
      <c r="G43" s="27"/>
      <c r="H43" s="27"/>
    </row>
    <row r="44" spans="1:11">
      <c r="A44" s="36">
        <f>A32</f>
        <v>9</v>
      </c>
      <c r="B44" s="26" t="str">
        <f>"Sum of Lines "&amp;A43</f>
        <v>Sum of Lines 1-8</v>
      </c>
    </row>
    <row r="45" spans="1:11">
      <c r="A45" s="36" t="str">
        <f>A$34&amp;E$20</f>
        <v>10(c)</v>
      </c>
      <c r="B45" s="26" t="str">
        <f>"Line "&amp;A32&amp;" * Line "&amp;A34&amp;C20</f>
        <v>Line 9 * Line 10(a)</v>
      </c>
    </row>
    <row r="46" spans="1:11">
      <c r="A46" s="36" t="str">
        <f>A$34&amp;F$20</f>
        <v>10(d)</v>
      </c>
      <c r="B46" s="26" t="str">
        <f>"Sum of Lines "&amp;A$23&amp;F$20&amp;" through "&amp;A$27&amp;F$20&amp;" * Line "&amp;A34&amp;E20&amp;" / Sum of Lines "&amp;A$23&amp;E$20&amp;" through "&amp;A$27&amp;E$20</f>
        <v>Sum of Lines 2(d) through 6(d) * Line 10(c) / Sum of Lines 2(c) through 6(c)</v>
      </c>
      <c r="G46" s="27"/>
    </row>
    <row r="47" spans="1:11">
      <c r="A47" s="36" t="str">
        <f>A$34&amp;G$20</f>
        <v>10(e)</v>
      </c>
      <c r="B47" s="26" t="str">
        <f>"Sum of Lines "&amp;A$23&amp;G$20&amp;" through "&amp;A$27&amp;G$20&amp;" * Line "&amp;$A$34&amp;$E$20&amp;" / Sum of Lines "&amp;A$23&amp;E$20&amp;" through "&amp;A$27&amp;E$20</f>
        <v>Sum of Lines 2(e) through 6(e) * Line 10(c) / Sum of Lines 2(c) through 6(c)</v>
      </c>
      <c r="G47" s="27"/>
    </row>
    <row r="48" spans="1:11">
      <c r="A48" s="36" t="str">
        <f>$A$35&amp;$E$20&amp;"-"&amp;$A$35&amp;$G$20</f>
        <v>11(c)-11(e)</v>
      </c>
      <c r="B48" s="26" t="s">
        <v>372</v>
      </c>
      <c r="G48" s="37"/>
    </row>
    <row r="49" spans="1:8">
      <c r="A49" s="36" t="str">
        <f>$A$36&amp;$E$20&amp;"-"&amp;$A$36&amp;$G$20</f>
        <v>12(c)-12(e)</v>
      </c>
      <c r="B49" s="26" t="str">
        <f>"Line "&amp;A30</f>
        <v>Line 8</v>
      </c>
      <c r="G49" s="117"/>
    </row>
    <row r="50" spans="1:8">
      <c r="A50" s="36" t="str">
        <f>$A$37&amp;$E$20&amp;"-"&amp;$A$37&amp;$G$20</f>
        <v>13(c)-13(e)</v>
      </c>
      <c r="B50" s="26" t="str">
        <f>"Sum of Lines "&amp;A$23&amp;" through "&amp;A$27&amp;", - Line "&amp;$A$34</f>
        <v>Sum of Lines 2 through 6, - Line 10</v>
      </c>
      <c r="G50" s="117"/>
    </row>
    <row r="51" spans="1:8">
      <c r="A51" s="36" t="str">
        <f>$H$20</f>
        <v>(f)</v>
      </c>
      <c r="B51" s="26" t="str">
        <f>$F$20&amp;" + "&amp;$G$20</f>
        <v>(d) + (e)</v>
      </c>
    </row>
    <row r="52" spans="1:8">
      <c r="A52" s="36" t="str">
        <f>$I$20</f>
        <v>(g)</v>
      </c>
      <c r="B52" s="26" t="str">
        <f>$H$20&amp;" / "&amp;$E$20</f>
        <v>(f) / (c)</v>
      </c>
    </row>
    <row r="53" spans="1:8">
      <c r="A53" s="36"/>
    </row>
    <row r="54" spans="1:8">
      <c r="A54" s="36" t="s">
        <v>373</v>
      </c>
      <c r="B54" s="124" t="s">
        <v>374</v>
      </c>
    </row>
    <row r="55" spans="1:8">
      <c r="A55" s="36"/>
    </row>
    <row r="56" spans="1:8">
      <c r="A56" s="36"/>
      <c r="E56" s="27"/>
      <c r="F56" s="27"/>
    </row>
    <row r="57" spans="1:8">
      <c r="E57" s="27"/>
      <c r="F57" s="27"/>
      <c r="G57" s="27"/>
      <c r="H57" s="27"/>
    </row>
    <row r="58" spans="1:8">
      <c r="B58" s="93"/>
      <c r="E58" s="27"/>
      <c r="F58" s="27"/>
      <c r="G58" s="342"/>
      <c r="H58" s="342"/>
    </row>
  </sheetData>
  <mergeCells count="4">
    <mergeCell ref="A15:I15"/>
    <mergeCell ref="A16:I16"/>
    <mergeCell ref="H17:I17"/>
    <mergeCell ref="A14:I14"/>
  </mergeCells>
  <pageMargins left="0.7" right="0.7" top="0.75" bottom="0.75" header="0.3" footer="0.3"/>
  <pageSetup scale="70" orientation="portrait" horizontalDpi="1200" verticalDpi="120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pageSetUpPr fitToPage="1"/>
  </sheetPr>
  <dimension ref="A1:M204"/>
  <sheetViews>
    <sheetView topLeftCell="A7" workbookViewId="0">
      <selection activeCell="G55" sqref="G55"/>
    </sheetView>
  </sheetViews>
  <sheetFormatPr defaultRowHeight="15" outlineLevelRow="1"/>
  <cols>
    <col min="1" max="2" width="9.7109375" customWidth="1"/>
    <col min="3" max="3" width="26" customWidth="1"/>
    <col min="4" max="4" width="15.7109375" customWidth="1"/>
    <col min="5" max="5" width="19.85546875" customWidth="1"/>
    <col min="6" max="6" width="18.42578125" customWidth="1"/>
    <col min="7" max="7" width="34" customWidth="1"/>
  </cols>
  <sheetData>
    <row r="1" spans="1:13" hidden="1" outlineLevel="1">
      <c r="A1" s="94" t="s">
        <v>375</v>
      </c>
      <c r="B1" s="95" t="s">
        <v>376</v>
      </c>
    </row>
    <row r="2" spans="1:13" hidden="1" outlineLevel="1">
      <c r="F2" s="2" t="str">
        <f>Contents!$B1</f>
        <v>The Narragansett Electric Company</v>
      </c>
    </row>
    <row r="3" spans="1:13" hidden="1" outlineLevel="1">
      <c r="F3" s="2" t="str">
        <f>Contents!$B2</f>
        <v>d/b/a National Grid</v>
      </c>
    </row>
    <row r="4" spans="1:13" hidden="1" outlineLevel="1">
      <c r="F4" s="2" t="str">
        <f>Contents!$B3</f>
        <v>RIPUC Docket No. 4770</v>
      </c>
    </row>
    <row r="5" spans="1:13" hidden="1" outlineLevel="1">
      <c r="F5" s="2" t="str">
        <f>Contents!$B4</f>
        <v>Gas Earnings Sharing Mechanism</v>
      </c>
    </row>
    <row r="6" spans="1:13" hidden="1" outlineLevel="1">
      <c r="C6" s="26"/>
      <c r="D6" s="26"/>
      <c r="E6" s="2"/>
      <c r="F6" s="2"/>
    </row>
    <row r="7" spans="1:13" ht="15.75" collapsed="1">
      <c r="A7" s="10"/>
      <c r="B7" s="10"/>
      <c r="C7" s="10"/>
      <c r="D7" s="10"/>
      <c r="E7" s="10"/>
      <c r="F7" s="2" t="str">
        <f>Contents!$B6</f>
        <v>The Narragansett Electric Company</v>
      </c>
    </row>
    <row r="8" spans="1:13" ht="15.75">
      <c r="A8" s="10"/>
      <c r="B8" s="10"/>
      <c r="C8" s="10"/>
      <c r="D8" s="10"/>
      <c r="E8" s="10"/>
      <c r="F8" s="2" t="str">
        <f>Contents!$B7</f>
        <v>d/b/a Rhode Island Energy</v>
      </c>
    </row>
    <row r="9" spans="1:13" ht="15.75">
      <c r="A9" s="10"/>
      <c r="B9" s="10"/>
      <c r="C9" s="10"/>
      <c r="D9" s="10"/>
      <c r="E9" s="10"/>
      <c r="F9" s="2" t="str">
        <f>Contents!$B8</f>
        <v>RIPUC Docket No. 4770</v>
      </c>
    </row>
    <row r="10" spans="1:13" ht="15.75">
      <c r="A10" s="10"/>
      <c r="B10" s="10"/>
      <c r="C10" s="10"/>
      <c r="D10" s="10"/>
      <c r="E10" s="10"/>
      <c r="F10" s="2" t="str">
        <f>Contents!$B9</f>
        <v>CY 2025 Gas Earnings Report</v>
      </c>
    </row>
    <row r="11" spans="1:13" ht="15.75">
      <c r="A11" s="10"/>
      <c r="B11" s="10"/>
      <c r="C11" s="10"/>
      <c r="D11" s="10"/>
      <c r="E11" s="10"/>
      <c r="F11" s="2" t="str">
        <f>Contents!$B10</f>
        <v>Schedule NECO-1</v>
      </c>
    </row>
    <row r="12" spans="1:13" ht="15.75">
      <c r="A12" s="10"/>
      <c r="B12" s="10"/>
      <c r="C12" s="10"/>
      <c r="D12" s="10"/>
      <c r="E12" s="10"/>
      <c r="F12" s="2" t="str">
        <f>Contents!$B11</f>
        <v>June 15, 2026</v>
      </c>
    </row>
    <row r="13" spans="1:13" ht="15.75">
      <c r="A13" s="10"/>
      <c r="B13" s="10"/>
      <c r="C13" s="11"/>
      <c r="D13" s="10"/>
      <c r="E13" s="10"/>
      <c r="F13" s="2" t="str">
        <f>VLOOKUP($A$16,Index!A:C,3,FALSE)</f>
        <v>Page 11 of 15</v>
      </c>
      <c r="L13" s="26"/>
      <c r="M13" s="26"/>
    </row>
    <row r="14" spans="1:13" ht="15.75">
      <c r="A14" s="10"/>
      <c r="B14" s="10"/>
      <c r="C14" s="10"/>
      <c r="D14" s="10"/>
      <c r="E14" s="10"/>
      <c r="F14" s="10"/>
      <c r="L14" s="26"/>
      <c r="M14" s="26"/>
    </row>
    <row r="15" spans="1:13" ht="15.75">
      <c r="A15" s="802" t="str">
        <f>Contents!A13</f>
        <v>Rhode Island Energy - RI Gas</v>
      </c>
      <c r="B15" s="802"/>
      <c r="C15" s="802"/>
      <c r="D15" s="802"/>
      <c r="E15" s="802"/>
      <c r="F15" s="802"/>
      <c r="L15" s="26"/>
      <c r="M15" s="26"/>
    </row>
    <row r="16" spans="1:13" ht="15.75">
      <c r="A16" s="802" t="s">
        <v>34</v>
      </c>
      <c r="B16" s="802"/>
      <c r="C16" s="802"/>
      <c r="D16" s="802"/>
      <c r="E16" s="802"/>
      <c r="F16" s="802"/>
      <c r="L16" s="26"/>
      <c r="M16" s="26"/>
    </row>
    <row r="17" spans="1:13" ht="15.75">
      <c r="A17" s="802" t="str">
        <f>Contents!A15</f>
        <v>For the Twelve Months ended December 31, 2025</v>
      </c>
      <c r="B17" s="802"/>
      <c r="C17" s="802"/>
      <c r="D17" s="802"/>
      <c r="E17" s="802"/>
      <c r="F17" s="802"/>
      <c r="L17" s="26"/>
      <c r="M17" s="26"/>
    </row>
    <row r="18" spans="1:13" ht="15.75">
      <c r="A18" s="10"/>
      <c r="B18" s="10"/>
      <c r="C18" s="10"/>
      <c r="D18" s="10"/>
      <c r="E18" s="10"/>
      <c r="F18" s="10"/>
      <c r="L18" s="26"/>
      <c r="M18" s="26"/>
    </row>
    <row r="19" spans="1:13" ht="15.75">
      <c r="A19" s="12"/>
      <c r="B19" s="10"/>
      <c r="C19" s="12" t="s">
        <v>73</v>
      </c>
      <c r="D19" s="12" t="s">
        <v>74</v>
      </c>
      <c r="E19" s="12" t="s">
        <v>75</v>
      </c>
      <c r="F19" s="12"/>
      <c r="L19" s="26"/>
      <c r="M19" s="26"/>
    </row>
    <row r="20" spans="1:13" ht="15.75">
      <c r="A20" s="12"/>
      <c r="B20" s="12"/>
      <c r="C20" s="12" t="s">
        <v>377</v>
      </c>
      <c r="D20" s="12" t="s">
        <v>378</v>
      </c>
      <c r="E20" s="12" t="s">
        <v>379</v>
      </c>
      <c r="F20" s="12"/>
      <c r="L20" s="26"/>
      <c r="M20" s="26"/>
    </row>
    <row r="21" spans="1:13" ht="15.75">
      <c r="A21" s="12"/>
      <c r="B21" s="13" t="s">
        <v>380</v>
      </c>
      <c r="C21" s="14" t="s">
        <v>381</v>
      </c>
      <c r="D21" s="14" t="s">
        <v>382</v>
      </c>
      <c r="E21" s="14" t="s">
        <v>113</v>
      </c>
      <c r="F21" s="14"/>
      <c r="L21" s="26"/>
      <c r="M21" s="26"/>
    </row>
    <row r="22" spans="1:13" ht="15.75">
      <c r="A22" s="12"/>
      <c r="B22" s="10"/>
      <c r="C22" s="10"/>
      <c r="D22" s="15"/>
      <c r="E22" s="10"/>
      <c r="F22" s="10"/>
      <c r="L22" s="26"/>
      <c r="M22" s="26"/>
    </row>
    <row r="23" spans="1:13" ht="15.75">
      <c r="A23" s="12">
        <v>1</v>
      </c>
      <c r="B23" s="16">
        <v>45658</v>
      </c>
      <c r="C23" s="174">
        <v>0</v>
      </c>
      <c r="D23" s="173">
        <v>0</v>
      </c>
      <c r="E23" s="174">
        <v>0</v>
      </c>
      <c r="F23" s="18"/>
      <c r="G23" s="176"/>
      <c r="L23" s="26"/>
      <c r="M23" s="26"/>
    </row>
    <row r="24" spans="1:13" ht="15.75">
      <c r="A24" s="12">
        <f>A23+1</f>
        <v>2</v>
      </c>
      <c r="B24" s="16">
        <v>45689</v>
      </c>
      <c r="C24" s="174">
        <v>0</v>
      </c>
      <c r="D24" s="173">
        <v>0</v>
      </c>
      <c r="E24" s="174">
        <v>0</v>
      </c>
      <c r="F24" s="18"/>
      <c r="G24" s="176"/>
      <c r="L24" s="26"/>
      <c r="M24" s="26"/>
    </row>
    <row r="25" spans="1:13" ht="15.75">
      <c r="A25" s="12">
        <f t="shared" ref="A25:A36" si="0">A24+1</f>
        <v>3</v>
      </c>
      <c r="B25" s="16">
        <v>45717</v>
      </c>
      <c r="C25" s="174">
        <v>1161290.32</v>
      </c>
      <c r="D25" s="173">
        <v>4.7E-2</v>
      </c>
      <c r="E25" s="174">
        <v>4700</v>
      </c>
      <c r="F25" s="18"/>
      <c r="G25" s="176"/>
      <c r="L25" s="26"/>
      <c r="M25" s="26"/>
    </row>
    <row r="26" spans="1:13" ht="15.75">
      <c r="A26" s="12">
        <f t="shared" si="0"/>
        <v>4</v>
      </c>
      <c r="B26" s="16">
        <v>45748</v>
      </c>
      <c r="C26" s="174">
        <v>0</v>
      </c>
      <c r="D26" s="173">
        <v>0</v>
      </c>
      <c r="E26" s="174">
        <v>0</v>
      </c>
      <c r="F26" s="18"/>
      <c r="G26" s="176"/>
      <c r="L26" s="26"/>
      <c r="M26" s="26"/>
    </row>
    <row r="27" spans="1:13" ht="15.75">
      <c r="A27" s="12">
        <f t="shared" si="0"/>
        <v>5</v>
      </c>
      <c r="B27" s="16">
        <v>45778</v>
      </c>
      <c r="C27" s="174">
        <v>0</v>
      </c>
      <c r="D27" s="173">
        <v>0</v>
      </c>
      <c r="E27" s="174">
        <v>0</v>
      </c>
      <c r="F27" s="18"/>
      <c r="G27" s="176"/>
      <c r="L27" s="26"/>
      <c r="M27" s="26"/>
    </row>
    <row r="28" spans="1:13" ht="15.75">
      <c r="A28" s="12">
        <f t="shared" si="0"/>
        <v>6</v>
      </c>
      <c r="B28" s="16">
        <v>45809</v>
      </c>
      <c r="C28" s="174">
        <v>0</v>
      </c>
      <c r="D28" s="173">
        <v>0</v>
      </c>
      <c r="E28" s="174">
        <v>0</v>
      </c>
      <c r="F28" s="18"/>
      <c r="G28" s="176"/>
      <c r="L28" s="26"/>
      <c r="M28" s="26"/>
    </row>
    <row r="29" spans="1:13" ht="15.75">
      <c r="A29" s="12">
        <f t="shared" si="0"/>
        <v>7</v>
      </c>
      <c r="B29" s="16">
        <v>45839</v>
      </c>
      <c r="C29" s="174">
        <v>55838709.68</v>
      </c>
      <c r="D29" s="173">
        <v>4.5403520000000003E-2</v>
      </c>
      <c r="E29" s="174">
        <v>218315.27</v>
      </c>
      <c r="F29" s="18"/>
      <c r="G29" s="176"/>
      <c r="L29" s="26"/>
      <c r="M29" s="26"/>
    </row>
    <row r="30" spans="1:13" ht="15.75">
      <c r="A30" s="12">
        <f t="shared" si="0"/>
        <v>8</v>
      </c>
      <c r="B30" s="16">
        <v>45870</v>
      </c>
      <c r="C30" s="174">
        <v>121419354.84</v>
      </c>
      <c r="D30" s="173">
        <v>4.5427130000000003E-2</v>
      </c>
      <c r="E30" s="174">
        <v>474965.82</v>
      </c>
      <c r="F30" s="18"/>
      <c r="G30" s="176"/>
      <c r="L30" s="26"/>
      <c r="M30" s="26"/>
    </row>
    <row r="31" spans="1:13" ht="15.75">
      <c r="A31" s="12">
        <f t="shared" si="0"/>
        <v>9</v>
      </c>
      <c r="B31" s="16">
        <v>45901</v>
      </c>
      <c r="C31" s="174">
        <v>127000000</v>
      </c>
      <c r="D31" s="173">
        <v>4.430042E-2</v>
      </c>
      <c r="E31" s="174">
        <v>468846.11</v>
      </c>
      <c r="F31" s="18"/>
      <c r="G31" s="176"/>
      <c r="L31" s="26"/>
      <c r="M31" s="26"/>
    </row>
    <row r="32" spans="1:13" ht="15.75">
      <c r="A32" s="12">
        <f t="shared" si="0"/>
        <v>10</v>
      </c>
      <c r="B32" s="16">
        <v>45931</v>
      </c>
      <c r="C32" s="174">
        <v>166161290.31999999</v>
      </c>
      <c r="D32" s="17">
        <v>4.2341719999999999E-2</v>
      </c>
      <c r="E32" s="174">
        <v>605839.47</v>
      </c>
      <c r="F32" s="18"/>
      <c r="L32" s="26"/>
      <c r="M32" s="26"/>
    </row>
    <row r="33" spans="1:13" ht="15.75">
      <c r="A33" s="12">
        <f t="shared" si="0"/>
        <v>11</v>
      </c>
      <c r="B33" s="16">
        <v>45962</v>
      </c>
      <c r="C33" s="174">
        <v>195000000</v>
      </c>
      <c r="D33" s="17">
        <v>4.1349660000000003E-2</v>
      </c>
      <c r="E33" s="174">
        <v>671931.94</v>
      </c>
      <c r="F33" s="18"/>
      <c r="L33" s="26"/>
      <c r="M33" s="26"/>
    </row>
    <row r="34" spans="1:13" ht="15.75">
      <c r="A34" s="12">
        <f t="shared" si="0"/>
        <v>12</v>
      </c>
      <c r="B34" s="16">
        <v>45992</v>
      </c>
      <c r="C34" s="174">
        <v>101000000</v>
      </c>
      <c r="D34" s="17">
        <v>4.2140589999999999E-2</v>
      </c>
      <c r="E34" s="174">
        <v>366506.11</v>
      </c>
      <c r="F34" s="18"/>
      <c r="L34" s="26"/>
      <c r="M34" s="26"/>
    </row>
    <row r="35" spans="1:13" ht="15.75">
      <c r="A35" s="12">
        <f t="shared" si="0"/>
        <v>13</v>
      </c>
      <c r="B35" s="10"/>
      <c r="C35" s="158"/>
      <c r="D35" s="158"/>
      <c r="E35" s="158"/>
      <c r="F35" s="177"/>
      <c r="L35" s="26"/>
      <c r="M35" s="26"/>
    </row>
    <row r="36" spans="1:13" ht="15.75">
      <c r="A36" s="12">
        <f t="shared" si="0"/>
        <v>14</v>
      </c>
      <c r="B36" s="10" t="s">
        <v>246</v>
      </c>
      <c r="C36" s="610">
        <f>AVERAGE(C23:C34)</f>
        <v>63965053.763333343</v>
      </c>
      <c r="D36" s="611">
        <f>ROUND(E36/C36,4)</f>
        <v>4.3900000000000002E-2</v>
      </c>
      <c r="E36" s="610">
        <f>SUM(E23:E34)</f>
        <v>2811104.7199999997</v>
      </c>
      <c r="F36" s="150"/>
      <c r="L36" s="26"/>
      <c r="M36" s="26"/>
    </row>
    <row r="37" spans="1:13" ht="15.75">
      <c r="A37" s="12"/>
      <c r="B37" s="10"/>
      <c r="C37" s="10"/>
      <c r="D37" s="98"/>
      <c r="E37" s="19"/>
      <c r="F37" s="10"/>
      <c r="L37" s="26"/>
      <c r="M37" s="26"/>
    </row>
    <row r="38" spans="1:13" ht="15.75">
      <c r="A38" s="10" t="s">
        <v>70</v>
      </c>
      <c r="C38" s="10"/>
      <c r="D38" s="10"/>
      <c r="E38" s="10"/>
      <c r="F38" s="10"/>
      <c r="L38" s="26"/>
      <c r="M38" s="26"/>
    </row>
    <row r="39" spans="1:13" ht="15.75">
      <c r="A39" s="10"/>
      <c r="B39" s="110"/>
      <c r="C39" s="110"/>
      <c r="D39" s="110"/>
      <c r="E39" s="110"/>
      <c r="F39" s="110"/>
      <c r="L39" s="26"/>
      <c r="M39" s="26"/>
    </row>
    <row r="40" spans="1:13" ht="15.75" customHeight="1">
      <c r="A40" s="10" t="s">
        <v>383</v>
      </c>
      <c r="B40" s="803" t="s">
        <v>384</v>
      </c>
      <c r="C40" s="803"/>
      <c r="D40" s="803"/>
      <c r="E40" s="803"/>
      <c r="F40" s="729"/>
      <c r="L40" s="26"/>
      <c r="M40" s="26"/>
    </row>
    <row r="41" spans="1:13" ht="15.75">
      <c r="A41" s="10"/>
      <c r="B41" s="803"/>
      <c r="C41" s="803"/>
      <c r="D41" s="803"/>
      <c r="E41" s="803"/>
      <c r="F41" s="110"/>
      <c r="L41" s="26"/>
      <c r="M41" s="26"/>
    </row>
    <row r="42" spans="1:13" ht="15.75">
      <c r="A42" s="20" t="s">
        <v>385</v>
      </c>
      <c r="B42" s="16" t="s">
        <v>386</v>
      </c>
      <c r="C42" s="10"/>
      <c r="D42" s="17"/>
      <c r="E42" s="10"/>
      <c r="F42" s="10"/>
      <c r="L42" s="26"/>
      <c r="M42" s="26"/>
    </row>
    <row r="43" spans="1:13">
      <c r="A43" s="26"/>
      <c r="B43" s="26"/>
      <c r="C43" s="26"/>
      <c r="D43" s="26"/>
      <c r="E43" s="26"/>
      <c r="F43" s="26"/>
      <c r="L43" s="26"/>
      <c r="M43" s="26"/>
    </row>
    <row r="44" spans="1:13">
      <c r="A44" s="26"/>
      <c r="B44" s="26"/>
      <c r="C44" s="26"/>
      <c r="D44" s="26"/>
      <c r="E44" s="26"/>
      <c r="F44" s="26"/>
      <c r="L44" s="26"/>
      <c r="M44" s="26"/>
    </row>
    <row r="45" spans="1:13">
      <c r="L45" s="26"/>
      <c r="M45" s="26"/>
    </row>
    <row r="46" spans="1:13">
      <c r="L46" s="26"/>
      <c r="M46" s="26"/>
    </row>
    <row r="47" spans="1:13">
      <c r="L47" s="26"/>
      <c r="M47" s="26"/>
    </row>
    <row r="48" spans="1:13">
      <c r="L48" s="26"/>
      <c r="M48" s="26"/>
    </row>
    <row r="49" spans="12:13">
      <c r="L49" s="26"/>
      <c r="M49" s="26"/>
    </row>
    <row r="50" spans="12:13">
      <c r="L50" s="26"/>
      <c r="M50" s="26"/>
    </row>
    <row r="51" spans="12:13">
      <c r="L51" s="26"/>
      <c r="M51" s="26"/>
    </row>
    <row r="52" spans="12:13">
      <c r="L52" s="26"/>
      <c r="M52" s="26"/>
    </row>
    <row r="53" spans="12:13">
      <c r="L53" s="26"/>
      <c r="M53" s="26"/>
    </row>
    <row r="54" spans="12:13">
      <c r="L54" s="26"/>
      <c r="M54" s="26"/>
    </row>
    <row r="55" spans="12:13">
      <c r="L55" s="26"/>
      <c r="M55" s="26"/>
    </row>
    <row r="56" spans="12:13">
      <c r="L56" s="26"/>
      <c r="M56" s="26"/>
    </row>
    <row r="57" spans="12:13">
      <c r="L57" s="26"/>
      <c r="M57" s="26"/>
    </row>
    <row r="58" spans="12:13">
      <c r="L58" s="26"/>
      <c r="M58" s="26"/>
    </row>
    <row r="59" spans="12:13">
      <c r="L59" s="26"/>
      <c r="M59" s="26"/>
    </row>
    <row r="60" spans="12:13">
      <c r="L60" s="26"/>
      <c r="M60" s="26"/>
    </row>
    <row r="61" spans="12:13">
      <c r="L61" s="26"/>
      <c r="M61" s="26"/>
    </row>
    <row r="62" spans="12:13">
      <c r="L62" s="26"/>
      <c r="M62" s="26"/>
    </row>
    <row r="63" spans="12:13">
      <c r="L63" s="26"/>
      <c r="M63" s="26"/>
    </row>
    <row r="64" spans="12:13">
      <c r="L64" s="26"/>
      <c r="M64" s="26"/>
    </row>
    <row r="65" spans="12:13">
      <c r="L65" s="26"/>
      <c r="M65" s="26"/>
    </row>
    <row r="66" spans="12:13">
      <c r="L66" s="26"/>
      <c r="M66" s="26"/>
    </row>
    <row r="67" spans="12:13">
      <c r="L67" s="26"/>
      <c r="M67" s="26"/>
    </row>
    <row r="68" spans="12:13">
      <c r="L68" s="26"/>
      <c r="M68" s="26"/>
    </row>
    <row r="69" spans="12:13">
      <c r="L69" s="26"/>
      <c r="M69" s="26"/>
    </row>
    <row r="70" spans="12:13">
      <c r="L70" s="26"/>
      <c r="M70" s="26"/>
    </row>
    <row r="71" spans="12:13">
      <c r="L71" s="26"/>
      <c r="M71" s="26"/>
    </row>
    <row r="72" spans="12:13">
      <c r="L72" s="26"/>
      <c r="M72" s="26"/>
    </row>
    <row r="73" spans="12:13">
      <c r="L73" s="26"/>
      <c r="M73" s="26"/>
    </row>
    <row r="74" spans="12:13">
      <c r="L74" s="26"/>
      <c r="M74" s="26"/>
    </row>
    <row r="75" spans="12:13">
      <c r="L75" s="26"/>
      <c r="M75" s="26"/>
    </row>
    <row r="76" spans="12:13">
      <c r="L76" s="26"/>
      <c r="M76" s="26"/>
    </row>
    <row r="77" spans="12:13">
      <c r="L77" s="26"/>
      <c r="M77" s="26"/>
    </row>
    <row r="78" spans="12:13">
      <c r="L78" s="26"/>
      <c r="M78" s="26"/>
    </row>
    <row r="79" spans="12:13">
      <c r="L79" s="26"/>
      <c r="M79" s="26"/>
    </row>
    <row r="80" spans="12:13">
      <c r="L80" s="26"/>
      <c r="M80" s="26"/>
    </row>
    <row r="81" spans="12:13">
      <c r="L81" s="26"/>
      <c r="M81" s="26"/>
    </row>
    <row r="82" spans="12:13">
      <c r="L82" s="26"/>
      <c r="M82" s="26"/>
    </row>
    <row r="83" spans="12:13">
      <c r="L83" s="26"/>
      <c r="M83" s="26"/>
    </row>
    <row r="84" spans="12:13">
      <c r="L84" s="26"/>
      <c r="M84" s="26"/>
    </row>
    <row r="85" spans="12:13">
      <c r="L85" s="26"/>
      <c r="M85" s="26"/>
    </row>
    <row r="86" spans="12:13">
      <c r="L86" s="26"/>
      <c r="M86" s="26"/>
    </row>
    <row r="87" spans="12:13">
      <c r="L87" s="26"/>
      <c r="M87" s="26"/>
    </row>
    <row r="88" spans="12:13">
      <c r="L88" s="26"/>
      <c r="M88" s="26"/>
    </row>
    <row r="89" spans="12:13">
      <c r="L89" s="26"/>
      <c r="M89" s="26"/>
    </row>
    <row r="90" spans="12:13">
      <c r="L90" s="26"/>
      <c r="M90" s="26"/>
    </row>
    <row r="91" spans="12:13">
      <c r="L91" s="26"/>
      <c r="M91" s="26"/>
    </row>
    <row r="92" spans="12:13">
      <c r="L92" s="26"/>
      <c r="M92" s="26"/>
    </row>
    <row r="93" spans="12:13">
      <c r="L93" s="26"/>
      <c r="M93" s="26"/>
    </row>
    <row r="94" spans="12:13">
      <c r="L94" s="26"/>
      <c r="M94" s="26"/>
    </row>
    <row r="95" spans="12:13">
      <c r="L95" s="26"/>
      <c r="M95" s="26"/>
    </row>
    <row r="96" spans="12:13">
      <c r="L96" s="26"/>
      <c r="M96" s="26"/>
    </row>
    <row r="97" spans="12:13">
      <c r="L97" s="26"/>
      <c r="M97" s="26"/>
    </row>
    <row r="98" spans="12:13">
      <c r="L98" s="26"/>
      <c r="M98" s="26"/>
    </row>
    <row r="99" spans="12:13">
      <c r="L99" s="26"/>
      <c r="M99" s="26"/>
    </row>
    <row r="100" spans="12:13">
      <c r="L100" s="26"/>
      <c r="M100" s="26"/>
    </row>
    <row r="101" spans="12:13">
      <c r="L101" s="26"/>
      <c r="M101" s="26"/>
    </row>
    <row r="102" spans="12:13">
      <c r="L102" s="26"/>
      <c r="M102" s="26"/>
    </row>
    <row r="103" spans="12:13">
      <c r="L103" s="26"/>
      <c r="M103" s="26"/>
    </row>
    <row r="104" spans="12:13">
      <c r="L104" s="26"/>
      <c r="M104" s="26"/>
    </row>
    <row r="105" spans="12:13">
      <c r="L105" s="26"/>
      <c r="M105" s="26"/>
    </row>
    <row r="106" spans="12:13">
      <c r="L106" s="26"/>
      <c r="M106" s="26"/>
    </row>
    <row r="107" spans="12:13">
      <c r="L107" s="26"/>
      <c r="M107" s="26"/>
    </row>
    <row r="108" spans="12:13">
      <c r="L108" s="26"/>
      <c r="M108" s="26"/>
    </row>
    <row r="109" spans="12:13">
      <c r="L109" s="26"/>
      <c r="M109" s="26"/>
    </row>
    <row r="110" spans="12:13">
      <c r="L110" s="26"/>
      <c r="M110" s="26"/>
    </row>
    <row r="111" spans="12:13">
      <c r="L111" s="26"/>
      <c r="M111" s="26"/>
    </row>
    <row r="112" spans="12:13">
      <c r="L112" s="26"/>
      <c r="M112" s="26"/>
    </row>
    <row r="113" spans="12:13">
      <c r="L113" s="26"/>
      <c r="M113" s="26"/>
    </row>
    <row r="114" spans="12:13">
      <c r="L114" s="26"/>
      <c r="M114" s="26"/>
    </row>
    <row r="115" spans="12:13">
      <c r="L115" s="26"/>
      <c r="M115" s="26"/>
    </row>
    <row r="116" spans="12:13">
      <c r="L116" s="26"/>
      <c r="M116" s="26"/>
    </row>
    <row r="117" spans="12:13">
      <c r="L117" s="26"/>
      <c r="M117" s="26"/>
    </row>
    <row r="118" spans="12:13">
      <c r="L118" s="26"/>
      <c r="M118" s="26"/>
    </row>
    <row r="119" spans="12:13">
      <c r="L119" s="26"/>
      <c r="M119" s="26"/>
    </row>
    <row r="120" spans="12:13">
      <c r="L120" s="26"/>
      <c r="M120" s="26"/>
    </row>
    <row r="121" spans="12:13">
      <c r="L121" s="26"/>
      <c r="M121" s="26"/>
    </row>
    <row r="122" spans="12:13">
      <c r="L122" s="26"/>
      <c r="M122" s="26"/>
    </row>
    <row r="123" spans="12:13">
      <c r="L123" s="26"/>
      <c r="M123" s="26"/>
    </row>
    <row r="124" spans="12:13">
      <c r="L124" s="26"/>
      <c r="M124" s="26"/>
    </row>
    <row r="125" spans="12:13">
      <c r="L125" s="26"/>
      <c r="M125" s="26"/>
    </row>
    <row r="126" spans="12:13">
      <c r="L126" s="26"/>
      <c r="M126" s="26"/>
    </row>
    <row r="127" spans="12:13">
      <c r="L127" s="26"/>
      <c r="M127" s="26"/>
    </row>
    <row r="128" spans="12:13">
      <c r="L128" s="26"/>
      <c r="M128" s="26"/>
    </row>
    <row r="129" spans="12:13">
      <c r="L129" s="26"/>
      <c r="M129" s="26"/>
    </row>
    <row r="130" spans="12:13">
      <c r="L130" s="26"/>
      <c r="M130" s="26"/>
    </row>
    <row r="131" spans="12:13">
      <c r="L131" s="26"/>
      <c r="M131" s="26"/>
    </row>
    <row r="132" spans="12:13">
      <c r="L132" s="26"/>
      <c r="M132" s="26"/>
    </row>
    <row r="133" spans="12:13">
      <c r="L133" s="26"/>
      <c r="M133" s="26"/>
    </row>
    <row r="134" spans="12:13">
      <c r="L134" s="26"/>
      <c r="M134" s="26"/>
    </row>
    <row r="135" spans="12:13">
      <c r="L135" s="26"/>
      <c r="M135" s="26"/>
    </row>
    <row r="136" spans="12:13">
      <c r="L136" s="26"/>
      <c r="M136" s="26"/>
    </row>
    <row r="137" spans="12:13">
      <c r="L137" s="26"/>
      <c r="M137" s="26"/>
    </row>
    <row r="138" spans="12:13">
      <c r="L138" s="26"/>
      <c r="M138" s="26"/>
    </row>
    <row r="139" spans="12:13">
      <c r="L139" s="26"/>
      <c r="M139" s="26"/>
    </row>
    <row r="140" spans="12:13">
      <c r="L140" s="26"/>
      <c r="M140" s="26"/>
    </row>
    <row r="141" spans="12:13">
      <c r="L141" s="26"/>
      <c r="M141" s="26"/>
    </row>
    <row r="142" spans="12:13">
      <c r="L142" s="26"/>
      <c r="M142" s="26"/>
    </row>
    <row r="143" spans="12:13">
      <c r="L143" s="26"/>
      <c r="M143" s="26"/>
    </row>
    <row r="144" spans="12:13">
      <c r="L144" s="26"/>
      <c r="M144" s="26"/>
    </row>
    <row r="145" spans="12:13">
      <c r="L145" s="26"/>
      <c r="M145" s="26"/>
    </row>
    <row r="146" spans="12:13">
      <c r="L146" s="26"/>
      <c r="M146" s="26"/>
    </row>
    <row r="147" spans="12:13">
      <c r="L147" s="26"/>
      <c r="M147" s="26"/>
    </row>
    <row r="148" spans="12:13">
      <c r="L148" s="26"/>
      <c r="M148" s="26"/>
    </row>
    <row r="149" spans="12:13">
      <c r="L149" s="26"/>
      <c r="M149" s="26"/>
    </row>
    <row r="150" spans="12:13">
      <c r="L150" s="26"/>
      <c r="M150" s="26"/>
    </row>
    <row r="151" spans="12:13">
      <c r="L151" s="26"/>
      <c r="M151" s="26"/>
    </row>
    <row r="152" spans="12:13">
      <c r="L152" s="26"/>
      <c r="M152" s="26"/>
    </row>
    <row r="153" spans="12:13">
      <c r="L153" s="26"/>
      <c r="M153" s="26"/>
    </row>
    <row r="154" spans="12:13">
      <c r="L154" s="26"/>
      <c r="M154" s="26"/>
    </row>
    <row r="155" spans="12:13">
      <c r="L155" s="26"/>
      <c r="M155" s="26"/>
    </row>
    <row r="156" spans="12:13">
      <c r="L156" s="26"/>
      <c r="M156" s="26"/>
    </row>
    <row r="157" spans="12:13">
      <c r="L157" s="26"/>
      <c r="M157" s="26"/>
    </row>
    <row r="158" spans="12:13">
      <c r="L158" s="26"/>
      <c r="M158" s="26"/>
    </row>
    <row r="159" spans="12:13">
      <c r="L159" s="26"/>
      <c r="M159" s="26"/>
    </row>
    <row r="160" spans="12:13">
      <c r="L160" s="26"/>
      <c r="M160" s="26"/>
    </row>
    <row r="161" spans="12:13">
      <c r="L161" s="26"/>
      <c r="M161" s="26"/>
    </row>
    <row r="162" spans="12:13">
      <c r="L162" s="26"/>
      <c r="M162" s="26"/>
    </row>
    <row r="163" spans="12:13">
      <c r="L163" s="26"/>
      <c r="M163" s="26"/>
    </row>
    <row r="164" spans="12:13">
      <c r="L164" s="26"/>
      <c r="M164" s="26"/>
    </row>
    <row r="165" spans="12:13">
      <c r="L165" s="26"/>
      <c r="M165" s="26"/>
    </row>
    <row r="166" spans="12:13">
      <c r="L166" s="26"/>
      <c r="M166" s="26"/>
    </row>
    <row r="167" spans="12:13">
      <c r="L167" s="26"/>
      <c r="M167" s="26"/>
    </row>
    <row r="168" spans="12:13">
      <c r="L168" s="26"/>
      <c r="M168" s="26"/>
    </row>
    <row r="169" spans="12:13">
      <c r="L169" s="26"/>
      <c r="M169" s="26"/>
    </row>
    <row r="170" spans="12:13">
      <c r="L170" s="26"/>
      <c r="M170" s="26"/>
    </row>
    <row r="171" spans="12:13">
      <c r="L171" s="26"/>
      <c r="M171" s="26"/>
    </row>
    <row r="172" spans="12:13">
      <c r="L172" s="26"/>
      <c r="M172" s="26"/>
    </row>
    <row r="173" spans="12:13">
      <c r="L173" s="26"/>
      <c r="M173" s="26"/>
    </row>
    <row r="174" spans="12:13">
      <c r="L174" s="26"/>
      <c r="M174" s="26"/>
    </row>
    <row r="175" spans="12:13">
      <c r="L175" s="26"/>
      <c r="M175" s="26"/>
    </row>
    <row r="176" spans="12:13">
      <c r="L176" s="26"/>
      <c r="M176" s="26"/>
    </row>
    <row r="177" spans="12:13">
      <c r="L177" s="26"/>
      <c r="M177" s="26"/>
    </row>
    <row r="178" spans="12:13">
      <c r="L178" s="26"/>
      <c r="M178" s="26"/>
    </row>
    <row r="179" spans="12:13">
      <c r="L179" s="26"/>
      <c r="M179" s="26"/>
    </row>
    <row r="180" spans="12:13">
      <c r="L180" s="26"/>
      <c r="M180" s="26"/>
    </row>
    <row r="181" spans="12:13">
      <c r="L181" s="26"/>
      <c r="M181" s="26"/>
    </row>
    <row r="182" spans="12:13">
      <c r="L182" s="26"/>
      <c r="M182" s="26"/>
    </row>
    <row r="183" spans="12:13">
      <c r="L183" s="26"/>
      <c r="M183" s="26"/>
    </row>
    <row r="184" spans="12:13">
      <c r="L184" s="26"/>
      <c r="M184" s="26"/>
    </row>
    <row r="185" spans="12:13">
      <c r="L185" s="26"/>
      <c r="M185" s="26"/>
    </row>
    <row r="186" spans="12:13">
      <c r="L186" s="26"/>
      <c r="M186" s="26"/>
    </row>
    <row r="187" spans="12:13">
      <c r="L187" s="26"/>
      <c r="M187" s="26"/>
    </row>
    <row r="188" spans="12:13">
      <c r="L188" s="26"/>
      <c r="M188" s="26"/>
    </row>
    <row r="189" spans="12:13">
      <c r="L189" s="26"/>
      <c r="M189" s="26"/>
    </row>
    <row r="190" spans="12:13">
      <c r="L190" s="26"/>
      <c r="M190" s="26"/>
    </row>
    <row r="191" spans="12:13">
      <c r="L191" s="26"/>
      <c r="M191" s="26"/>
    </row>
    <row r="192" spans="12:13">
      <c r="L192" s="26"/>
      <c r="M192" s="26"/>
    </row>
    <row r="193" spans="12:13">
      <c r="L193" s="26"/>
      <c r="M193" s="26"/>
    </row>
    <row r="194" spans="12:13">
      <c r="L194" s="26"/>
      <c r="M194" s="26"/>
    </row>
    <row r="195" spans="12:13">
      <c r="L195" s="26"/>
      <c r="M195" s="26"/>
    </row>
    <row r="196" spans="12:13">
      <c r="L196" s="26"/>
      <c r="M196" s="26"/>
    </row>
    <row r="197" spans="12:13">
      <c r="L197" s="26"/>
      <c r="M197" s="26"/>
    </row>
    <row r="198" spans="12:13">
      <c r="L198" s="26"/>
      <c r="M198" s="26"/>
    </row>
    <row r="199" spans="12:13">
      <c r="L199" s="26"/>
      <c r="M199" s="26"/>
    </row>
    <row r="200" spans="12:13">
      <c r="L200" s="26"/>
      <c r="M200" s="26"/>
    </row>
    <row r="201" spans="12:13">
      <c r="L201" s="26"/>
      <c r="M201" s="26"/>
    </row>
    <row r="202" spans="12:13">
      <c r="L202" s="26"/>
      <c r="M202" s="26"/>
    </row>
    <row r="203" spans="12:13">
      <c r="L203" s="26"/>
      <c r="M203" s="26"/>
    </row>
    <row r="204" spans="12:13">
      <c r="L204" s="26"/>
      <c r="M204" s="26"/>
    </row>
  </sheetData>
  <mergeCells count="4">
    <mergeCell ref="A15:F15"/>
    <mergeCell ref="A16:F16"/>
    <mergeCell ref="A17:F17"/>
    <mergeCell ref="B40:E41"/>
  </mergeCells>
  <pageMargins left="0.7" right="0.7" top="0.75" bottom="0.75" header="0.3" footer="0.3"/>
  <pageSetup scale="91" orientation="portrait" horizontalDpi="1200" verticalDpi="120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A1C584-D7E7-4713-8D63-78448E841FB5}">
  <sheetPr>
    <pageSetUpPr fitToPage="1"/>
  </sheetPr>
  <dimension ref="A1:L156"/>
  <sheetViews>
    <sheetView topLeftCell="A6" workbookViewId="0">
      <selection activeCell="G55" sqref="G55"/>
    </sheetView>
  </sheetViews>
  <sheetFormatPr defaultRowHeight="15" outlineLevelRow="1"/>
  <cols>
    <col min="1" max="1" width="7.42578125" customWidth="1"/>
    <col min="2" max="2" width="3.42578125" customWidth="1"/>
    <col min="3" max="3" width="49.85546875" customWidth="1"/>
    <col min="4" max="4" width="2.7109375" customWidth="1"/>
    <col min="5" max="5" width="13.42578125" customWidth="1"/>
    <col min="6" max="6" width="3.85546875" customWidth="1"/>
    <col min="7" max="7" width="20.42578125" customWidth="1"/>
    <col min="8" max="8" width="2.42578125" customWidth="1"/>
  </cols>
  <sheetData>
    <row r="1" spans="2:12" ht="15" hidden="1" customHeight="1" outlineLevel="1">
      <c r="H1" s="2" t="str">
        <f>Contents!$B1</f>
        <v>The Narragansett Electric Company</v>
      </c>
    </row>
    <row r="2" spans="2:12" ht="15" hidden="1" customHeight="1" outlineLevel="1">
      <c r="H2" s="2" t="str">
        <f>Contents!$B2</f>
        <v>d/b/a National Grid</v>
      </c>
    </row>
    <row r="3" spans="2:12" ht="15" hidden="1" customHeight="1" outlineLevel="1">
      <c r="H3" s="2" t="str">
        <f>Contents!$B3</f>
        <v>RIPUC Docket No. 4770</v>
      </c>
    </row>
    <row r="4" spans="2:12" ht="15" hidden="1" customHeight="1" outlineLevel="1">
      <c r="H4" s="2" t="str">
        <f>Contents!$B4</f>
        <v>Gas Earnings Sharing Mechanism</v>
      </c>
    </row>
    <row r="5" spans="2:12" ht="15" hidden="1" customHeight="1" outlineLevel="1">
      <c r="H5" s="2"/>
    </row>
    <row r="6" spans="2:12" ht="15.75" collapsed="1">
      <c r="B6" s="10"/>
      <c r="C6" s="10"/>
      <c r="D6" s="10"/>
      <c r="E6" s="10"/>
      <c r="F6" s="10"/>
      <c r="G6" s="10"/>
      <c r="H6" s="2" t="str">
        <f>Contents!$B6</f>
        <v>The Narragansett Electric Company</v>
      </c>
    </row>
    <row r="7" spans="2:12" ht="15.75">
      <c r="B7" s="10"/>
      <c r="C7" s="10"/>
      <c r="D7" s="10"/>
      <c r="E7" s="10"/>
      <c r="F7" s="10"/>
      <c r="G7" s="10"/>
      <c r="H7" s="2" t="str">
        <f>Contents!$B7</f>
        <v>d/b/a Rhode Island Energy</v>
      </c>
    </row>
    <row r="8" spans="2:12" ht="15.75">
      <c r="B8" s="10"/>
      <c r="C8" s="10"/>
      <c r="D8" s="10"/>
      <c r="E8" s="10"/>
      <c r="F8" s="10"/>
      <c r="G8" s="10"/>
      <c r="H8" s="2" t="str">
        <f>Contents!$B8</f>
        <v>RIPUC Docket No. 4770</v>
      </c>
    </row>
    <row r="9" spans="2:12" ht="15.75">
      <c r="B9" s="10"/>
      <c r="C9" s="10"/>
      <c r="D9" s="10"/>
      <c r="E9" s="10"/>
      <c r="F9" s="10"/>
      <c r="G9" s="10"/>
      <c r="H9" s="2" t="str">
        <f>Contents!$B9</f>
        <v>CY 2025 Gas Earnings Report</v>
      </c>
    </row>
    <row r="10" spans="2:12" ht="15.75">
      <c r="B10" s="10"/>
      <c r="C10" s="10"/>
      <c r="D10" s="10"/>
      <c r="E10" s="10"/>
      <c r="F10" s="10"/>
      <c r="G10" s="10"/>
      <c r="H10" s="2" t="str">
        <f>Contents!$B10</f>
        <v>Schedule NECO-1</v>
      </c>
    </row>
    <row r="11" spans="2:12" ht="15.75">
      <c r="B11" s="10"/>
      <c r="C11" s="10"/>
      <c r="D11" s="10"/>
      <c r="E11" s="10"/>
      <c r="F11" s="10"/>
      <c r="G11" s="10"/>
      <c r="H11" s="2" t="str">
        <f>Contents!$B11</f>
        <v>June 15, 2026</v>
      </c>
    </row>
    <row r="12" spans="2:12" ht="15.75">
      <c r="B12" s="10"/>
      <c r="C12" s="10"/>
      <c r="D12" s="10"/>
      <c r="E12" s="10"/>
      <c r="F12" s="10"/>
      <c r="G12" s="10"/>
      <c r="H12" s="41" t="str">
        <f>VLOOKUP(B15,Index!A:C,3,FALSE)</f>
        <v>Page 12 of 15</v>
      </c>
    </row>
    <row r="13" spans="2:12" ht="15.75">
      <c r="B13" s="10"/>
      <c r="C13" s="10"/>
      <c r="D13" s="10"/>
      <c r="E13" s="10"/>
      <c r="F13" s="10"/>
      <c r="G13" s="10"/>
      <c r="H13" s="41"/>
      <c r="K13" s="26"/>
      <c r="L13" s="26"/>
    </row>
    <row r="14" spans="2:12">
      <c r="B14" s="804" t="str">
        <f>Contents!A13</f>
        <v>Rhode Island Energy - RI Gas</v>
      </c>
      <c r="C14" s="804"/>
      <c r="D14" s="804"/>
      <c r="E14" s="804"/>
      <c r="F14" s="804"/>
      <c r="G14" s="804"/>
      <c r="H14" s="804"/>
      <c r="K14" s="26"/>
      <c r="L14" s="26"/>
    </row>
    <row r="15" spans="2:12">
      <c r="B15" s="804" t="str">
        <f>Index!A33</f>
        <v>Merger Hold Harmless Rate Base Credit</v>
      </c>
      <c r="C15" s="804"/>
      <c r="D15" s="804"/>
      <c r="E15" s="804"/>
      <c r="F15" s="804"/>
      <c r="G15" s="804"/>
      <c r="H15" s="804"/>
      <c r="K15" s="26"/>
      <c r="L15" s="26"/>
    </row>
    <row r="16" spans="2:12">
      <c r="B16" s="804" t="str">
        <f>Contents!A15</f>
        <v>For the Twelve Months ended December 31, 2025</v>
      </c>
      <c r="C16" s="804"/>
      <c r="D16" s="804"/>
      <c r="E16" s="804"/>
      <c r="F16" s="804"/>
      <c r="G16" s="804"/>
      <c r="H16" s="804"/>
      <c r="K16" s="26"/>
      <c r="L16" s="26"/>
    </row>
    <row r="17" spans="1:12" ht="15.75">
      <c r="B17" s="802"/>
      <c r="C17" s="802"/>
      <c r="D17" s="802"/>
      <c r="E17" s="802"/>
      <c r="F17" s="802"/>
      <c r="G17" s="802"/>
      <c r="H17" s="802"/>
      <c r="K17" s="26"/>
      <c r="L17" s="26"/>
    </row>
    <row r="18" spans="1:12">
      <c r="A18" s="766"/>
      <c r="B18" s="766"/>
      <c r="C18" s="766"/>
      <c r="D18" s="766"/>
      <c r="E18" s="766"/>
      <c r="F18" s="766"/>
      <c r="G18" s="767" t="s">
        <v>387</v>
      </c>
      <c r="H18" s="766"/>
      <c r="K18" s="26"/>
      <c r="L18" s="26"/>
    </row>
    <row r="19" spans="1:12">
      <c r="A19" s="766"/>
      <c r="B19" s="766"/>
      <c r="C19" s="766"/>
      <c r="D19" s="766"/>
      <c r="E19" s="767"/>
      <c r="F19" s="766"/>
      <c r="G19" s="767" t="s">
        <v>388</v>
      </c>
      <c r="H19" s="766"/>
      <c r="K19" s="26"/>
      <c r="L19" s="26"/>
    </row>
    <row r="20" spans="1:12">
      <c r="A20" s="766"/>
      <c r="B20" s="766"/>
      <c r="C20" s="767" t="s">
        <v>389</v>
      </c>
      <c r="D20" s="766"/>
      <c r="E20" s="768" t="s">
        <v>390</v>
      </c>
      <c r="F20" s="766"/>
      <c r="G20" s="768" t="s">
        <v>391</v>
      </c>
      <c r="H20" s="766"/>
      <c r="K20" s="26"/>
      <c r="L20" s="26"/>
    </row>
    <row r="21" spans="1:12">
      <c r="A21" s="766"/>
      <c r="B21" s="766"/>
      <c r="C21" s="767"/>
      <c r="D21" s="767"/>
      <c r="E21" s="767" t="s">
        <v>73</v>
      </c>
      <c r="F21" s="766"/>
      <c r="G21" s="767" t="s">
        <v>74</v>
      </c>
      <c r="H21" s="766"/>
      <c r="K21" s="26"/>
      <c r="L21" s="26"/>
    </row>
    <row r="22" spans="1:12">
      <c r="A22" s="766"/>
      <c r="B22" s="766"/>
      <c r="C22" s="766"/>
      <c r="D22" s="766"/>
      <c r="E22" s="766"/>
      <c r="F22" s="766"/>
      <c r="G22" s="766"/>
      <c r="H22" s="766"/>
      <c r="K22" s="26"/>
      <c r="L22" s="26"/>
    </row>
    <row r="23" spans="1:12">
      <c r="A23" s="767">
        <v>1</v>
      </c>
      <c r="B23" s="766"/>
      <c r="C23" s="766" t="s">
        <v>392</v>
      </c>
      <c r="D23" s="766"/>
      <c r="E23" s="769">
        <v>45657</v>
      </c>
      <c r="F23" s="766"/>
      <c r="G23" s="770">
        <v>2925707.3745462098</v>
      </c>
      <c r="H23" s="766"/>
      <c r="K23" s="26"/>
      <c r="L23" s="26"/>
    </row>
    <row r="24" spans="1:12">
      <c r="A24" s="767">
        <f t="shared" ref="A24:A40" si="0">+A23+1</f>
        <v>2</v>
      </c>
      <c r="B24" s="766"/>
      <c r="C24" s="766"/>
      <c r="D24" s="766"/>
      <c r="E24" s="766"/>
      <c r="F24" s="766"/>
      <c r="G24" s="770"/>
      <c r="H24" s="766"/>
      <c r="K24" s="26"/>
      <c r="L24" s="26"/>
    </row>
    <row r="25" spans="1:12">
      <c r="A25" s="767">
        <f t="shared" si="0"/>
        <v>3</v>
      </c>
      <c r="B25" s="766"/>
      <c r="C25" s="771" t="s">
        <v>393</v>
      </c>
      <c r="D25" s="766"/>
      <c r="E25" s="769"/>
      <c r="F25" s="766"/>
      <c r="G25" s="770">
        <v>-3286983.2284586281</v>
      </c>
      <c r="H25" s="766"/>
      <c r="K25" s="26"/>
      <c r="L25" s="26"/>
    </row>
    <row r="26" spans="1:12">
      <c r="A26" s="767">
        <f t="shared" si="0"/>
        <v>4</v>
      </c>
      <c r="B26" s="766"/>
      <c r="C26" s="766"/>
      <c r="D26" s="766"/>
      <c r="E26" s="766"/>
      <c r="F26" s="766"/>
      <c r="G26" s="770"/>
      <c r="H26" s="766"/>
      <c r="K26" s="26"/>
      <c r="L26" s="26"/>
    </row>
    <row r="27" spans="1:12">
      <c r="A27" s="767">
        <f t="shared" si="0"/>
        <v>5</v>
      </c>
      <c r="B27" s="766"/>
      <c r="C27" s="772" t="s">
        <v>394</v>
      </c>
      <c r="D27" s="766"/>
      <c r="E27" s="773">
        <f>EDATE(E23,1)</f>
        <v>45688</v>
      </c>
      <c r="F27" s="766" t="s">
        <v>368</v>
      </c>
      <c r="G27" s="770">
        <f>+G23+$G$25/12</f>
        <v>2651792.1055079908</v>
      </c>
      <c r="H27" s="766"/>
      <c r="K27" s="26"/>
      <c r="L27" s="26"/>
    </row>
    <row r="28" spans="1:12">
      <c r="A28" s="767">
        <f t="shared" si="0"/>
        <v>6</v>
      </c>
      <c r="B28" s="766"/>
      <c r="C28" s="766"/>
      <c r="D28" s="766"/>
      <c r="E28" s="773">
        <f>EDATE(E27,1)</f>
        <v>45716</v>
      </c>
      <c r="F28" s="766" t="s">
        <v>368</v>
      </c>
      <c r="G28" s="770">
        <f>+G27+$G$25/12</f>
        <v>2377876.8364697718</v>
      </c>
      <c r="H28" s="766"/>
      <c r="K28" s="26"/>
      <c r="L28" s="26"/>
    </row>
    <row r="29" spans="1:12">
      <c r="A29" s="767">
        <f t="shared" si="0"/>
        <v>7</v>
      </c>
      <c r="B29" s="766"/>
      <c r="C29" s="766"/>
      <c r="D29" s="766"/>
      <c r="E29" s="773">
        <f t="shared" ref="E29:E38" si="1">EDATE(E28,1)</f>
        <v>45744</v>
      </c>
      <c r="F29" s="766" t="s">
        <v>368</v>
      </c>
      <c r="G29" s="770">
        <f t="shared" ref="G29:G38" si="2">+G28+$G$25/12</f>
        <v>2103961.5674315528</v>
      </c>
      <c r="H29" s="766"/>
      <c r="K29" s="26"/>
      <c r="L29" s="26"/>
    </row>
    <row r="30" spans="1:12">
      <c r="A30" s="767">
        <f t="shared" si="0"/>
        <v>8</v>
      </c>
      <c r="B30" s="766"/>
      <c r="C30" s="766"/>
      <c r="D30" s="766"/>
      <c r="E30" s="773">
        <f t="shared" si="1"/>
        <v>45775</v>
      </c>
      <c r="F30" s="766" t="s">
        <v>368</v>
      </c>
      <c r="G30" s="770">
        <f t="shared" si="2"/>
        <v>1830046.2983933338</v>
      </c>
      <c r="H30" s="766"/>
      <c r="K30" s="26"/>
      <c r="L30" s="26"/>
    </row>
    <row r="31" spans="1:12">
      <c r="A31" s="767">
        <f t="shared" si="0"/>
        <v>9</v>
      </c>
      <c r="B31" s="766"/>
      <c r="C31" s="766"/>
      <c r="D31" s="766"/>
      <c r="E31" s="773">
        <f t="shared" si="1"/>
        <v>45805</v>
      </c>
      <c r="F31" s="766" t="s">
        <v>368</v>
      </c>
      <c r="G31" s="770">
        <f t="shared" si="2"/>
        <v>1556131.0293551148</v>
      </c>
      <c r="H31" s="766"/>
      <c r="K31" s="26"/>
      <c r="L31" s="26"/>
    </row>
    <row r="32" spans="1:12">
      <c r="A32" s="767">
        <f t="shared" si="0"/>
        <v>10</v>
      </c>
      <c r="B32" s="766"/>
      <c r="C32" s="766"/>
      <c r="D32" s="766"/>
      <c r="E32" s="773">
        <f t="shared" si="1"/>
        <v>45836</v>
      </c>
      <c r="F32" s="766" t="s">
        <v>368</v>
      </c>
      <c r="G32" s="770">
        <f t="shared" si="2"/>
        <v>1282215.7603168958</v>
      </c>
      <c r="H32" s="766"/>
      <c r="K32" s="26"/>
      <c r="L32" s="26"/>
    </row>
    <row r="33" spans="1:12">
      <c r="A33" s="767">
        <f t="shared" si="0"/>
        <v>11</v>
      </c>
      <c r="B33" s="766"/>
      <c r="C33" s="766"/>
      <c r="D33" s="766"/>
      <c r="E33" s="773">
        <f t="shared" si="1"/>
        <v>45866</v>
      </c>
      <c r="F33" s="766" t="s">
        <v>368</v>
      </c>
      <c r="G33" s="770">
        <f t="shared" si="2"/>
        <v>1008300.4912786768</v>
      </c>
      <c r="H33" s="766"/>
      <c r="K33" s="26"/>
      <c r="L33" s="26"/>
    </row>
    <row r="34" spans="1:12">
      <c r="A34" s="767">
        <f t="shared" si="0"/>
        <v>12</v>
      </c>
      <c r="B34" s="766"/>
      <c r="C34" s="766"/>
      <c r="D34" s="766"/>
      <c r="E34" s="773">
        <f t="shared" si="1"/>
        <v>45897</v>
      </c>
      <c r="F34" s="766" t="s">
        <v>368</v>
      </c>
      <c r="G34" s="770">
        <f t="shared" si="2"/>
        <v>734385.22224045778</v>
      </c>
      <c r="H34" s="766"/>
      <c r="K34" s="26"/>
      <c r="L34" s="26"/>
    </row>
    <row r="35" spans="1:12">
      <c r="A35" s="767">
        <f t="shared" si="0"/>
        <v>13</v>
      </c>
      <c r="B35" s="766"/>
      <c r="C35" s="766"/>
      <c r="D35" s="766"/>
      <c r="E35" s="773">
        <f t="shared" si="1"/>
        <v>45928</v>
      </c>
      <c r="F35" s="766" t="s">
        <v>368</v>
      </c>
      <c r="G35" s="770">
        <f t="shared" si="2"/>
        <v>460469.95320223877</v>
      </c>
      <c r="H35" s="766"/>
      <c r="K35" s="26"/>
      <c r="L35" s="26"/>
    </row>
    <row r="36" spans="1:12">
      <c r="A36" s="767">
        <f t="shared" si="0"/>
        <v>14</v>
      </c>
      <c r="B36" s="766"/>
      <c r="C36" s="766"/>
      <c r="D36" s="766"/>
      <c r="E36" s="773">
        <f t="shared" si="1"/>
        <v>45958</v>
      </c>
      <c r="F36" s="766" t="s">
        <v>368</v>
      </c>
      <c r="G36" s="770">
        <f t="shared" si="2"/>
        <v>186554.68416401977</v>
      </c>
      <c r="H36" s="766"/>
      <c r="K36" s="26"/>
      <c r="L36" s="26"/>
    </row>
    <row r="37" spans="1:12">
      <c r="A37" s="767">
        <f t="shared" si="0"/>
        <v>15</v>
      </c>
      <c r="B37" s="766"/>
      <c r="C37" s="766"/>
      <c r="D37" s="766"/>
      <c r="E37" s="773">
        <f t="shared" si="1"/>
        <v>45989</v>
      </c>
      <c r="F37" s="766" t="s">
        <v>368</v>
      </c>
      <c r="G37" s="770">
        <f t="shared" si="2"/>
        <v>-87360.584874199238</v>
      </c>
      <c r="H37" s="766"/>
      <c r="K37" s="26"/>
      <c r="L37" s="26"/>
    </row>
    <row r="38" spans="1:12">
      <c r="A38" s="767">
        <f t="shared" si="0"/>
        <v>16</v>
      </c>
      <c r="B38" s="766"/>
      <c r="C38" s="766"/>
      <c r="D38" s="766"/>
      <c r="E38" s="773">
        <f t="shared" si="1"/>
        <v>46019</v>
      </c>
      <c r="F38" s="766" t="s">
        <v>368</v>
      </c>
      <c r="G38" s="770">
        <f t="shared" si="2"/>
        <v>-361275.85391241824</v>
      </c>
      <c r="H38" s="766"/>
      <c r="K38" s="26"/>
      <c r="L38" s="26"/>
    </row>
    <row r="39" spans="1:12">
      <c r="A39" s="767">
        <f t="shared" si="0"/>
        <v>17</v>
      </c>
      <c r="B39" s="766"/>
      <c r="C39" s="766"/>
      <c r="D39" s="766"/>
      <c r="E39" s="766"/>
      <c r="F39" s="766"/>
      <c r="G39" s="770"/>
      <c r="H39" s="766"/>
      <c r="K39" s="26"/>
      <c r="L39" s="26"/>
    </row>
    <row r="40" spans="1:12" ht="15.75" thickBot="1">
      <c r="A40" s="767">
        <f t="shared" si="0"/>
        <v>18</v>
      </c>
      <c r="B40" s="766"/>
      <c r="C40" s="774" t="s">
        <v>395</v>
      </c>
      <c r="D40" s="766"/>
      <c r="E40" s="766"/>
      <c r="F40" s="766" t="s">
        <v>369</v>
      </c>
      <c r="G40" s="775">
        <f>AVERAGE(G23,G29,G32,G35,G38)</f>
        <v>1282215.7603168958</v>
      </c>
      <c r="H40" s="766"/>
      <c r="K40" s="26"/>
      <c r="L40" s="26"/>
    </row>
    <row r="41" spans="1:12" ht="15.75" thickTop="1">
      <c r="K41" s="26"/>
      <c r="L41" s="26"/>
    </row>
    <row r="42" spans="1:12">
      <c r="A42" t="s">
        <v>70</v>
      </c>
      <c r="K42" s="26"/>
      <c r="L42" s="26"/>
    </row>
    <row r="43" spans="1:12">
      <c r="B43" t="s">
        <v>368</v>
      </c>
      <c r="C43" t="s">
        <v>396</v>
      </c>
      <c r="K43" s="26"/>
      <c r="L43" s="26"/>
    </row>
    <row r="44" spans="1:12">
      <c r="B44" t="s">
        <v>369</v>
      </c>
      <c r="C44" t="s">
        <v>397</v>
      </c>
      <c r="K44" s="26"/>
      <c r="L44" s="26"/>
    </row>
    <row r="45" spans="1:12">
      <c r="K45" s="26"/>
      <c r="L45" s="26"/>
    </row>
    <row r="46" spans="1:12">
      <c r="K46" s="26"/>
      <c r="L46" s="26"/>
    </row>
    <row r="47" spans="1:12">
      <c r="K47" s="26"/>
      <c r="L47" s="26"/>
    </row>
    <row r="48" spans="1:12">
      <c r="K48" s="26"/>
      <c r="L48" s="26"/>
    </row>
    <row r="49" spans="11:12">
      <c r="K49" s="26"/>
      <c r="L49" s="26"/>
    </row>
    <row r="50" spans="11:12">
      <c r="K50" s="26"/>
      <c r="L50" s="26"/>
    </row>
    <row r="51" spans="11:12">
      <c r="K51" s="26"/>
      <c r="L51" s="26"/>
    </row>
    <row r="52" spans="11:12">
      <c r="K52" s="26"/>
      <c r="L52" s="26"/>
    </row>
    <row r="53" spans="11:12">
      <c r="K53" s="26"/>
      <c r="L53" s="26"/>
    </row>
    <row r="54" spans="11:12">
      <c r="K54" s="26"/>
      <c r="L54" s="26"/>
    </row>
    <row r="55" spans="11:12">
      <c r="K55" s="26"/>
      <c r="L55" s="26"/>
    </row>
    <row r="56" spans="11:12">
      <c r="K56" s="26"/>
      <c r="L56" s="26"/>
    </row>
    <row r="57" spans="11:12">
      <c r="K57" s="26"/>
      <c r="L57" s="26"/>
    </row>
    <row r="58" spans="11:12">
      <c r="K58" s="26"/>
      <c r="L58" s="26"/>
    </row>
    <row r="59" spans="11:12">
      <c r="K59" s="26"/>
      <c r="L59" s="26"/>
    </row>
    <row r="60" spans="11:12">
      <c r="K60" s="26"/>
      <c r="L60" s="26"/>
    </row>
    <row r="61" spans="11:12">
      <c r="K61" s="26"/>
      <c r="L61" s="26"/>
    </row>
    <row r="62" spans="11:12">
      <c r="K62" s="26"/>
      <c r="L62" s="26"/>
    </row>
    <row r="63" spans="11:12">
      <c r="K63" s="26"/>
      <c r="L63" s="26"/>
    </row>
    <row r="64" spans="11:12">
      <c r="K64" s="26"/>
      <c r="L64" s="26"/>
    </row>
    <row r="65" spans="11:12">
      <c r="K65" s="26"/>
      <c r="L65" s="26"/>
    </row>
    <row r="66" spans="11:12">
      <c r="K66" s="26"/>
      <c r="L66" s="26"/>
    </row>
    <row r="67" spans="11:12">
      <c r="K67" s="26"/>
      <c r="L67" s="26"/>
    </row>
    <row r="68" spans="11:12">
      <c r="K68" s="26"/>
      <c r="L68" s="26"/>
    </row>
    <row r="69" spans="11:12">
      <c r="K69" s="26"/>
      <c r="L69" s="26"/>
    </row>
    <row r="70" spans="11:12">
      <c r="K70" s="26"/>
      <c r="L70" s="26"/>
    </row>
    <row r="71" spans="11:12">
      <c r="K71" s="26"/>
      <c r="L71" s="26"/>
    </row>
    <row r="72" spans="11:12">
      <c r="K72" s="26"/>
      <c r="L72" s="26"/>
    </row>
    <row r="73" spans="11:12">
      <c r="K73" s="26"/>
      <c r="L73" s="26"/>
    </row>
    <row r="74" spans="11:12">
      <c r="K74" s="26"/>
      <c r="L74" s="26"/>
    </row>
    <row r="75" spans="11:12">
      <c r="K75" s="26"/>
      <c r="L75" s="26"/>
    </row>
    <row r="76" spans="11:12">
      <c r="K76" s="26"/>
      <c r="L76" s="26"/>
    </row>
    <row r="77" spans="11:12">
      <c r="K77" s="26"/>
      <c r="L77" s="26"/>
    </row>
    <row r="78" spans="11:12">
      <c r="K78" s="26"/>
      <c r="L78" s="26"/>
    </row>
    <row r="79" spans="11:12">
      <c r="K79" s="26"/>
      <c r="L79" s="26"/>
    </row>
    <row r="80" spans="11:12">
      <c r="K80" s="26"/>
      <c r="L80" s="26"/>
    </row>
    <row r="81" spans="11:12">
      <c r="K81" s="26"/>
      <c r="L81" s="26"/>
    </row>
    <row r="82" spans="11:12">
      <c r="K82" s="26"/>
      <c r="L82" s="26"/>
    </row>
    <row r="83" spans="11:12">
      <c r="K83" s="26"/>
      <c r="L83" s="26"/>
    </row>
    <row r="84" spans="11:12">
      <c r="K84" s="26"/>
      <c r="L84" s="26"/>
    </row>
    <row r="85" spans="11:12">
      <c r="K85" s="26"/>
      <c r="L85" s="26"/>
    </row>
    <row r="86" spans="11:12">
      <c r="K86" s="26"/>
      <c r="L86" s="26"/>
    </row>
    <row r="87" spans="11:12">
      <c r="K87" s="26"/>
      <c r="L87" s="26"/>
    </row>
    <row r="88" spans="11:12">
      <c r="K88" s="26"/>
      <c r="L88" s="26"/>
    </row>
    <row r="89" spans="11:12">
      <c r="K89" s="26"/>
      <c r="L89" s="26"/>
    </row>
    <row r="90" spans="11:12">
      <c r="K90" s="26"/>
      <c r="L90" s="26"/>
    </row>
    <row r="91" spans="11:12">
      <c r="K91" s="26"/>
      <c r="L91" s="26"/>
    </row>
    <row r="92" spans="11:12">
      <c r="K92" s="26"/>
      <c r="L92" s="26"/>
    </row>
    <row r="93" spans="11:12">
      <c r="K93" s="26"/>
      <c r="L93" s="26"/>
    </row>
    <row r="94" spans="11:12">
      <c r="K94" s="26"/>
      <c r="L94" s="26"/>
    </row>
    <row r="95" spans="11:12">
      <c r="K95" s="26"/>
      <c r="L95" s="26"/>
    </row>
    <row r="96" spans="11:12">
      <c r="K96" s="26"/>
      <c r="L96" s="26"/>
    </row>
    <row r="97" spans="11:12">
      <c r="K97" s="26"/>
      <c r="L97" s="26"/>
    </row>
    <row r="98" spans="11:12">
      <c r="K98" s="26"/>
      <c r="L98" s="26"/>
    </row>
    <row r="99" spans="11:12">
      <c r="K99" s="26"/>
      <c r="L99" s="26"/>
    </row>
    <row r="100" spans="11:12">
      <c r="K100" s="26"/>
      <c r="L100" s="26"/>
    </row>
    <row r="101" spans="11:12">
      <c r="K101" s="26"/>
      <c r="L101" s="26"/>
    </row>
    <row r="102" spans="11:12">
      <c r="K102" s="26"/>
      <c r="L102" s="26"/>
    </row>
    <row r="103" spans="11:12">
      <c r="K103" s="26"/>
      <c r="L103" s="26"/>
    </row>
    <row r="104" spans="11:12">
      <c r="K104" s="26"/>
      <c r="L104" s="26"/>
    </row>
    <row r="105" spans="11:12">
      <c r="K105" s="26"/>
      <c r="L105" s="26"/>
    </row>
    <row r="106" spans="11:12">
      <c r="K106" s="26"/>
      <c r="L106" s="26"/>
    </row>
    <row r="107" spans="11:12">
      <c r="K107" s="26"/>
      <c r="L107" s="26"/>
    </row>
    <row r="108" spans="11:12">
      <c r="K108" s="26"/>
      <c r="L108" s="26"/>
    </row>
    <row r="109" spans="11:12">
      <c r="K109" s="26"/>
      <c r="L109" s="26"/>
    </row>
    <row r="110" spans="11:12">
      <c r="K110" s="26"/>
      <c r="L110" s="26"/>
    </row>
    <row r="111" spans="11:12">
      <c r="K111" s="26"/>
      <c r="L111" s="26"/>
    </row>
    <row r="112" spans="11:12">
      <c r="K112" s="26"/>
      <c r="L112" s="26"/>
    </row>
    <row r="113" spans="11:12">
      <c r="K113" s="26"/>
      <c r="L113" s="26"/>
    </row>
    <row r="114" spans="11:12">
      <c r="K114" s="26"/>
      <c r="L114" s="26"/>
    </row>
    <row r="115" spans="11:12">
      <c r="K115" s="26"/>
      <c r="L115" s="26"/>
    </row>
    <row r="116" spans="11:12">
      <c r="K116" s="26"/>
      <c r="L116" s="26"/>
    </row>
    <row r="117" spans="11:12">
      <c r="K117" s="26"/>
      <c r="L117" s="26"/>
    </row>
    <row r="118" spans="11:12">
      <c r="K118" s="26"/>
      <c r="L118" s="26"/>
    </row>
    <row r="119" spans="11:12">
      <c r="K119" s="26"/>
      <c r="L119" s="26"/>
    </row>
    <row r="120" spans="11:12">
      <c r="K120" s="26"/>
      <c r="L120" s="26"/>
    </row>
    <row r="121" spans="11:12">
      <c r="K121" s="26"/>
      <c r="L121" s="26"/>
    </row>
    <row r="122" spans="11:12">
      <c r="K122" s="26"/>
      <c r="L122" s="26"/>
    </row>
    <row r="123" spans="11:12">
      <c r="K123" s="26"/>
      <c r="L123" s="26"/>
    </row>
    <row r="124" spans="11:12">
      <c r="K124" s="26"/>
      <c r="L124" s="26"/>
    </row>
    <row r="125" spans="11:12">
      <c r="K125" s="26"/>
      <c r="L125" s="26"/>
    </row>
    <row r="126" spans="11:12">
      <c r="K126" s="26"/>
      <c r="L126" s="26"/>
    </row>
    <row r="127" spans="11:12">
      <c r="K127" s="26"/>
      <c r="L127" s="26"/>
    </row>
    <row r="128" spans="11:12">
      <c r="K128" s="26"/>
      <c r="L128" s="26"/>
    </row>
    <row r="129" spans="11:12">
      <c r="K129" s="26"/>
      <c r="L129" s="26"/>
    </row>
    <row r="130" spans="11:12">
      <c r="K130" s="26"/>
      <c r="L130" s="26"/>
    </row>
    <row r="131" spans="11:12">
      <c r="K131" s="26"/>
      <c r="L131" s="26"/>
    </row>
    <row r="132" spans="11:12">
      <c r="K132" s="26"/>
      <c r="L132" s="26"/>
    </row>
    <row r="133" spans="11:12">
      <c r="K133" s="26"/>
      <c r="L133" s="26"/>
    </row>
    <row r="134" spans="11:12">
      <c r="K134" s="26"/>
      <c r="L134" s="26"/>
    </row>
    <row r="135" spans="11:12">
      <c r="K135" s="26"/>
      <c r="L135" s="26"/>
    </row>
    <row r="136" spans="11:12">
      <c r="K136" s="26"/>
      <c r="L136" s="26"/>
    </row>
    <row r="137" spans="11:12">
      <c r="K137" s="26"/>
      <c r="L137" s="26"/>
    </row>
    <row r="138" spans="11:12">
      <c r="K138" s="26"/>
      <c r="L138" s="26"/>
    </row>
    <row r="139" spans="11:12">
      <c r="K139" s="26"/>
      <c r="L139" s="26"/>
    </row>
    <row r="140" spans="11:12">
      <c r="K140" s="26"/>
      <c r="L140" s="26"/>
    </row>
    <row r="141" spans="11:12">
      <c r="K141" s="26"/>
      <c r="L141" s="26"/>
    </row>
    <row r="142" spans="11:12">
      <c r="K142" s="26"/>
      <c r="L142" s="26"/>
    </row>
    <row r="143" spans="11:12">
      <c r="K143" s="26"/>
      <c r="L143" s="26"/>
    </row>
    <row r="144" spans="11:12">
      <c r="K144" s="26"/>
      <c r="L144" s="26"/>
    </row>
    <row r="145" spans="11:12">
      <c r="K145" s="26"/>
      <c r="L145" s="26"/>
    </row>
    <row r="146" spans="11:12">
      <c r="K146" s="26"/>
      <c r="L146" s="26"/>
    </row>
    <row r="147" spans="11:12">
      <c r="K147" s="26"/>
      <c r="L147" s="26"/>
    </row>
    <row r="148" spans="11:12">
      <c r="K148" s="26"/>
      <c r="L148" s="26"/>
    </row>
    <row r="149" spans="11:12">
      <c r="K149" s="26"/>
      <c r="L149" s="26"/>
    </row>
    <row r="150" spans="11:12">
      <c r="K150" s="26"/>
      <c r="L150" s="26"/>
    </row>
    <row r="151" spans="11:12">
      <c r="K151" s="26"/>
      <c r="L151" s="26"/>
    </row>
    <row r="152" spans="11:12">
      <c r="K152" s="26"/>
      <c r="L152" s="26"/>
    </row>
    <row r="153" spans="11:12">
      <c r="K153" s="26"/>
      <c r="L153" s="26"/>
    </row>
    <row r="154" spans="11:12">
      <c r="K154" s="26"/>
      <c r="L154" s="26"/>
    </row>
    <row r="155" spans="11:12">
      <c r="K155" s="26"/>
      <c r="L155" s="26"/>
    </row>
    <row r="156" spans="11:12">
      <c r="K156" s="26"/>
      <c r="L156" s="26"/>
    </row>
  </sheetData>
  <mergeCells count="4">
    <mergeCell ref="B14:H14"/>
    <mergeCell ref="B15:H15"/>
    <mergeCell ref="B16:H16"/>
    <mergeCell ref="B17:H17"/>
  </mergeCells>
  <pageMargins left="0.7" right="0.7" top="0.75" bottom="0.75" header="0.3" footer="0.3"/>
  <pageSetup scale="88" orientation="portrait" horizontalDpi="1200" verticalDpi="120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M204"/>
  <sheetViews>
    <sheetView topLeftCell="A6" workbookViewId="0">
      <selection activeCell="G55" sqref="G55"/>
    </sheetView>
  </sheetViews>
  <sheetFormatPr defaultRowHeight="15" outlineLevelRow="1"/>
  <cols>
    <col min="1" max="1" width="12" customWidth="1"/>
    <col min="2" max="2" width="13.7109375" customWidth="1"/>
    <col min="3" max="3" width="14.7109375" customWidth="1"/>
    <col min="4" max="4" width="12.7109375" customWidth="1"/>
    <col min="5" max="5" width="11.42578125" customWidth="1"/>
    <col min="6" max="6" width="11.140625" customWidth="1"/>
  </cols>
  <sheetData>
    <row r="1" spans="1:13" hidden="1" outlineLevel="1">
      <c r="F1" s="2" t="str">
        <f>Contents!$B1</f>
        <v>The Narragansett Electric Company</v>
      </c>
    </row>
    <row r="2" spans="1:13" hidden="1" outlineLevel="1">
      <c r="F2" s="2" t="str">
        <f>Contents!$B2</f>
        <v>d/b/a National Grid</v>
      </c>
    </row>
    <row r="3" spans="1:13" hidden="1" outlineLevel="1">
      <c r="F3" s="2" t="str">
        <f>Contents!$B3</f>
        <v>RIPUC Docket No. 4770</v>
      </c>
    </row>
    <row r="4" spans="1:13" hidden="1" outlineLevel="1">
      <c r="F4" s="2" t="str">
        <f>Contents!$B4</f>
        <v>Gas Earnings Sharing Mechanism</v>
      </c>
    </row>
    <row r="5" spans="1:13" hidden="1" outlineLevel="1">
      <c r="F5" s="2"/>
    </row>
    <row r="6" spans="1:13" collapsed="1">
      <c r="F6" s="2" t="str">
        <f>Contents!$B6</f>
        <v>The Narragansett Electric Company</v>
      </c>
    </row>
    <row r="7" spans="1:13">
      <c r="F7" s="2" t="str">
        <f>Contents!$B7</f>
        <v>d/b/a Rhode Island Energy</v>
      </c>
    </row>
    <row r="8" spans="1:13">
      <c r="F8" s="2" t="str">
        <f>Contents!$B8</f>
        <v>RIPUC Docket No. 4770</v>
      </c>
    </row>
    <row r="9" spans="1:13">
      <c r="F9" s="2" t="str">
        <f>Contents!$B9</f>
        <v>CY 2025 Gas Earnings Report</v>
      </c>
    </row>
    <row r="10" spans="1:13">
      <c r="F10" s="2" t="str">
        <f>Contents!$B10</f>
        <v>Schedule NECO-1</v>
      </c>
    </row>
    <row r="11" spans="1:13">
      <c r="F11" s="2" t="str">
        <f>Contents!$B11</f>
        <v>June 15, 2026</v>
      </c>
    </row>
    <row r="12" spans="1:13">
      <c r="F12" s="41" t="str">
        <f>VLOOKUP(A18,Index!A:C,3,FALSE)</f>
        <v>Page 13 of 15</v>
      </c>
    </row>
    <row r="13" spans="1:13">
      <c r="F13" s="2"/>
      <c r="L13" s="26"/>
      <c r="M13" s="26"/>
    </row>
    <row r="14" spans="1:13">
      <c r="F14" s="30" t="s">
        <v>398</v>
      </c>
      <c r="L14" s="26"/>
      <c r="M14" s="26"/>
    </row>
    <row r="15" spans="1:13">
      <c r="F15" s="30" t="s">
        <v>399</v>
      </c>
      <c r="L15" s="26"/>
      <c r="M15" s="26"/>
    </row>
    <row r="16" spans="1:13">
      <c r="A16" s="805" t="s">
        <v>400</v>
      </c>
      <c r="B16" s="805"/>
      <c r="C16" s="805"/>
      <c r="D16" s="805"/>
      <c r="E16" s="805"/>
      <c r="F16" s="805"/>
      <c r="L16" s="26"/>
      <c r="M16" s="26"/>
    </row>
    <row r="17" spans="1:13">
      <c r="A17" s="805" t="s">
        <v>401</v>
      </c>
      <c r="B17" s="805"/>
      <c r="C17" s="805"/>
      <c r="D17" s="805"/>
      <c r="E17" s="805"/>
      <c r="F17" s="805"/>
      <c r="L17" s="26"/>
      <c r="M17" s="26"/>
    </row>
    <row r="18" spans="1:13">
      <c r="A18" s="805" t="s">
        <v>38</v>
      </c>
      <c r="B18" s="805"/>
      <c r="C18" s="805"/>
      <c r="D18" s="805"/>
      <c r="E18" s="805"/>
      <c r="F18" s="805"/>
      <c r="L18" s="26"/>
      <c r="M18" s="26"/>
    </row>
    <row r="19" spans="1:13">
      <c r="A19" s="805" t="s">
        <v>402</v>
      </c>
      <c r="B19" s="805"/>
      <c r="C19" s="805"/>
      <c r="D19" s="805"/>
      <c r="E19" s="805"/>
      <c r="F19" s="805"/>
      <c r="L19" s="26"/>
      <c r="M19" s="26"/>
    </row>
    <row r="20" spans="1:13">
      <c r="A20" s="26"/>
      <c r="B20" s="26"/>
      <c r="C20" s="26"/>
      <c r="D20" s="26"/>
      <c r="E20" s="26"/>
      <c r="F20" s="26"/>
      <c r="L20" s="26"/>
      <c r="M20" s="26"/>
    </row>
    <row r="21" spans="1:13">
      <c r="A21" s="26"/>
      <c r="B21" s="26"/>
      <c r="C21" s="26"/>
      <c r="D21" s="26"/>
      <c r="E21" s="26"/>
      <c r="F21" s="26"/>
      <c r="L21" s="26"/>
      <c r="M21" s="26"/>
    </row>
    <row r="22" spans="1:13">
      <c r="A22" s="36"/>
      <c r="B22" s="36" t="s">
        <v>403</v>
      </c>
      <c r="C22" s="36" t="s">
        <v>404</v>
      </c>
      <c r="D22" s="36"/>
      <c r="E22" s="36" t="s">
        <v>403</v>
      </c>
      <c r="F22" s="36" t="s">
        <v>405</v>
      </c>
      <c r="L22" s="26"/>
      <c r="M22" s="26"/>
    </row>
    <row r="23" spans="1:13">
      <c r="A23" s="36" t="s">
        <v>406</v>
      </c>
      <c r="B23" s="36" t="s">
        <v>407</v>
      </c>
      <c r="C23" s="36" t="s">
        <v>408</v>
      </c>
      <c r="D23" s="36"/>
      <c r="E23" s="36" t="s">
        <v>407</v>
      </c>
      <c r="F23" s="36" t="s">
        <v>409</v>
      </c>
      <c r="L23" s="26"/>
      <c r="M23" s="26"/>
    </row>
    <row r="24" spans="1:13">
      <c r="A24" s="96" t="s">
        <v>410</v>
      </c>
      <c r="B24" s="96" t="s">
        <v>405</v>
      </c>
      <c r="C24" s="96" t="s">
        <v>405</v>
      </c>
      <c r="D24" s="96" t="s">
        <v>190</v>
      </c>
      <c r="E24" s="96" t="s">
        <v>411</v>
      </c>
      <c r="F24" s="96" t="s">
        <v>232</v>
      </c>
      <c r="L24" s="26"/>
      <c r="M24" s="26"/>
    </row>
    <row r="25" spans="1:13">
      <c r="A25" s="36"/>
      <c r="B25" s="26"/>
      <c r="C25" s="26"/>
      <c r="D25" s="26"/>
      <c r="E25" s="26"/>
      <c r="F25" s="26"/>
      <c r="L25" s="26"/>
      <c r="M25" s="26"/>
    </row>
    <row r="26" spans="1:13">
      <c r="A26" s="36">
        <v>2006</v>
      </c>
      <c r="B26" s="27">
        <v>34845.197730769898</v>
      </c>
      <c r="C26" s="27">
        <v>214.14229732891252</v>
      </c>
      <c r="D26" s="27">
        <f>B26-C26</f>
        <v>34631.055433440983</v>
      </c>
      <c r="E26" s="27">
        <v>1132.97</v>
      </c>
      <c r="F26" s="27">
        <f>D26+E26</f>
        <v>35764.025433440984</v>
      </c>
      <c r="L26" s="26"/>
      <c r="M26" s="26"/>
    </row>
    <row r="27" spans="1:13">
      <c r="A27" s="36">
        <f>A26+1</f>
        <v>2007</v>
      </c>
      <c r="B27" s="27">
        <v>33908.218338055405</v>
      </c>
      <c r="C27" s="27">
        <v>1238.3922181423536</v>
      </c>
      <c r="D27" s="27">
        <f t="shared" ref="D27:D42" si="0">B27-C27</f>
        <v>32669.82611991305</v>
      </c>
      <c r="E27" s="27">
        <v>928.40200000000004</v>
      </c>
      <c r="F27" s="27">
        <f t="shared" ref="F27:F42" si="1">D27+E27</f>
        <v>33598.228119913052</v>
      </c>
      <c r="L27" s="26"/>
      <c r="M27" s="26"/>
    </row>
    <row r="28" spans="1:13">
      <c r="A28" s="36">
        <f t="shared" ref="A28:A42" si="2">A27+1</f>
        <v>2008</v>
      </c>
      <c r="B28" s="27">
        <v>32170.148338445328</v>
      </c>
      <c r="C28" s="27">
        <v>2073.2157297489098</v>
      </c>
      <c r="D28" s="27">
        <f t="shared" si="0"/>
        <v>30096.932608696417</v>
      </c>
      <c r="E28" s="27">
        <v>723.83399999999995</v>
      </c>
      <c r="F28" s="27">
        <f t="shared" si="1"/>
        <v>30820.766608696416</v>
      </c>
      <c r="L28" s="26"/>
      <c r="M28" s="26"/>
    </row>
    <row r="29" spans="1:13">
      <c r="A29" s="36">
        <f t="shared" si="2"/>
        <v>2009</v>
      </c>
      <c r="B29" s="27">
        <v>30086.061252771284</v>
      </c>
      <c r="C29" s="27">
        <v>1858.8818697960962</v>
      </c>
      <c r="D29" s="27">
        <f t="shared" si="0"/>
        <v>28227.179382975188</v>
      </c>
      <c r="E29" s="27">
        <v>519.26599999999996</v>
      </c>
      <c r="F29" s="27">
        <f t="shared" si="1"/>
        <v>28746.445382975187</v>
      </c>
      <c r="L29" s="26"/>
      <c r="M29" s="26"/>
    </row>
    <row r="30" spans="1:13">
      <c r="A30" s="36">
        <f t="shared" si="2"/>
        <v>2010</v>
      </c>
      <c r="B30" s="27">
        <v>29472.973351952722</v>
      </c>
      <c r="C30" s="27">
        <v>2238.2365793098802</v>
      </c>
      <c r="D30" s="27">
        <f t="shared" si="0"/>
        <v>27234.736772642842</v>
      </c>
      <c r="E30" s="27">
        <v>314.69799999999998</v>
      </c>
      <c r="F30" s="27">
        <f t="shared" si="1"/>
        <v>27549.434772642842</v>
      </c>
      <c r="L30" s="26"/>
      <c r="M30" s="26"/>
    </row>
    <row r="31" spans="1:13">
      <c r="A31" s="36">
        <f t="shared" si="2"/>
        <v>2011</v>
      </c>
      <c r="B31" s="27">
        <v>29631.70976756544</v>
      </c>
      <c r="C31" s="27">
        <v>3183.610656419075</v>
      </c>
      <c r="D31" s="27">
        <f t="shared" si="0"/>
        <v>26448.099111146366</v>
      </c>
      <c r="E31" s="27">
        <v>110.13</v>
      </c>
      <c r="F31" s="27">
        <f t="shared" si="1"/>
        <v>26558.229111146367</v>
      </c>
      <c r="L31" s="26"/>
      <c r="M31" s="26"/>
    </row>
    <row r="32" spans="1:13">
      <c r="A32" s="36">
        <f t="shared" si="2"/>
        <v>2012</v>
      </c>
      <c r="B32" s="27">
        <v>29582.745656830608</v>
      </c>
      <c r="C32" s="27">
        <v>3759.6342312657057</v>
      </c>
      <c r="D32" s="27">
        <f t="shared" si="0"/>
        <v>25823.111425564901</v>
      </c>
      <c r="E32" s="27"/>
      <c r="F32" s="27">
        <f t="shared" si="1"/>
        <v>25823.111425564901</v>
      </c>
      <c r="L32" s="26"/>
      <c r="M32" s="26"/>
    </row>
    <row r="33" spans="1:13">
      <c r="A33" s="36">
        <f t="shared" si="2"/>
        <v>2013</v>
      </c>
      <c r="B33" s="27">
        <v>29515.003916963666</v>
      </c>
      <c r="C33" s="27">
        <v>4285.6573642475814</v>
      </c>
      <c r="D33" s="27">
        <f t="shared" si="0"/>
        <v>25229.346552716084</v>
      </c>
      <c r="E33" s="27"/>
      <c r="F33" s="27">
        <f t="shared" si="1"/>
        <v>25229.346552716084</v>
      </c>
      <c r="L33" s="26"/>
      <c r="M33" s="26"/>
    </row>
    <row r="34" spans="1:13">
      <c r="A34" s="36">
        <f t="shared" si="2"/>
        <v>2014</v>
      </c>
      <c r="B34" s="27">
        <v>29199.478297873553</v>
      </c>
      <c r="C34" s="27">
        <v>4627.5712094100581</v>
      </c>
      <c r="D34" s="27">
        <f t="shared" si="0"/>
        <v>24571.907088463493</v>
      </c>
      <c r="E34" s="27"/>
      <c r="F34" s="27">
        <f t="shared" si="1"/>
        <v>24571.907088463493</v>
      </c>
      <c r="L34" s="26"/>
      <c r="M34" s="26"/>
    </row>
    <row r="35" spans="1:13">
      <c r="A35" s="36">
        <f t="shared" si="2"/>
        <v>2015</v>
      </c>
      <c r="B35" s="27">
        <v>29095.065149520698</v>
      </c>
      <c r="C35" s="27">
        <v>5529.5621586698908</v>
      </c>
      <c r="D35" s="27">
        <f t="shared" si="0"/>
        <v>23565.502990850808</v>
      </c>
      <c r="E35" s="27"/>
      <c r="F35" s="27">
        <f t="shared" si="1"/>
        <v>23565.502990850808</v>
      </c>
      <c r="L35" s="26"/>
      <c r="M35" s="26"/>
    </row>
    <row r="36" spans="1:13">
      <c r="A36" s="36">
        <f t="shared" si="2"/>
        <v>2016</v>
      </c>
      <c r="B36" s="27">
        <v>28823.133813901521</v>
      </c>
      <c r="C36" s="27">
        <v>6531.0732797897481</v>
      </c>
      <c r="D36" s="27">
        <f t="shared" si="0"/>
        <v>22292.060534111773</v>
      </c>
      <c r="E36" s="27"/>
      <c r="F36" s="27">
        <f t="shared" si="1"/>
        <v>22292.060534111773</v>
      </c>
      <c r="L36" s="26"/>
      <c r="M36" s="26"/>
    </row>
    <row r="37" spans="1:13">
      <c r="A37" s="36">
        <f t="shared" si="2"/>
        <v>2017</v>
      </c>
      <c r="B37" s="27">
        <v>28341.641768095909</v>
      </c>
      <c r="C37" s="27">
        <v>7567.7593117453644</v>
      </c>
      <c r="D37" s="27">
        <f t="shared" si="0"/>
        <v>20773.882456350544</v>
      </c>
      <c r="E37" s="27"/>
      <c r="F37" s="27">
        <f t="shared" si="1"/>
        <v>20773.882456350544</v>
      </c>
      <c r="L37" s="26"/>
      <c r="M37" s="26"/>
    </row>
    <row r="38" spans="1:13">
      <c r="A38" s="36">
        <f t="shared" si="2"/>
        <v>2018</v>
      </c>
      <c r="B38" s="27">
        <v>27626.632343280493</v>
      </c>
      <c r="C38" s="27">
        <v>8606.1434503921173</v>
      </c>
      <c r="D38" s="27">
        <f t="shared" si="0"/>
        <v>19020.488892888374</v>
      </c>
      <c r="E38" s="27"/>
      <c r="F38" s="27">
        <f t="shared" si="1"/>
        <v>19020.488892888374</v>
      </c>
      <c r="L38" s="26"/>
      <c r="M38" s="26"/>
    </row>
    <row r="39" spans="1:13">
      <c r="A39" s="36">
        <f t="shared" si="2"/>
        <v>2019</v>
      </c>
      <c r="B39" s="27">
        <v>26847.464648379959</v>
      </c>
      <c r="C39" s="27">
        <v>9842.3699324949866</v>
      </c>
      <c r="D39" s="27">
        <f t="shared" si="0"/>
        <v>17005.094715884974</v>
      </c>
      <c r="E39" s="27"/>
      <c r="F39" s="27">
        <f t="shared" si="1"/>
        <v>17005.094715884974</v>
      </c>
      <c r="L39" s="26"/>
      <c r="M39" s="26"/>
    </row>
    <row r="40" spans="1:13">
      <c r="A40" s="36">
        <f t="shared" si="2"/>
        <v>2020</v>
      </c>
      <c r="B40" s="27">
        <v>25922.243590960519</v>
      </c>
      <c r="C40" s="27">
        <v>11305.114584369681</v>
      </c>
      <c r="D40" s="27">
        <f t="shared" si="0"/>
        <v>14617.129006590838</v>
      </c>
      <c r="E40" s="27"/>
      <c r="F40" s="27">
        <f t="shared" si="1"/>
        <v>14617.129006590838</v>
      </c>
      <c r="L40" s="26"/>
      <c r="M40" s="26"/>
    </row>
    <row r="41" spans="1:13">
      <c r="A41" s="36">
        <f t="shared" si="2"/>
        <v>2021</v>
      </c>
      <c r="B41" s="27">
        <v>24731.606601814379</v>
      </c>
      <c r="C41" s="27">
        <v>12797.459736456743</v>
      </c>
      <c r="D41" s="27">
        <f t="shared" si="0"/>
        <v>11934.146865357636</v>
      </c>
      <c r="E41" s="27"/>
      <c r="F41" s="27">
        <f t="shared" si="1"/>
        <v>11934.146865357636</v>
      </c>
      <c r="L41" s="26"/>
      <c r="M41" s="26"/>
    </row>
    <row r="42" spans="1:13">
      <c r="A42" s="36">
        <f t="shared" si="2"/>
        <v>2022</v>
      </c>
      <c r="B42" s="27">
        <v>23374.231819810419</v>
      </c>
      <c r="C42" s="27">
        <v>14310.552565112146</v>
      </c>
      <c r="D42" s="27">
        <f t="shared" si="0"/>
        <v>9063.6792546982724</v>
      </c>
      <c r="E42" s="27"/>
      <c r="F42" s="27">
        <f t="shared" si="1"/>
        <v>9063.6792546982724</v>
      </c>
      <c r="L42" s="26"/>
      <c r="M42" s="26"/>
    </row>
    <row r="43" spans="1:13">
      <c r="A43" s="26"/>
      <c r="B43" s="26"/>
      <c r="C43" s="26"/>
      <c r="D43" s="26"/>
      <c r="E43" s="26"/>
      <c r="F43" s="26"/>
      <c r="L43" s="26"/>
      <c r="M43" s="26"/>
    </row>
    <row r="44" spans="1:13">
      <c r="A44" s="26"/>
      <c r="B44" s="26"/>
      <c r="C44" s="26"/>
      <c r="D44" s="26"/>
      <c r="E44" s="26"/>
      <c r="F44" s="26"/>
      <c r="L44" s="26"/>
      <c r="M44" s="26"/>
    </row>
    <row r="45" spans="1:13">
      <c r="L45" s="26"/>
      <c r="M45" s="26"/>
    </row>
    <row r="46" spans="1:13">
      <c r="L46" s="26"/>
      <c r="M46" s="26"/>
    </row>
    <row r="47" spans="1:13">
      <c r="L47" s="26"/>
      <c r="M47" s="26"/>
    </row>
    <row r="48" spans="1:13">
      <c r="L48" s="26"/>
      <c r="M48" s="26"/>
    </row>
    <row r="49" spans="12:13">
      <c r="L49" s="26"/>
      <c r="M49" s="26"/>
    </row>
    <row r="50" spans="12:13">
      <c r="L50" s="26"/>
      <c r="M50" s="26"/>
    </row>
    <row r="51" spans="12:13">
      <c r="L51" s="26"/>
      <c r="M51" s="26"/>
    </row>
    <row r="52" spans="12:13">
      <c r="L52" s="26"/>
      <c r="M52" s="26"/>
    </row>
    <row r="53" spans="12:13">
      <c r="L53" s="26"/>
      <c r="M53" s="26"/>
    </row>
    <row r="54" spans="12:13">
      <c r="L54" s="26"/>
      <c r="M54" s="26"/>
    </row>
    <row r="55" spans="12:13">
      <c r="L55" s="26"/>
      <c r="M55" s="26"/>
    </row>
    <row r="56" spans="12:13">
      <c r="L56" s="26"/>
      <c r="M56" s="26"/>
    </row>
    <row r="57" spans="12:13">
      <c r="L57" s="26"/>
      <c r="M57" s="26"/>
    </row>
    <row r="58" spans="12:13">
      <c r="L58" s="26"/>
      <c r="M58" s="26"/>
    </row>
    <row r="59" spans="12:13">
      <c r="L59" s="26"/>
      <c r="M59" s="26"/>
    </row>
    <row r="60" spans="12:13">
      <c r="L60" s="26"/>
      <c r="M60" s="26"/>
    </row>
    <row r="61" spans="12:13">
      <c r="L61" s="26"/>
      <c r="M61" s="26"/>
    </row>
    <row r="62" spans="12:13">
      <c r="L62" s="26"/>
      <c r="M62" s="26"/>
    </row>
    <row r="63" spans="12:13">
      <c r="L63" s="26"/>
      <c r="M63" s="26"/>
    </row>
    <row r="64" spans="12:13">
      <c r="L64" s="26"/>
      <c r="M64" s="26"/>
    </row>
    <row r="65" spans="12:13">
      <c r="L65" s="26"/>
      <c r="M65" s="26"/>
    </row>
    <row r="66" spans="12:13">
      <c r="L66" s="26"/>
      <c r="M66" s="26"/>
    </row>
    <row r="67" spans="12:13">
      <c r="L67" s="26"/>
      <c r="M67" s="26"/>
    </row>
    <row r="68" spans="12:13">
      <c r="L68" s="26"/>
      <c r="M68" s="26"/>
    </row>
    <row r="69" spans="12:13">
      <c r="L69" s="26"/>
      <c r="M69" s="26"/>
    </row>
    <row r="70" spans="12:13">
      <c r="L70" s="26"/>
      <c r="M70" s="26"/>
    </row>
    <row r="71" spans="12:13">
      <c r="L71" s="26"/>
      <c r="M71" s="26"/>
    </row>
    <row r="72" spans="12:13">
      <c r="L72" s="26"/>
      <c r="M72" s="26"/>
    </row>
    <row r="73" spans="12:13">
      <c r="L73" s="26"/>
      <c r="M73" s="26"/>
    </row>
    <row r="74" spans="12:13">
      <c r="L74" s="26"/>
      <c r="M74" s="26"/>
    </row>
    <row r="75" spans="12:13">
      <c r="L75" s="26"/>
      <c r="M75" s="26"/>
    </row>
    <row r="76" spans="12:13">
      <c r="L76" s="26"/>
      <c r="M76" s="26"/>
    </row>
    <row r="77" spans="12:13">
      <c r="L77" s="26"/>
      <c r="M77" s="26"/>
    </row>
    <row r="78" spans="12:13">
      <c r="L78" s="26"/>
      <c r="M78" s="26"/>
    </row>
    <row r="79" spans="12:13">
      <c r="L79" s="26"/>
      <c r="M79" s="26"/>
    </row>
    <row r="80" spans="12:13">
      <c r="L80" s="26"/>
      <c r="M80" s="26"/>
    </row>
    <row r="81" spans="12:13">
      <c r="L81" s="26"/>
      <c r="M81" s="26"/>
    </row>
    <row r="82" spans="12:13">
      <c r="L82" s="26"/>
      <c r="M82" s="26"/>
    </row>
    <row r="83" spans="12:13">
      <c r="L83" s="26"/>
      <c r="M83" s="26"/>
    </row>
    <row r="84" spans="12:13">
      <c r="L84" s="26"/>
      <c r="M84" s="26"/>
    </row>
    <row r="85" spans="12:13">
      <c r="L85" s="26"/>
      <c r="M85" s="26"/>
    </row>
    <row r="86" spans="12:13">
      <c r="L86" s="26"/>
      <c r="M86" s="26"/>
    </row>
    <row r="87" spans="12:13">
      <c r="L87" s="26"/>
      <c r="M87" s="26"/>
    </row>
    <row r="88" spans="12:13">
      <c r="L88" s="26"/>
      <c r="M88" s="26"/>
    </row>
    <row r="89" spans="12:13">
      <c r="L89" s="26"/>
      <c r="M89" s="26"/>
    </row>
    <row r="90" spans="12:13">
      <c r="L90" s="26"/>
      <c r="M90" s="26"/>
    </row>
    <row r="91" spans="12:13">
      <c r="L91" s="26"/>
      <c r="M91" s="26"/>
    </row>
    <row r="92" spans="12:13">
      <c r="L92" s="26"/>
      <c r="M92" s="26"/>
    </row>
    <row r="93" spans="12:13">
      <c r="L93" s="26"/>
      <c r="M93" s="26"/>
    </row>
    <row r="94" spans="12:13">
      <c r="L94" s="26"/>
      <c r="M94" s="26"/>
    </row>
    <row r="95" spans="12:13">
      <c r="L95" s="26"/>
      <c r="M95" s="26"/>
    </row>
    <row r="96" spans="12:13">
      <c r="L96" s="26"/>
      <c r="M96" s="26"/>
    </row>
    <row r="97" spans="12:13">
      <c r="L97" s="26"/>
      <c r="M97" s="26"/>
    </row>
    <row r="98" spans="12:13">
      <c r="L98" s="26"/>
      <c r="M98" s="26"/>
    </row>
    <row r="99" spans="12:13">
      <c r="L99" s="26"/>
      <c r="M99" s="26"/>
    </row>
    <row r="100" spans="12:13">
      <c r="L100" s="26"/>
      <c r="M100" s="26"/>
    </row>
    <row r="101" spans="12:13">
      <c r="L101" s="26"/>
      <c r="M101" s="26"/>
    </row>
    <row r="102" spans="12:13">
      <c r="L102" s="26"/>
      <c r="M102" s="26"/>
    </row>
    <row r="103" spans="12:13">
      <c r="L103" s="26"/>
      <c r="M103" s="26"/>
    </row>
    <row r="104" spans="12:13">
      <c r="L104" s="26"/>
      <c r="M104" s="26"/>
    </row>
    <row r="105" spans="12:13">
      <c r="L105" s="26"/>
      <c r="M105" s="26"/>
    </row>
    <row r="106" spans="12:13">
      <c r="L106" s="26"/>
      <c r="M106" s="26"/>
    </row>
    <row r="107" spans="12:13">
      <c r="L107" s="26"/>
      <c r="M107" s="26"/>
    </row>
    <row r="108" spans="12:13">
      <c r="L108" s="26"/>
      <c r="M108" s="26"/>
    </row>
    <row r="109" spans="12:13">
      <c r="L109" s="26"/>
      <c r="M109" s="26"/>
    </row>
    <row r="110" spans="12:13">
      <c r="L110" s="26"/>
      <c r="M110" s="26"/>
    </row>
    <row r="111" spans="12:13">
      <c r="L111" s="26"/>
      <c r="M111" s="26"/>
    </row>
    <row r="112" spans="12:13">
      <c r="L112" s="26"/>
      <c r="M112" s="26"/>
    </row>
    <row r="113" spans="12:13">
      <c r="L113" s="26"/>
      <c r="M113" s="26"/>
    </row>
    <row r="114" spans="12:13">
      <c r="L114" s="26"/>
      <c r="M114" s="26"/>
    </row>
    <row r="115" spans="12:13">
      <c r="L115" s="26"/>
      <c r="M115" s="26"/>
    </row>
    <row r="116" spans="12:13">
      <c r="L116" s="26"/>
      <c r="M116" s="26"/>
    </row>
    <row r="117" spans="12:13">
      <c r="L117" s="26"/>
      <c r="M117" s="26"/>
    </row>
    <row r="118" spans="12:13">
      <c r="L118" s="26"/>
      <c r="M118" s="26"/>
    </row>
    <row r="119" spans="12:13">
      <c r="L119" s="26"/>
      <c r="M119" s="26"/>
    </row>
    <row r="120" spans="12:13">
      <c r="L120" s="26"/>
      <c r="M120" s="26"/>
    </row>
    <row r="121" spans="12:13">
      <c r="L121" s="26"/>
      <c r="M121" s="26"/>
    </row>
    <row r="122" spans="12:13">
      <c r="L122" s="26"/>
      <c r="M122" s="26"/>
    </row>
    <row r="123" spans="12:13">
      <c r="L123" s="26"/>
      <c r="M123" s="26"/>
    </row>
    <row r="124" spans="12:13">
      <c r="L124" s="26"/>
      <c r="M124" s="26"/>
    </row>
    <row r="125" spans="12:13">
      <c r="L125" s="26"/>
      <c r="M125" s="26"/>
    </row>
    <row r="126" spans="12:13">
      <c r="L126" s="26"/>
      <c r="M126" s="26"/>
    </row>
    <row r="127" spans="12:13">
      <c r="L127" s="26"/>
      <c r="M127" s="26"/>
    </row>
    <row r="128" spans="12:13">
      <c r="L128" s="26"/>
      <c r="M128" s="26"/>
    </row>
    <row r="129" spans="12:13">
      <c r="L129" s="26"/>
      <c r="M129" s="26"/>
    </row>
    <row r="130" spans="12:13">
      <c r="L130" s="26"/>
      <c r="M130" s="26"/>
    </row>
    <row r="131" spans="12:13">
      <c r="L131" s="26"/>
      <c r="M131" s="26"/>
    </row>
    <row r="132" spans="12:13">
      <c r="L132" s="26"/>
      <c r="M132" s="26"/>
    </row>
    <row r="133" spans="12:13">
      <c r="L133" s="26"/>
      <c r="M133" s="26"/>
    </row>
    <row r="134" spans="12:13">
      <c r="L134" s="26"/>
      <c r="M134" s="26"/>
    </row>
    <row r="135" spans="12:13">
      <c r="L135" s="26"/>
      <c r="M135" s="26"/>
    </row>
    <row r="136" spans="12:13">
      <c r="L136" s="26"/>
      <c r="M136" s="26"/>
    </row>
    <row r="137" spans="12:13">
      <c r="L137" s="26"/>
      <c r="M137" s="26"/>
    </row>
    <row r="138" spans="12:13">
      <c r="L138" s="26"/>
      <c r="M138" s="26"/>
    </row>
    <row r="139" spans="12:13">
      <c r="L139" s="26"/>
      <c r="M139" s="26"/>
    </row>
    <row r="140" spans="12:13">
      <c r="L140" s="26"/>
      <c r="M140" s="26"/>
    </row>
    <row r="141" spans="12:13">
      <c r="L141" s="26"/>
      <c r="M141" s="26"/>
    </row>
    <row r="142" spans="12:13">
      <c r="L142" s="26"/>
      <c r="M142" s="26"/>
    </row>
    <row r="143" spans="12:13">
      <c r="L143" s="26"/>
      <c r="M143" s="26"/>
    </row>
    <row r="144" spans="12:13">
      <c r="L144" s="26"/>
      <c r="M144" s="26"/>
    </row>
    <row r="145" spans="12:13">
      <c r="L145" s="26"/>
      <c r="M145" s="26"/>
    </row>
    <row r="146" spans="12:13">
      <c r="L146" s="26"/>
      <c r="M146" s="26"/>
    </row>
    <row r="147" spans="12:13">
      <c r="L147" s="26"/>
      <c r="M147" s="26"/>
    </row>
    <row r="148" spans="12:13">
      <c r="L148" s="26"/>
      <c r="M148" s="26"/>
    </row>
    <row r="149" spans="12:13">
      <c r="L149" s="26"/>
      <c r="M149" s="26"/>
    </row>
    <row r="150" spans="12:13">
      <c r="L150" s="26"/>
      <c r="M150" s="26"/>
    </row>
    <row r="151" spans="12:13">
      <c r="L151" s="26"/>
      <c r="M151" s="26"/>
    </row>
    <row r="152" spans="12:13">
      <c r="L152" s="26"/>
      <c r="M152" s="26"/>
    </row>
    <row r="153" spans="12:13">
      <c r="L153" s="26"/>
      <c r="M153" s="26"/>
    </row>
    <row r="154" spans="12:13">
      <c r="L154" s="26"/>
      <c r="M154" s="26"/>
    </row>
    <row r="155" spans="12:13">
      <c r="L155" s="26"/>
      <c r="M155" s="26"/>
    </row>
    <row r="156" spans="12:13">
      <c r="L156" s="26"/>
      <c r="M156" s="26"/>
    </row>
    <row r="157" spans="12:13">
      <c r="L157" s="26"/>
      <c r="M157" s="26"/>
    </row>
    <row r="158" spans="12:13">
      <c r="L158" s="26"/>
      <c r="M158" s="26"/>
    </row>
    <row r="159" spans="12:13">
      <c r="L159" s="26"/>
      <c r="M159" s="26"/>
    </row>
    <row r="160" spans="12:13">
      <c r="L160" s="26"/>
      <c r="M160" s="26"/>
    </row>
    <row r="161" spans="12:13">
      <c r="L161" s="26"/>
      <c r="M161" s="26"/>
    </row>
    <row r="162" spans="12:13">
      <c r="L162" s="26"/>
      <c r="M162" s="26"/>
    </row>
    <row r="163" spans="12:13">
      <c r="L163" s="26"/>
      <c r="M163" s="26"/>
    </row>
    <row r="164" spans="12:13">
      <c r="L164" s="26"/>
      <c r="M164" s="26"/>
    </row>
    <row r="165" spans="12:13">
      <c r="L165" s="26"/>
      <c r="M165" s="26"/>
    </row>
    <row r="166" spans="12:13">
      <c r="L166" s="26"/>
      <c r="M166" s="26"/>
    </row>
    <row r="167" spans="12:13">
      <c r="L167" s="26"/>
      <c r="M167" s="26"/>
    </row>
    <row r="168" spans="12:13">
      <c r="L168" s="26"/>
      <c r="M168" s="26"/>
    </row>
    <row r="169" spans="12:13">
      <c r="L169" s="26"/>
      <c r="M169" s="26"/>
    </row>
    <row r="170" spans="12:13">
      <c r="L170" s="26"/>
      <c r="M170" s="26"/>
    </row>
    <row r="171" spans="12:13">
      <c r="L171" s="26"/>
      <c r="M171" s="26"/>
    </row>
    <row r="172" spans="12:13">
      <c r="L172" s="26"/>
      <c r="M172" s="26"/>
    </row>
    <row r="173" spans="12:13">
      <c r="L173" s="26"/>
      <c r="M173" s="26"/>
    </row>
    <row r="174" spans="12:13">
      <c r="L174" s="26"/>
      <c r="M174" s="26"/>
    </row>
    <row r="175" spans="12:13">
      <c r="L175" s="26"/>
      <c r="M175" s="26"/>
    </row>
    <row r="176" spans="12:13">
      <c r="L176" s="26"/>
      <c r="M176" s="26"/>
    </row>
    <row r="177" spans="12:13">
      <c r="L177" s="26"/>
      <c r="M177" s="26"/>
    </row>
    <row r="178" spans="12:13">
      <c r="L178" s="26"/>
      <c r="M178" s="26"/>
    </row>
    <row r="179" spans="12:13">
      <c r="L179" s="26"/>
      <c r="M179" s="26"/>
    </row>
    <row r="180" spans="12:13">
      <c r="L180" s="26"/>
      <c r="M180" s="26"/>
    </row>
    <row r="181" spans="12:13">
      <c r="L181" s="26"/>
      <c r="M181" s="26"/>
    </row>
    <row r="182" spans="12:13">
      <c r="L182" s="26"/>
      <c r="M182" s="26"/>
    </row>
    <row r="183" spans="12:13">
      <c r="L183" s="26"/>
      <c r="M183" s="26"/>
    </row>
    <row r="184" spans="12:13">
      <c r="L184" s="26"/>
      <c r="M184" s="26"/>
    </row>
    <row r="185" spans="12:13">
      <c r="L185" s="26"/>
      <c r="M185" s="26"/>
    </row>
    <row r="186" spans="12:13">
      <c r="L186" s="26"/>
      <c r="M186" s="26"/>
    </row>
    <row r="187" spans="12:13">
      <c r="L187" s="26"/>
      <c r="M187" s="26"/>
    </row>
    <row r="188" spans="12:13">
      <c r="L188" s="26"/>
      <c r="M188" s="26"/>
    </row>
    <row r="189" spans="12:13">
      <c r="L189" s="26"/>
      <c r="M189" s="26"/>
    </row>
    <row r="190" spans="12:13">
      <c r="L190" s="26"/>
      <c r="M190" s="26"/>
    </row>
    <row r="191" spans="12:13">
      <c r="L191" s="26"/>
      <c r="M191" s="26"/>
    </row>
    <row r="192" spans="12:13">
      <c r="L192" s="26"/>
      <c r="M192" s="26"/>
    </row>
    <row r="193" spans="12:13">
      <c r="L193" s="26"/>
      <c r="M193" s="26"/>
    </row>
    <row r="194" spans="12:13">
      <c r="L194" s="26"/>
      <c r="M194" s="26"/>
    </row>
    <row r="195" spans="12:13">
      <c r="L195" s="26"/>
      <c r="M195" s="26"/>
    </row>
    <row r="196" spans="12:13">
      <c r="L196" s="26"/>
      <c r="M196" s="26"/>
    </row>
    <row r="197" spans="12:13">
      <c r="L197" s="26"/>
      <c r="M197" s="26"/>
    </row>
    <row r="198" spans="12:13">
      <c r="L198" s="26"/>
      <c r="M198" s="26"/>
    </row>
    <row r="199" spans="12:13">
      <c r="L199" s="26"/>
      <c r="M199" s="26"/>
    </row>
    <row r="200" spans="12:13">
      <c r="L200" s="26"/>
      <c r="M200" s="26"/>
    </row>
    <row r="201" spans="12:13">
      <c r="L201" s="26"/>
      <c r="M201" s="26"/>
    </row>
    <row r="202" spans="12:13">
      <c r="L202" s="26"/>
      <c r="M202" s="26"/>
    </row>
    <row r="203" spans="12:13">
      <c r="L203" s="26"/>
      <c r="M203" s="26"/>
    </row>
    <row r="204" spans="12:13">
      <c r="L204" s="26"/>
      <c r="M204" s="26"/>
    </row>
  </sheetData>
  <mergeCells count="4">
    <mergeCell ref="A16:F16"/>
    <mergeCell ref="A17:F17"/>
    <mergeCell ref="A18:F18"/>
    <mergeCell ref="A19:F19"/>
  </mergeCells>
  <pageMargins left="0.7" right="0.7" top="0.75" bottom="0.75" header="0.3" footer="0.3"/>
  <pageSetup orientation="portrait" horizontalDpi="1200" verticalDpi="1200"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338133-C186-431A-8CC6-162716F81DC0}">
  <sheetPr>
    <tabColor rgb="FFFF0000"/>
  </sheetPr>
  <dimension ref="B1:N82"/>
  <sheetViews>
    <sheetView workbookViewId="0"/>
  </sheetViews>
  <sheetFormatPr defaultRowHeight="15" outlineLevelRow="1"/>
  <cols>
    <col min="2" max="2" width="44" bestFit="1" customWidth="1"/>
    <col min="3" max="3" width="12" bestFit="1" customWidth="1"/>
    <col min="4" max="4" width="15" bestFit="1" customWidth="1"/>
    <col min="5" max="5" width="14.7109375" bestFit="1" customWidth="1"/>
    <col min="6" max="6" width="14" customWidth="1"/>
    <col min="7" max="7" width="15.28515625" style="159" bestFit="1" customWidth="1"/>
    <col min="8" max="8" width="12.42578125" bestFit="1" customWidth="1"/>
    <col min="10" max="10" width="11.42578125" bestFit="1" customWidth="1"/>
    <col min="14" max="14" width="18.85546875" customWidth="1"/>
  </cols>
  <sheetData>
    <row r="1" spans="2:8" ht="15.75" thickBot="1"/>
    <row r="2" spans="2:8" ht="15.75" thickBot="1">
      <c r="C2" s="807" t="s">
        <v>412</v>
      </c>
      <c r="D2" s="808"/>
      <c r="E2" s="343" t="s">
        <v>413</v>
      </c>
      <c r="F2" s="809" t="s">
        <v>414</v>
      </c>
      <c r="G2" s="810"/>
    </row>
    <row r="3" spans="2:8">
      <c r="C3" s="811" t="s">
        <v>415</v>
      </c>
      <c r="D3" s="811" t="s">
        <v>416</v>
      </c>
      <c r="E3" s="811" t="s">
        <v>416</v>
      </c>
      <c r="F3" s="813" t="s">
        <v>417</v>
      </c>
      <c r="G3" s="813" t="s">
        <v>418</v>
      </c>
    </row>
    <row r="4" spans="2:8">
      <c r="C4" s="812"/>
      <c r="D4" s="812"/>
      <c r="E4" s="812"/>
      <c r="F4" s="813"/>
      <c r="G4" s="813"/>
    </row>
    <row r="5" spans="2:8">
      <c r="B5" t="s">
        <v>419</v>
      </c>
      <c r="C5" s="344">
        <v>247.92684137000001</v>
      </c>
      <c r="D5" s="344">
        <v>247.77</v>
      </c>
      <c r="E5" s="345">
        <f>('Income Statement'!K30-'Income Statement'!K33-'Income Statement'!K45-24027000)/1000000</f>
        <v>344.83663445990157</v>
      </c>
      <c r="F5" s="416">
        <f>D5-E5</f>
        <v>-97.066634459901564</v>
      </c>
      <c r="G5" s="344">
        <f>C5-E5</f>
        <v>-96.909793089901569</v>
      </c>
      <c r="H5" t="s">
        <v>420</v>
      </c>
    </row>
    <row r="6" spans="2:8">
      <c r="B6" t="s">
        <v>421</v>
      </c>
      <c r="C6" s="346">
        <v>-40.947565400000002</v>
      </c>
      <c r="D6" s="346"/>
      <c r="E6" s="347"/>
      <c r="F6" s="347">
        <f t="shared" ref="F6:F13" si="0">D6-E6</f>
        <v>0</v>
      </c>
      <c r="G6" s="346"/>
    </row>
    <row r="7" spans="2:8">
      <c r="B7" t="s">
        <v>422</v>
      </c>
      <c r="C7" s="346">
        <v>-28.12292841</v>
      </c>
      <c r="D7" s="346"/>
      <c r="E7" s="347"/>
      <c r="F7" s="347">
        <f t="shared" si="0"/>
        <v>0</v>
      </c>
      <c r="G7" s="346"/>
    </row>
    <row r="8" spans="2:8">
      <c r="B8" t="s">
        <v>423</v>
      </c>
      <c r="C8" s="346">
        <v>-14.729508030000002</v>
      </c>
      <c r="D8" s="346"/>
      <c r="E8" s="347"/>
      <c r="F8" s="347">
        <f t="shared" si="0"/>
        <v>0</v>
      </c>
      <c r="G8" s="346"/>
    </row>
    <row r="9" spans="2:8">
      <c r="B9" t="s">
        <v>424</v>
      </c>
      <c r="C9" s="346">
        <v>-1.0823829699999998</v>
      </c>
      <c r="D9" s="348"/>
      <c r="E9" s="349"/>
      <c r="F9" s="347">
        <f t="shared" si="0"/>
        <v>0</v>
      </c>
      <c r="G9" s="346"/>
    </row>
    <row r="10" spans="2:8">
      <c r="B10" t="s">
        <v>425</v>
      </c>
      <c r="C10" s="346">
        <v>-9.3422608599999997</v>
      </c>
      <c r="D10" s="350">
        <v>0</v>
      </c>
      <c r="E10" s="351">
        <f>-D72/1000000</f>
        <v>-5.8445260000000001</v>
      </c>
      <c r="F10" s="415">
        <f t="shared" si="0"/>
        <v>5.8445260000000001</v>
      </c>
      <c r="G10" s="352">
        <f>C10-E10</f>
        <v>-3.4977348599999996</v>
      </c>
    </row>
    <row r="11" spans="2:8">
      <c r="B11" t="s">
        <v>426</v>
      </c>
      <c r="C11" s="346">
        <v>-13.76345746</v>
      </c>
      <c r="D11" s="346">
        <v>-98.492999999999995</v>
      </c>
      <c r="E11" s="347">
        <f>(-'Income Statement'!K40+'Income Statement'!K33+24027000)/1000000-E10</f>
        <v>-128.45525358999998</v>
      </c>
      <c r="F11" s="349">
        <f t="shared" si="0"/>
        <v>29.962253589999989</v>
      </c>
      <c r="G11" s="352">
        <f>SUM(C6:C9)+C11-E11</f>
        <v>29.809411319999981</v>
      </c>
    </row>
    <row r="12" spans="2:8">
      <c r="B12" t="s">
        <v>427</v>
      </c>
      <c r="C12" s="346">
        <v>-46.01097841</v>
      </c>
      <c r="D12" s="346">
        <v>-44.622999999999998</v>
      </c>
      <c r="E12" s="347">
        <f>-'Income Statement'!K43/1000000</f>
        <v>-66.095668000000003</v>
      </c>
      <c r="F12" s="347">
        <f t="shared" si="0"/>
        <v>21.472668000000006</v>
      </c>
      <c r="G12" s="346">
        <f>C12-E12</f>
        <v>20.084689590000004</v>
      </c>
    </row>
    <row r="13" spans="2:8">
      <c r="B13" t="s">
        <v>428</v>
      </c>
      <c r="C13" s="346">
        <v>-28.85689653</v>
      </c>
      <c r="D13" s="346">
        <v>-28.116</v>
      </c>
      <c r="E13" s="347">
        <f>-'Income Statement'!K44/1000000</f>
        <v>-46.234158000000001</v>
      </c>
      <c r="F13" s="353">
        <f t="shared" si="0"/>
        <v>18.118158000000001</v>
      </c>
      <c r="G13" s="354">
        <f>C13-E13</f>
        <v>17.377261470000001</v>
      </c>
    </row>
    <row r="14" spans="2:8">
      <c r="B14" t="s">
        <v>429</v>
      </c>
      <c r="C14" s="355">
        <f>SUM(C5:C13)</f>
        <v>65.070863299999985</v>
      </c>
      <c r="D14" s="355">
        <v>76.538000000000011</v>
      </c>
      <c r="E14" s="410">
        <f>('Income Statement'!K49+'Income Statement'!K46)/1000000</f>
        <v>98.207028869901578</v>
      </c>
      <c r="F14" s="356">
        <f>D14-E14</f>
        <v>-21.669028869901567</v>
      </c>
      <c r="G14" s="356">
        <f>C14-E14</f>
        <v>-33.136165569901593</v>
      </c>
      <c r="H14" s="357"/>
    </row>
    <row r="15" spans="2:8">
      <c r="C15" s="358"/>
      <c r="D15" s="358"/>
      <c r="E15" s="359"/>
      <c r="F15" s="358"/>
      <c r="G15" s="358"/>
    </row>
    <row r="16" spans="2:8">
      <c r="B16" t="s">
        <v>430</v>
      </c>
      <c r="C16" s="360"/>
      <c r="D16" s="360"/>
      <c r="E16" s="361"/>
      <c r="F16" s="360"/>
      <c r="G16" s="360"/>
    </row>
    <row r="17" spans="2:8">
      <c r="B17" t="s">
        <v>429</v>
      </c>
      <c r="C17" s="356">
        <f>C14</f>
        <v>65.070863299999985</v>
      </c>
      <c r="D17" s="356">
        <f>D14</f>
        <v>76.538000000000011</v>
      </c>
      <c r="E17" s="411">
        <f>E14</f>
        <v>98.207028869901578</v>
      </c>
      <c r="F17" s="355">
        <f>D17-E17</f>
        <v>-21.669028869901567</v>
      </c>
      <c r="G17" s="356">
        <f>C17-E17</f>
        <v>-33.136165569901593</v>
      </c>
    </row>
    <row r="18" spans="2:8">
      <c r="C18" s="362"/>
      <c r="D18" s="362"/>
      <c r="E18" s="363"/>
      <c r="F18" s="362"/>
      <c r="G18" s="362"/>
    </row>
    <row r="19" spans="2:8" ht="15" customHeight="1" outlineLevel="1">
      <c r="B19" t="s">
        <v>431</v>
      </c>
      <c r="C19" s="364"/>
      <c r="D19" s="364"/>
      <c r="E19" s="365"/>
      <c r="F19" s="364"/>
      <c r="G19" s="364"/>
    </row>
    <row r="20" spans="2:8" ht="15" customHeight="1" outlineLevel="1">
      <c r="B20" t="s">
        <v>432</v>
      </c>
      <c r="C20" s="366">
        <v>2.0307745599999998</v>
      </c>
      <c r="D20" s="366">
        <v>0</v>
      </c>
      <c r="E20" s="413">
        <f>-'Income Statement'!K61/1000000</f>
        <v>-9.1031511312916605E-2</v>
      </c>
      <c r="F20" s="368">
        <f>D20-E20</f>
        <v>9.1031511312916605E-2</v>
      </c>
      <c r="G20" s="368">
        <f>C20-E20</f>
        <v>2.1218060713129163</v>
      </c>
      <c r="H20" s="3"/>
    </row>
    <row r="21" spans="2:8" ht="15" customHeight="1" outlineLevel="1">
      <c r="B21" t="s">
        <v>433</v>
      </c>
      <c r="C21" s="368">
        <v>0</v>
      </c>
      <c r="D21" s="368"/>
      <c r="E21" s="369"/>
      <c r="F21" s="368"/>
      <c r="G21" s="368">
        <f t="shared" ref="G21:G28" si="1">C21-E21</f>
        <v>0</v>
      </c>
    </row>
    <row r="22" spans="2:8" ht="15" customHeight="1" outlineLevel="1">
      <c r="B22" t="s">
        <v>434</v>
      </c>
      <c r="C22" s="368">
        <v>0</v>
      </c>
      <c r="D22" s="368"/>
      <c r="E22" s="369"/>
      <c r="F22" s="368"/>
      <c r="G22" s="368">
        <f t="shared" si="1"/>
        <v>0</v>
      </c>
    </row>
    <row r="23" spans="2:8" ht="15" customHeight="1" outlineLevel="1">
      <c r="B23" t="s">
        <v>435</v>
      </c>
      <c r="C23" s="368">
        <v>0</v>
      </c>
      <c r="D23" s="368"/>
      <c r="E23" s="369"/>
      <c r="F23" s="368"/>
      <c r="G23" s="368">
        <f t="shared" si="1"/>
        <v>0</v>
      </c>
    </row>
    <row r="24" spans="2:8" ht="15" customHeight="1" outlineLevel="1">
      <c r="B24" t="s">
        <v>436</v>
      </c>
      <c r="C24" s="368">
        <v>1.5101169999999999</v>
      </c>
      <c r="D24" s="368">
        <f>C24</f>
        <v>1.5101169999999999</v>
      </c>
      <c r="E24" s="369"/>
      <c r="F24" s="368"/>
      <c r="G24" s="368">
        <f t="shared" si="1"/>
        <v>1.5101169999999999</v>
      </c>
    </row>
    <row r="25" spans="2:8" ht="15" customHeight="1" outlineLevel="1">
      <c r="B25" t="s">
        <v>437</v>
      </c>
      <c r="C25" s="366">
        <v>0</v>
      </c>
      <c r="D25" s="366"/>
      <c r="E25" s="367"/>
      <c r="F25" s="366"/>
      <c r="G25" s="368">
        <f t="shared" si="1"/>
        <v>0</v>
      </c>
    </row>
    <row r="26" spans="2:8" ht="15" customHeight="1" outlineLevel="1">
      <c r="B26" t="s">
        <v>438</v>
      </c>
      <c r="C26" s="366">
        <v>0</v>
      </c>
      <c r="D26" s="366"/>
      <c r="E26" s="367"/>
      <c r="F26" s="366"/>
      <c r="G26" s="368">
        <f t="shared" si="1"/>
        <v>0</v>
      </c>
    </row>
    <row r="27" spans="2:8" ht="15" customHeight="1" outlineLevel="1">
      <c r="B27" t="s">
        <v>439</v>
      </c>
      <c r="C27" s="368">
        <v>0</v>
      </c>
      <c r="D27" s="368"/>
      <c r="E27" s="369"/>
      <c r="F27" s="368"/>
      <c r="G27" s="368">
        <f t="shared" si="1"/>
        <v>0</v>
      </c>
    </row>
    <row r="28" spans="2:8" ht="15" customHeight="1" outlineLevel="1">
      <c r="B28" t="s">
        <v>440</v>
      </c>
      <c r="C28" s="368">
        <v>0</v>
      </c>
      <c r="D28" s="368"/>
      <c r="E28" s="369"/>
      <c r="F28" s="368"/>
      <c r="G28" s="368">
        <f t="shared" si="1"/>
        <v>0</v>
      </c>
    </row>
    <row r="29" spans="2:8">
      <c r="B29" t="s">
        <v>441</v>
      </c>
      <c r="C29" s="370">
        <f>SUM(C20:C28)</f>
        <v>3.5408915599999995</v>
      </c>
      <c r="D29" s="370">
        <f>SUM(D20:D28)</f>
        <v>1.5101169999999999</v>
      </c>
      <c r="E29" s="371">
        <f>SUM(E20:E28)</f>
        <v>-9.1031511312916605E-2</v>
      </c>
      <c r="F29" s="370">
        <f>D29-E29</f>
        <v>1.6011485113129165</v>
      </c>
      <c r="G29" s="370">
        <f>C29-E29</f>
        <v>3.631923071312916</v>
      </c>
    </row>
    <row r="30" spans="2:8" ht="15.75" thickBot="1">
      <c r="C30" s="372"/>
      <c r="D30" s="372"/>
      <c r="E30" s="373"/>
      <c r="F30" s="372"/>
      <c r="G30" s="372"/>
    </row>
    <row r="31" spans="2:8" ht="15.75" thickTop="1">
      <c r="B31" t="s">
        <v>442</v>
      </c>
      <c r="C31" s="356">
        <f>C17+C29</f>
        <v>68.611754859999991</v>
      </c>
      <c r="D31" s="356">
        <f>D17+D29</f>
        <v>78.048117000000005</v>
      </c>
      <c r="E31" s="411">
        <f>E17+E29</f>
        <v>98.115997358588658</v>
      </c>
      <c r="F31" s="355">
        <f>D31-E31</f>
        <v>-20.067880358588653</v>
      </c>
      <c r="G31" s="356">
        <f>C31-E31</f>
        <v>-29.504242498588667</v>
      </c>
    </row>
    <row r="32" spans="2:8">
      <c r="C32" s="374"/>
      <c r="D32" s="374"/>
      <c r="E32" s="375"/>
      <c r="F32" s="374"/>
      <c r="G32" s="374"/>
    </row>
    <row r="33" spans="2:10">
      <c r="B33" t="s">
        <v>52</v>
      </c>
      <c r="C33" s="376">
        <v>1012.8987868761326</v>
      </c>
      <c r="D33" s="377">
        <v>992.52258546339056</v>
      </c>
      <c r="E33" s="414">
        <f>'ROE Calculation'!C34/1000000</f>
        <v>1857.8190110243611</v>
      </c>
      <c r="F33" s="376">
        <f>D33-E33</f>
        <v>-865.29642556097053</v>
      </c>
      <c r="G33" s="356">
        <f>C33-E33</f>
        <v>-844.9202241482285</v>
      </c>
      <c r="H33" s="3"/>
    </row>
    <row r="34" spans="2:10" outlineLevel="1">
      <c r="B34" t="s">
        <v>443</v>
      </c>
      <c r="C34" s="378">
        <v>0.50949999999999995</v>
      </c>
      <c r="D34" s="378">
        <f>C34</f>
        <v>0.50949999999999995</v>
      </c>
      <c r="E34" s="379">
        <v>0.50949999999999995</v>
      </c>
      <c r="F34" s="378"/>
      <c r="G34" s="378"/>
    </row>
    <row r="35" spans="2:10" outlineLevel="1">
      <c r="B35" t="s">
        <v>444</v>
      </c>
      <c r="C35" s="380">
        <f>C33*C34</f>
        <v>516.07193191338956</v>
      </c>
      <c r="D35" s="380">
        <f>D33*D34</f>
        <v>505.69025729359743</v>
      </c>
      <c r="E35" s="412">
        <f>E33*E34</f>
        <v>946.55878611691185</v>
      </c>
      <c r="F35" s="380"/>
      <c r="G35" s="380"/>
      <c r="H35" s="3"/>
    </row>
    <row r="36" spans="2:10" outlineLevel="1">
      <c r="B36" t="s">
        <v>445</v>
      </c>
      <c r="C36" s="381">
        <v>0</v>
      </c>
      <c r="D36" s="381">
        <v>0</v>
      </c>
      <c r="E36" s="382">
        <v>0</v>
      </c>
      <c r="F36" s="381"/>
      <c r="G36" s="381"/>
    </row>
    <row r="37" spans="2:10" outlineLevel="1">
      <c r="B37" t="s">
        <v>446</v>
      </c>
      <c r="C37" s="383">
        <v>6.0000000000000001E-3</v>
      </c>
      <c r="D37" s="383">
        <v>6.0000000000000001E-3</v>
      </c>
      <c r="E37" s="384">
        <v>6.0000000000000001E-3</v>
      </c>
      <c r="F37" s="383"/>
      <c r="G37" s="383"/>
    </row>
    <row r="38" spans="2:10" outlineLevel="1">
      <c r="B38" t="s">
        <v>447</v>
      </c>
      <c r="C38" s="383">
        <v>0.48449999999999999</v>
      </c>
      <c r="D38" s="383">
        <v>0.48449999999999999</v>
      </c>
      <c r="E38" s="384">
        <v>0.48449999999999999</v>
      </c>
      <c r="F38" s="383"/>
      <c r="G38" s="383"/>
    </row>
    <row r="39" spans="2:10" outlineLevel="1">
      <c r="B39" t="s">
        <v>448</v>
      </c>
      <c r="C39" s="383">
        <v>1.7600000000000001E-2</v>
      </c>
      <c r="D39" s="383">
        <v>1.7600000000000001E-2</v>
      </c>
      <c r="E39" s="384">
        <v>1.7600000000000001E-2</v>
      </c>
      <c r="F39" s="383"/>
      <c r="G39" s="383"/>
    </row>
    <row r="40" spans="2:10" outlineLevel="1">
      <c r="B40" t="s">
        <v>449</v>
      </c>
      <c r="C40" s="383">
        <v>4.9799999999999997E-2</v>
      </c>
      <c r="D40" s="383">
        <v>4.9799999999999997E-2</v>
      </c>
      <c r="E40" s="384">
        <v>4.9799999999999997E-2</v>
      </c>
      <c r="F40" s="383"/>
      <c r="G40" s="383"/>
    </row>
    <row r="41" spans="2:10" outlineLevel="1">
      <c r="B41" t="s">
        <v>450</v>
      </c>
      <c r="C41" s="383">
        <v>0</v>
      </c>
      <c r="D41" s="383">
        <v>0</v>
      </c>
      <c r="E41" s="384">
        <v>0</v>
      </c>
      <c r="F41" s="383"/>
      <c r="G41" s="383"/>
    </row>
    <row r="42" spans="2:10" outlineLevel="1">
      <c r="B42" t="s">
        <v>451</v>
      </c>
      <c r="C42" s="380">
        <f>-(C37*C33*C39+C33*C38*C40)</f>
        <v>-24.546285331520135</v>
      </c>
      <c r="D42" s="380">
        <f>-(D37*D33*D39+D33*D38*D40)</f>
        <v>-24.052494579344163</v>
      </c>
      <c r="E42" s="412">
        <f>-'Income Statement'!K57/1000000</f>
        <v>-38.268270732948594</v>
      </c>
      <c r="F42" s="380">
        <f>D42-E42</f>
        <v>14.21577615360443</v>
      </c>
      <c r="G42" s="346">
        <f>+C42-E42</f>
        <v>13.721985401428459</v>
      </c>
      <c r="H42" s="385">
        <v>24546285.300000001</v>
      </c>
      <c r="I42" s="386" t="s">
        <v>452</v>
      </c>
      <c r="J42" s="3"/>
    </row>
    <row r="43" spans="2:10" outlineLevel="1">
      <c r="B43" t="s">
        <v>453</v>
      </c>
      <c r="C43" s="387">
        <v>0.21</v>
      </c>
      <c r="D43" s="387">
        <v>0.21</v>
      </c>
      <c r="E43" s="388">
        <v>0.21</v>
      </c>
      <c r="F43" s="387"/>
      <c r="H43" s="389"/>
      <c r="I43" s="386"/>
    </row>
    <row r="44" spans="2:10" outlineLevel="1">
      <c r="B44" t="s">
        <v>454</v>
      </c>
      <c r="C44" s="380">
        <f>(C31+C42)*-C43</f>
        <v>-9.253748600980769</v>
      </c>
      <c r="D44" s="380">
        <f>(D31+D42)*-D43</f>
        <v>-11.339080708337727</v>
      </c>
      <c r="E44" s="412">
        <f>-'Income Statement'!K46/1000000</f>
        <v>-11.07288820876013</v>
      </c>
      <c r="F44" s="380">
        <f>D44-E44</f>
        <v>-0.26619249957759727</v>
      </c>
      <c r="G44" s="346">
        <f>+C44-E44</f>
        <v>1.8191396077793609</v>
      </c>
      <c r="H44" s="385">
        <v>11235385</v>
      </c>
      <c r="I44" s="386" t="s">
        <v>455</v>
      </c>
      <c r="J44" s="3"/>
    </row>
    <row r="45" spans="2:10" outlineLevel="1">
      <c r="B45" t="s">
        <v>456</v>
      </c>
      <c r="C45" s="380">
        <f>C31+C42+C44</f>
        <v>34.811720927499081</v>
      </c>
      <c r="D45" s="380">
        <f>D31+D42+D44</f>
        <v>42.656541712318116</v>
      </c>
      <c r="E45" s="412">
        <f>E31+E42+E44</f>
        <v>48.77483841687993</v>
      </c>
      <c r="F45" s="380">
        <f>D45-E45</f>
        <v>-6.1182967045618142</v>
      </c>
      <c r="G45" s="346">
        <f>+C45-E45</f>
        <v>-13.963117489380849</v>
      </c>
      <c r="H45" s="3"/>
    </row>
    <row r="46" spans="2:10" outlineLevel="1">
      <c r="C46" s="374"/>
      <c r="D46" s="374"/>
      <c r="E46" s="375"/>
      <c r="F46" s="374"/>
      <c r="G46" s="374"/>
    </row>
    <row r="47" spans="2:10">
      <c r="C47" s="374"/>
      <c r="D47" s="374"/>
      <c r="E47" s="375"/>
      <c r="F47" s="374"/>
      <c r="G47" s="374"/>
    </row>
    <row r="48" spans="2:10">
      <c r="B48" t="s">
        <v>457</v>
      </c>
      <c r="C48" s="390">
        <f>C45/C35</f>
        <v>6.7455171992073001E-2</v>
      </c>
      <c r="D48" s="390">
        <f>D45/D35</f>
        <v>8.4353101720036225E-2</v>
      </c>
      <c r="E48" s="391">
        <f>E45/E35</f>
        <v>5.1528588749326372E-2</v>
      </c>
      <c r="F48" s="390">
        <f>D48-E48</f>
        <v>3.2824512970709853E-2</v>
      </c>
      <c r="G48" s="392">
        <f>C48-E48</f>
        <v>1.5926583242746629E-2</v>
      </c>
    </row>
    <row r="49" spans="2:14">
      <c r="C49" s="393"/>
      <c r="D49" s="393"/>
      <c r="E49" s="393"/>
      <c r="F49" s="393"/>
      <c r="G49" s="393"/>
    </row>
    <row r="50" spans="2:14">
      <c r="B50" t="s">
        <v>458</v>
      </c>
      <c r="C50" s="394">
        <v>1.2999999999999999E-3</v>
      </c>
      <c r="D50" s="394">
        <v>0</v>
      </c>
      <c r="E50" s="394">
        <v>0</v>
      </c>
      <c r="F50" s="394"/>
      <c r="G50" s="394">
        <f>C50-E50</f>
        <v>1.2999999999999999E-3</v>
      </c>
    </row>
    <row r="51" spans="2:14">
      <c r="C51" s="393"/>
      <c r="D51" s="393"/>
      <c r="E51" s="393"/>
      <c r="F51" s="393"/>
      <c r="G51" s="393"/>
      <c r="H51" s="806" t="s">
        <v>459</v>
      </c>
      <c r="I51" s="806"/>
      <c r="J51" s="806"/>
      <c r="K51" s="806"/>
      <c r="L51" s="806"/>
      <c r="M51" s="806"/>
      <c r="N51" s="806"/>
    </row>
    <row r="52" spans="2:14">
      <c r="B52" t="s">
        <v>460</v>
      </c>
      <c r="C52" s="390">
        <f>C48+C50</f>
        <v>6.8755171992072997E-2</v>
      </c>
      <c r="D52" s="390">
        <f>D48+D50</f>
        <v>8.4353101720036225E-2</v>
      </c>
      <c r="E52" s="390">
        <f>E48+E50</f>
        <v>5.1528588749326372E-2</v>
      </c>
      <c r="F52" s="395">
        <f>D52-E52</f>
        <v>3.2824512970709853E-2</v>
      </c>
      <c r="G52" s="392">
        <f>C52-E52</f>
        <v>1.7226583242746625E-2</v>
      </c>
      <c r="H52" s="806"/>
      <c r="I52" s="806"/>
      <c r="J52" s="806"/>
      <c r="K52" s="806"/>
      <c r="L52" s="806"/>
      <c r="M52" s="806"/>
      <c r="N52" s="806"/>
    </row>
    <row r="53" spans="2:14">
      <c r="C53" s="396"/>
    </row>
    <row r="54" spans="2:14">
      <c r="C54" s="397"/>
    </row>
    <row r="55" spans="2:14">
      <c r="C55" s="397"/>
    </row>
    <row r="56" spans="2:14">
      <c r="C56" s="398" t="s">
        <v>415</v>
      </c>
      <c r="D56" s="398" t="s">
        <v>461</v>
      </c>
      <c r="E56" s="398" t="s">
        <v>461</v>
      </c>
    </row>
    <row r="57" spans="2:14">
      <c r="C57" s="399"/>
      <c r="D57" s="399"/>
      <c r="E57" s="399"/>
    </row>
    <row r="58" spans="2:14">
      <c r="C58" s="400">
        <f>(C35*0.1%)/(1-C43)</f>
        <v>0.65325561001694887</v>
      </c>
      <c r="D58" s="400">
        <f>(D35*0.1%)/(1-D43)</f>
        <v>0.64011424973873088</v>
      </c>
      <c r="E58" s="400">
        <f>(E35*0.1%)/(1-E43)</f>
        <v>1.1981756786290023</v>
      </c>
    </row>
    <row r="59" spans="2:14">
      <c r="C59" s="401">
        <v>0.871</v>
      </c>
      <c r="D59" s="401">
        <v>0</v>
      </c>
      <c r="E59" s="401">
        <v>0</v>
      </c>
    </row>
    <row r="60" spans="2:14">
      <c r="C60" s="402">
        <f>((C31+C59)+C42+(((C31+C59)+C42)*-C43))/(C34*C33)</f>
        <v>6.8788493875029971E-2</v>
      </c>
      <c r="D60" s="402">
        <f>((D31+D59)+D42+(((D31+D59)+D42)*-D43))/(D34*D33)</f>
        <v>8.4353101720036225E-2</v>
      </c>
      <c r="E60" s="402">
        <f>((E31+E59)+E42+(((E31+E59)+E42)*-E43))/(E34*E33)</f>
        <v>4.9949041441168365E-2</v>
      </c>
    </row>
    <row r="61" spans="2:14">
      <c r="C61" s="403">
        <f>(C60-C48)*10000</f>
        <v>13.333218829569699</v>
      </c>
      <c r="D61" s="403">
        <f>(D60-D48)*10000</f>
        <v>0</v>
      </c>
      <c r="E61" s="403">
        <f>(E60-E48)*10000</f>
        <v>-15.795473081580067</v>
      </c>
    </row>
    <row r="62" spans="2:14">
      <c r="C62" s="404"/>
      <c r="D62" s="404"/>
      <c r="E62" s="404"/>
    </row>
    <row r="63" spans="2:14">
      <c r="C63" s="405">
        <f>G33</f>
        <v>-844.9202241482285</v>
      </c>
      <c r="D63" s="405">
        <v>8</v>
      </c>
      <c r="E63" s="405"/>
    </row>
    <row r="64" spans="2:14">
      <c r="C64" s="402">
        <f>(C31+-(C37*(C33+C63)*C39+(C33+C63)*C38*C40)+((C31+(-(C37*(C33+C63)*C39+(C33+C63)*C38*C40)))*-C43))/(C34*(C33+C63))</f>
        <v>0.59575105203198375</v>
      </c>
      <c r="D64" s="402">
        <f>(D31+-(D37*(D33+D63)*D39+(D33+D63)*D38*D40)+((D31+(-(D37*(D33+D63)*D39+(D33+D63)*D38*D40)))*-D43))/(D34*(D33+D63))</f>
        <v>8.3378183864057695E-2</v>
      </c>
      <c r="E64" s="402"/>
    </row>
    <row r="65" spans="2:7">
      <c r="C65" s="403">
        <f>(C64-C48)*10000</f>
        <v>5282.9588003991075</v>
      </c>
      <c r="D65" s="403">
        <f>(D64-D48)*10000</f>
        <v>-9.7491785597852996</v>
      </c>
      <c r="E65" s="403"/>
    </row>
    <row r="69" spans="2:7">
      <c r="B69" t="s">
        <v>462</v>
      </c>
    </row>
    <row r="70" spans="2:7">
      <c r="D70" t="s">
        <v>463</v>
      </c>
      <c r="E70" t="s">
        <v>464</v>
      </c>
    </row>
    <row r="71" spans="2:7">
      <c r="B71" t="s">
        <v>465</v>
      </c>
      <c r="D71" s="406">
        <v>-18537656.899999999</v>
      </c>
      <c r="E71" s="406">
        <f>C10*1000000</f>
        <v>-9342260.8599999994</v>
      </c>
      <c r="F71" s="32">
        <f>E71-D71</f>
        <v>9195396.0399999991</v>
      </c>
    </row>
    <row r="72" spans="2:7">
      <c r="B72" t="s">
        <v>466</v>
      </c>
      <c r="D72" s="407">
        <v>5844526</v>
      </c>
      <c r="E72" s="407"/>
      <c r="F72" s="407">
        <f>E72-D72</f>
        <v>-5844526</v>
      </c>
    </row>
    <row r="73" spans="2:7">
      <c r="B73" s="80" t="s">
        <v>467</v>
      </c>
      <c r="D73" s="32">
        <f>SUM(D71:D72)</f>
        <v>-12693130.899999999</v>
      </c>
      <c r="E73" s="32">
        <v>0</v>
      </c>
      <c r="F73" s="32">
        <f>E73-D73</f>
        <v>12693130.899999999</v>
      </c>
    </row>
    <row r="75" spans="2:7">
      <c r="B75" s="80" t="s">
        <v>468</v>
      </c>
      <c r="D75" s="159">
        <f>-D72</f>
        <v>-5844526</v>
      </c>
      <c r="E75" s="159">
        <f>E71</f>
        <v>-9342260.8599999994</v>
      </c>
      <c r="F75" s="159">
        <f>E75-D75</f>
        <v>-3497734.8599999994</v>
      </c>
      <c r="G75" s="408">
        <f>F75/1000000/$C$58/1000</f>
        <v>-5.3543127779786693E-3</v>
      </c>
    </row>
    <row r="76" spans="2:7">
      <c r="B76" s="80" t="s">
        <v>469</v>
      </c>
      <c r="D76" s="159">
        <v>0</v>
      </c>
      <c r="E76" s="159">
        <f>0.87*1000000</f>
        <v>870000</v>
      </c>
      <c r="F76" s="159">
        <f>E76-D76</f>
        <v>870000</v>
      </c>
      <c r="G76" s="408">
        <f>F76/1000000/$C$58/1000</f>
        <v>1.3317910886022513E-3</v>
      </c>
    </row>
    <row r="77" spans="2:7">
      <c r="B77" s="80" t="s">
        <v>470</v>
      </c>
      <c r="D77" s="32">
        <f>E42*1000000</f>
        <v>-38268270.732948594</v>
      </c>
      <c r="E77" s="32">
        <f>(C42)*1000000</f>
        <v>-24546285.331520136</v>
      </c>
      <c r="F77" s="32">
        <f>E77-D77</f>
        <v>13721985.401428457</v>
      </c>
      <c r="G77" s="408">
        <f>F77/1000000/$C$58/1000</f>
        <v>2.1005537787991496E-2</v>
      </c>
    </row>
    <row r="78" spans="2:7">
      <c r="B78" s="80" t="s">
        <v>72</v>
      </c>
      <c r="D78" s="3">
        <f>-('Income Statement'!I40+'Income Statement'!I30-'Income Statement'!I37)</f>
        <v>8561741.4000983126</v>
      </c>
      <c r="E78" s="159">
        <f>C29*1000000</f>
        <v>3540891.5599999996</v>
      </c>
      <c r="F78" s="32">
        <f>E78-D78</f>
        <v>-5020849.8400983131</v>
      </c>
      <c r="G78" s="408">
        <f>F78/1000000/$C$58/1000</f>
        <v>-7.6858885910953681E-3</v>
      </c>
    </row>
    <row r="79" spans="2:7">
      <c r="B79" s="80" t="s">
        <v>22</v>
      </c>
      <c r="D79" s="409">
        <f>C33</f>
        <v>1012.8987868761326</v>
      </c>
      <c r="E79" s="409">
        <f>E33</f>
        <v>1857.8190110243611</v>
      </c>
      <c r="F79" s="32">
        <f>E79-D79</f>
        <v>844.9202241482285</v>
      </c>
      <c r="G79" s="408">
        <f>C65/10000</f>
        <v>0.52829588003991079</v>
      </c>
    </row>
    <row r="82" spans="7:7">
      <c r="G82" s="408">
        <f>SUM(G75:G79)</f>
        <v>0.53759300754743045</v>
      </c>
    </row>
  </sheetData>
  <mergeCells count="8">
    <mergeCell ref="H51:N52"/>
    <mergeCell ref="C2:D2"/>
    <mergeCell ref="F2:G2"/>
    <mergeCell ref="C3:C4"/>
    <mergeCell ref="D3:D4"/>
    <mergeCell ref="E3:E4"/>
    <mergeCell ref="F3:F4"/>
    <mergeCell ref="G3:G4"/>
  </mergeCells>
  <pageMargins left="0.7" right="0.7" top="0.75" bottom="0.75" header="0.3" footer="0.3"/>
  <pageSetup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codeName="Sheet45">
    <pageSetUpPr fitToPage="1"/>
  </sheetPr>
  <dimension ref="A1:H75"/>
  <sheetViews>
    <sheetView tabSelected="1" topLeftCell="A6" workbookViewId="0">
      <selection activeCell="G55" sqref="G55"/>
    </sheetView>
  </sheetViews>
  <sheetFormatPr defaultColWidth="8.85546875" defaultRowHeight="15" outlineLevelRow="1"/>
  <cols>
    <col min="1" max="1" width="8.85546875" style="26"/>
    <col min="2" max="2" width="3" style="26" customWidth="1"/>
    <col min="3" max="3" width="1.7109375" style="26" customWidth="1"/>
    <col min="4" max="4" width="3.140625" style="26" customWidth="1"/>
    <col min="5" max="5" width="2.140625" style="26" customWidth="1"/>
    <col min="6" max="6" width="79.7109375" style="26" customWidth="1"/>
    <col min="7" max="7" width="1.7109375" style="26" customWidth="1"/>
    <col min="8" max="8" width="14.42578125" style="26" customWidth="1"/>
    <col min="9" max="16384" width="8.85546875" style="26"/>
  </cols>
  <sheetData>
    <row r="1" spans="1:8" hidden="1" outlineLevel="1">
      <c r="H1" s="2" t="str">
        <f>Contents!$B1</f>
        <v>The Narragansett Electric Company</v>
      </c>
    </row>
    <row r="2" spans="1:8" hidden="1" outlineLevel="1">
      <c r="H2" s="2" t="str">
        <f>Contents!$B2</f>
        <v>d/b/a National Grid</v>
      </c>
    </row>
    <row r="3" spans="1:8" hidden="1" outlineLevel="1">
      <c r="H3" s="2" t="str">
        <f>Contents!$B3</f>
        <v>RIPUC Docket No. 4770</v>
      </c>
    </row>
    <row r="4" spans="1:8" hidden="1" outlineLevel="1">
      <c r="H4" s="2" t="str">
        <f>Contents!$B4</f>
        <v>Gas Earnings Sharing Mechanism</v>
      </c>
    </row>
    <row r="5" spans="1:8" hidden="1" outlineLevel="1">
      <c r="H5" s="2"/>
    </row>
    <row r="6" spans="1:8" collapsed="1">
      <c r="H6" s="2" t="str">
        <f>Contents!$B6</f>
        <v>The Narragansett Electric Company</v>
      </c>
    </row>
    <row r="7" spans="1:8">
      <c r="H7" s="2" t="str">
        <f>Contents!$B7</f>
        <v>d/b/a Rhode Island Energy</v>
      </c>
    </row>
    <row r="8" spans="1:8">
      <c r="A8" s="33"/>
      <c r="B8" s="33"/>
      <c r="C8" s="33"/>
      <c r="D8" s="33"/>
      <c r="E8" s="33"/>
      <c r="F8" s="33"/>
      <c r="G8" s="33"/>
      <c r="H8" s="2" t="str">
        <f>Contents!$B8</f>
        <v>RIPUC Docket No. 4770</v>
      </c>
    </row>
    <row r="9" spans="1:8">
      <c r="H9" s="2" t="str">
        <f>Contents!$B9</f>
        <v>CY 2025 Gas Earnings Report</v>
      </c>
    </row>
    <row r="10" spans="1:8">
      <c r="H10" s="2" t="str">
        <f>Contents!$B10</f>
        <v>Schedule NECO-1</v>
      </c>
    </row>
    <row r="11" spans="1:8">
      <c r="H11" s="2" t="str">
        <f>Contents!$B11</f>
        <v>June 15, 2026</v>
      </c>
    </row>
    <row r="12" spans="1:8">
      <c r="H12" s="41" t="str">
        <f>VLOOKUP(C15,Index!A:C,3,FALSE)</f>
        <v>Page 14 of 15</v>
      </c>
    </row>
    <row r="13" spans="1:8">
      <c r="H13" s="113"/>
    </row>
    <row r="14" spans="1:8">
      <c r="C14" s="805" t="s">
        <v>471</v>
      </c>
      <c r="D14" s="805"/>
      <c r="E14" s="805"/>
      <c r="F14" s="805"/>
      <c r="G14" s="805"/>
      <c r="H14" s="805"/>
    </row>
    <row r="15" spans="1:8">
      <c r="C15" s="805" t="str">
        <f>Index!A35</f>
        <v>Reconciliation of Gas Earnings Sharing Mechanism to Annual Report</v>
      </c>
      <c r="D15" s="805"/>
      <c r="E15" s="805"/>
      <c r="F15" s="805"/>
      <c r="G15" s="805"/>
      <c r="H15" s="805"/>
    </row>
    <row r="16" spans="1:8">
      <c r="C16" s="805" t="str">
        <f>'Short-term Interest'!A17</f>
        <v>For the Twelve Months ended December 31, 2025</v>
      </c>
      <c r="D16" s="805"/>
      <c r="E16" s="805"/>
      <c r="F16" s="805"/>
      <c r="G16" s="805"/>
      <c r="H16" s="805"/>
    </row>
    <row r="17" spans="1:8">
      <c r="H17" s="113"/>
    </row>
    <row r="18" spans="1:8">
      <c r="H18" s="113"/>
    </row>
    <row r="19" spans="1:8">
      <c r="A19" s="7"/>
      <c r="B19" s="36">
        <v>1</v>
      </c>
      <c r="C19" s="23" t="s">
        <v>76</v>
      </c>
      <c r="H19" s="122"/>
    </row>
    <row r="20" spans="1:8">
      <c r="A20" s="7"/>
      <c r="B20" s="36">
        <f>B19+1</f>
        <v>2</v>
      </c>
      <c r="C20" s="7"/>
      <c r="D20" s="7" t="s">
        <v>472</v>
      </c>
      <c r="H20" s="28">
        <f>416783178+122380359+20928943</f>
        <v>560092480</v>
      </c>
    </row>
    <row r="21" spans="1:8">
      <c r="B21" s="36">
        <f>B20+1</f>
        <v>3</v>
      </c>
      <c r="D21" s="26">
        <v>1</v>
      </c>
      <c r="E21" s="26" t="s">
        <v>4314</v>
      </c>
      <c r="H21" s="92">
        <v>-2098984.7899999991</v>
      </c>
    </row>
    <row r="22" spans="1:8">
      <c r="B22" s="36">
        <f>B21+1</f>
        <v>4</v>
      </c>
      <c r="C22" s="7"/>
      <c r="D22" s="7" t="s">
        <v>473</v>
      </c>
      <c r="H22" s="612">
        <f>SUM(H20:H21)</f>
        <v>557993495.21000004</v>
      </c>
    </row>
    <row r="23" spans="1:8">
      <c r="B23" s="36">
        <f t="shared" ref="B23:B73" si="0">B22+1</f>
        <v>5</v>
      </c>
      <c r="C23" s="7"/>
      <c r="H23" s="122"/>
    </row>
    <row r="24" spans="1:8">
      <c r="B24" s="36">
        <f t="shared" si="0"/>
        <v>6</v>
      </c>
      <c r="D24" s="7" t="s">
        <v>474</v>
      </c>
      <c r="H24" s="28">
        <v>66027469</v>
      </c>
    </row>
    <row r="25" spans="1:8">
      <c r="B25" s="36">
        <f t="shared" si="0"/>
        <v>7</v>
      </c>
      <c r="D25" s="26">
        <v>1</v>
      </c>
      <c r="E25" s="26" t="s">
        <v>142</v>
      </c>
      <c r="H25" s="27">
        <v>232968.43000000017</v>
      </c>
    </row>
    <row r="26" spans="1:8">
      <c r="B26" s="36">
        <f t="shared" si="0"/>
        <v>8</v>
      </c>
      <c r="D26" s="7" t="s">
        <v>475</v>
      </c>
      <c r="H26" s="612">
        <f>SUM(H24:H25)</f>
        <v>66260437.43</v>
      </c>
    </row>
    <row r="27" spans="1:8">
      <c r="B27" s="36">
        <f t="shared" si="0"/>
        <v>9</v>
      </c>
      <c r="H27" s="113"/>
    </row>
    <row r="28" spans="1:8">
      <c r="B28" s="36">
        <f t="shared" si="0"/>
        <v>10</v>
      </c>
      <c r="D28" s="7" t="s">
        <v>476</v>
      </c>
      <c r="H28" s="28">
        <v>584122</v>
      </c>
    </row>
    <row r="29" spans="1:8">
      <c r="B29" s="36">
        <f t="shared" si="0"/>
        <v>11</v>
      </c>
      <c r="D29" s="7" t="s">
        <v>477</v>
      </c>
      <c r="E29" s="124"/>
      <c r="F29" s="124"/>
      <c r="G29" s="124"/>
      <c r="H29" s="28">
        <v>318364</v>
      </c>
    </row>
    <row r="30" spans="1:8">
      <c r="B30" s="36">
        <f t="shared" si="0"/>
        <v>12</v>
      </c>
      <c r="D30" s="7" t="s">
        <v>478</v>
      </c>
      <c r="E30" s="124"/>
      <c r="F30" s="124"/>
      <c r="G30" s="124"/>
      <c r="H30" s="28">
        <v>7196378</v>
      </c>
    </row>
    <row r="31" spans="1:8">
      <c r="B31" s="36">
        <f t="shared" si="0"/>
        <v>13</v>
      </c>
      <c r="D31" s="7" t="s">
        <v>479</v>
      </c>
      <c r="E31" s="123"/>
      <c r="F31" s="123"/>
      <c r="G31" s="123"/>
      <c r="H31" s="28">
        <v>-34874785</v>
      </c>
    </row>
    <row r="32" spans="1:8">
      <c r="B32" s="36">
        <f t="shared" si="0"/>
        <v>14</v>
      </c>
      <c r="D32" s="26">
        <v>1</v>
      </c>
      <c r="E32" s="123" t="s">
        <v>154</v>
      </c>
      <c r="F32" s="123"/>
      <c r="G32" s="123"/>
      <c r="H32" s="27">
        <v>2308463.2000943609</v>
      </c>
    </row>
    <row r="33" spans="2:8">
      <c r="B33" s="36">
        <f t="shared" si="0"/>
        <v>15</v>
      </c>
      <c r="D33" s="26">
        <f t="shared" ref="D33:D40" si="1">D32+1</f>
        <v>2</v>
      </c>
      <c r="E33" s="26" t="s">
        <v>152</v>
      </c>
      <c r="F33" s="123"/>
      <c r="G33" s="123"/>
      <c r="H33" s="27">
        <v>-1099519.5529665016</v>
      </c>
    </row>
    <row r="34" spans="2:8">
      <c r="B34" s="36">
        <f t="shared" si="0"/>
        <v>16</v>
      </c>
      <c r="D34" s="26">
        <f t="shared" si="1"/>
        <v>3</v>
      </c>
      <c r="E34" s="26" t="s">
        <v>137</v>
      </c>
      <c r="F34" s="123"/>
      <c r="G34" s="123"/>
      <c r="H34" s="27">
        <v>520058.66578970011</v>
      </c>
    </row>
    <row r="35" spans="2:8">
      <c r="B35" s="36">
        <f t="shared" si="0"/>
        <v>17</v>
      </c>
      <c r="D35" s="26">
        <f t="shared" si="1"/>
        <v>4</v>
      </c>
      <c r="E35" s="26" t="s">
        <v>6187</v>
      </c>
      <c r="F35" s="123"/>
      <c r="G35" s="123"/>
      <c r="H35" s="27">
        <v>-558221.90262529999</v>
      </c>
    </row>
    <row r="36" spans="2:8">
      <c r="B36" s="36">
        <f t="shared" si="0"/>
        <v>18</v>
      </c>
      <c r="D36" s="26">
        <f t="shared" si="1"/>
        <v>5</v>
      </c>
      <c r="E36" s="123" t="s">
        <v>148</v>
      </c>
      <c r="F36" s="123"/>
      <c r="G36" s="123"/>
      <c r="H36" s="113">
        <v>-26024082.550000001</v>
      </c>
    </row>
    <row r="37" spans="2:8">
      <c r="B37" s="36">
        <f t="shared" si="0"/>
        <v>19</v>
      </c>
      <c r="C37" s="7"/>
      <c r="D37" s="26">
        <f t="shared" si="1"/>
        <v>6</v>
      </c>
      <c r="E37" s="123" t="s">
        <v>144</v>
      </c>
      <c r="F37" s="123"/>
      <c r="G37" s="123"/>
      <c r="H37" s="113">
        <v>23965319.710000001</v>
      </c>
    </row>
    <row r="38" spans="2:8">
      <c r="B38" s="36">
        <f t="shared" si="0"/>
        <v>20</v>
      </c>
      <c r="D38" s="26">
        <f t="shared" si="1"/>
        <v>7</v>
      </c>
      <c r="E38" s="123" t="s">
        <v>480</v>
      </c>
      <c r="F38" s="123"/>
      <c r="G38" s="123"/>
      <c r="H38" s="113">
        <v>-118775.62</v>
      </c>
    </row>
    <row r="39" spans="2:8">
      <c r="B39" s="36">
        <f t="shared" si="0"/>
        <v>21</v>
      </c>
      <c r="D39" s="26">
        <f t="shared" si="1"/>
        <v>8</v>
      </c>
      <c r="E39" s="123" t="s">
        <v>321</v>
      </c>
      <c r="F39" s="123"/>
      <c r="G39" s="123"/>
      <c r="H39" s="27">
        <v>-318364</v>
      </c>
    </row>
    <row r="40" spans="2:8">
      <c r="B40" s="36">
        <f t="shared" si="0"/>
        <v>22</v>
      </c>
      <c r="D40" s="26">
        <f t="shared" si="1"/>
        <v>9</v>
      </c>
      <c r="E40" s="123" t="s">
        <v>6192</v>
      </c>
      <c r="F40" s="123"/>
      <c r="G40" s="123"/>
      <c r="H40" s="27">
        <v>18399</v>
      </c>
    </row>
    <row r="41" spans="2:8">
      <c r="B41" s="36">
        <f t="shared" si="0"/>
        <v>23</v>
      </c>
      <c r="D41" s="7" t="s">
        <v>481</v>
      </c>
      <c r="E41" s="123"/>
      <c r="F41" s="123"/>
      <c r="G41" s="123"/>
      <c r="H41" s="613">
        <f>SUM(H28:H40)</f>
        <v>-28082644.049707744</v>
      </c>
    </row>
    <row r="42" spans="2:8">
      <c r="B42" s="36">
        <f t="shared" si="0"/>
        <v>24</v>
      </c>
      <c r="E42" s="123"/>
      <c r="F42" s="123"/>
      <c r="G42" s="123"/>
      <c r="H42" s="113"/>
    </row>
    <row r="43" spans="2:8">
      <c r="B43" s="36">
        <f t="shared" si="0"/>
        <v>25</v>
      </c>
      <c r="D43" s="7" t="s">
        <v>482</v>
      </c>
      <c r="E43" s="123"/>
      <c r="F43" s="123"/>
      <c r="G43" s="123"/>
      <c r="H43" s="612">
        <v>-1263056.7291742233</v>
      </c>
    </row>
    <row r="44" spans="2:8">
      <c r="B44" s="36">
        <f t="shared" si="0"/>
        <v>26</v>
      </c>
      <c r="E44" s="123"/>
      <c r="F44" s="123"/>
      <c r="G44" s="123"/>
      <c r="H44" s="113"/>
    </row>
    <row r="45" spans="2:8">
      <c r="B45" s="36">
        <f t="shared" si="0"/>
        <v>27</v>
      </c>
      <c r="E45" s="123"/>
      <c r="F45" s="123"/>
      <c r="G45" s="123"/>
      <c r="H45" s="122"/>
    </row>
    <row r="46" spans="2:8">
      <c r="B46" s="36">
        <f t="shared" si="0"/>
        <v>28</v>
      </c>
      <c r="C46" s="23" t="s">
        <v>92</v>
      </c>
      <c r="E46" s="123"/>
      <c r="F46" s="123"/>
      <c r="G46" s="123"/>
      <c r="H46" s="113"/>
    </row>
    <row r="47" spans="2:8">
      <c r="B47" s="36">
        <f t="shared" si="0"/>
        <v>29</v>
      </c>
      <c r="C47" s="23"/>
      <c r="D47" s="7" t="s">
        <v>483</v>
      </c>
      <c r="E47" s="123"/>
      <c r="F47" s="123"/>
      <c r="G47" s="123"/>
      <c r="H47" s="28">
        <v>216780139</v>
      </c>
    </row>
    <row r="48" spans="2:8">
      <c r="B48" s="36">
        <f t="shared" si="0"/>
        <v>30</v>
      </c>
      <c r="C48" s="23"/>
      <c r="D48" s="7" t="s">
        <v>484</v>
      </c>
      <c r="E48" s="123"/>
      <c r="F48" s="123"/>
      <c r="G48" s="123"/>
      <c r="H48" s="612">
        <f>H47</f>
        <v>216780139</v>
      </c>
    </row>
    <row r="49" spans="2:8">
      <c r="B49" s="36">
        <f t="shared" si="0"/>
        <v>31</v>
      </c>
      <c r="C49" s="23"/>
      <c r="E49" s="123"/>
      <c r="F49" s="123"/>
      <c r="G49" s="123"/>
      <c r="H49" s="113"/>
    </row>
    <row r="50" spans="2:8">
      <c r="B50" s="36">
        <f t="shared" si="0"/>
        <v>32</v>
      </c>
      <c r="C50" s="23"/>
      <c r="D50" s="7" t="s">
        <v>485</v>
      </c>
      <c r="E50" s="123"/>
      <c r="F50" s="123"/>
      <c r="G50" s="123"/>
      <c r="H50" s="28">
        <v>3635233</v>
      </c>
    </row>
    <row r="51" spans="2:8">
      <c r="B51" s="36">
        <f t="shared" si="0"/>
        <v>33</v>
      </c>
      <c r="C51" s="23"/>
      <c r="D51" s="7" t="s">
        <v>486</v>
      </c>
      <c r="E51" s="123"/>
      <c r="F51" s="123"/>
      <c r="G51" s="123"/>
      <c r="H51" s="612">
        <f>H50</f>
        <v>3635233</v>
      </c>
    </row>
    <row r="52" spans="2:8">
      <c r="B52" s="36">
        <f t="shared" si="0"/>
        <v>34</v>
      </c>
      <c r="C52" s="23"/>
      <c r="E52" s="123"/>
      <c r="F52" s="123"/>
      <c r="G52" s="123"/>
      <c r="H52" s="113"/>
    </row>
    <row r="53" spans="2:8">
      <c r="B53" s="36">
        <f t="shared" si="0"/>
        <v>35</v>
      </c>
      <c r="C53" s="23"/>
      <c r="D53" s="7" t="s">
        <v>487</v>
      </c>
      <c r="E53" s="123"/>
      <c r="F53" s="123"/>
      <c r="G53" s="123"/>
      <c r="H53" s="28">
        <v>0</v>
      </c>
    </row>
    <row r="54" spans="2:8">
      <c r="B54" s="36">
        <f t="shared" si="0"/>
        <v>36</v>
      </c>
      <c r="C54" s="23"/>
      <c r="D54" s="7" t="s">
        <v>488</v>
      </c>
      <c r="E54" s="123"/>
      <c r="F54" s="123"/>
      <c r="G54" s="123"/>
      <c r="H54" s="612">
        <f>H53</f>
        <v>0</v>
      </c>
    </row>
    <row r="55" spans="2:8">
      <c r="B55" s="36">
        <f t="shared" si="0"/>
        <v>37</v>
      </c>
      <c r="C55" s="23"/>
      <c r="E55" s="123"/>
      <c r="F55" s="123"/>
      <c r="G55" s="123"/>
      <c r="H55" s="113"/>
    </row>
    <row r="56" spans="2:8">
      <c r="B56" s="36">
        <f t="shared" si="0"/>
        <v>38</v>
      </c>
      <c r="C56" s="23"/>
      <c r="D56" s="7" t="s">
        <v>489</v>
      </c>
      <c r="E56" s="123"/>
      <c r="F56" s="123"/>
      <c r="G56" s="123"/>
      <c r="H56" s="28">
        <v>57579062</v>
      </c>
    </row>
    <row r="57" spans="2:8">
      <c r="B57" s="36">
        <f t="shared" si="0"/>
        <v>39</v>
      </c>
      <c r="C57" s="23"/>
      <c r="D57" s="7" t="s">
        <v>490</v>
      </c>
      <c r="E57" s="123"/>
      <c r="F57" s="123"/>
      <c r="G57" s="123"/>
      <c r="H57" s="612">
        <f>SUM(H56:H56)</f>
        <v>57579062</v>
      </c>
    </row>
    <row r="58" spans="2:8">
      <c r="B58" s="36">
        <f t="shared" si="0"/>
        <v>40</v>
      </c>
      <c r="C58" s="23"/>
      <c r="E58" s="123"/>
      <c r="F58" s="123"/>
      <c r="G58" s="123"/>
      <c r="H58" s="113"/>
    </row>
    <row r="59" spans="2:8">
      <c r="B59" s="36">
        <f t="shared" si="0"/>
        <v>41</v>
      </c>
      <c r="D59" s="7" t="s">
        <v>491</v>
      </c>
      <c r="E59" s="123"/>
      <c r="F59" s="123"/>
      <c r="G59" s="123"/>
      <c r="H59" s="28">
        <v>22868818</v>
      </c>
    </row>
    <row r="60" spans="2:8">
      <c r="B60" s="36">
        <f t="shared" si="0"/>
        <v>42</v>
      </c>
      <c r="D60" s="7" t="s">
        <v>492</v>
      </c>
      <c r="E60" s="123"/>
      <c r="F60" s="123"/>
      <c r="G60" s="123"/>
      <c r="H60" s="28">
        <v>47426353</v>
      </c>
    </row>
    <row r="61" spans="2:8">
      <c r="B61" s="36">
        <f t="shared" si="0"/>
        <v>43</v>
      </c>
      <c r="D61" s="26">
        <v>1</v>
      </c>
      <c r="E61" s="123" t="s">
        <v>493</v>
      </c>
      <c r="F61" s="123"/>
      <c r="G61" s="123"/>
      <c r="H61" s="27">
        <v>-13180649</v>
      </c>
    </row>
    <row r="62" spans="2:8">
      <c r="B62" s="36">
        <f t="shared" si="0"/>
        <v>44</v>
      </c>
      <c r="D62" s="26">
        <f>D61+1</f>
        <v>2</v>
      </c>
      <c r="E62" s="123" t="s">
        <v>494</v>
      </c>
      <c r="F62" s="123"/>
      <c r="G62" s="123"/>
      <c r="H62" s="27">
        <v>18126027.449999996</v>
      </c>
    </row>
    <row r="63" spans="2:8">
      <c r="B63" s="36">
        <f t="shared" si="0"/>
        <v>45</v>
      </c>
      <c r="D63" s="26">
        <v>3</v>
      </c>
      <c r="E63" s="123" t="s">
        <v>6195</v>
      </c>
      <c r="F63" s="123"/>
      <c r="G63" s="123"/>
      <c r="H63" s="27">
        <v>-6411648</v>
      </c>
    </row>
    <row r="64" spans="2:8">
      <c r="B64" s="36">
        <f t="shared" si="0"/>
        <v>46</v>
      </c>
      <c r="D64" s="7" t="s">
        <v>495</v>
      </c>
      <c r="E64" s="123"/>
      <c r="F64" s="123"/>
      <c r="G64" s="123"/>
      <c r="H64" s="612">
        <f>SUM(H59:H63)</f>
        <v>68828901.449999988</v>
      </c>
    </row>
    <row r="65" spans="2:8">
      <c r="B65" s="36">
        <f t="shared" si="0"/>
        <v>47</v>
      </c>
      <c r="C65" s="23"/>
      <c r="E65" s="123"/>
      <c r="F65" s="123"/>
      <c r="G65" s="123"/>
      <c r="H65" s="27"/>
    </row>
    <row r="66" spans="2:8">
      <c r="B66" s="36">
        <f t="shared" si="0"/>
        <v>48</v>
      </c>
      <c r="C66" s="23"/>
      <c r="D66" s="7" t="s">
        <v>496</v>
      </c>
      <c r="E66" s="123"/>
      <c r="F66" s="123"/>
      <c r="G66" s="123"/>
      <c r="H66" s="28">
        <v>221722</v>
      </c>
    </row>
    <row r="67" spans="2:8">
      <c r="B67" s="36">
        <f t="shared" si="0"/>
        <v>49</v>
      </c>
      <c r="C67" s="23"/>
      <c r="D67" s="26">
        <v>1</v>
      </c>
      <c r="E67" s="123" t="s">
        <v>497</v>
      </c>
      <c r="F67" s="123"/>
      <c r="G67" s="123"/>
      <c r="H67" s="27">
        <f>-H66</f>
        <v>-221722</v>
      </c>
    </row>
    <row r="68" spans="2:8">
      <c r="B68" s="36">
        <f t="shared" si="0"/>
        <v>50</v>
      </c>
      <c r="C68" s="23"/>
      <c r="D68" s="7" t="s">
        <v>498</v>
      </c>
      <c r="E68" s="123"/>
      <c r="F68" s="123"/>
      <c r="G68" s="123"/>
      <c r="H68" s="612">
        <f>SUM(H66:H67)</f>
        <v>0</v>
      </c>
    </row>
    <row r="69" spans="2:8">
      <c r="B69" s="36">
        <f t="shared" si="0"/>
        <v>51</v>
      </c>
      <c r="C69" s="23"/>
      <c r="E69" s="123"/>
      <c r="F69" s="123"/>
      <c r="G69" s="123"/>
      <c r="H69" s="113"/>
    </row>
    <row r="70" spans="2:8">
      <c r="B70" s="36">
        <f t="shared" si="0"/>
        <v>52</v>
      </c>
      <c r="C70" s="23"/>
      <c r="D70" s="7" t="s">
        <v>499</v>
      </c>
      <c r="E70" s="123"/>
      <c r="F70" s="123"/>
      <c r="G70" s="123"/>
      <c r="H70" s="28">
        <v>45675172</v>
      </c>
    </row>
    <row r="71" spans="2:8">
      <c r="B71" s="36">
        <f t="shared" si="0"/>
        <v>53</v>
      </c>
      <c r="C71" s="23"/>
      <c r="D71" s="26">
        <v>1</v>
      </c>
      <c r="E71" s="123" t="s">
        <v>500</v>
      </c>
      <c r="F71" s="123"/>
      <c r="G71" s="123"/>
      <c r="H71" s="27">
        <v>-3936340.5399999996</v>
      </c>
    </row>
    <row r="72" spans="2:8">
      <c r="B72" s="36">
        <f t="shared" si="0"/>
        <v>54</v>
      </c>
      <c r="C72" s="23"/>
      <c r="D72" s="26">
        <v>2</v>
      </c>
      <c r="E72" s="792" t="s">
        <v>6193</v>
      </c>
      <c r="F72" s="123"/>
      <c r="G72" s="123"/>
      <c r="H72" s="27">
        <v>-9769986.3200000003</v>
      </c>
    </row>
    <row r="73" spans="2:8">
      <c r="B73" s="36">
        <f t="shared" si="0"/>
        <v>55</v>
      </c>
      <c r="D73" s="26">
        <v>3</v>
      </c>
      <c r="E73" s="123" t="s">
        <v>6194</v>
      </c>
      <c r="F73" s="123"/>
      <c r="G73" s="123"/>
      <c r="H73" s="27">
        <v>-3685262</v>
      </c>
    </row>
    <row r="74" spans="2:8">
      <c r="B74" s="36">
        <f>B73+1</f>
        <v>56</v>
      </c>
      <c r="C74" s="23"/>
      <c r="D74" s="7" t="s">
        <v>501</v>
      </c>
      <c r="E74" s="123"/>
      <c r="F74" s="123"/>
      <c r="G74" s="123"/>
      <c r="H74" s="612">
        <f>SUM(H70:H73)</f>
        <v>28283583.140000001</v>
      </c>
    </row>
    <row r="75" spans="2:8">
      <c r="C75" s="23"/>
      <c r="E75" s="123"/>
      <c r="F75" s="123"/>
      <c r="G75" s="123"/>
      <c r="H75" s="113"/>
    </row>
  </sheetData>
  <mergeCells count="3">
    <mergeCell ref="C14:H14"/>
    <mergeCell ref="C15:H15"/>
    <mergeCell ref="C16:H16"/>
  </mergeCells>
  <pageMargins left="0.7" right="0.7" top="0.75" bottom="0.75" header="0.3" footer="0.3"/>
  <pageSetup scale="68" orientation="portrait" horizontalDpi="1200" verticalDpi="1200"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CD5C65-D69E-43A8-A405-4BBC0F2F1083}">
  <sheetPr>
    <pageSetUpPr fitToPage="1"/>
  </sheetPr>
  <dimension ref="A1:L77"/>
  <sheetViews>
    <sheetView workbookViewId="0">
      <selection activeCell="G55" sqref="G55"/>
    </sheetView>
  </sheetViews>
  <sheetFormatPr defaultRowHeight="15"/>
  <cols>
    <col min="1" max="1" width="5.140625" style="741" customWidth="1"/>
    <col min="2" max="2" width="47.7109375" style="742" customWidth="1"/>
    <col min="3" max="3" width="29.85546875" style="741" customWidth="1"/>
    <col min="4" max="6" width="15.7109375" style="741" customWidth="1"/>
    <col min="7" max="7" width="19" style="741" customWidth="1"/>
    <col min="8" max="8" width="15.7109375" style="741" customWidth="1"/>
    <col min="9" max="9" width="19.140625" style="741" customWidth="1"/>
    <col min="10" max="16" width="15.7109375" style="741" customWidth="1"/>
    <col min="17" max="16384" width="9.140625" style="741"/>
  </cols>
  <sheetData>
    <row r="1" spans="1:9">
      <c r="I1" s="2" t="str">
        <f>Contents!$B6</f>
        <v>The Narragansett Electric Company</v>
      </c>
    </row>
    <row r="2" spans="1:9">
      <c r="I2" s="2" t="str">
        <f>Contents!$B7</f>
        <v>d/b/a Rhode Island Energy</v>
      </c>
    </row>
    <row r="3" spans="1:9">
      <c r="I3" s="2" t="str">
        <f>Contents!$B8</f>
        <v>RIPUC Docket No. 4770</v>
      </c>
    </row>
    <row r="4" spans="1:9">
      <c r="I4" s="2" t="str">
        <f>Contents!$B9</f>
        <v>CY 2025 Gas Earnings Report</v>
      </c>
    </row>
    <row r="5" spans="1:9">
      <c r="A5" s="741" t="s">
        <v>0</v>
      </c>
      <c r="I5" s="2" t="str">
        <f>Contents!$B10</f>
        <v>Schedule NECO-1</v>
      </c>
    </row>
    <row r="6" spans="1:9">
      <c r="A6" s="741" t="s">
        <v>4</v>
      </c>
      <c r="I6" s="2" t="str">
        <f>Contents!$B11</f>
        <v>June 15, 2026</v>
      </c>
    </row>
    <row r="7" spans="1:9">
      <c r="A7" s="741" t="s">
        <v>6154</v>
      </c>
      <c r="I7" s="41" t="str">
        <f>+Index!C36</f>
        <v>Page 15 of 15</v>
      </c>
    </row>
    <row r="8" spans="1:9">
      <c r="A8" s="741" t="s">
        <v>502</v>
      </c>
    </row>
    <row r="10" spans="1:9" ht="156.75" customHeight="1">
      <c r="B10" s="814" t="s">
        <v>503</v>
      </c>
      <c r="C10" s="814"/>
      <c r="D10" s="814"/>
      <c r="E10" s="814"/>
      <c r="F10" s="814"/>
      <c r="G10" s="814"/>
      <c r="H10" s="814"/>
      <c r="I10" s="814"/>
    </row>
    <row r="12" spans="1:9" s="743" customFormat="1">
      <c r="B12" s="744" t="s">
        <v>504</v>
      </c>
      <c r="C12" s="745"/>
      <c r="D12" s="36" t="s">
        <v>73</v>
      </c>
      <c r="E12" s="36" t="s">
        <v>74</v>
      </c>
      <c r="F12" s="36" t="s">
        <v>75</v>
      </c>
      <c r="G12" s="36" t="s">
        <v>247</v>
      </c>
      <c r="H12" s="36" t="s">
        <v>248</v>
      </c>
      <c r="I12" s="36" t="s">
        <v>249</v>
      </c>
    </row>
    <row r="13" spans="1:9" s="743" customFormat="1"/>
    <row r="14" spans="1:9" s="743" customFormat="1">
      <c r="A14" s="743">
        <v>1</v>
      </c>
      <c r="B14" s="746" t="s">
        <v>505</v>
      </c>
      <c r="C14" s="747"/>
      <c r="D14" s="777">
        <v>0.21</v>
      </c>
    </row>
    <row r="15" spans="1:9" s="743" customFormat="1">
      <c r="B15" s="746"/>
      <c r="C15" s="747"/>
      <c r="D15" s="778"/>
    </row>
    <row r="16" spans="1:9" s="743" customFormat="1" ht="30">
      <c r="B16" s="746"/>
      <c r="C16" s="747"/>
      <c r="D16" s="779" t="s">
        <v>6155</v>
      </c>
      <c r="E16" s="780" t="s">
        <v>6156</v>
      </c>
      <c r="F16" s="780" t="s">
        <v>6157</v>
      </c>
      <c r="G16" s="780" t="s">
        <v>6158</v>
      </c>
    </row>
    <row r="17" spans="1:9" s="743" customFormat="1">
      <c r="B17" s="748"/>
      <c r="C17" s="749"/>
      <c r="D17" s="750"/>
      <c r="G17" s="781" t="s">
        <v>6159</v>
      </c>
    </row>
    <row r="18" spans="1:9" s="743" customFormat="1">
      <c r="A18" s="743">
        <f>+A14+1</f>
        <v>2</v>
      </c>
      <c r="B18" s="746" t="s">
        <v>506</v>
      </c>
      <c r="C18" s="747"/>
      <c r="D18" s="782">
        <f>+'Cap Int Pref'!D31</f>
        <v>0.48349999999999999</v>
      </c>
      <c r="E18" s="785">
        <f>+'Cap Int Pref'!E40</f>
        <v>4.4600000000000001E-2</v>
      </c>
      <c r="F18" s="785">
        <f>+D18/(D18+D19)*E18</f>
        <v>4.4053319713993871E-2</v>
      </c>
    </row>
    <row r="19" spans="1:9" s="743" customFormat="1" ht="15" customHeight="1">
      <c r="A19" s="743">
        <f>+A18+1</f>
        <v>3</v>
      </c>
      <c r="B19" s="746" t="s">
        <v>507</v>
      </c>
      <c r="C19" s="747"/>
      <c r="D19" s="782">
        <v>6.0000000000000001E-3</v>
      </c>
      <c r="E19" s="785">
        <f>+'Cap Int Pref'!E48</f>
        <v>4.3900000000000002E-2</v>
      </c>
      <c r="F19" s="785">
        <f>+D19/(D18+D19)*E19</f>
        <v>5.3810010214504602E-4</v>
      </c>
    </row>
    <row r="20" spans="1:9" s="743" customFormat="1">
      <c r="A20" s="743">
        <f>+A19+1</f>
        <v>4</v>
      </c>
      <c r="B20" s="746" t="s">
        <v>508</v>
      </c>
      <c r="C20" s="747" t="s">
        <v>509</v>
      </c>
      <c r="D20" s="783">
        <f>SUM(D18:D19)</f>
        <v>0.48949999999999999</v>
      </c>
      <c r="F20" s="787">
        <f>ROUND(+F18+F19,8)</f>
        <v>4.459142E-2</v>
      </c>
      <c r="G20" s="788">
        <f>+(D20*F20)</f>
        <v>2.182750009E-2</v>
      </c>
    </row>
    <row r="21" spans="1:9" s="743" customFormat="1">
      <c r="A21" s="743">
        <f>+A20+1</f>
        <v>5</v>
      </c>
      <c r="B21" s="746" t="s">
        <v>510</v>
      </c>
      <c r="D21" s="786">
        <f>+'Cap Int Pref'!D32</f>
        <v>1E-3</v>
      </c>
      <c r="F21" s="787">
        <v>4.4999999999999998E-2</v>
      </c>
      <c r="G21" s="788">
        <f>+(D21*F21)</f>
        <v>4.4999999999999996E-5</v>
      </c>
    </row>
    <row r="22" spans="1:9" s="743" customFormat="1">
      <c r="A22" s="743">
        <f>+A21+1</f>
        <v>6</v>
      </c>
      <c r="B22" s="746" t="s">
        <v>46</v>
      </c>
      <c r="D22" s="786">
        <f>+'Cap Int Pref'!D33</f>
        <v>0.50949999999999995</v>
      </c>
      <c r="F22" s="787">
        <v>9.2749999999999999E-2</v>
      </c>
      <c r="G22" s="788">
        <f>+(D22*F22)</f>
        <v>4.7256124999999996E-2</v>
      </c>
    </row>
    <row r="23" spans="1:9" s="743" customFormat="1">
      <c r="A23" s="743">
        <f>+A22+1</f>
        <v>7</v>
      </c>
      <c r="B23" s="746" t="s">
        <v>188</v>
      </c>
      <c r="C23" s="747" t="s">
        <v>511</v>
      </c>
      <c r="D23" s="784">
        <f>SUM(D20:D22)</f>
        <v>1</v>
      </c>
    </row>
    <row r="24" spans="1:9" s="743" customFormat="1">
      <c r="B24" s="746"/>
    </row>
    <row r="25" spans="1:9" s="743" customFormat="1">
      <c r="A25" s="107">
        <f>+A23+1</f>
        <v>8</v>
      </c>
      <c r="B25" s="746" t="s">
        <v>513</v>
      </c>
      <c r="C25" s="743" t="s">
        <v>6160</v>
      </c>
      <c r="D25" s="751"/>
      <c r="G25" s="789">
        <f>ROUND(SUM(G20:G24),8)</f>
        <v>6.9128629999999996E-2</v>
      </c>
    </row>
    <row r="26" spans="1:9" s="743" customFormat="1" ht="30">
      <c r="A26" s="107">
        <f>+A25+1</f>
        <v>9</v>
      </c>
      <c r="B26" s="746" t="s">
        <v>6161</v>
      </c>
      <c r="C26" s="747" t="s">
        <v>6162</v>
      </c>
      <c r="G26" s="789">
        <f>+ROUND((+G22)*D14/(1-D14),8)</f>
        <v>1.256175E-2</v>
      </c>
    </row>
    <row r="27" spans="1:9" s="743" customFormat="1">
      <c r="A27" s="107">
        <f>+A26+1</f>
        <v>10</v>
      </c>
      <c r="B27" s="746" t="s">
        <v>512</v>
      </c>
      <c r="C27" s="747" t="s">
        <v>6163</v>
      </c>
      <c r="G27" s="787">
        <f>+ROUND(G25+G26,8)</f>
        <v>8.1690380000000007E-2</v>
      </c>
    </row>
    <row r="28" spans="1:9" s="743" customFormat="1">
      <c r="A28" s="107"/>
      <c r="B28" s="746"/>
      <c r="C28" s="747"/>
      <c r="G28" s="790"/>
    </row>
    <row r="29" spans="1:9" s="743" customFormat="1"/>
    <row r="30" spans="1:9" s="743" customFormat="1" ht="29.25" customHeight="1">
      <c r="B30" s="815" t="s">
        <v>514</v>
      </c>
      <c r="C30" s="815"/>
    </row>
    <row r="31" spans="1:9" s="743" customFormat="1">
      <c r="D31" s="752" t="s">
        <v>8</v>
      </c>
      <c r="E31" s="752" t="s">
        <v>9</v>
      </c>
      <c r="F31" s="743" t="s">
        <v>10</v>
      </c>
      <c r="G31" s="743" t="s">
        <v>11</v>
      </c>
      <c r="H31" s="743" t="s">
        <v>8</v>
      </c>
    </row>
    <row r="32" spans="1:9" s="743" customFormat="1">
      <c r="D32" s="753">
        <v>2024</v>
      </c>
      <c r="E32" s="753">
        <f>+D32+1</f>
        <v>2025</v>
      </c>
      <c r="F32" s="753">
        <f>+E32</f>
        <v>2025</v>
      </c>
      <c r="G32" s="753">
        <f>+F32</f>
        <v>2025</v>
      </c>
      <c r="H32" s="753">
        <f>+G32</f>
        <v>2025</v>
      </c>
      <c r="I32" s="754" t="s">
        <v>515</v>
      </c>
    </row>
    <row r="33" spans="1:12" s="743" customFormat="1">
      <c r="D33" s="36" t="s">
        <v>73</v>
      </c>
      <c r="E33" s="36" t="s">
        <v>74</v>
      </c>
      <c r="F33" s="36" t="s">
        <v>75</v>
      </c>
      <c r="G33" s="36" t="s">
        <v>247</v>
      </c>
      <c r="H33" s="36" t="s">
        <v>248</v>
      </c>
      <c r="I33" s="743" t="s">
        <v>516</v>
      </c>
    </row>
    <row r="34" spans="1:12" s="743" customFormat="1">
      <c r="D34" s="36"/>
      <c r="E34" s="36"/>
      <c r="F34" s="36"/>
      <c r="G34" s="36"/>
      <c r="H34" s="36"/>
    </row>
    <row r="35" spans="1:12">
      <c r="A35" s="36">
        <f>+A27+1</f>
        <v>11</v>
      </c>
      <c r="B35" s="742" t="s">
        <v>517</v>
      </c>
      <c r="C35" s="747"/>
      <c r="D35" s="755">
        <v>-26888136.687300172</v>
      </c>
      <c r="E35" s="755">
        <v>-28978166.030100137</v>
      </c>
      <c r="F35" s="755">
        <v>-31068195.372900151</v>
      </c>
      <c r="G35" s="755">
        <v>-33158224.715700164</v>
      </c>
      <c r="H35" s="755">
        <v>-35248254.058500126</v>
      </c>
      <c r="I35" s="756">
        <f>AVERAGE(D35:H35)</f>
        <v>-31068195.372900151</v>
      </c>
    </row>
    <row r="36" spans="1:12">
      <c r="A36" s="36">
        <f>+A35+1</f>
        <v>12</v>
      </c>
      <c r="B36" s="742" t="s">
        <v>518</v>
      </c>
      <c r="C36" s="747"/>
      <c r="D36" s="757">
        <v>-195378328.38422146</v>
      </c>
      <c r="E36" s="757">
        <v>-195774993.1765646</v>
      </c>
      <c r="F36" s="757">
        <v>-196171657.96890774</v>
      </c>
      <c r="G36" s="757">
        <v>-196568322.76125091</v>
      </c>
      <c r="H36" s="757">
        <v>-196964987.55359405</v>
      </c>
      <c r="I36" s="756">
        <f>AVERAGE(D36:H36)</f>
        <v>-196171657.96890777</v>
      </c>
    </row>
    <row r="37" spans="1:12" ht="15.75" thickBot="1">
      <c r="A37" s="36">
        <f>+A36+1</f>
        <v>13</v>
      </c>
      <c r="B37" s="742" t="s">
        <v>519</v>
      </c>
      <c r="C37" s="747" t="s">
        <v>520</v>
      </c>
      <c r="D37" s="758">
        <f t="shared" ref="D37:I37" si="0">+D35-D36</f>
        <v>168490191.69692129</v>
      </c>
      <c r="E37" s="758">
        <f t="shared" si="0"/>
        <v>166796827.14646447</v>
      </c>
      <c r="F37" s="758">
        <f t="shared" si="0"/>
        <v>165103462.59600759</v>
      </c>
      <c r="G37" s="758">
        <f t="shared" si="0"/>
        <v>163410098.04555076</v>
      </c>
      <c r="H37" s="758">
        <f t="shared" si="0"/>
        <v>161716733.49509394</v>
      </c>
      <c r="I37" s="758">
        <f t="shared" si="0"/>
        <v>165103462.59600762</v>
      </c>
    </row>
    <row r="38" spans="1:12" ht="15.75" thickTop="1">
      <c r="B38" s="741"/>
      <c r="D38" s="755"/>
      <c r="E38" s="755"/>
    </row>
    <row r="39" spans="1:12">
      <c r="B39" s="741"/>
      <c r="D39" s="755"/>
      <c r="E39" s="755"/>
    </row>
    <row r="40" spans="1:12" s="26" customFormat="1" ht="129">
      <c r="A40" s="36"/>
      <c r="C40" s="91"/>
      <c r="D40" s="759" t="s">
        <v>521</v>
      </c>
      <c r="E40" s="760" t="s">
        <v>522</v>
      </c>
      <c r="F40" s="761" t="s">
        <v>190</v>
      </c>
    </row>
    <row r="41" spans="1:12" s="26" customFormat="1">
      <c r="A41" s="36"/>
      <c r="C41" s="91"/>
      <c r="D41" s="36" t="s">
        <v>73</v>
      </c>
      <c r="E41" s="36" t="s">
        <v>74</v>
      </c>
      <c r="F41" s="36" t="s">
        <v>523</v>
      </c>
    </row>
    <row r="42" spans="1:12" s="26" customFormat="1">
      <c r="A42" s="36"/>
      <c r="C42" s="91"/>
    </row>
    <row r="43" spans="1:12" s="26" customFormat="1">
      <c r="A43" s="36">
        <f>+A37+1</f>
        <v>14</v>
      </c>
      <c r="B43" s="26" t="s">
        <v>524</v>
      </c>
      <c r="C43" s="91" t="s">
        <v>6164</v>
      </c>
      <c r="D43" s="113">
        <f>-I35</f>
        <v>31068195.372900151</v>
      </c>
      <c r="E43" s="113">
        <f>-I35</f>
        <v>31068195.372900151</v>
      </c>
      <c r="F43" s="113">
        <f>+D43-E43</f>
        <v>0</v>
      </c>
      <c r="K43" s="113"/>
    </row>
    <row r="44" spans="1:12" s="26" customFormat="1">
      <c r="A44" s="36">
        <f>+A43+1</f>
        <v>15</v>
      </c>
      <c r="B44" s="26" t="s">
        <v>525</v>
      </c>
      <c r="C44" s="762" t="s">
        <v>6165</v>
      </c>
      <c r="D44" s="113">
        <v>0</v>
      </c>
      <c r="E44" s="113">
        <f>-I37</f>
        <v>-165103462.59600762</v>
      </c>
      <c r="F44" s="113">
        <f>+D44-E44</f>
        <v>165103462.59600762</v>
      </c>
    </row>
    <row r="45" spans="1:12" s="26" customFormat="1">
      <c r="A45" s="36">
        <f>+A44+1</f>
        <v>16</v>
      </c>
      <c r="B45" s="7" t="s">
        <v>233</v>
      </c>
      <c r="C45" s="763" t="s">
        <v>6166</v>
      </c>
      <c r="D45" s="764">
        <f>D43+D44</f>
        <v>31068195.372900151</v>
      </c>
      <c r="E45" s="764">
        <f>E43+E44</f>
        <v>-134035267.22310746</v>
      </c>
      <c r="F45" s="764">
        <f>+D45-E45</f>
        <v>165103462.59600762</v>
      </c>
    </row>
    <row r="46" spans="1:12" s="26" customFormat="1">
      <c r="A46" s="36"/>
      <c r="C46" s="91"/>
      <c r="H46" s="765"/>
    </row>
    <row r="47" spans="1:12" s="26" customFormat="1">
      <c r="A47" s="36">
        <f>+A45+1</f>
        <v>17</v>
      </c>
      <c r="B47" s="26" t="s">
        <v>526</v>
      </c>
      <c r="C47" s="91" t="s">
        <v>6167</v>
      </c>
      <c r="D47" s="113">
        <f>D45*G20</f>
        <v>678141.03729811567</v>
      </c>
      <c r="E47" s="113">
        <f>E45*G20</f>
        <v>-2925654.8073755521</v>
      </c>
      <c r="F47" s="113">
        <f>+D47-E47</f>
        <v>3603795.844673668</v>
      </c>
      <c r="K47" s="113"/>
      <c r="L47" s="113"/>
    </row>
    <row r="48" spans="1:12" s="26" customFormat="1">
      <c r="A48" s="36">
        <f>+A47+1</f>
        <v>18</v>
      </c>
      <c r="B48" s="746" t="s">
        <v>527</v>
      </c>
      <c r="C48" s="91" t="s">
        <v>6168</v>
      </c>
      <c r="D48" s="113">
        <f>D45*G21</f>
        <v>1398.0687917805067</v>
      </c>
      <c r="E48" s="113">
        <f>E45*G21</f>
        <v>-6031.5870250398348</v>
      </c>
      <c r="F48" s="113">
        <f>+D48-E48</f>
        <v>7429.655816820341</v>
      </c>
      <c r="K48" s="113"/>
      <c r="L48" s="113"/>
    </row>
    <row r="49" spans="1:11" s="26" customFormat="1">
      <c r="A49" s="36">
        <f>+A48+1</f>
        <v>19</v>
      </c>
      <c r="B49" s="746" t="s">
        <v>528</v>
      </c>
      <c r="C49" s="91" t="s">
        <v>6169</v>
      </c>
      <c r="D49" s="113">
        <f>D45*G22</f>
        <v>1468162.5240661909</v>
      </c>
      <c r="E49" s="113">
        <f>E45*G22</f>
        <v>-6333987.3423035685</v>
      </c>
      <c r="F49" s="113">
        <f>+D49-E49</f>
        <v>7802149.8663697597</v>
      </c>
    </row>
    <row r="50" spans="1:11" s="26" customFormat="1">
      <c r="A50" s="36">
        <f>+A49+1</f>
        <v>20</v>
      </c>
      <c r="B50" s="26" t="s">
        <v>529</v>
      </c>
      <c r="C50" s="91" t="s">
        <v>6170</v>
      </c>
      <c r="D50" s="113">
        <f>(D49/(1-$D$14))*D14</f>
        <v>390271.05070113932</v>
      </c>
      <c r="E50" s="113">
        <f>(E49/(1-$D$14))*D14</f>
        <v>-1683718.1542832269</v>
      </c>
      <c r="F50" s="113">
        <f>+D50-E50</f>
        <v>2073989.2049843662</v>
      </c>
    </row>
    <row r="51" spans="1:11" s="26" customFormat="1">
      <c r="A51" s="36">
        <f>+A50+1</f>
        <v>21</v>
      </c>
      <c r="B51" s="7" t="s">
        <v>530</v>
      </c>
      <c r="C51" s="763" t="s">
        <v>6171</v>
      </c>
      <c r="D51" s="764">
        <f>SUM(D47:D50)</f>
        <v>2537972.6808572267</v>
      </c>
      <c r="E51" s="764">
        <f>SUM(E47:E50)</f>
        <v>-10949391.890987387</v>
      </c>
      <c r="F51" s="764">
        <f>SUM(F47:F50)</f>
        <v>13487364.571844615</v>
      </c>
    </row>
    <row r="52" spans="1:11" s="26" customFormat="1">
      <c r="A52" s="36"/>
      <c r="C52" s="91"/>
      <c r="K52" s="92"/>
    </row>
    <row r="53" spans="1:11" s="26" customFormat="1">
      <c r="A53" s="36">
        <f>+A51+1</f>
        <v>22</v>
      </c>
      <c r="B53" s="26" t="s">
        <v>531</v>
      </c>
      <c r="C53" s="762" t="s">
        <v>6172</v>
      </c>
      <c r="D53" s="113">
        <f>-I37*G27-1</f>
        <v>-13487365.59878365</v>
      </c>
      <c r="E53" s="113">
        <v>0</v>
      </c>
      <c r="F53" s="113">
        <f>+D53-E53</f>
        <v>-13487365.59878365</v>
      </c>
    </row>
    <row r="54" spans="1:11" s="26" customFormat="1">
      <c r="A54" s="36"/>
      <c r="C54" s="91"/>
    </row>
    <row r="55" spans="1:11" s="26" customFormat="1">
      <c r="A55" s="36">
        <f>+A53+1</f>
        <v>23</v>
      </c>
      <c r="B55" s="7" t="s">
        <v>532</v>
      </c>
      <c r="C55" s="763" t="s">
        <v>6173</v>
      </c>
      <c r="D55" s="764">
        <f>D51+D53</f>
        <v>-10949392.917926423</v>
      </c>
      <c r="E55" s="764">
        <f>E51+E53</f>
        <v>-10949391.890987387</v>
      </c>
      <c r="F55" s="764">
        <f>+D55-E55</f>
        <v>-1.0269390363246202</v>
      </c>
    </row>
    <row r="56" spans="1:11" s="26" customFormat="1">
      <c r="A56" s="36">
        <f>+A55+1</f>
        <v>24</v>
      </c>
      <c r="B56" s="26" t="s">
        <v>113</v>
      </c>
      <c r="C56" s="91" t="s">
        <v>6174</v>
      </c>
      <c r="D56" s="113">
        <f>E45*G20</f>
        <v>-2925654.8073755521</v>
      </c>
      <c r="E56" s="113">
        <f>E45*G20</f>
        <v>-2925654.8073755521</v>
      </c>
      <c r="F56" s="113">
        <f>+D56-E56</f>
        <v>0</v>
      </c>
    </row>
    <row r="57" spans="1:11" s="26" customFormat="1">
      <c r="A57" s="36">
        <f>+A56+1</f>
        <v>25</v>
      </c>
      <c r="B57" s="26" t="s">
        <v>533</v>
      </c>
      <c r="C57" s="91" t="s">
        <v>6175</v>
      </c>
      <c r="D57" s="113">
        <f>(D55-D56)*$D$14</f>
        <v>-1684985.0032156829</v>
      </c>
      <c r="E57" s="113">
        <f>(E55-E56)*$D$14</f>
        <v>-1684984.7875584853</v>
      </c>
      <c r="F57" s="113">
        <f>+D57-E57</f>
        <v>-0.21565719763748348</v>
      </c>
    </row>
    <row r="58" spans="1:11" s="26" customFormat="1">
      <c r="A58" s="36">
        <f>+A57+1</f>
        <v>26</v>
      </c>
      <c r="B58" s="7" t="s">
        <v>534</v>
      </c>
      <c r="C58" s="763" t="s">
        <v>6176</v>
      </c>
      <c r="D58" s="764">
        <f>D55-D56-D57</f>
        <v>-6338753.1073351884</v>
      </c>
      <c r="E58" s="764">
        <f>E55-E56-E57</f>
        <v>-6338752.29605335</v>
      </c>
      <c r="F58" s="764">
        <f>+D58-E58</f>
        <v>-0.81128183845430613</v>
      </c>
    </row>
    <row r="59" spans="1:11">
      <c r="B59" s="741"/>
      <c r="D59" s="755"/>
      <c r="E59" s="755"/>
    </row>
    <row r="60" spans="1:11">
      <c r="B60" s="741"/>
      <c r="D60" s="755"/>
      <c r="E60" s="755"/>
    </row>
    <row r="61" spans="1:11">
      <c r="B61" s="741"/>
      <c r="D61" s="755"/>
      <c r="E61" s="755"/>
    </row>
    <row r="62" spans="1:11">
      <c r="B62" s="741"/>
      <c r="D62" s="755"/>
      <c r="E62" s="755"/>
    </row>
    <row r="63" spans="1:11">
      <c r="B63" s="741"/>
      <c r="D63" s="755"/>
      <c r="E63" s="755"/>
    </row>
    <row r="64" spans="1:11">
      <c r="B64" s="741"/>
      <c r="D64" s="755"/>
      <c r="E64" s="755"/>
    </row>
    <row r="65" spans="2:5">
      <c r="B65" s="741"/>
      <c r="D65" s="755"/>
      <c r="E65" s="755"/>
    </row>
    <row r="66" spans="2:5">
      <c r="B66" s="741"/>
      <c r="D66" s="755"/>
      <c r="E66" s="755"/>
    </row>
    <row r="67" spans="2:5">
      <c r="B67" s="741"/>
      <c r="D67" s="755"/>
      <c r="E67" s="755"/>
    </row>
    <row r="68" spans="2:5">
      <c r="B68" s="741"/>
      <c r="D68" s="755"/>
      <c r="E68" s="755"/>
    </row>
    <row r="69" spans="2:5">
      <c r="B69" s="741"/>
      <c r="D69" s="755"/>
      <c r="E69" s="755"/>
    </row>
    <row r="70" spans="2:5">
      <c r="B70" s="741"/>
      <c r="D70" s="755"/>
      <c r="E70" s="755"/>
    </row>
    <row r="71" spans="2:5">
      <c r="B71" s="741"/>
      <c r="D71" s="755"/>
      <c r="E71" s="755"/>
    </row>
    <row r="72" spans="2:5">
      <c r="B72" s="741"/>
      <c r="D72" s="755"/>
      <c r="E72" s="755"/>
    </row>
    <row r="73" spans="2:5">
      <c r="B73" s="741"/>
      <c r="D73" s="755"/>
      <c r="E73" s="755"/>
    </row>
    <row r="74" spans="2:5">
      <c r="B74" s="741"/>
      <c r="D74" s="755"/>
      <c r="E74" s="755"/>
    </row>
    <row r="75" spans="2:5">
      <c r="B75" s="741"/>
      <c r="D75" s="755"/>
      <c r="E75" s="755"/>
    </row>
    <row r="76" spans="2:5">
      <c r="B76" s="741"/>
      <c r="D76" s="755"/>
      <c r="E76" s="755"/>
    </row>
    <row r="77" spans="2:5">
      <c r="B77" s="741"/>
      <c r="D77" s="755"/>
      <c r="E77" s="755"/>
    </row>
  </sheetData>
  <mergeCells count="2">
    <mergeCell ref="B10:I10"/>
    <mergeCell ref="B30:C30"/>
  </mergeCells>
  <pageMargins left="0.7" right="0.7" top="0.75" bottom="0.75" header="0.3" footer="0.3"/>
  <pageSetup scale="4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M204"/>
  <sheetViews>
    <sheetView topLeftCell="A6" workbookViewId="0">
      <selection activeCell="A6" sqref="A6"/>
    </sheetView>
  </sheetViews>
  <sheetFormatPr defaultRowHeight="15" outlineLevelRow="1"/>
  <cols>
    <col min="1" max="1" width="77" bestFit="1" customWidth="1"/>
    <col min="2" max="2" width="12.28515625" bestFit="1" customWidth="1"/>
  </cols>
  <sheetData>
    <row r="1" spans="1:13" hidden="1" outlineLevel="1">
      <c r="B1" s="2" t="str">
        <f>Index!D1</f>
        <v>The Narragansett Electric Company</v>
      </c>
    </row>
    <row r="2" spans="1:13" hidden="1" outlineLevel="1">
      <c r="B2" s="2" t="str">
        <f>Index!D2</f>
        <v>d/b/a National Grid</v>
      </c>
    </row>
    <row r="3" spans="1:13" hidden="1" outlineLevel="1">
      <c r="B3" s="2" t="str">
        <f>Index!D3</f>
        <v>RIPUC Docket No. 4770</v>
      </c>
    </row>
    <row r="4" spans="1:13" hidden="1" outlineLevel="1">
      <c r="B4" s="2" t="str">
        <f>Index!D4</f>
        <v>Gas Earnings Sharing Mechanism</v>
      </c>
    </row>
    <row r="5" spans="1:13" hidden="1" outlineLevel="1">
      <c r="B5" s="2"/>
    </row>
    <row r="6" spans="1:13" collapsed="1">
      <c r="A6" s="26"/>
      <c r="B6" s="2" t="str">
        <f>Index!D7</f>
        <v>The Narragansett Electric Company</v>
      </c>
    </row>
    <row r="7" spans="1:13">
      <c r="A7" s="26"/>
      <c r="B7" s="2" t="str">
        <f>Index!D8</f>
        <v>d/b/a Rhode Island Energy</v>
      </c>
    </row>
    <row r="8" spans="1:13">
      <c r="A8" s="26"/>
      <c r="B8" s="2" t="str">
        <f>Index!D9</f>
        <v>RIPUC Docket No. 4770</v>
      </c>
    </row>
    <row r="9" spans="1:13">
      <c r="A9" s="26"/>
      <c r="B9" s="2" t="str">
        <f>Index!D10</f>
        <v>CY 2025 Gas Earnings Report</v>
      </c>
    </row>
    <row r="10" spans="1:13">
      <c r="A10" s="26"/>
      <c r="B10" s="2" t="str">
        <f>Index!D11</f>
        <v>Schedule NECO-1</v>
      </c>
    </row>
    <row r="11" spans="1:13">
      <c r="A11" s="26"/>
      <c r="B11" s="2" t="str">
        <f>Index!D12</f>
        <v>June 15, 2026</v>
      </c>
    </row>
    <row r="12" spans="1:13">
      <c r="A12" s="26"/>
      <c r="B12" s="2"/>
    </row>
    <row r="13" spans="1:13">
      <c r="A13" s="797" t="s">
        <v>43</v>
      </c>
      <c r="B13" s="797"/>
      <c r="L13" s="26"/>
      <c r="M13" s="26"/>
    </row>
    <row r="14" spans="1:13">
      <c r="A14" s="797" t="str">
        <f>Index!A22</f>
        <v>Gas Earnings Sharing Mechanism</v>
      </c>
      <c r="B14" s="797"/>
      <c r="L14" s="26"/>
      <c r="M14" s="26"/>
    </row>
    <row r="15" spans="1:13">
      <c r="A15" s="797" t="s">
        <v>44</v>
      </c>
      <c r="B15" s="797"/>
      <c r="L15" s="26"/>
      <c r="M15" s="26"/>
    </row>
    <row r="16" spans="1:13">
      <c r="A16" s="798"/>
      <c r="B16" s="798"/>
      <c r="L16" s="26"/>
      <c r="M16" s="26"/>
    </row>
    <row r="17" spans="1:13">
      <c r="A17" s="26"/>
      <c r="B17" s="26"/>
      <c r="L17" s="26"/>
      <c r="M17" s="26"/>
    </row>
    <row r="18" spans="1:13">
      <c r="A18" s="798" t="s">
        <v>45</v>
      </c>
      <c r="B18" s="798"/>
      <c r="L18" s="26"/>
      <c r="M18" s="26"/>
    </row>
    <row r="19" spans="1:13">
      <c r="A19" s="26"/>
      <c r="B19" s="26"/>
      <c r="L19" s="26"/>
      <c r="M19" s="26"/>
    </row>
    <row r="20" spans="1:13">
      <c r="A20" s="7" t="str">
        <f>Index!A22</f>
        <v>Gas Earnings Sharing Mechanism</v>
      </c>
      <c r="B20" s="26">
        <f>Index!B22</f>
        <v>1</v>
      </c>
      <c r="L20" s="26"/>
      <c r="M20" s="26"/>
    </row>
    <row r="21" spans="1:13">
      <c r="A21" s="7" t="str">
        <f>Index!A23</f>
        <v>Income Statement</v>
      </c>
      <c r="B21" s="26">
        <f>Index!B23</f>
        <v>2</v>
      </c>
      <c r="L21" s="26"/>
      <c r="M21" s="26"/>
    </row>
    <row r="22" spans="1:13">
      <c r="A22" s="7" t="str">
        <f>Index!A24</f>
        <v>Federal Income Tax Calculation</v>
      </c>
      <c r="B22" s="26">
        <f>Index!B24</f>
        <v>3</v>
      </c>
      <c r="L22" s="26"/>
      <c r="M22" s="26"/>
    </row>
    <row r="23" spans="1:13">
      <c r="A23" s="7" t="str">
        <f>Index!A25</f>
        <v>Applicable Capital Structure, Interest Expense and Preferred Dividends</v>
      </c>
      <c r="B23" s="26">
        <f>Index!B25</f>
        <v>4</v>
      </c>
      <c r="L23" s="26"/>
      <c r="M23" s="26"/>
    </row>
    <row r="24" spans="1:13">
      <c r="A24" s="7" t="str">
        <f>Index!A26</f>
        <v>Rate Base</v>
      </c>
      <c r="B24" s="26">
        <f>Index!B26</f>
        <v>5</v>
      </c>
      <c r="L24" s="26"/>
      <c r="M24" s="26"/>
    </row>
    <row r="25" spans="1:13">
      <c r="A25" s="7" t="str">
        <f>Index!A27</f>
        <v>Cash Working Capital Calculation</v>
      </c>
      <c r="B25" s="26">
        <f>Index!B27</f>
        <v>6</v>
      </c>
      <c r="L25" s="26"/>
      <c r="M25" s="26"/>
    </row>
    <row r="26" spans="1:13">
      <c r="A26" s="7" t="str">
        <f>Index!A28</f>
        <v>Detail Other Revenue/(Expense)</v>
      </c>
      <c r="B26" s="26">
        <f>Index!B28</f>
        <v>7</v>
      </c>
      <c r="L26" s="26"/>
      <c r="M26" s="26"/>
    </row>
    <row r="27" spans="1:13">
      <c r="A27" s="7" t="str">
        <f>Index!A29</f>
        <v>Detail Other Interest Expense</v>
      </c>
      <c r="B27" s="26">
        <f>Index!B29</f>
        <v>8</v>
      </c>
      <c r="L27" s="26"/>
      <c r="M27" s="26"/>
    </row>
    <row r="28" spans="1:13">
      <c r="A28" s="7" t="str">
        <f>Index!A30</f>
        <v>Detail Non-Operating Income / (Expense)</v>
      </c>
      <c r="B28" s="26">
        <f>Index!B30</f>
        <v>9</v>
      </c>
      <c r="L28" s="26"/>
      <c r="M28" s="26"/>
    </row>
    <row r="29" spans="1:13">
      <c r="A29" s="7" t="str">
        <f>Index!A31</f>
        <v>Calculation of Average Long-Term Debt Interest Rate</v>
      </c>
      <c r="B29" s="26">
        <f>Index!B31</f>
        <v>10</v>
      </c>
      <c r="L29" s="26"/>
      <c r="M29" s="26"/>
    </row>
    <row r="30" spans="1:13">
      <c r="A30" s="7" t="str">
        <f>Index!A32</f>
        <v>Calculation of Average Short-Term Debt Interest Rate</v>
      </c>
      <c r="B30" s="26">
        <f>Index!B32</f>
        <v>11</v>
      </c>
      <c r="L30" s="26"/>
      <c r="M30" s="26"/>
    </row>
    <row r="31" spans="1:13">
      <c r="A31" s="7" t="str">
        <f>Index!A33</f>
        <v>Merger Hold Harmless Rate Base Credit</v>
      </c>
      <c r="B31" s="26">
        <f>Index!B33</f>
        <v>12</v>
      </c>
      <c r="L31" s="26"/>
      <c r="M31" s="26"/>
    </row>
    <row r="32" spans="1:13">
      <c r="A32" s="7" t="str">
        <f>Index!A34</f>
        <v>Projected Deferred Tax Schedule</v>
      </c>
      <c r="B32" s="26">
        <f>Index!B34</f>
        <v>13</v>
      </c>
      <c r="L32" s="26"/>
      <c r="M32" s="26"/>
    </row>
    <row r="33" spans="1:13">
      <c r="A33" s="7" t="str">
        <f>Index!A35</f>
        <v>Reconciliation of Gas Earnings Sharing Mechanism to Annual Report</v>
      </c>
      <c r="B33" s="26">
        <f>Index!B35</f>
        <v>14</v>
      </c>
      <c r="L33" s="26"/>
      <c r="M33" s="26"/>
    </row>
    <row r="34" spans="1:13">
      <c r="A34" s="7" t="str">
        <f>Index!A36</f>
        <v>Hold Harmless</v>
      </c>
      <c r="B34" s="26">
        <f>Index!B36</f>
        <v>15</v>
      </c>
      <c r="L34" s="26"/>
      <c r="M34" s="26"/>
    </row>
    <row r="35" spans="1:13">
      <c r="L35" s="26"/>
      <c r="M35" s="26"/>
    </row>
    <row r="36" spans="1:13">
      <c r="L36" s="26"/>
      <c r="M36" s="26"/>
    </row>
    <row r="37" spans="1:13">
      <c r="L37" s="26"/>
      <c r="M37" s="26"/>
    </row>
    <row r="38" spans="1:13">
      <c r="L38" s="26"/>
      <c r="M38" s="26"/>
    </row>
    <row r="39" spans="1:13">
      <c r="L39" s="26"/>
      <c r="M39" s="26"/>
    </row>
    <row r="40" spans="1:13">
      <c r="L40" s="26"/>
      <c r="M40" s="26"/>
    </row>
    <row r="41" spans="1:13">
      <c r="L41" s="26"/>
      <c r="M41" s="26"/>
    </row>
    <row r="42" spans="1:13">
      <c r="L42" s="26"/>
      <c r="M42" s="26"/>
    </row>
    <row r="43" spans="1:13">
      <c r="L43" s="26"/>
      <c r="M43" s="26"/>
    </row>
    <row r="44" spans="1:13">
      <c r="L44" s="26"/>
      <c r="M44" s="26"/>
    </row>
    <row r="45" spans="1:13">
      <c r="L45" s="26"/>
      <c r="M45" s="26"/>
    </row>
    <row r="46" spans="1:13">
      <c r="L46" s="26"/>
      <c r="M46" s="26"/>
    </row>
    <row r="47" spans="1:13">
      <c r="L47" s="26"/>
      <c r="M47" s="26"/>
    </row>
    <row r="48" spans="1:13">
      <c r="L48" s="26"/>
      <c r="M48" s="26"/>
    </row>
    <row r="49" spans="12:13">
      <c r="L49" s="26"/>
      <c r="M49" s="26"/>
    </row>
    <row r="50" spans="12:13">
      <c r="L50" s="26"/>
      <c r="M50" s="26"/>
    </row>
    <row r="51" spans="12:13">
      <c r="L51" s="26"/>
      <c r="M51" s="26"/>
    </row>
    <row r="52" spans="12:13">
      <c r="L52" s="26"/>
      <c r="M52" s="26"/>
    </row>
    <row r="53" spans="12:13">
      <c r="L53" s="26"/>
      <c r="M53" s="26"/>
    </row>
    <row r="54" spans="12:13">
      <c r="L54" s="26"/>
      <c r="M54" s="26"/>
    </row>
    <row r="55" spans="12:13">
      <c r="L55" s="26"/>
      <c r="M55" s="26"/>
    </row>
    <row r="56" spans="12:13">
      <c r="L56" s="26"/>
      <c r="M56" s="26"/>
    </row>
    <row r="57" spans="12:13">
      <c r="L57" s="26"/>
      <c r="M57" s="26"/>
    </row>
    <row r="58" spans="12:13">
      <c r="L58" s="26"/>
      <c r="M58" s="26"/>
    </row>
    <row r="59" spans="12:13">
      <c r="L59" s="26"/>
      <c r="M59" s="26"/>
    </row>
    <row r="60" spans="12:13">
      <c r="L60" s="26"/>
      <c r="M60" s="26"/>
    </row>
    <row r="61" spans="12:13">
      <c r="L61" s="26"/>
      <c r="M61" s="26"/>
    </row>
    <row r="62" spans="12:13">
      <c r="L62" s="26"/>
      <c r="M62" s="26"/>
    </row>
    <row r="63" spans="12:13">
      <c r="L63" s="26"/>
      <c r="M63" s="26"/>
    </row>
    <row r="64" spans="12:13">
      <c r="L64" s="26"/>
      <c r="M64" s="26"/>
    </row>
    <row r="65" spans="12:13">
      <c r="L65" s="26"/>
      <c r="M65" s="26"/>
    </row>
    <row r="66" spans="12:13">
      <c r="L66" s="26"/>
      <c r="M66" s="26"/>
    </row>
    <row r="67" spans="12:13">
      <c r="L67" s="26"/>
      <c r="M67" s="26"/>
    </row>
    <row r="68" spans="12:13">
      <c r="L68" s="26"/>
      <c r="M68" s="26"/>
    </row>
    <row r="69" spans="12:13">
      <c r="L69" s="26"/>
      <c r="M69" s="26"/>
    </row>
    <row r="70" spans="12:13">
      <c r="L70" s="26"/>
      <c r="M70" s="26"/>
    </row>
    <row r="71" spans="12:13">
      <c r="L71" s="26"/>
      <c r="M71" s="26"/>
    </row>
    <row r="72" spans="12:13">
      <c r="L72" s="26"/>
      <c r="M72" s="26"/>
    </row>
    <row r="73" spans="12:13">
      <c r="L73" s="26"/>
      <c r="M73" s="26"/>
    </row>
    <row r="74" spans="12:13">
      <c r="L74" s="26"/>
      <c r="M74" s="26"/>
    </row>
    <row r="75" spans="12:13">
      <c r="L75" s="26"/>
      <c r="M75" s="26"/>
    </row>
    <row r="76" spans="12:13">
      <c r="L76" s="26"/>
      <c r="M76" s="26"/>
    </row>
    <row r="77" spans="12:13">
      <c r="L77" s="26"/>
      <c r="M77" s="26"/>
    </row>
    <row r="78" spans="12:13">
      <c r="L78" s="26"/>
      <c r="M78" s="26"/>
    </row>
    <row r="79" spans="12:13">
      <c r="L79" s="26"/>
      <c r="M79" s="26"/>
    </row>
    <row r="80" spans="12:13">
      <c r="L80" s="26"/>
      <c r="M80" s="26"/>
    </row>
    <row r="81" spans="12:13">
      <c r="L81" s="26"/>
      <c r="M81" s="26"/>
    </row>
    <row r="82" spans="12:13">
      <c r="L82" s="26"/>
      <c r="M82" s="26"/>
    </row>
    <row r="83" spans="12:13">
      <c r="L83" s="26"/>
      <c r="M83" s="26"/>
    </row>
    <row r="84" spans="12:13">
      <c r="L84" s="26"/>
      <c r="M84" s="26"/>
    </row>
    <row r="85" spans="12:13">
      <c r="L85" s="26"/>
      <c r="M85" s="26"/>
    </row>
    <row r="86" spans="12:13">
      <c r="L86" s="26"/>
      <c r="M86" s="26"/>
    </row>
    <row r="87" spans="12:13">
      <c r="L87" s="26"/>
      <c r="M87" s="26"/>
    </row>
    <row r="88" spans="12:13">
      <c r="L88" s="26"/>
      <c r="M88" s="26"/>
    </row>
    <row r="89" spans="12:13">
      <c r="L89" s="26"/>
      <c r="M89" s="26"/>
    </row>
    <row r="90" spans="12:13">
      <c r="L90" s="26"/>
      <c r="M90" s="26"/>
    </row>
    <row r="91" spans="12:13">
      <c r="L91" s="26"/>
      <c r="M91" s="26"/>
    </row>
    <row r="92" spans="12:13">
      <c r="L92" s="26"/>
      <c r="M92" s="26"/>
    </row>
    <row r="93" spans="12:13">
      <c r="L93" s="26"/>
      <c r="M93" s="26"/>
    </row>
    <row r="94" spans="12:13">
      <c r="L94" s="26"/>
      <c r="M94" s="26"/>
    </row>
    <row r="95" spans="12:13">
      <c r="L95" s="26"/>
      <c r="M95" s="26"/>
    </row>
    <row r="96" spans="12:13">
      <c r="L96" s="26"/>
      <c r="M96" s="26"/>
    </row>
    <row r="97" spans="12:13">
      <c r="L97" s="26"/>
      <c r="M97" s="26"/>
    </row>
    <row r="98" spans="12:13">
      <c r="L98" s="26"/>
      <c r="M98" s="26"/>
    </row>
    <row r="99" spans="12:13">
      <c r="L99" s="26"/>
      <c r="M99" s="26"/>
    </row>
    <row r="100" spans="12:13">
      <c r="L100" s="26"/>
      <c r="M100" s="26"/>
    </row>
    <row r="101" spans="12:13">
      <c r="L101" s="26"/>
      <c r="M101" s="26"/>
    </row>
    <row r="102" spans="12:13">
      <c r="L102" s="26"/>
      <c r="M102" s="26"/>
    </row>
    <row r="103" spans="12:13">
      <c r="L103" s="26"/>
      <c r="M103" s="26"/>
    </row>
    <row r="104" spans="12:13">
      <c r="L104" s="26"/>
      <c r="M104" s="26"/>
    </row>
    <row r="105" spans="12:13">
      <c r="L105" s="26"/>
      <c r="M105" s="26"/>
    </row>
    <row r="106" spans="12:13">
      <c r="L106" s="26"/>
      <c r="M106" s="26"/>
    </row>
    <row r="107" spans="12:13">
      <c r="L107" s="26"/>
      <c r="M107" s="26"/>
    </row>
    <row r="108" spans="12:13">
      <c r="L108" s="26"/>
      <c r="M108" s="26"/>
    </row>
    <row r="109" spans="12:13">
      <c r="L109" s="26"/>
      <c r="M109" s="26"/>
    </row>
    <row r="110" spans="12:13">
      <c r="L110" s="26"/>
      <c r="M110" s="26"/>
    </row>
    <row r="111" spans="12:13">
      <c r="L111" s="26"/>
      <c r="M111" s="26"/>
    </row>
    <row r="112" spans="12:13">
      <c r="L112" s="26"/>
      <c r="M112" s="26"/>
    </row>
    <row r="113" spans="12:13">
      <c r="L113" s="26"/>
      <c r="M113" s="26"/>
    </row>
    <row r="114" spans="12:13">
      <c r="L114" s="26"/>
      <c r="M114" s="26"/>
    </row>
    <row r="115" spans="12:13">
      <c r="L115" s="26"/>
      <c r="M115" s="26"/>
    </row>
    <row r="116" spans="12:13">
      <c r="L116" s="26"/>
      <c r="M116" s="26"/>
    </row>
    <row r="117" spans="12:13">
      <c r="L117" s="26"/>
      <c r="M117" s="26"/>
    </row>
    <row r="118" spans="12:13">
      <c r="L118" s="26"/>
      <c r="M118" s="26"/>
    </row>
    <row r="119" spans="12:13">
      <c r="L119" s="26"/>
      <c r="M119" s="26"/>
    </row>
    <row r="120" spans="12:13">
      <c r="L120" s="26"/>
      <c r="M120" s="26"/>
    </row>
    <row r="121" spans="12:13">
      <c r="L121" s="26"/>
      <c r="M121" s="26"/>
    </row>
    <row r="122" spans="12:13">
      <c r="L122" s="26"/>
      <c r="M122" s="26"/>
    </row>
    <row r="123" spans="12:13">
      <c r="L123" s="26"/>
      <c r="M123" s="26"/>
    </row>
    <row r="124" spans="12:13">
      <c r="L124" s="26"/>
      <c r="M124" s="26"/>
    </row>
    <row r="125" spans="12:13">
      <c r="L125" s="26"/>
      <c r="M125" s="26"/>
    </row>
    <row r="126" spans="12:13">
      <c r="L126" s="26"/>
      <c r="M126" s="26"/>
    </row>
    <row r="127" spans="12:13">
      <c r="L127" s="26"/>
      <c r="M127" s="26"/>
    </row>
    <row r="128" spans="12:13">
      <c r="L128" s="26"/>
      <c r="M128" s="26"/>
    </row>
    <row r="129" spans="12:13">
      <c r="L129" s="26"/>
      <c r="M129" s="26"/>
    </row>
    <row r="130" spans="12:13">
      <c r="L130" s="26"/>
      <c r="M130" s="26"/>
    </row>
    <row r="131" spans="12:13">
      <c r="L131" s="26"/>
      <c r="M131" s="26"/>
    </row>
    <row r="132" spans="12:13">
      <c r="L132" s="26"/>
      <c r="M132" s="26"/>
    </row>
    <row r="133" spans="12:13">
      <c r="L133" s="26"/>
      <c r="M133" s="26"/>
    </row>
    <row r="134" spans="12:13">
      <c r="L134" s="26"/>
      <c r="M134" s="26"/>
    </row>
    <row r="135" spans="12:13">
      <c r="L135" s="26"/>
      <c r="M135" s="26"/>
    </row>
    <row r="136" spans="12:13">
      <c r="L136" s="26"/>
      <c r="M136" s="26"/>
    </row>
    <row r="137" spans="12:13">
      <c r="L137" s="26"/>
      <c r="M137" s="26"/>
    </row>
    <row r="138" spans="12:13">
      <c r="L138" s="26"/>
      <c r="M138" s="26"/>
    </row>
    <row r="139" spans="12:13">
      <c r="L139" s="26"/>
      <c r="M139" s="26"/>
    </row>
    <row r="140" spans="12:13">
      <c r="L140" s="26"/>
      <c r="M140" s="26"/>
    </row>
    <row r="141" spans="12:13">
      <c r="L141" s="26"/>
      <c r="M141" s="26"/>
    </row>
    <row r="142" spans="12:13">
      <c r="L142" s="26"/>
      <c r="M142" s="26"/>
    </row>
    <row r="143" spans="12:13">
      <c r="L143" s="26"/>
      <c r="M143" s="26"/>
    </row>
    <row r="144" spans="12:13">
      <c r="L144" s="26"/>
      <c r="M144" s="26"/>
    </row>
    <row r="145" spans="12:13">
      <c r="L145" s="26"/>
      <c r="M145" s="26"/>
    </row>
    <row r="146" spans="12:13">
      <c r="L146" s="26"/>
      <c r="M146" s="26"/>
    </row>
    <row r="147" spans="12:13">
      <c r="L147" s="26"/>
      <c r="M147" s="26"/>
    </row>
    <row r="148" spans="12:13">
      <c r="L148" s="26"/>
      <c r="M148" s="26"/>
    </row>
    <row r="149" spans="12:13">
      <c r="L149" s="26"/>
      <c r="M149" s="26"/>
    </row>
    <row r="150" spans="12:13">
      <c r="L150" s="26"/>
      <c r="M150" s="26"/>
    </row>
    <row r="151" spans="12:13">
      <c r="L151" s="26"/>
      <c r="M151" s="26"/>
    </row>
    <row r="152" spans="12:13">
      <c r="L152" s="26"/>
      <c r="M152" s="26"/>
    </row>
    <row r="153" spans="12:13">
      <c r="L153" s="26"/>
      <c r="M153" s="26"/>
    </row>
    <row r="154" spans="12:13">
      <c r="L154" s="26"/>
      <c r="M154" s="26"/>
    </row>
    <row r="155" spans="12:13">
      <c r="L155" s="26"/>
      <c r="M155" s="26"/>
    </row>
    <row r="156" spans="12:13">
      <c r="L156" s="26"/>
      <c r="M156" s="26"/>
    </row>
    <row r="157" spans="12:13">
      <c r="L157" s="26"/>
      <c r="M157" s="26"/>
    </row>
    <row r="158" spans="12:13">
      <c r="L158" s="26"/>
      <c r="M158" s="26"/>
    </row>
    <row r="159" spans="12:13">
      <c r="L159" s="26"/>
      <c r="M159" s="26"/>
    </row>
    <row r="160" spans="12:13">
      <c r="L160" s="26"/>
      <c r="M160" s="26"/>
    </row>
    <row r="161" spans="12:13">
      <c r="L161" s="26"/>
      <c r="M161" s="26"/>
    </row>
    <row r="162" spans="12:13">
      <c r="L162" s="26"/>
      <c r="M162" s="26"/>
    </row>
    <row r="163" spans="12:13">
      <c r="L163" s="26"/>
      <c r="M163" s="26"/>
    </row>
    <row r="164" spans="12:13">
      <c r="L164" s="26"/>
      <c r="M164" s="26"/>
    </row>
    <row r="165" spans="12:13">
      <c r="L165" s="26"/>
      <c r="M165" s="26"/>
    </row>
    <row r="166" spans="12:13">
      <c r="L166" s="26"/>
      <c r="M166" s="26"/>
    </row>
    <row r="167" spans="12:13">
      <c r="L167" s="26"/>
      <c r="M167" s="26"/>
    </row>
    <row r="168" spans="12:13">
      <c r="L168" s="26"/>
      <c r="M168" s="26"/>
    </row>
    <row r="169" spans="12:13">
      <c r="L169" s="26"/>
      <c r="M169" s="26"/>
    </row>
    <row r="170" spans="12:13">
      <c r="L170" s="26"/>
      <c r="M170" s="26"/>
    </row>
    <row r="171" spans="12:13">
      <c r="L171" s="26"/>
      <c r="M171" s="26"/>
    </row>
    <row r="172" spans="12:13">
      <c r="L172" s="26"/>
      <c r="M172" s="26"/>
    </row>
    <row r="173" spans="12:13">
      <c r="L173" s="26"/>
      <c r="M173" s="26"/>
    </row>
    <row r="174" spans="12:13">
      <c r="L174" s="26"/>
      <c r="M174" s="26"/>
    </row>
    <row r="175" spans="12:13">
      <c r="L175" s="26"/>
      <c r="M175" s="26"/>
    </row>
    <row r="176" spans="12:13">
      <c r="L176" s="26"/>
      <c r="M176" s="26"/>
    </row>
    <row r="177" spans="12:13">
      <c r="L177" s="26"/>
      <c r="M177" s="26"/>
    </row>
    <row r="178" spans="12:13">
      <c r="L178" s="26"/>
      <c r="M178" s="26"/>
    </row>
    <row r="179" spans="12:13">
      <c r="L179" s="26"/>
      <c r="M179" s="26"/>
    </row>
    <row r="180" spans="12:13">
      <c r="L180" s="26"/>
      <c r="M180" s="26"/>
    </row>
    <row r="181" spans="12:13">
      <c r="L181" s="26"/>
      <c r="M181" s="26"/>
    </row>
    <row r="182" spans="12:13">
      <c r="L182" s="26"/>
      <c r="M182" s="26"/>
    </row>
    <row r="183" spans="12:13">
      <c r="L183" s="26"/>
      <c r="M183" s="26"/>
    </row>
    <row r="184" spans="12:13">
      <c r="L184" s="26"/>
      <c r="M184" s="26"/>
    </row>
    <row r="185" spans="12:13">
      <c r="L185" s="26"/>
      <c r="M185" s="26"/>
    </row>
    <row r="186" spans="12:13">
      <c r="L186" s="26"/>
      <c r="M186" s="26"/>
    </row>
    <row r="187" spans="12:13">
      <c r="L187" s="26"/>
      <c r="M187" s="26"/>
    </row>
    <row r="188" spans="12:13">
      <c r="L188" s="26"/>
      <c r="M188" s="26"/>
    </row>
    <row r="189" spans="12:13">
      <c r="L189" s="26"/>
      <c r="M189" s="26"/>
    </row>
    <row r="190" spans="12:13">
      <c r="L190" s="26"/>
      <c r="M190" s="26"/>
    </row>
    <row r="191" spans="12:13">
      <c r="L191" s="26"/>
      <c r="M191" s="26"/>
    </row>
    <row r="192" spans="12:13">
      <c r="L192" s="26"/>
      <c r="M192" s="26"/>
    </row>
    <row r="193" spans="12:13">
      <c r="L193" s="26"/>
      <c r="M193" s="26"/>
    </row>
    <row r="194" spans="12:13">
      <c r="L194" s="26"/>
      <c r="M194" s="26"/>
    </row>
    <row r="195" spans="12:13">
      <c r="L195" s="26"/>
      <c r="M195" s="26"/>
    </row>
    <row r="196" spans="12:13">
      <c r="L196" s="26"/>
      <c r="M196" s="26"/>
    </row>
    <row r="197" spans="12:13">
      <c r="L197" s="26"/>
      <c r="M197" s="26"/>
    </row>
    <row r="198" spans="12:13">
      <c r="L198" s="26"/>
      <c r="M198" s="26"/>
    </row>
    <row r="199" spans="12:13">
      <c r="L199" s="26"/>
      <c r="M199" s="26"/>
    </row>
    <row r="200" spans="12:13">
      <c r="L200" s="26"/>
      <c r="M200" s="26"/>
    </row>
    <row r="201" spans="12:13">
      <c r="L201" s="26"/>
      <c r="M201" s="26"/>
    </row>
    <row r="202" spans="12:13">
      <c r="L202" s="26"/>
      <c r="M202" s="26"/>
    </row>
    <row r="203" spans="12:13">
      <c r="L203" s="26"/>
      <c r="M203" s="26"/>
    </row>
    <row r="204" spans="12:13">
      <c r="L204" s="26"/>
      <c r="M204" s="26"/>
    </row>
  </sheetData>
  <mergeCells count="5">
    <mergeCell ref="A13:B13"/>
    <mergeCell ref="A15:B15"/>
    <mergeCell ref="A16:B16"/>
    <mergeCell ref="A18:B18"/>
    <mergeCell ref="A14:B14"/>
  </mergeCells>
  <pageMargins left="0.7" right="0.7" top="0.75" bottom="0.75" header="0.3" footer="0.3"/>
  <pageSetup orientation="portrait" horizontalDpi="1200" verticalDpi="1200"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D2FB12-C942-4145-9592-68DAA8659C0C}">
  <sheetPr>
    <tabColor rgb="FFFF0000"/>
  </sheetPr>
  <dimension ref="A1:AJ11177"/>
  <sheetViews>
    <sheetView topLeftCell="B1" workbookViewId="0"/>
  </sheetViews>
  <sheetFormatPr defaultRowHeight="15" outlineLevelCol="1"/>
  <cols>
    <col min="1" max="1" width="98.28515625" hidden="1" customWidth="1" outlineLevel="1"/>
    <col min="2" max="2" width="2.28515625" bestFit="1" customWidth="1" collapsed="1"/>
    <col min="3" max="3" width="6" bestFit="1" customWidth="1"/>
    <col min="4" max="4" width="5.28515625" bestFit="1" customWidth="1"/>
    <col min="5" max="5" width="9.28515625" bestFit="1" customWidth="1"/>
    <col min="6" max="6" width="5.28515625" bestFit="1" customWidth="1"/>
    <col min="7" max="7" width="1.7109375" customWidth="1"/>
    <col min="8" max="8" width="39.28515625" bestFit="1" customWidth="1"/>
    <col min="9" max="9" width="5.28515625" bestFit="1" customWidth="1"/>
    <col min="10" max="10" width="1.7109375" customWidth="1"/>
    <col min="11" max="11" width="21" bestFit="1" customWidth="1"/>
    <col min="12" max="12" width="1.7109375" customWidth="1" outlineLevel="1"/>
    <col min="13" max="13" width="21" bestFit="1" customWidth="1"/>
    <col min="14" max="14" width="1.7109375" customWidth="1" outlineLevel="1"/>
    <col min="15" max="15" width="21" bestFit="1" customWidth="1"/>
    <col min="16" max="16" width="4.7109375" customWidth="1" outlineLevel="1"/>
    <col min="17" max="17" width="8.28515625" customWidth="1" outlineLevel="1"/>
    <col min="18" max="18" width="5.7109375" customWidth="1" outlineLevel="1"/>
    <col min="19" max="19" width="15.7109375" bestFit="1" customWidth="1"/>
    <col min="20" max="20" width="17.42578125" bestFit="1" customWidth="1"/>
    <col min="21" max="21" width="16.42578125" bestFit="1" customWidth="1"/>
    <col min="22" max="22" width="15.140625" bestFit="1" customWidth="1"/>
    <col min="23" max="23" width="19.28515625" bestFit="1" customWidth="1"/>
    <col min="24" max="24" width="4.5703125" bestFit="1" customWidth="1"/>
    <col min="25" max="25" width="30.85546875" bestFit="1" customWidth="1"/>
    <col min="26" max="26" width="31" bestFit="1" customWidth="1"/>
    <col min="27" max="27" width="17.28515625" style="25" bestFit="1" customWidth="1"/>
    <col min="28" max="28" width="12.7109375" bestFit="1" customWidth="1"/>
    <col min="29" max="29" width="21" bestFit="1" customWidth="1"/>
    <col min="31" max="31" width="16.140625" bestFit="1" customWidth="1"/>
    <col min="32" max="32" width="11.5703125"/>
    <col min="33" max="33" width="16.140625" bestFit="1" customWidth="1"/>
  </cols>
  <sheetData>
    <row r="1" spans="1:33" ht="15" customHeight="1">
      <c r="A1" t="s">
        <v>971</v>
      </c>
      <c r="S1" s="27"/>
      <c r="T1" s="27"/>
      <c r="U1" s="27"/>
      <c r="V1" s="27"/>
      <c r="W1" s="27"/>
      <c r="X1" s="81"/>
      <c r="Y1" s="45"/>
      <c r="Z1" s="44"/>
      <c r="AA1" s="154"/>
      <c r="AB1" s="44"/>
      <c r="AD1" s="44"/>
    </row>
    <row r="2" spans="1:33">
      <c r="A2" t="s">
        <v>972</v>
      </c>
      <c r="S2" s="3"/>
      <c r="T2" s="3"/>
      <c r="U2" s="3"/>
      <c r="V2" s="3"/>
      <c r="W2" s="3"/>
      <c r="X2" s="44"/>
      <c r="Y2" s="45"/>
      <c r="Z2" s="44"/>
      <c r="AA2" s="154"/>
      <c r="AB2" s="44"/>
      <c r="AD2" s="44"/>
    </row>
    <row r="3" spans="1:33" ht="14.45" customHeight="1">
      <c r="S3" s="3"/>
      <c r="T3" s="3"/>
      <c r="U3" s="3"/>
      <c r="V3" s="3"/>
      <c r="W3" s="3"/>
      <c r="X3" s="44"/>
      <c r="Y3" s="45"/>
      <c r="Z3" s="44"/>
      <c r="AA3" s="45"/>
      <c r="AB3" s="44"/>
      <c r="AD3" s="44"/>
    </row>
    <row r="4" spans="1:33" ht="14.45" customHeight="1">
      <c r="A4" t="s">
        <v>535</v>
      </c>
      <c r="F4">
        <v>5360</v>
      </c>
      <c r="G4" t="s">
        <v>536</v>
      </c>
      <c r="I4" t="s">
        <v>537</v>
      </c>
      <c r="N4" t="s">
        <v>538</v>
      </c>
      <c r="P4" t="s">
        <v>539</v>
      </c>
      <c r="S4" s="3"/>
      <c r="T4" s="3"/>
      <c r="U4" s="427"/>
      <c r="V4" s="3"/>
      <c r="W4" s="3"/>
      <c r="X4" s="44"/>
      <c r="Z4" s="44"/>
      <c r="AA4" s="154"/>
      <c r="AB4" s="44"/>
      <c r="AD4" s="44"/>
    </row>
    <row r="5" spans="1:33" ht="14.45" customHeight="1">
      <c r="S5" s="3"/>
      <c r="T5" s="3"/>
      <c r="U5" s="3"/>
      <c r="V5" s="3"/>
      <c r="W5" s="3"/>
      <c r="X5" s="44"/>
      <c r="Y5" s="45"/>
      <c r="Z5" s="44"/>
      <c r="AA5" s="154"/>
      <c r="AB5" s="44"/>
      <c r="AD5" s="44"/>
    </row>
    <row r="6" spans="1:33" ht="14.45" customHeight="1">
      <c r="B6" t="s">
        <v>313</v>
      </c>
      <c r="C6" t="s">
        <v>540</v>
      </c>
      <c r="D6" t="s">
        <v>541</v>
      </c>
      <c r="E6" t="s">
        <v>542</v>
      </c>
      <c r="K6" t="s">
        <v>543</v>
      </c>
      <c r="M6" t="s">
        <v>544</v>
      </c>
      <c r="O6" t="s">
        <v>545</v>
      </c>
      <c r="Q6" t="s">
        <v>546</v>
      </c>
      <c r="R6" t="s">
        <v>547</v>
      </c>
      <c r="S6" s="3"/>
      <c r="T6" s="3"/>
      <c r="U6" s="3"/>
      <c r="V6" s="3"/>
      <c r="W6" s="3"/>
      <c r="X6" s="44"/>
      <c r="Y6" s="45"/>
      <c r="Z6" s="44"/>
      <c r="AA6" s="154"/>
      <c r="AB6" s="44"/>
      <c r="AC6" t="s">
        <v>544</v>
      </c>
      <c r="AD6" s="44"/>
      <c r="AF6" t="s">
        <v>544</v>
      </c>
    </row>
    <row r="7" spans="1:33" ht="69" customHeight="1">
      <c r="B7" t="s">
        <v>201</v>
      </c>
      <c r="C7" t="s">
        <v>548</v>
      </c>
      <c r="D7" t="s">
        <v>549</v>
      </c>
      <c r="K7" s="3" t="s">
        <v>550</v>
      </c>
      <c r="M7" s="3" t="s">
        <v>973</v>
      </c>
      <c r="O7" s="3" t="s">
        <v>551</v>
      </c>
      <c r="Q7" t="s">
        <v>552</v>
      </c>
      <c r="R7" t="s">
        <v>553</v>
      </c>
      <c r="S7" s="614" t="s">
        <v>554</v>
      </c>
      <c r="T7" s="615" t="s">
        <v>555</v>
      </c>
      <c r="U7" s="616" t="s">
        <v>556</v>
      </c>
      <c r="V7" s="617" t="s">
        <v>557</v>
      </c>
      <c r="W7" s="618" t="s">
        <v>558</v>
      </c>
      <c r="X7" s="47"/>
      <c r="Y7" s="48"/>
      <c r="Z7" s="47"/>
      <c r="AA7" s="155"/>
      <c r="AB7" s="47"/>
      <c r="AC7" s="3" t="s">
        <v>973</v>
      </c>
      <c r="AD7" s="47"/>
      <c r="AE7" t="s">
        <v>973</v>
      </c>
      <c r="AF7" t="s">
        <v>550</v>
      </c>
      <c r="AG7" t="s">
        <v>550</v>
      </c>
    </row>
    <row r="8" spans="1:33" ht="14.45" customHeight="1">
      <c r="K8" s="3"/>
      <c r="M8" s="3"/>
      <c r="O8" s="3"/>
      <c r="S8" s="3"/>
      <c r="T8" s="3"/>
      <c r="U8" s="3"/>
      <c r="V8" s="3"/>
      <c r="W8" s="3"/>
      <c r="X8" s="44"/>
      <c r="Y8" s="45"/>
      <c r="Z8" s="44"/>
      <c r="AA8" s="44"/>
      <c r="AB8" s="44"/>
      <c r="AC8" s="3"/>
      <c r="AD8" s="44"/>
    </row>
    <row r="9" spans="1:33" ht="14.45" customHeight="1">
      <c r="C9">
        <v>5360</v>
      </c>
      <c r="D9" t="s">
        <v>537</v>
      </c>
      <c r="E9">
        <v>94400000</v>
      </c>
      <c r="H9" t="s">
        <v>559</v>
      </c>
      <c r="K9" s="3">
        <v>0</v>
      </c>
      <c r="M9" s="3">
        <v>0</v>
      </c>
      <c r="O9" s="3">
        <v>0</v>
      </c>
      <c r="S9" s="3"/>
      <c r="T9" s="3"/>
      <c r="U9" s="3"/>
      <c r="V9" s="3"/>
      <c r="W9" s="3">
        <f t="shared" ref="W9:W72" si="0">SUM(K9,S9:V9)</f>
        <v>0</v>
      </c>
      <c r="X9" s="44" t="s">
        <v>194</v>
      </c>
      <c r="AA9"/>
      <c r="AC9" s="3">
        <v>0</v>
      </c>
      <c r="AE9">
        <v>0</v>
      </c>
      <c r="AG9">
        <v>0</v>
      </c>
    </row>
    <row r="10" spans="1:33" ht="14.45" customHeight="1">
      <c r="C10">
        <v>5360</v>
      </c>
      <c r="D10" t="s">
        <v>537</v>
      </c>
      <c r="E10">
        <v>94420000</v>
      </c>
      <c r="H10" t="s">
        <v>560</v>
      </c>
      <c r="K10" s="3">
        <v>0</v>
      </c>
      <c r="M10" s="3">
        <v>0</v>
      </c>
      <c r="O10" s="3">
        <v>0</v>
      </c>
      <c r="S10" s="3"/>
      <c r="T10" s="3"/>
      <c r="U10" s="3"/>
      <c r="V10" s="3"/>
      <c r="W10" s="3">
        <f t="shared" si="0"/>
        <v>0</v>
      </c>
      <c r="X10" s="44" t="s">
        <v>194</v>
      </c>
      <c r="AA10"/>
      <c r="AC10" s="3">
        <v>0</v>
      </c>
      <c r="AE10">
        <v>0</v>
      </c>
      <c r="AG10">
        <v>0</v>
      </c>
    </row>
    <row r="11" spans="1:33" ht="14.45" customHeight="1">
      <c r="C11">
        <v>5360</v>
      </c>
      <c r="E11">
        <v>94440000</v>
      </c>
      <c r="H11" t="s">
        <v>561</v>
      </c>
      <c r="K11" s="3">
        <v>0</v>
      </c>
      <c r="M11" s="3">
        <v>0</v>
      </c>
      <c r="O11" s="3">
        <v>0</v>
      </c>
      <c r="S11" s="3"/>
      <c r="T11" s="3"/>
      <c r="U11" s="3"/>
      <c r="V11" s="3"/>
      <c r="W11" s="3">
        <f t="shared" si="0"/>
        <v>0</v>
      </c>
      <c r="X11" s="44" t="s">
        <v>194</v>
      </c>
      <c r="AA11"/>
      <c r="AC11" s="3">
        <v>0</v>
      </c>
      <c r="AE11">
        <v>0</v>
      </c>
      <c r="AG11">
        <v>0</v>
      </c>
    </row>
    <row r="12" spans="1:33" ht="14.45" customHeight="1">
      <c r="C12">
        <v>5360</v>
      </c>
      <c r="D12" t="s">
        <v>537</v>
      </c>
      <c r="E12">
        <v>94450000</v>
      </c>
      <c r="H12" t="s">
        <v>562</v>
      </c>
      <c r="K12" s="3">
        <v>0</v>
      </c>
      <c r="M12" s="3">
        <v>0</v>
      </c>
      <c r="O12" s="3">
        <v>0</v>
      </c>
      <c r="S12" s="3"/>
      <c r="T12" s="3"/>
      <c r="U12" s="3"/>
      <c r="V12" s="3"/>
      <c r="W12" s="3">
        <f t="shared" si="0"/>
        <v>0</v>
      </c>
      <c r="X12" s="44" t="s">
        <v>194</v>
      </c>
      <c r="AA12"/>
      <c r="AC12" s="3">
        <v>0</v>
      </c>
      <c r="AE12">
        <v>0</v>
      </c>
      <c r="AG12">
        <v>0</v>
      </c>
    </row>
    <row r="13" spans="1:33" ht="14.45" customHeight="1">
      <c r="C13">
        <v>5360</v>
      </c>
      <c r="D13" t="s">
        <v>537</v>
      </c>
      <c r="E13">
        <v>94460000</v>
      </c>
      <c r="H13" t="s">
        <v>563</v>
      </c>
      <c r="K13" s="3">
        <v>0</v>
      </c>
      <c r="L13" s="26"/>
      <c r="M13" s="3">
        <v>0</v>
      </c>
      <c r="O13" s="3">
        <v>0</v>
      </c>
      <c r="S13" s="3"/>
      <c r="T13" s="3"/>
      <c r="U13" s="3"/>
      <c r="V13" s="3"/>
      <c r="W13" s="3">
        <f t="shared" si="0"/>
        <v>0</v>
      </c>
      <c r="X13" s="44" t="s">
        <v>194</v>
      </c>
      <c r="AA13"/>
      <c r="AC13" s="3">
        <v>0</v>
      </c>
      <c r="AE13">
        <v>0</v>
      </c>
      <c r="AG13">
        <v>0</v>
      </c>
    </row>
    <row r="14" spans="1:33" ht="15" customHeight="1">
      <c r="C14">
        <v>5360</v>
      </c>
      <c r="D14" t="s">
        <v>537</v>
      </c>
      <c r="E14">
        <v>94470000</v>
      </c>
      <c r="H14" t="s">
        <v>564</v>
      </c>
      <c r="K14" s="3">
        <v>0</v>
      </c>
      <c r="L14" s="26"/>
      <c r="M14" s="3">
        <v>0</v>
      </c>
      <c r="O14" s="3">
        <v>0</v>
      </c>
      <c r="S14" s="3"/>
      <c r="T14" s="3"/>
      <c r="U14" s="3"/>
      <c r="V14" s="3"/>
      <c r="W14" s="3">
        <f t="shared" si="0"/>
        <v>0</v>
      </c>
      <c r="X14" s="44" t="s">
        <v>194</v>
      </c>
      <c r="AA14"/>
      <c r="AC14" s="3">
        <v>0</v>
      </c>
      <c r="AE14">
        <v>0</v>
      </c>
      <c r="AG14">
        <v>0</v>
      </c>
    </row>
    <row r="15" spans="1:33" ht="15.6" customHeight="1">
      <c r="C15">
        <v>5360</v>
      </c>
      <c r="D15" t="s">
        <v>537</v>
      </c>
      <c r="E15">
        <v>94480000</v>
      </c>
      <c r="H15" t="s">
        <v>565</v>
      </c>
      <c r="K15" s="3">
        <v>0</v>
      </c>
      <c r="L15" s="26"/>
      <c r="M15" s="3">
        <v>0</v>
      </c>
      <c r="O15" s="3">
        <v>0</v>
      </c>
      <c r="S15" s="3"/>
      <c r="T15" s="3"/>
      <c r="U15" s="3"/>
      <c r="V15" s="3"/>
      <c r="W15" s="3">
        <f t="shared" si="0"/>
        <v>0</v>
      </c>
      <c r="X15" s="44" t="s">
        <v>194</v>
      </c>
      <c r="AA15"/>
      <c r="AC15" s="3">
        <v>0</v>
      </c>
      <c r="AE15">
        <v>0</v>
      </c>
      <c r="AG15">
        <v>0</v>
      </c>
    </row>
    <row r="16" spans="1:33" ht="15" customHeight="1">
      <c r="C16">
        <v>5360</v>
      </c>
      <c r="D16" t="s">
        <v>537</v>
      </c>
      <c r="E16">
        <v>94490000</v>
      </c>
      <c r="H16" t="s">
        <v>566</v>
      </c>
      <c r="K16" s="422">
        <v>0</v>
      </c>
      <c r="L16" s="26"/>
      <c r="M16" s="422">
        <v>0</v>
      </c>
      <c r="O16" s="3">
        <v>0</v>
      </c>
      <c r="S16" s="3"/>
      <c r="T16" s="3"/>
      <c r="U16" s="3"/>
      <c r="V16" s="3"/>
      <c r="W16" s="3">
        <f t="shared" si="0"/>
        <v>0</v>
      </c>
      <c r="X16" s="44" t="s">
        <v>194</v>
      </c>
      <c r="AA16"/>
      <c r="AC16" s="422">
        <v>0</v>
      </c>
      <c r="AE16">
        <v>0</v>
      </c>
      <c r="AG16">
        <v>0</v>
      </c>
    </row>
    <row r="17" spans="3:36" ht="14.45" customHeight="1">
      <c r="C17">
        <v>5360</v>
      </c>
      <c r="D17" t="s">
        <v>537</v>
      </c>
      <c r="E17">
        <v>94491000</v>
      </c>
      <c r="H17" t="s">
        <v>567</v>
      </c>
      <c r="K17" s="3">
        <v>0</v>
      </c>
      <c r="L17" s="26"/>
      <c r="M17" s="3">
        <v>0</v>
      </c>
      <c r="O17" s="3">
        <v>0</v>
      </c>
      <c r="S17" s="3"/>
      <c r="T17" s="3"/>
      <c r="U17" s="3"/>
      <c r="V17" s="3"/>
      <c r="W17" s="3">
        <f t="shared" si="0"/>
        <v>0</v>
      </c>
      <c r="X17" s="44" t="s">
        <v>194</v>
      </c>
      <c r="AA17"/>
      <c r="AC17" s="3">
        <v>0</v>
      </c>
      <c r="AE17">
        <v>0</v>
      </c>
      <c r="AG17">
        <v>0</v>
      </c>
    </row>
    <row r="18" spans="3:36" ht="14.45" customHeight="1">
      <c r="E18" t="s">
        <v>568</v>
      </c>
      <c r="K18" s="3">
        <v>0</v>
      </c>
      <c r="L18" s="26"/>
      <c r="M18" s="3">
        <v>0</v>
      </c>
      <c r="O18" s="3">
        <v>0</v>
      </c>
      <c r="R18" t="s">
        <v>569</v>
      </c>
      <c r="S18" s="3">
        <f>SUM(S9:S17)</f>
        <v>0</v>
      </c>
      <c r="T18" s="3">
        <f>SUM(T9:T17)</f>
        <v>0</v>
      </c>
      <c r="U18" s="3">
        <f>SUM(U9:U17)</f>
        <v>0</v>
      </c>
      <c r="V18" s="3">
        <f>SUM(V9:V17)</f>
        <v>0</v>
      </c>
      <c r="W18" s="3">
        <f t="shared" si="0"/>
        <v>0</v>
      </c>
      <c r="X18" s="619"/>
      <c r="AA18"/>
      <c r="AC18" s="3">
        <v>0</v>
      </c>
      <c r="AE18">
        <v>0</v>
      </c>
      <c r="AG18">
        <v>0</v>
      </c>
    </row>
    <row r="19" spans="3:36" ht="14.45" customHeight="1">
      <c r="C19">
        <v>5360</v>
      </c>
      <c r="E19">
        <v>94800000</v>
      </c>
      <c r="H19" t="s">
        <v>570</v>
      </c>
      <c r="K19" s="3">
        <v>-309407658.52999997</v>
      </c>
      <c r="L19" s="26"/>
      <c r="M19" s="3">
        <v>-278918731.87</v>
      </c>
      <c r="O19" s="3">
        <v>30488926.66</v>
      </c>
      <c r="Q19">
        <v>9.9</v>
      </c>
      <c r="S19" s="3"/>
      <c r="T19" s="3"/>
      <c r="U19" s="3"/>
      <c r="V19" s="3"/>
      <c r="W19" s="3">
        <f t="shared" si="0"/>
        <v>-309407658.52999997</v>
      </c>
      <c r="X19" s="44" t="s">
        <v>192</v>
      </c>
      <c r="AA19"/>
      <c r="AC19" s="3">
        <v>-278918731.87</v>
      </c>
      <c r="AE19" s="31">
        <v>-278918731.87</v>
      </c>
      <c r="AG19" s="31">
        <v>-309407658.52999997</v>
      </c>
      <c r="AJ19" s="31"/>
    </row>
    <row r="20" spans="3:36" ht="14.45" customHeight="1">
      <c r="C20">
        <v>5360</v>
      </c>
      <c r="E20">
        <v>94810000</v>
      </c>
      <c r="H20" t="s">
        <v>571</v>
      </c>
      <c r="K20" s="3">
        <v>-84702220.739999995</v>
      </c>
      <c r="L20" s="26"/>
      <c r="M20" s="3">
        <v>-74788819.879999995</v>
      </c>
      <c r="O20" s="3">
        <v>9913400.8599999994</v>
      </c>
      <c r="Q20">
        <v>11.7</v>
      </c>
      <c r="S20" s="3"/>
      <c r="T20" s="3"/>
      <c r="U20" s="3"/>
      <c r="V20" s="3"/>
      <c r="W20" s="3">
        <f t="shared" si="0"/>
        <v>-84702220.739999995</v>
      </c>
      <c r="X20" s="44" t="s">
        <v>192</v>
      </c>
      <c r="AA20"/>
      <c r="AC20" s="3">
        <v>-74788819.879999995</v>
      </c>
      <c r="AE20" s="31">
        <v>-74788819.879999995</v>
      </c>
      <c r="AG20" s="31">
        <v>-84702220.739999995</v>
      </c>
      <c r="AJ20" s="31"/>
    </row>
    <row r="21" spans="3:36" ht="15" customHeight="1">
      <c r="C21">
        <v>5360</v>
      </c>
      <c r="D21" t="s">
        <v>537</v>
      </c>
      <c r="E21">
        <v>94820000</v>
      </c>
      <c r="H21" t="s">
        <v>572</v>
      </c>
      <c r="K21" s="3">
        <v>0</v>
      </c>
      <c r="L21" s="26"/>
      <c r="M21" s="3">
        <v>0</v>
      </c>
      <c r="O21" s="3">
        <v>0</v>
      </c>
      <c r="S21" s="3"/>
      <c r="T21" s="3"/>
      <c r="U21" s="3"/>
      <c r="V21" s="3"/>
      <c r="W21" s="3">
        <f t="shared" si="0"/>
        <v>0</v>
      </c>
      <c r="X21" s="44" t="s">
        <v>192</v>
      </c>
      <c r="AA21"/>
      <c r="AC21" s="3">
        <v>0</v>
      </c>
      <c r="AE21">
        <v>0</v>
      </c>
      <c r="AG21">
        <v>0</v>
      </c>
    </row>
    <row r="22" spans="3:36" ht="15" customHeight="1">
      <c r="C22">
        <v>5360</v>
      </c>
      <c r="E22">
        <v>94830000</v>
      </c>
      <c r="H22" t="s">
        <v>573</v>
      </c>
      <c r="K22" s="3">
        <v>-21269580.530000001</v>
      </c>
      <c r="L22" s="26"/>
      <c r="M22" s="3">
        <v>-11508709.92</v>
      </c>
      <c r="O22" s="3">
        <v>9760870.6099999994</v>
      </c>
      <c r="Q22">
        <v>45.9</v>
      </c>
      <c r="S22" s="3"/>
      <c r="T22" s="3"/>
      <c r="U22" s="3"/>
      <c r="V22" s="3"/>
      <c r="W22" s="3">
        <f t="shared" si="0"/>
        <v>-21269580.530000001</v>
      </c>
      <c r="X22" s="44" t="s">
        <v>192</v>
      </c>
      <c r="AA22"/>
      <c r="AC22" s="3">
        <v>-11508709.92</v>
      </c>
      <c r="AE22" s="31">
        <v>-11508709.92</v>
      </c>
      <c r="AG22" s="31">
        <v>-21269580.530000001</v>
      </c>
      <c r="AJ22" s="31"/>
    </row>
    <row r="23" spans="3:36" ht="15" customHeight="1">
      <c r="C23">
        <v>5360</v>
      </c>
      <c r="D23" t="s">
        <v>537</v>
      </c>
      <c r="E23">
        <v>94840000</v>
      </c>
      <c r="H23" t="s">
        <v>574</v>
      </c>
      <c r="K23" s="3">
        <v>0</v>
      </c>
      <c r="L23" s="26"/>
      <c r="M23" s="3">
        <v>0</v>
      </c>
      <c r="O23" s="3">
        <v>0</v>
      </c>
      <c r="S23" s="3"/>
      <c r="T23" s="3"/>
      <c r="U23" s="3"/>
      <c r="V23" s="3"/>
      <c r="W23" s="3">
        <f t="shared" si="0"/>
        <v>0</v>
      </c>
      <c r="X23" s="44" t="s">
        <v>192</v>
      </c>
      <c r="Y23" s="80" t="s">
        <v>575</v>
      </c>
      <c r="AA23"/>
      <c r="AC23" s="3">
        <v>0</v>
      </c>
      <c r="AE23">
        <v>0</v>
      </c>
      <c r="AG23">
        <v>0</v>
      </c>
    </row>
    <row r="24" spans="3:36" ht="15" customHeight="1">
      <c r="E24" t="s">
        <v>576</v>
      </c>
      <c r="K24" s="3">
        <v>-415379459.80000001</v>
      </c>
      <c r="L24" s="26"/>
      <c r="M24" s="3">
        <v>-365216261.67000002</v>
      </c>
      <c r="O24" s="3">
        <v>50163198.130000003</v>
      </c>
      <c r="Q24">
        <v>12.1</v>
      </c>
      <c r="R24" t="s">
        <v>569</v>
      </c>
      <c r="S24" s="3">
        <f>SUM(S19:S23)</f>
        <v>0</v>
      </c>
      <c r="T24" s="3">
        <f>SUM(T19:T23)</f>
        <v>0</v>
      </c>
      <c r="U24" s="3">
        <f>SUM(U19:U23)</f>
        <v>0</v>
      </c>
      <c r="V24" s="3">
        <f>SUM(V19:V23)</f>
        <v>0</v>
      </c>
      <c r="W24" s="3">
        <f t="shared" si="0"/>
        <v>-415379459.80000001</v>
      </c>
      <c r="X24" s="619"/>
      <c r="Y24" s="145">
        <f>SUMIF(X:X,"AA",W:W)</f>
        <v>-415379459.79999995</v>
      </c>
      <c r="Z24" t="s">
        <v>577</v>
      </c>
      <c r="AA24" t="s">
        <v>578</v>
      </c>
      <c r="AC24" s="3">
        <v>-365216261.67000002</v>
      </c>
      <c r="AE24" s="31">
        <v>-365216261.67000002</v>
      </c>
      <c r="AG24" s="31">
        <v>-415379459.80000001</v>
      </c>
      <c r="AJ24" s="31"/>
    </row>
    <row r="25" spans="3:36" ht="14.45" customHeight="1">
      <c r="C25">
        <v>5360</v>
      </c>
      <c r="D25" t="s">
        <v>537</v>
      </c>
      <c r="E25">
        <v>94000000</v>
      </c>
      <c r="H25" t="s">
        <v>579</v>
      </c>
      <c r="K25" s="3">
        <v>0</v>
      </c>
      <c r="L25" s="26"/>
      <c r="M25" s="3">
        <v>0</v>
      </c>
      <c r="O25" s="3">
        <v>0</v>
      </c>
      <c r="S25" s="3"/>
      <c r="T25" s="3"/>
      <c r="U25" s="3"/>
      <c r="V25" s="3"/>
      <c r="W25" s="3">
        <f t="shared" si="0"/>
        <v>0</v>
      </c>
      <c r="X25" s="44" t="s">
        <v>580</v>
      </c>
      <c r="AA25"/>
      <c r="AC25" s="3">
        <v>0</v>
      </c>
      <c r="AE25">
        <v>0</v>
      </c>
      <c r="AG25">
        <v>0</v>
      </c>
    </row>
    <row r="26" spans="3:36" ht="15" customHeight="1">
      <c r="C26">
        <v>5360</v>
      </c>
      <c r="D26" t="s">
        <v>537</v>
      </c>
      <c r="E26">
        <v>94120000</v>
      </c>
      <c r="H26" t="s">
        <v>581</v>
      </c>
      <c r="K26" s="3">
        <v>0</v>
      </c>
      <c r="L26" s="26"/>
      <c r="M26" s="3">
        <v>0</v>
      </c>
      <c r="O26" s="3">
        <v>0</v>
      </c>
      <c r="S26" s="3"/>
      <c r="T26" s="3"/>
      <c r="U26" s="3"/>
      <c r="V26" s="3"/>
      <c r="W26" s="3">
        <f t="shared" si="0"/>
        <v>0</v>
      </c>
      <c r="X26" s="44" t="s">
        <v>194</v>
      </c>
      <c r="AA26"/>
      <c r="AC26" s="3">
        <v>0</v>
      </c>
      <c r="AE26">
        <v>0</v>
      </c>
      <c r="AG26">
        <v>0</v>
      </c>
    </row>
    <row r="27" spans="3:36" ht="15" customHeight="1">
      <c r="C27">
        <v>5360</v>
      </c>
      <c r="D27" t="s">
        <v>537</v>
      </c>
      <c r="E27">
        <v>94130000</v>
      </c>
      <c r="H27" t="s">
        <v>582</v>
      </c>
      <c r="K27" s="3">
        <v>0</v>
      </c>
      <c r="L27" s="26"/>
      <c r="M27" s="3">
        <v>0</v>
      </c>
      <c r="O27" s="3">
        <v>0</v>
      </c>
      <c r="S27" s="3"/>
      <c r="T27" s="3"/>
      <c r="U27" s="3"/>
      <c r="V27" s="3"/>
      <c r="W27" s="3">
        <f t="shared" si="0"/>
        <v>0</v>
      </c>
      <c r="X27" s="44" t="s">
        <v>194</v>
      </c>
      <c r="AA27"/>
      <c r="AC27" s="3">
        <v>0</v>
      </c>
      <c r="AE27">
        <v>0</v>
      </c>
      <c r="AG27">
        <v>0</v>
      </c>
    </row>
    <row r="28" spans="3:36" ht="14.45" customHeight="1">
      <c r="C28">
        <v>5360</v>
      </c>
      <c r="D28" t="s">
        <v>537</v>
      </c>
      <c r="E28">
        <v>94140000</v>
      </c>
      <c r="H28" t="s">
        <v>583</v>
      </c>
      <c r="K28" s="3">
        <v>0</v>
      </c>
      <c r="L28" s="26"/>
      <c r="M28" s="3">
        <v>0</v>
      </c>
      <c r="O28" s="3">
        <v>0</v>
      </c>
      <c r="S28" s="3"/>
      <c r="T28" s="3"/>
      <c r="U28" s="3"/>
      <c r="V28" s="3"/>
      <c r="W28" s="3">
        <f t="shared" si="0"/>
        <v>0</v>
      </c>
      <c r="X28" s="44" t="s">
        <v>194</v>
      </c>
      <c r="AA28"/>
      <c r="AC28" s="3">
        <v>0</v>
      </c>
      <c r="AE28">
        <v>0</v>
      </c>
      <c r="AG28">
        <v>0</v>
      </c>
    </row>
    <row r="29" spans="3:36" ht="14.45" customHeight="1">
      <c r="C29">
        <v>5360</v>
      </c>
      <c r="D29" t="s">
        <v>537</v>
      </c>
      <c r="E29">
        <v>94150000</v>
      </c>
      <c r="H29" t="s">
        <v>327</v>
      </c>
      <c r="K29" s="3">
        <v>0</v>
      </c>
      <c r="L29" s="26"/>
      <c r="M29" s="3">
        <v>0</v>
      </c>
      <c r="O29" s="3">
        <v>0</v>
      </c>
      <c r="S29" s="3"/>
      <c r="T29" s="3"/>
      <c r="U29" s="3"/>
      <c r="V29" s="3"/>
      <c r="W29" s="3">
        <f t="shared" si="0"/>
        <v>0</v>
      </c>
      <c r="X29" s="44" t="s">
        <v>209</v>
      </c>
      <c r="AA29"/>
      <c r="AC29" s="3">
        <v>0</v>
      </c>
      <c r="AE29">
        <v>0</v>
      </c>
      <c r="AG29">
        <v>0</v>
      </c>
    </row>
    <row r="30" spans="3:36" ht="14.45" customHeight="1">
      <c r="C30">
        <v>5360</v>
      </c>
      <c r="D30" t="s">
        <v>537</v>
      </c>
      <c r="E30">
        <v>94160000</v>
      </c>
      <c r="H30" t="s">
        <v>328</v>
      </c>
      <c r="K30" s="3">
        <v>0</v>
      </c>
      <c r="L30" s="26"/>
      <c r="M30" s="3">
        <v>0</v>
      </c>
      <c r="O30" s="3">
        <v>0</v>
      </c>
      <c r="S30" s="3"/>
      <c r="T30" s="3"/>
      <c r="U30" s="3"/>
      <c r="V30" s="3"/>
      <c r="W30" s="3">
        <f t="shared" si="0"/>
        <v>0</v>
      </c>
      <c r="X30" s="44" t="s">
        <v>209</v>
      </c>
      <c r="AA30"/>
      <c r="AC30" s="3">
        <v>0</v>
      </c>
      <c r="AE30">
        <v>0</v>
      </c>
      <c r="AG30">
        <v>0</v>
      </c>
    </row>
    <row r="31" spans="3:36" ht="14.45" customHeight="1">
      <c r="C31">
        <v>5360</v>
      </c>
      <c r="D31" t="s">
        <v>537</v>
      </c>
      <c r="E31">
        <v>94500000</v>
      </c>
      <c r="H31" t="s">
        <v>584</v>
      </c>
      <c r="K31" s="3">
        <v>0</v>
      </c>
      <c r="L31" s="26"/>
      <c r="M31" s="3">
        <v>0</v>
      </c>
      <c r="O31" s="3">
        <v>0</v>
      </c>
      <c r="S31" s="3"/>
      <c r="T31" s="3"/>
      <c r="U31" s="3"/>
      <c r="V31" s="3"/>
      <c r="W31" s="3">
        <f t="shared" si="0"/>
        <v>0</v>
      </c>
      <c r="X31" s="44" t="s">
        <v>194</v>
      </c>
      <c r="AA31"/>
      <c r="AC31" s="3">
        <v>0</v>
      </c>
      <c r="AE31">
        <v>0</v>
      </c>
      <c r="AG31">
        <v>0</v>
      </c>
    </row>
    <row r="32" spans="3:36" ht="14.45" customHeight="1">
      <c r="C32">
        <v>5360</v>
      </c>
      <c r="E32">
        <v>94510000</v>
      </c>
      <c r="H32" t="s">
        <v>585</v>
      </c>
      <c r="K32" s="3">
        <v>201929.66</v>
      </c>
      <c r="L32" s="26"/>
      <c r="M32" s="3">
        <v>-201360.51</v>
      </c>
      <c r="O32" s="3">
        <v>-403290.17</v>
      </c>
      <c r="Q32">
        <v>-199.7</v>
      </c>
      <c r="S32" s="3">
        <v>-201929.66</v>
      </c>
      <c r="T32" s="3"/>
      <c r="U32" s="3"/>
      <c r="V32" s="3"/>
      <c r="W32" s="3">
        <f t="shared" si="0"/>
        <v>0</v>
      </c>
      <c r="X32" s="44" t="s">
        <v>194</v>
      </c>
      <c r="AA32"/>
      <c r="AC32" s="3">
        <v>-201360.51</v>
      </c>
      <c r="AE32" s="31">
        <v>-201360.51</v>
      </c>
      <c r="AG32" s="31">
        <v>201929.66</v>
      </c>
    </row>
    <row r="33" spans="3:36" ht="14.45" customHeight="1">
      <c r="C33">
        <v>5360</v>
      </c>
      <c r="D33" t="s">
        <v>537</v>
      </c>
      <c r="E33">
        <v>94530000</v>
      </c>
      <c r="H33" t="s">
        <v>586</v>
      </c>
      <c r="K33" s="3">
        <v>0</v>
      </c>
      <c r="L33" s="26"/>
      <c r="M33" s="3">
        <v>0</v>
      </c>
      <c r="O33" s="3">
        <v>0</v>
      </c>
      <c r="S33" s="3"/>
      <c r="T33" s="3"/>
      <c r="U33" s="3"/>
      <c r="V33" s="3"/>
      <c r="W33" s="3">
        <f t="shared" si="0"/>
        <v>0</v>
      </c>
      <c r="X33" s="44" t="s">
        <v>194</v>
      </c>
      <c r="AA33"/>
      <c r="AC33" s="3">
        <v>0</v>
      </c>
      <c r="AE33">
        <v>0</v>
      </c>
      <c r="AG33">
        <v>0</v>
      </c>
    </row>
    <row r="34" spans="3:36" ht="14.45" customHeight="1">
      <c r="C34">
        <v>5360</v>
      </c>
      <c r="D34" t="s">
        <v>537</v>
      </c>
      <c r="E34">
        <v>94540000</v>
      </c>
      <c r="H34" t="s">
        <v>587</v>
      </c>
      <c r="K34" s="3">
        <v>0</v>
      </c>
      <c r="L34" s="26"/>
      <c r="M34" s="3">
        <v>0</v>
      </c>
      <c r="O34" s="3">
        <v>0</v>
      </c>
      <c r="S34" s="3"/>
      <c r="T34" s="3"/>
      <c r="U34" s="3"/>
      <c r="V34" s="3"/>
      <c r="W34" s="3">
        <f t="shared" si="0"/>
        <v>0</v>
      </c>
      <c r="X34" s="44" t="s">
        <v>194</v>
      </c>
      <c r="AA34"/>
      <c r="AC34" s="3">
        <v>0</v>
      </c>
      <c r="AE34">
        <v>0</v>
      </c>
      <c r="AG34">
        <v>0</v>
      </c>
    </row>
    <row r="35" spans="3:36" ht="14.45" customHeight="1">
      <c r="C35">
        <v>5360</v>
      </c>
      <c r="D35" t="s">
        <v>537</v>
      </c>
      <c r="E35">
        <v>94550000</v>
      </c>
      <c r="H35" t="s">
        <v>588</v>
      </c>
      <c r="K35" s="3">
        <v>0</v>
      </c>
      <c r="L35" s="26"/>
      <c r="M35" s="3">
        <v>0</v>
      </c>
      <c r="O35" s="3">
        <v>0</v>
      </c>
      <c r="S35" s="3"/>
      <c r="T35" s="3"/>
      <c r="U35" s="3"/>
      <c r="V35" s="3"/>
      <c r="W35" s="3">
        <f t="shared" si="0"/>
        <v>0</v>
      </c>
      <c r="X35" s="44" t="s">
        <v>194</v>
      </c>
      <c r="AA35"/>
      <c r="AC35" s="3">
        <v>0</v>
      </c>
      <c r="AE35">
        <v>0</v>
      </c>
      <c r="AG35">
        <v>0</v>
      </c>
    </row>
    <row r="36" spans="3:36" ht="14.45" customHeight="1">
      <c r="C36">
        <v>5360</v>
      </c>
      <c r="E36">
        <v>94560000</v>
      </c>
      <c r="H36" t="s">
        <v>589</v>
      </c>
      <c r="K36" s="3">
        <v>3221.2</v>
      </c>
      <c r="L36" s="26"/>
      <c r="M36" s="3">
        <v>-4552.6400000000003</v>
      </c>
      <c r="O36" s="3">
        <v>-7773.84</v>
      </c>
      <c r="Q36">
        <v>-241.3</v>
      </c>
      <c r="S36" s="3">
        <v>-3221.2</v>
      </c>
      <c r="T36" s="3"/>
      <c r="U36" s="3"/>
      <c r="V36" s="3"/>
      <c r="W36" s="3">
        <f t="shared" si="0"/>
        <v>0</v>
      </c>
      <c r="X36" s="44" t="s">
        <v>194</v>
      </c>
      <c r="AA36"/>
      <c r="AC36" s="3">
        <v>-4552.6400000000003</v>
      </c>
      <c r="AE36" s="31">
        <v>-4552.6400000000003</v>
      </c>
      <c r="AG36" s="31">
        <v>3221.2</v>
      </c>
      <c r="AJ36" s="31"/>
    </row>
    <row r="37" spans="3:36" ht="14.45" customHeight="1">
      <c r="C37">
        <v>5360</v>
      </c>
      <c r="D37" t="s">
        <v>537</v>
      </c>
      <c r="E37">
        <v>94561000</v>
      </c>
      <c r="H37" t="s">
        <v>590</v>
      </c>
      <c r="K37" s="3">
        <v>0</v>
      </c>
      <c r="L37" s="26"/>
      <c r="M37" s="3">
        <v>0</v>
      </c>
      <c r="O37" s="3">
        <v>0</v>
      </c>
      <c r="S37" s="3"/>
      <c r="T37" s="3"/>
      <c r="U37" s="3"/>
      <c r="V37" s="3"/>
      <c r="W37" s="3">
        <f t="shared" si="0"/>
        <v>0</v>
      </c>
      <c r="X37" s="44" t="s">
        <v>194</v>
      </c>
      <c r="AA37"/>
      <c r="AC37" s="3">
        <v>0</v>
      </c>
      <c r="AE37">
        <v>0</v>
      </c>
      <c r="AG37">
        <v>0</v>
      </c>
    </row>
    <row r="38" spans="3:36" ht="14.45" customHeight="1">
      <c r="C38">
        <v>5360</v>
      </c>
      <c r="D38" t="s">
        <v>537</v>
      </c>
      <c r="E38">
        <v>94571000</v>
      </c>
      <c r="H38" t="s">
        <v>591</v>
      </c>
      <c r="K38" s="3">
        <v>0</v>
      </c>
      <c r="L38" s="26"/>
      <c r="M38" s="3">
        <v>0</v>
      </c>
      <c r="O38" s="3">
        <v>0</v>
      </c>
      <c r="S38" s="3"/>
      <c r="T38" s="3"/>
      <c r="U38" s="3"/>
      <c r="V38" s="3"/>
      <c r="W38" s="3">
        <f t="shared" si="0"/>
        <v>0</v>
      </c>
      <c r="X38" s="44" t="s">
        <v>194</v>
      </c>
      <c r="AA38"/>
      <c r="AC38" s="3">
        <v>0</v>
      </c>
      <c r="AE38">
        <v>0</v>
      </c>
      <c r="AG38">
        <v>0</v>
      </c>
    </row>
    <row r="39" spans="3:36" ht="14.45" customHeight="1">
      <c r="C39">
        <v>5360</v>
      </c>
      <c r="D39" t="s">
        <v>537</v>
      </c>
      <c r="E39">
        <v>94572000</v>
      </c>
      <c r="H39" t="s">
        <v>592</v>
      </c>
      <c r="K39" s="3">
        <v>0</v>
      </c>
      <c r="L39" s="26"/>
      <c r="M39" s="3">
        <v>0</v>
      </c>
      <c r="O39" s="3">
        <v>0</v>
      </c>
      <c r="S39" s="3"/>
      <c r="T39" s="3"/>
      <c r="U39" s="3"/>
      <c r="V39" s="3"/>
      <c r="W39" s="3">
        <f t="shared" si="0"/>
        <v>0</v>
      </c>
      <c r="X39" s="44" t="s">
        <v>194</v>
      </c>
      <c r="AA39"/>
      <c r="AC39" s="3">
        <v>0</v>
      </c>
      <c r="AE39">
        <v>0</v>
      </c>
      <c r="AG39">
        <v>0</v>
      </c>
    </row>
    <row r="40" spans="3:36" ht="14.45" customHeight="1">
      <c r="C40">
        <v>5360</v>
      </c>
      <c r="D40" t="s">
        <v>537</v>
      </c>
      <c r="E40">
        <v>94580000</v>
      </c>
      <c r="H40" t="s">
        <v>593</v>
      </c>
      <c r="K40" s="3">
        <v>0</v>
      </c>
      <c r="L40" s="26"/>
      <c r="M40" s="3">
        <v>0</v>
      </c>
      <c r="O40" s="3">
        <v>0</v>
      </c>
      <c r="S40" s="3"/>
      <c r="T40" s="3"/>
      <c r="U40" s="3"/>
      <c r="V40" s="3"/>
      <c r="W40" s="3">
        <f t="shared" si="0"/>
        <v>0</v>
      </c>
      <c r="X40" s="44" t="s">
        <v>580</v>
      </c>
      <c r="AA40"/>
      <c r="AC40" s="3">
        <v>0</v>
      </c>
      <c r="AE40">
        <v>0</v>
      </c>
      <c r="AG40">
        <v>0</v>
      </c>
    </row>
    <row r="41" spans="3:36" ht="14.45" customHeight="1">
      <c r="E41" t="s">
        <v>594</v>
      </c>
      <c r="K41" s="3">
        <v>205150.86</v>
      </c>
      <c r="L41" s="26"/>
      <c r="M41" s="3">
        <v>-205913.15</v>
      </c>
      <c r="O41" s="3">
        <v>-411064.01</v>
      </c>
      <c r="Q41">
        <v>-200.4</v>
      </c>
      <c r="R41" t="s">
        <v>569</v>
      </c>
      <c r="S41" s="3">
        <f>SUM(S25:S40)</f>
        <v>-205150.86000000002</v>
      </c>
      <c r="T41" s="3">
        <f>SUM(T25:T40)</f>
        <v>0</v>
      </c>
      <c r="U41" s="3">
        <f>SUM(U25:U40)</f>
        <v>0</v>
      </c>
      <c r="V41" s="3">
        <f>SUM(V25:V40)</f>
        <v>0</v>
      </c>
      <c r="W41" s="3">
        <f t="shared" si="0"/>
        <v>-2.9103830456733704E-11</v>
      </c>
      <c r="X41" s="619"/>
      <c r="Y41" s="3"/>
      <c r="AA41"/>
      <c r="AC41" s="3">
        <v>-205913.15</v>
      </c>
      <c r="AE41" s="31">
        <v>-205913.15</v>
      </c>
      <c r="AG41" s="31">
        <v>205150.86</v>
      </c>
      <c r="AJ41" s="31"/>
    </row>
    <row r="42" spans="3:36" ht="14.45" customHeight="1">
      <c r="C42">
        <v>5360</v>
      </c>
      <c r="E42">
        <v>94870000</v>
      </c>
      <c r="H42" t="s">
        <v>595</v>
      </c>
      <c r="K42" s="3">
        <v>0</v>
      </c>
      <c r="L42" s="26"/>
      <c r="M42" s="3">
        <v>0</v>
      </c>
      <c r="O42" s="3">
        <v>0</v>
      </c>
      <c r="S42" s="3"/>
      <c r="T42" s="3"/>
      <c r="U42" s="3"/>
      <c r="V42" s="3"/>
      <c r="W42" s="3">
        <f t="shared" si="0"/>
        <v>0</v>
      </c>
      <c r="X42" s="44" t="s">
        <v>194</v>
      </c>
      <c r="AA42"/>
      <c r="AC42" s="3">
        <v>0</v>
      </c>
      <c r="AE42">
        <v>0</v>
      </c>
      <c r="AG42">
        <v>0</v>
      </c>
    </row>
    <row r="43" spans="3:36" ht="14.45" customHeight="1">
      <c r="C43">
        <v>5360</v>
      </c>
      <c r="E43">
        <v>94880000</v>
      </c>
      <c r="H43" t="s">
        <v>596</v>
      </c>
      <c r="K43" s="3">
        <v>15119.55</v>
      </c>
      <c r="L43" s="26"/>
      <c r="M43" s="3">
        <v>-52347.32</v>
      </c>
      <c r="O43" s="3">
        <v>-67466.87</v>
      </c>
      <c r="Q43">
        <v>-446.2</v>
      </c>
      <c r="S43" s="3"/>
      <c r="T43" s="3"/>
      <c r="U43" s="3"/>
      <c r="V43" s="3"/>
      <c r="W43" s="3">
        <f t="shared" si="0"/>
        <v>15119.55</v>
      </c>
      <c r="X43" s="44" t="s">
        <v>194</v>
      </c>
      <c r="AA43"/>
      <c r="AC43" s="3">
        <v>-52347.32</v>
      </c>
      <c r="AE43" s="31">
        <v>-52347.32</v>
      </c>
      <c r="AG43" s="31">
        <v>15119.55</v>
      </c>
    </row>
    <row r="44" spans="3:36" ht="14.45" customHeight="1">
      <c r="C44">
        <v>5360</v>
      </c>
      <c r="D44" t="s">
        <v>537</v>
      </c>
      <c r="E44">
        <v>94891000</v>
      </c>
      <c r="H44" t="s">
        <v>597</v>
      </c>
      <c r="K44" s="3">
        <v>0</v>
      </c>
      <c r="L44" s="26"/>
      <c r="M44" s="3">
        <v>0</v>
      </c>
      <c r="O44" s="3">
        <v>0</v>
      </c>
      <c r="S44" s="3"/>
      <c r="T44" s="3"/>
      <c r="U44" s="3"/>
      <c r="V44" s="3"/>
      <c r="W44" s="3">
        <f t="shared" si="0"/>
        <v>0</v>
      </c>
      <c r="X44" s="44" t="s">
        <v>193</v>
      </c>
      <c r="AA44"/>
      <c r="AC44" s="3">
        <v>0</v>
      </c>
      <c r="AE44">
        <v>0</v>
      </c>
      <c r="AG44">
        <v>0</v>
      </c>
    </row>
    <row r="45" spans="3:36">
      <c r="C45">
        <v>5360</v>
      </c>
      <c r="D45" t="s">
        <v>537</v>
      </c>
      <c r="E45">
        <v>94892000</v>
      </c>
      <c r="H45" t="s">
        <v>598</v>
      </c>
      <c r="K45" s="3">
        <v>0</v>
      </c>
      <c r="L45" s="26"/>
      <c r="M45" s="3">
        <v>0</v>
      </c>
      <c r="O45" s="3">
        <v>0</v>
      </c>
      <c r="S45" s="3"/>
      <c r="T45" s="3"/>
      <c r="U45" s="3"/>
      <c r="V45" s="3"/>
      <c r="W45" s="3">
        <f t="shared" si="0"/>
        <v>0</v>
      </c>
      <c r="X45" s="44" t="s">
        <v>193</v>
      </c>
      <c r="AA45"/>
      <c r="AC45" s="3">
        <v>0</v>
      </c>
      <c r="AE45">
        <v>0</v>
      </c>
      <c r="AG45">
        <v>0</v>
      </c>
    </row>
    <row r="46" spans="3:36">
      <c r="C46">
        <v>5360</v>
      </c>
      <c r="E46">
        <v>94893000</v>
      </c>
      <c r="H46" t="s">
        <v>599</v>
      </c>
      <c r="K46" s="3">
        <v>-51415603.960000001</v>
      </c>
      <c r="L46" s="26"/>
      <c r="M46" s="3">
        <v>-49159755.140000001</v>
      </c>
      <c r="O46" s="3">
        <v>2255848.8199999998</v>
      </c>
      <c r="Q46">
        <v>4.4000000000000004</v>
      </c>
      <c r="S46" s="3"/>
      <c r="T46" s="3"/>
      <c r="U46" s="3"/>
      <c r="V46" s="3"/>
      <c r="W46" s="3">
        <f t="shared" si="0"/>
        <v>-51415603.960000001</v>
      </c>
      <c r="X46" s="44" t="s">
        <v>193</v>
      </c>
      <c r="Y46" s="80" t="s">
        <v>600</v>
      </c>
      <c r="AA46"/>
      <c r="AC46" s="3">
        <v>-49159755.140000001</v>
      </c>
      <c r="AE46" s="31">
        <v>-49159755.140000001</v>
      </c>
      <c r="AG46" s="31">
        <v>-51415603.960000001</v>
      </c>
      <c r="AJ46" s="31"/>
    </row>
    <row r="47" spans="3:36">
      <c r="C47">
        <v>5360</v>
      </c>
      <c r="D47" t="s">
        <v>537</v>
      </c>
      <c r="E47">
        <v>94894000</v>
      </c>
      <c r="H47" t="s">
        <v>601</v>
      </c>
      <c r="K47" s="3">
        <v>0</v>
      </c>
      <c r="L47" s="26"/>
      <c r="M47" s="3">
        <v>0</v>
      </c>
      <c r="O47" s="3">
        <v>0</v>
      </c>
      <c r="S47" s="3"/>
      <c r="T47" s="3"/>
      <c r="U47" s="3"/>
      <c r="V47" s="3"/>
      <c r="W47" s="3">
        <f t="shared" si="0"/>
        <v>0</v>
      </c>
      <c r="X47" s="44" t="s">
        <v>194</v>
      </c>
      <c r="Y47" s="145">
        <f>SUMIF(X:X,"BB",W:W)</f>
        <v>-51415603.960000001</v>
      </c>
      <c r="Z47" t="s">
        <v>80</v>
      </c>
      <c r="AA47" t="s">
        <v>578</v>
      </c>
      <c r="AC47" s="3">
        <v>0</v>
      </c>
      <c r="AE47">
        <v>0</v>
      </c>
      <c r="AG47">
        <v>0</v>
      </c>
    </row>
    <row r="48" spans="3:36">
      <c r="C48">
        <v>5360</v>
      </c>
      <c r="D48" t="s">
        <v>537</v>
      </c>
      <c r="E48">
        <v>94900000</v>
      </c>
      <c r="H48" t="s">
        <v>602</v>
      </c>
      <c r="K48" s="3">
        <v>0</v>
      </c>
      <c r="L48" s="26"/>
      <c r="M48" s="3">
        <v>0</v>
      </c>
      <c r="O48" s="3">
        <v>0</v>
      </c>
      <c r="S48" s="3"/>
      <c r="T48" s="3"/>
      <c r="U48" s="3"/>
      <c r="V48" s="3"/>
      <c r="W48" s="3">
        <f t="shared" si="0"/>
        <v>0</v>
      </c>
      <c r="X48" s="44" t="s">
        <v>194</v>
      </c>
      <c r="Y48" s="32"/>
      <c r="AA48"/>
      <c r="AC48" s="3">
        <v>0</v>
      </c>
      <c r="AE48">
        <v>0</v>
      </c>
      <c r="AG48">
        <v>0</v>
      </c>
    </row>
    <row r="49" spans="3:36">
      <c r="C49">
        <v>5360</v>
      </c>
      <c r="D49" t="s">
        <v>537</v>
      </c>
      <c r="E49">
        <v>94910000</v>
      </c>
      <c r="H49" t="s">
        <v>603</v>
      </c>
      <c r="K49" s="3">
        <v>0</v>
      </c>
      <c r="L49" s="26"/>
      <c r="M49" s="3">
        <v>0</v>
      </c>
      <c r="O49" s="3">
        <v>0</v>
      </c>
      <c r="S49" s="3"/>
      <c r="T49" s="3"/>
      <c r="U49" s="3"/>
      <c r="V49" s="3"/>
      <c r="W49" s="3">
        <f t="shared" si="0"/>
        <v>0</v>
      </c>
      <c r="X49" s="44" t="s">
        <v>194</v>
      </c>
      <c r="Y49" s="32"/>
      <c r="AA49"/>
      <c r="AC49" s="3">
        <v>0</v>
      </c>
      <c r="AE49">
        <v>0</v>
      </c>
      <c r="AG49">
        <v>0</v>
      </c>
    </row>
    <row r="50" spans="3:36">
      <c r="C50">
        <v>5360</v>
      </c>
      <c r="D50" t="s">
        <v>537</v>
      </c>
      <c r="E50">
        <v>94920000</v>
      </c>
      <c r="H50" t="s">
        <v>604</v>
      </c>
      <c r="K50" s="3">
        <v>0</v>
      </c>
      <c r="L50" s="26"/>
      <c r="M50" s="3">
        <v>0</v>
      </c>
      <c r="O50" s="3">
        <v>0</v>
      </c>
      <c r="S50" s="3"/>
      <c r="T50" s="3"/>
      <c r="U50" s="3"/>
      <c r="V50" s="3"/>
      <c r="W50" s="3">
        <f t="shared" si="0"/>
        <v>0</v>
      </c>
      <c r="X50" s="44" t="s">
        <v>194</v>
      </c>
      <c r="Y50" s="32"/>
      <c r="AA50"/>
      <c r="AC50" s="3">
        <v>0</v>
      </c>
      <c r="AE50">
        <v>0</v>
      </c>
      <c r="AG50">
        <v>0</v>
      </c>
    </row>
    <row r="51" spans="3:36">
      <c r="C51">
        <v>5360</v>
      </c>
      <c r="E51">
        <v>94930000</v>
      </c>
      <c r="H51" t="s">
        <v>295</v>
      </c>
      <c r="K51" s="3">
        <v>-2088861.6</v>
      </c>
      <c r="L51" s="26"/>
      <c r="M51" s="3">
        <v>-1974400.09</v>
      </c>
      <c r="O51" s="3">
        <v>114461.51</v>
      </c>
      <c r="Q51">
        <v>5.5</v>
      </c>
      <c r="S51" s="3"/>
      <c r="T51" s="3"/>
      <c r="U51" s="3"/>
      <c r="V51" s="3"/>
      <c r="W51" s="3">
        <f t="shared" si="0"/>
        <v>-2088861.6</v>
      </c>
      <c r="X51" s="44" t="s">
        <v>194</v>
      </c>
      <c r="Y51" s="32"/>
      <c r="AA51"/>
      <c r="AC51" s="3">
        <v>-1974400.09</v>
      </c>
      <c r="AE51" s="31">
        <v>-1974400.09</v>
      </c>
      <c r="AG51" s="31">
        <v>-2088861.6</v>
      </c>
      <c r="AJ51" s="31"/>
    </row>
    <row r="52" spans="3:36">
      <c r="C52">
        <v>5360</v>
      </c>
      <c r="D52" t="s">
        <v>537</v>
      </c>
      <c r="E52">
        <v>94940000</v>
      </c>
      <c r="H52" t="s">
        <v>605</v>
      </c>
      <c r="K52" s="3">
        <v>0</v>
      </c>
      <c r="L52" s="26"/>
      <c r="M52" s="3">
        <v>0</v>
      </c>
      <c r="O52" s="3">
        <v>0</v>
      </c>
      <c r="S52" s="3"/>
      <c r="T52" s="3"/>
      <c r="U52" s="3"/>
      <c r="V52" s="3"/>
      <c r="W52" s="3">
        <f t="shared" si="0"/>
        <v>0</v>
      </c>
      <c r="X52" s="44" t="s">
        <v>194</v>
      </c>
      <c r="Y52" s="32"/>
      <c r="AA52"/>
      <c r="AC52" s="3">
        <v>0</v>
      </c>
      <c r="AE52">
        <v>0</v>
      </c>
      <c r="AG52">
        <v>0</v>
      </c>
    </row>
    <row r="53" spans="3:36">
      <c r="C53" s="326">
        <v>5360</v>
      </c>
      <c r="D53" s="326"/>
      <c r="E53" s="326">
        <v>94950000</v>
      </c>
      <c r="F53" s="326"/>
      <c r="G53" s="326"/>
      <c r="H53" s="326" t="s">
        <v>606</v>
      </c>
      <c r="I53" s="326"/>
      <c r="J53" s="326"/>
      <c r="K53" s="327">
        <v>-8507572</v>
      </c>
      <c r="L53" s="329"/>
      <c r="M53" s="327">
        <v>-23518777.760000002</v>
      </c>
      <c r="N53" s="326"/>
      <c r="O53" s="327">
        <v>-15011205.76</v>
      </c>
      <c r="Q53">
        <v>-176.4</v>
      </c>
      <c r="S53" s="3">
        <v>-735</v>
      </c>
      <c r="T53" s="3"/>
      <c r="U53" s="3"/>
      <c r="V53" s="3"/>
      <c r="W53" s="426">
        <f t="shared" si="0"/>
        <v>-8508307</v>
      </c>
      <c r="X53" s="44" t="s">
        <v>194</v>
      </c>
      <c r="Y53" s="32"/>
      <c r="AA53"/>
      <c r="AC53" s="327">
        <v>-23518777.760000002</v>
      </c>
      <c r="AE53" s="31">
        <v>-23518777.760000002</v>
      </c>
      <c r="AG53" s="31">
        <v>-8507572</v>
      </c>
      <c r="AJ53" s="31"/>
    </row>
    <row r="54" spans="3:36">
      <c r="C54">
        <v>5360</v>
      </c>
      <c r="D54" t="s">
        <v>537</v>
      </c>
      <c r="E54">
        <v>94960000</v>
      </c>
      <c r="H54" t="s">
        <v>607</v>
      </c>
      <c r="K54" s="3">
        <v>0</v>
      </c>
      <c r="L54" s="26"/>
      <c r="M54" s="3">
        <v>0</v>
      </c>
      <c r="O54" s="3">
        <v>0</v>
      </c>
      <c r="S54" s="3"/>
      <c r="T54" s="3"/>
      <c r="U54" s="3"/>
      <c r="V54" s="3"/>
      <c r="W54" s="3">
        <f t="shared" si="0"/>
        <v>0</v>
      </c>
      <c r="X54" s="44" t="s">
        <v>194</v>
      </c>
      <c r="Y54" s="182" t="s">
        <v>608</v>
      </c>
      <c r="AA54"/>
      <c r="AC54" s="3">
        <v>0</v>
      </c>
      <c r="AE54">
        <v>0</v>
      </c>
      <c r="AG54">
        <v>0</v>
      </c>
    </row>
    <row r="55" spans="3:36">
      <c r="E55" t="s">
        <v>606</v>
      </c>
      <c r="K55" s="3">
        <v>-61996918.009999998</v>
      </c>
      <c r="L55" s="26"/>
      <c r="M55" s="3">
        <v>-74705280.310000002</v>
      </c>
      <c r="O55" s="3">
        <v>-12708362.300000001</v>
      </c>
      <c r="Q55">
        <v>-20.5</v>
      </c>
      <c r="R55" t="s">
        <v>569</v>
      </c>
      <c r="S55" s="3">
        <f>SUM(S42:S54)</f>
        <v>-735</v>
      </c>
      <c r="T55" s="3">
        <f>SUM(T42:T54)</f>
        <v>0</v>
      </c>
      <c r="U55" s="3">
        <f>SUM(U42:U54)</f>
        <v>0</v>
      </c>
      <c r="V55" s="3">
        <f>SUM(V42:V54)</f>
        <v>0</v>
      </c>
      <c r="W55" s="3">
        <f t="shared" si="0"/>
        <v>-61997653.009999998</v>
      </c>
      <c r="X55" s="619"/>
      <c r="Y55" s="145">
        <f>SUMIF(X:X,"CC",W:W)</f>
        <v>-10582049.050000001</v>
      </c>
      <c r="Z55" t="s">
        <v>609</v>
      </c>
      <c r="AA55" t="s">
        <v>578</v>
      </c>
      <c r="AC55" s="3">
        <v>-74705280.310000002</v>
      </c>
      <c r="AE55" s="31">
        <v>-74705280.310000002</v>
      </c>
      <c r="AG55" s="31">
        <v>-61996918.009999998</v>
      </c>
      <c r="AJ55" s="31"/>
    </row>
    <row r="56" spans="3:36">
      <c r="E56" t="s">
        <v>610</v>
      </c>
      <c r="K56" s="3">
        <v>-477171226.94999999</v>
      </c>
      <c r="L56" s="26"/>
      <c r="M56" s="3">
        <v>-440127455.13</v>
      </c>
      <c r="O56" s="3">
        <v>37043771.82</v>
      </c>
      <c r="Q56">
        <v>7.8</v>
      </c>
      <c r="R56" t="s">
        <v>611</v>
      </c>
      <c r="S56" s="3">
        <f>S55+S41+S24+S18</f>
        <v>-205885.86000000002</v>
      </c>
      <c r="T56" s="3">
        <f>T55+T41+T24+T18</f>
        <v>0</v>
      </c>
      <c r="U56" s="3">
        <f>U55+U41+U24+U18</f>
        <v>0</v>
      </c>
      <c r="V56" s="3">
        <f>V55+V41+V24+V18</f>
        <v>0</v>
      </c>
      <c r="W56" s="3">
        <f t="shared" si="0"/>
        <v>-477377112.81</v>
      </c>
      <c r="X56" s="619"/>
      <c r="Y56" s="3">
        <f>SUM(Y9:Y55)-W56</f>
        <v>0</v>
      </c>
      <c r="Z56" t="s">
        <v>612</v>
      </c>
      <c r="AA56"/>
      <c r="AC56" s="3">
        <v>-440127455.13</v>
      </c>
      <c r="AE56" s="31">
        <v>-440127455.13</v>
      </c>
      <c r="AG56" s="31">
        <v>-477171226.94999999</v>
      </c>
      <c r="AJ56" s="31"/>
    </row>
    <row r="57" spans="3:36">
      <c r="K57" s="3"/>
      <c r="L57" s="26"/>
      <c r="M57" s="3"/>
      <c r="O57" s="3"/>
      <c r="S57" s="3"/>
      <c r="T57" s="3"/>
      <c r="U57" s="3"/>
      <c r="V57" s="3"/>
      <c r="W57" s="3">
        <f t="shared" si="0"/>
        <v>0</v>
      </c>
      <c r="X57" s="619"/>
      <c r="AA57"/>
      <c r="AC57" s="3"/>
    </row>
    <row r="58" spans="3:36">
      <c r="C58">
        <v>5360</v>
      </c>
      <c r="D58" t="s">
        <v>537</v>
      </c>
      <c r="E58">
        <v>95550000</v>
      </c>
      <c r="H58" t="s">
        <v>613</v>
      </c>
      <c r="K58" s="3">
        <v>0</v>
      </c>
      <c r="L58" s="26"/>
      <c r="M58" s="3">
        <v>0</v>
      </c>
      <c r="O58" s="3">
        <v>0</v>
      </c>
      <c r="S58" s="3"/>
      <c r="T58" s="3"/>
      <c r="U58" s="3"/>
      <c r="V58" s="3"/>
      <c r="W58" s="3">
        <f t="shared" si="0"/>
        <v>0</v>
      </c>
      <c r="X58" s="44" t="s">
        <v>197</v>
      </c>
      <c r="AA58"/>
      <c r="AC58" s="3">
        <v>0</v>
      </c>
      <c r="AE58">
        <v>0</v>
      </c>
      <c r="AG58">
        <v>0</v>
      </c>
    </row>
    <row r="59" spans="3:36">
      <c r="C59">
        <v>5360</v>
      </c>
      <c r="D59" t="s">
        <v>537</v>
      </c>
      <c r="E59">
        <v>97170000</v>
      </c>
      <c r="H59" t="s">
        <v>614</v>
      </c>
      <c r="K59" s="3">
        <v>0</v>
      </c>
      <c r="L59" s="26"/>
      <c r="M59" s="3">
        <v>0</v>
      </c>
      <c r="O59" s="3">
        <v>0</v>
      </c>
      <c r="S59" s="3"/>
      <c r="T59" s="3"/>
      <c r="U59" s="3"/>
      <c r="V59" s="3"/>
      <c r="W59" s="3">
        <f t="shared" si="0"/>
        <v>0</v>
      </c>
      <c r="X59" s="44" t="s">
        <v>197</v>
      </c>
      <c r="AA59"/>
      <c r="AC59" s="3">
        <v>0</v>
      </c>
      <c r="AE59">
        <v>0</v>
      </c>
      <c r="AG59">
        <v>0</v>
      </c>
    </row>
    <row r="60" spans="3:36">
      <c r="C60">
        <v>5360</v>
      </c>
      <c r="D60" t="s">
        <v>537</v>
      </c>
      <c r="E60">
        <v>97180000</v>
      </c>
      <c r="H60" t="s">
        <v>615</v>
      </c>
      <c r="K60" s="3">
        <v>0</v>
      </c>
      <c r="L60" s="26"/>
      <c r="M60" s="3">
        <v>0</v>
      </c>
      <c r="O60" s="3">
        <v>0</v>
      </c>
      <c r="S60" s="3"/>
      <c r="T60" s="3"/>
      <c r="U60" s="3"/>
      <c r="V60" s="3"/>
      <c r="W60" s="3">
        <f t="shared" si="0"/>
        <v>0</v>
      </c>
      <c r="X60" s="44" t="s">
        <v>197</v>
      </c>
      <c r="AA60"/>
      <c r="AC60" s="3">
        <v>0</v>
      </c>
      <c r="AE60">
        <v>0</v>
      </c>
      <c r="AG60">
        <v>0</v>
      </c>
    </row>
    <row r="61" spans="3:36">
      <c r="C61">
        <v>5360</v>
      </c>
      <c r="D61" t="s">
        <v>537</v>
      </c>
      <c r="E61">
        <v>97280000</v>
      </c>
      <c r="H61" t="s">
        <v>616</v>
      </c>
      <c r="K61" s="3">
        <v>0</v>
      </c>
      <c r="L61" s="26"/>
      <c r="M61" s="3">
        <v>0</v>
      </c>
      <c r="O61" s="3">
        <v>0</v>
      </c>
      <c r="S61" s="3"/>
      <c r="T61" s="3"/>
      <c r="U61" s="3"/>
      <c r="V61" s="3"/>
      <c r="W61" s="3">
        <f t="shared" si="0"/>
        <v>0</v>
      </c>
      <c r="X61" s="44" t="s">
        <v>197</v>
      </c>
      <c r="AA61"/>
      <c r="AC61" s="3">
        <v>0</v>
      </c>
      <c r="AE61">
        <v>0</v>
      </c>
      <c r="AG61">
        <v>0</v>
      </c>
    </row>
    <row r="62" spans="3:36">
      <c r="C62">
        <v>5360</v>
      </c>
      <c r="D62" t="s">
        <v>537</v>
      </c>
      <c r="E62">
        <v>98000000</v>
      </c>
      <c r="H62" t="s">
        <v>617</v>
      </c>
      <c r="K62" s="3">
        <v>0</v>
      </c>
      <c r="L62" s="26"/>
      <c r="M62" s="3">
        <v>0</v>
      </c>
      <c r="O62" s="3">
        <v>0</v>
      </c>
      <c r="S62" s="3"/>
      <c r="T62" s="3"/>
      <c r="U62" s="3"/>
      <c r="V62" s="3"/>
      <c r="W62" s="3">
        <f t="shared" si="0"/>
        <v>0</v>
      </c>
      <c r="X62" s="44" t="s">
        <v>197</v>
      </c>
      <c r="AA62"/>
      <c r="AC62" s="3">
        <v>0</v>
      </c>
      <c r="AE62">
        <v>0</v>
      </c>
      <c r="AG62">
        <v>0</v>
      </c>
    </row>
    <row r="63" spans="3:36">
      <c r="C63">
        <v>5360</v>
      </c>
      <c r="D63" t="s">
        <v>537</v>
      </c>
      <c r="E63">
        <v>98001000</v>
      </c>
      <c r="H63" t="s">
        <v>618</v>
      </c>
      <c r="K63" s="3">
        <v>0</v>
      </c>
      <c r="L63" s="26"/>
      <c r="M63" s="3">
        <v>0</v>
      </c>
      <c r="O63" s="3">
        <v>0</v>
      </c>
      <c r="S63" s="3"/>
      <c r="T63" s="3"/>
      <c r="U63" s="3"/>
      <c r="V63" s="3"/>
      <c r="W63" s="3">
        <f t="shared" si="0"/>
        <v>0</v>
      </c>
      <c r="X63" s="44" t="s">
        <v>197</v>
      </c>
      <c r="AA63"/>
      <c r="AC63" s="3">
        <v>0</v>
      </c>
      <c r="AE63">
        <v>0</v>
      </c>
      <c r="AG63">
        <v>0</v>
      </c>
    </row>
    <row r="64" spans="3:36">
      <c r="C64">
        <v>5360</v>
      </c>
      <c r="D64" t="s">
        <v>537</v>
      </c>
      <c r="E64">
        <v>98010000</v>
      </c>
      <c r="H64" t="s">
        <v>619</v>
      </c>
      <c r="K64" s="3">
        <v>0</v>
      </c>
      <c r="L64" s="26"/>
      <c r="M64" s="3">
        <v>0</v>
      </c>
      <c r="O64" s="3">
        <v>0</v>
      </c>
      <c r="S64" s="3"/>
      <c r="T64" s="3"/>
      <c r="U64" s="3"/>
      <c r="V64" s="3"/>
      <c r="W64" s="3">
        <f t="shared" si="0"/>
        <v>0</v>
      </c>
      <c r="X64" s="44" t="s">
        <v>197</v>
      </c>
      <c r="AA64"/>
      <c r="AC64" s="3">
        <v>0</v>
      </c>
      <c r="AE64">
        <v>0</v>
      </c>
      <c r="AG64">
        <v>0</v>
      </c>
    </row>
    <row r="65" spans="3:36">
      <c r="C65">
        <v>5360</v>
      </c>
      <c r="D65" t="s">
        <v>537</v>
      </c>
      <c r="E65">
        <v>98020000</v>
      </c>
      <c r="H65" t="s">
        <v>620</v>
      </c>
      <c r="K65" s="3">
        <v>0</v>
      </c>
      <c r="L65" s="26"/>
      <c r="M65" s="3">
        <v>0</v>
      </c>
      <c r="O65" s="3">
        <v>0</v>
      </c>
      <c r="S65" s="3"/>
      <c r="T65" s="3"/>
      <c r="U65" s="3"/>
      <c r="V65" s="3"/>
      <c r="W65" s="3">
        <f t="shared" si="0"/>
        <v>0</v>
      </c>
      <c r="X65" s="44" t="s">
        <v>197</v>
      </c>
      <c r="AA65"/>
      <c r="AC65" s="3">
        <v>0</v>
      </c>
      <c r="AE65">
        <v>0</v>
      </c>
      <c r="AG65">
        <v>0</v>
      </c>
    </row>
    <row r="66" spans="3:36">
      <c r="C66">
        <v>5360</v>
      </c>
      <c r="D66" t="s">
        <v>537</v>
      </c>
      <c r="E66">
        <v>98030000</v>
      </c>
      <c r="H66" t="s">
        <v>621</v>
      </c>
      <c r="K66" s="3">
        <v>0</v>
      </c>
      <c r="L66" s="26"/>
      <c r="M66" s="3">
        <v>0</v>
      </c>
      <c r="O66" s="3">
        <v>0</v>
      </c>
      <c r="S66" s="3"/>
      <c r="T66" s="3"/>
      <c r="U66" s="3"/>
      <c r="V66" s="3"/>
      <c r="W66" s="3">
        <f t="shared" si="0"/>
        <v>0</v>
      </c>
      <c r="X66" s="44" t="s">
        <v>197</v>
      </c>
      <c r="AA66"/>
      <c r="AC66" s="3">
        <v>0</v>
      </c>
      <c r="AE66">
        <v>0</v>
      </c>
      <c r="AG66">
        <v>0</v>
      </c>
    </row>
    <row r="67" spans="3:36">
      <c r="C67">
        <v>5360</v>
      </c>
      <c r="E67">
        <v>98040000</v>
      </c>
      <c r="H67" t="s">
        <v>622</v>
      </c>
      <c r="K67" s="3">
        <v>173109872.49000001</v>
      </c>
      <c r="L67" s="26"/>
      <c r="M67" s="3">
        <v>153722767.27000001</v>
      </c>
      <c r="O67" s="3">
        <v>-19387105.219999999</v>
      </c>
      <c r="Q67">
        <v>-11.2</v>
      </c>
      <c r="S67" s="3"/>
      <c r="T67" s="3"/>
      <c r="U67" s="3"/>
      <c r="V67" s="3"/>
      <c r="W67" s="3">
        <f t="shared" si="0"/>
        <v>173109872.49000001</v>
      </c>
      <c r="X67" s="44" t="s">
        <v>197</v>
      </c>
      <c r="AA67"/>
      <c r="AC67" s="3">
        <v>153722767.27000001</v>
      </c>
      <c r="AE67" s="31">
        <v>153722767.27000001</v>
      </c>
      <c r="AG67" s="31">
        <v>173109872.49000001</v>
      </c>
      <c r="AJ67" s="31"/>
    </row>
    <row r="68" spans="3:36">
      <c r="C68">
        <v>5360</v>
      </c>
      <c r="D68" t="s">
        <v>537</v>
      </c>
      <c r="E68">
        <v>98041000</v>
      </c>
      <c r="H68" t="s">
        <v>623</v>
      </c>
      <c r="K68" s="3">
        <v>0</v>
      </c>
      <c r="L68" s="26"/>
      <c r="M68" s="3">
        <v>0</v>
      </c>
      <c r="O68" s="3">
        <v>0</v>
      </c>
      <c r="S68" s="3"/>
      <c r="T68" s="3"/>
      <c r="U68" s="3"/>
      <c r="V68" s="3"/>
      <c r="W68" s="3">
        <f t="shared" si="0"/>
        <v>0</v>
      </c>
      <c r="X68" s="44" t="s">
        <v>197</v>
      </c>
      <c r="AA68"/>
      <c r="AC68" s="3">
        <v>0</v>
      </c>
      <c r="AE68">
        <v>0</v>
      </c>
      <c r="AG68">
        <v>0</v>
      </c>
    </row>
    <row r="69" spans="3:36">
      <c r="C69">
        <v>5360</v>
      </c>
      <c r="D69" t="s">
        <v>537</v>
      </c>
      <c r="E69">
        <v>98050000</v>
      </c>
      <c r="H69" t="s">
        <v>624</v>
      </c>
      <c r="K69" s="3">
        <v>0</v>
      </c>
      <c r="L69" s="26"/>
      <c r="M69" s="3">
        <v>0</v>
      </c>
      <c r="O69" s="3">
        <v>0</v>
      </c>
      <c r="S69" s="3"/>
      <c r="T69" s="3"/>
      <c r="U69" s="3"/>
      <c r="V69" s="3"/>
      <c r="W69" s="3">
        <f t="shared" si="0"/>
        <v>0</v>
      </c>
      <c r="X69" s="44" t="s">
        <v>197</v>
      </c>
      <c r="AA69"/>
      <c r="AC69" s="3">
        <v>0</v>
      </c>
      <c r="AE69">
        <v>0</v>
      </c>
      <c r="AG69">
        <v>0</v>
      </c>
    </row>
    <row r="70" spans="3:36">
      <c r="C70">
        <v>5360</v>
      </c>
      <c r="D70" t="s">
        <v>537</v>
      </c>
      <c r="E70">
        <v>98051000</v>
      </c>
      <c r="H70" t="s">
        <v>625</v>
      </c>
      <c r="K70" s="3">
        <v>0</v>
      </c>
      <c r="L70" s="26"/>
      <c r="M70" s="3">
        <v>0</v>
      </c>
      <c r="O70" s="3">
        <v>0</v>
      </c>
      <c r="S70" s="3"/>
      <c r="T70" s="3"/>
      <c r="U70" s="3"/>
      <c r="V70" s="3"/>
      <c r="W70" s="3">
        <f t="shared" si="0"/>
        <v>0</v>
      </c>
      <c r="X70" s="44" t="s">
        <v>197</v>
      </c>
      <c r="AA70"/>
      <c r="AC70" s="3">
        <v>0</v>
      </c>
      <c r="AE70">
        <v>0</v>
      </c>
      <c r="AG70">
        <v>0</v>
      </c>
    </row>
    <row r="71" spans="3:36">
      <c r="C71">
        <v>5360</v>
      </c>
      <c r="D71" t="s">
        <v>537</v>
      </c>
      <c r="E71">
        <v>98060000</v>
      </c>
      <c r="H71" t="s">
        <v>626</v>
      </c>
      <c r="K71" s="3">
        <v>0</v>
      </c>
      <c r="L71" s="26"/>
      <c r="M71" s="3">
        <v>0</v>
      </c>
      <c r="O71" s="3">
        <v>0</v>
      </c>
      <c r="S71" s="3"/>
      <c r="T71" s="3"/>
      <c r="U71" s="3"/>
      <c r="V71" s="3"/>
      <c r="W71" s="3">
        <f t="shared" si="0"/>
        <v>0</v>
      </c>
      <c r="X71" s="44" t="s">
        <v>197</v>
      </c>
      <c r="AA71"/>
      <c r="AC71" s="3">
        <v>0</v>
      </c>
      <c r="AE71">
        <v>0</v>
      </c>
      <c r="AG71">
        <v>0</v>
      </c>
    </row>
    <row r="72" spans="3:36">
      <c r="C72">
        <v>5360</v>
      </c>
      <c r="D72" t="s">
        <v>537</v>
      </c>
      <c r="E72">
        <v>98070000</v>
      </c>
      <c r="H72" t="s">
        <v>627</v>
      </c>
      <c r="K72" s="3">
        <v>0</v>
      </c>
      <c r="L72" s="26"/>
      <c r="M72" s="3">
        <v>0</v>
      </c>
      <c r="O72" s="3">
        <v>0</v>
      </c>
      <c r="S72" s="3"/>
      <c r="T72" s="3"/>
      <c r="U72" s="3"/>
      <c r="V72" s="3"/>
      <c r="W72" s="3">
        <f t="shared" si="0"/>
        <v>0</v>
      </c>
      <c r="X72" s="44" t="s">
        <v>197</v>
      </c>
      <c r="AA72"/>
      <c r="AC72" s="3">
        <v>0</v>
      </c>
      <c r="AE72">
        <v>0</v>
      </c>
      <c r="AG72">
        <v>0</v>
      </c>
    </row>
    <row r="73" spans="3:36">
      <c r="C73">
        <v>5360</v>
      </c>
      <c r="D73" t="s">
        <v>537</v>
      </c>
      <c r="E73">
        <v>98071000</v>
      </c>
      <c r="H73" t="s">
        <v>628</v>
      </c>
      <c r="K73" s="3">
        <v>0</v>
      </c>
      <c r="L73" s="26"/>
      <c r="M73" s="3">
        <v>0</v>
      </c>
      <c r="O73" s="3">
        <v>0</v>
      </c>
      <c r="S73" s="3"/>
      <c r="T73" s="3"/>
      <c r="U73" s="3"/>
      <c r="V73" s="3"/>
      <c r="W73" s="3">
        <f t="shared" ref="W73:W136" si="1">SUM(K73,S73:V73)</f>
        <v>0</v>
      </c>
      <c r="X73" s="44" t="s">
        <v>580</v>
      </c>
      <c r="AA73"/>
      <c r="AC73" s="3">
        <v>0</v>
      </c>
      <c r="AE73">
        <v>0</v>
      </c>
      <c r="AG73">
        <v>0</v>
      </c>
    </row>
    <row r="74" spans="3:36">
      <c r="C74">
        <v>5360</v>
      </c>
      <c r="D74" t="s">
        <v>537</v>
      </c>
      <c r="E74">
        <v>98072000</v>
      </c>
      <c r="H74" t="s">
        <v>628</v>
      </c>
      <c r="K74" s="3">
        <v>0</v>
      </c>
      <c r="L74" s="26"/>
      <c r="M74" s="3">
        <v>0</v>
      </c>
      <c r="O74" s="3">
        <v>0</v>
      </c>
      <c r="S74" s="3"/>
      <c r="T74" s="3"/>
      <c r="U74" s="3"/>
      <c r="V74" s="3"/>
      <c r="W74" s="3">
        <f t="shared" si="1"/>
        <v>0</v>
      </c>
      <c r="X74" s="44" t="s">
        <v>580</v>
      </c>
      <c r="AA74"/>
      <c r="AC74" s="3">
        <v>0</v>
      </c>
      <c r="AE74">
        <v>0</v>
      </c>
      <c r="AG74">
        <v>0</v>
      </c>
    </row>
    <row r="75" spans="3:36">
      <c r="C75">
        <v>5360</v>
      </c>
      <c r="D75" t="s">
        <v>537</v>
      </c>
      <c r="E75">
        <v>98073000</v>
      </c>
      <c r="H75" t="s">
        <v>628</v>
      </c>
      <c r="K75" s="3">
        <v>0</v>
      </c>
      <c r="L75" s="26"/>
      <c r="M75" s="3">
        <v>0</v>
      </c>
      <c r="O75" s="3">
        <v>0</v>
      </c>
      <c r="S75" s="3"/>
      <c r="T75" s="3"/>
      <c r="U75" s="3"/>
      <c r="V75" s="3"/>
      <c r="W75" s="3">
        <f t="shared" si="1"/>
        <v>0</v>
      </c>
      <c r="X75" s="44" t="s">
        <v>580</v>
      </c>
      <c r="AA75"/>
      <c r="AC75" s="3">
        <v>0</v>
      </c>
      <c r="AE75">
        <v>0</v>
      </c>
      <c r="AG75">
        <v>0</v>
      </c>
    </row>
    <row r="76" spans="3:36">
      <c r="C76">
        <v>5360</v>
      </c>
      <c r="D76" t="s">
        <v>537</v>
      </c>
      <c r="E76">
        <v>98074000</v>
      </c>
      <c r="H76" t="s">
        <v>628</v>
      </c>
      <c r="K76" s="3">
        <v>0</v>
      </c>
      <c r="L76" s="26"/>
      <c r="M76" s="3">
        <v>0</v>
      </c>
      <c r="O76" s="3">
        <v>0</v>
      </c>
      <c r="S76" s="3"/>
      <c r="T76" s="3"/>
      <c r="U76" s="3"/>
      <c r="V76" s="3"/>
      <c r="W76" s="3">
        <f t="shared" si="1"/>
        <v>0</v>
      </c>
      <c r="X76" s="44" t="s">
        <v>580</v>
      </c>
      <c r="AA76"/>
      <c r="AC76" s="3">
        <v>0</v>
      </c>
      <c r="AE76">
        <v>0</v>
      </c>
      <c r="AG76">
        <v>0</v>
      </c>
    </row>
    <row r="77" spans="3:36">
      <c r="C77">
        <v>5360</v>
      </c>
      <c r="D77" t="s">
        <v>537</v>
      </c>
      <c r="E77">
        <v>98075000</v>
      </c>
      <c r="H77" t="s">
        <v>628</v>
      </c>
      <c r="K77" s="3">
        <v>0</v>
      </c>
      <c r="L77" s="26"/>
      <c r="M77" s="3">
        <v>0</v>
      </c>
      <c r="O77" s="3">
        <v>0</v>
      </c>
      <c r="S77" s="3"/>
      <c r="T77" s="3"/>
      <c r="U77" s="3"/>
      <c r="V77" s="3"/>
      <c r="W77" s="3">
        <f t="shared" si="1"/>
        <v>0</v>
      </c>
      <c r="X77" s="44" t="s">
        <v>580</v>
      </c>
      <c r="AA77"/>
      <c r="AC77" s="3">
        <v>0</v>
      </c>
      <c r="AE77">
        <v>0</v>
      </c>
      <c r="AG77">
        <v>0</v>
      </c>
    </row>
    <row r="78" spans="3:36">
      <c r="C78">
        <v>5360</v>
      </c>
      <c r="E78">
        <v>98081000</v>
      </c>
      <c r="H78" t="s">
        <v>629</v>
      </c>
      <c r="K78" s="3">
        <v>6308825.21</v>
      </c>
      <c r="L78" s="26"/>
      <c r="M78" s="3">
        <v>6232699.8799999999</v>
      </c>
      <c r="O78" s="3">
        <v>-76125.33</v>
      </c>
      <c r="Q78">
        <v>-1.2</v>
      </c>
      <c r="S78" s="3"/>
      <c r="T78" s="3"/>
      <c r="U78" s="3"/>
      <c r="V78" s="3"/>
      <c r="W78" s="3">
        <f t="shared" si="1"/>
        <v>6308825.21</v>
      </c>
      <c r="X78" s="44" t="s">
        <v>197</v>
      </c>
      <c r="AA78"/>
      <c r="AC78" s="3">
        <v>6232699.8799999999</v>
      </c>
      <c r="AE78" s="31">
        <v>6232699.8799999999</v>
      </c>
      <c r="AG78" s="31">
        <v>6308825.21</v>
      </c>
      <c r="AJ78" s="31"/>
    </row>
    <row r="79" spans="3:36">
      <c r="C79">
        <v>5360</v>
      </c>
      <c r="E79">
        <v>98082000</v>
      </c>
      <c r="H79" t="s">
        <v>630</v>
      </c>
      <c r="K79" s="3">
        <v>-9424177.8200000003</v>
      </c>
      <c r="L79" s="26"/>
      <c r="M79" s="3">
        <v>-4468255.96</v>
      </c>
      <c r="O79" s="3">
        <v>4955921.8600000003</v>
      </c>
      <c r="Q79">
        <v>52.6</v>
      </c>
      <c r="S79" s="3"/>
      <c r="T79" s="3"/>
      <c r="U79" s="3"/>
      <c r="V79" s="3"/>
      <c r="W79" s="3">
        <f t="shared" si="1"/>
        <v>-9424177.8200000003</v>
      </c>
      <c r="X79" s="44" t="s">
        <v>197</v>
      </c>
      <c r="AA79"/>
      <c r="AC79" s="3">
        <v>-4468255.96</v>
      </c>
      <c r="AE79" s="31">
        <v>-4468255.96</v>
      </c>
      <c r="AG79" s="31">
        <v>-9424177.8200000003</v>
      </c>
      <c r="AJ79" s="31"/>
    </row>
    <row r="80" spans="3:36">
      <c r="C80">
        <v>5360</v>
      </c>
      <c r="E80">
        <v>98091000</v>
      </c>
      <c r="H80" t="s">
        <v>631</v>
      </c>
      <c r="K80" s="3">
        <v>1192340.54</v>
      </c>
      <c r="L80" s="26"/>
      <c r="M80" s="3">
        <v>1048773.28</v>
      </c>
      <c r="O80" s="3">
        <v>-143567.26</v>
      </c>
      <c r="Q80">
        <v>-12</v>
      </c>
      <c r="S80" s="3"/>
      <c r="T80" s="3"/>
      <c r="U80" s="3"/>
      <c r="V80" s="3"/>
      <c r="W80" s="3">
        <f t="shared" si="1"/>
        <v>1192340.54</v>
      </c>
      <c r="X80" s="44" t="s">
        <v>197</v>
      </c>
      <c r="AA80"/>
      <c r="AC80" s="3">
        <v>1048773.28</v>
      </c>
      <c r="AE80" s="31">
        <v>1048773.28</v>
      </c>
      <c r="AG80" s="31">
        <v>1192340.54</v>
      </c>
      <c r="AJ80" s="31"/>
    </row>
    <row r="81" spans="3:36">
      <c r="C81">
        <v>5360</v>
      </c>
      <c r="E81">
        <v>98092000</v>
      </c>
      <c r="H81" t="s">
        <v>632</v>
      </c>
      <c r="K81" s="3">
        <v>-1500009.09</v>
      </c>
      <c r="L81" s="26"/>
      <c r="M81" s="3">
        <v>-819117.99</v>
      </c>
      <c r="O81" s="3">
        <v>680891.1</v>
      </c>
      <c r="Q81">
        <v>45.4</v>
      </c>
      <c r="S81" s="3"/>
      <c r="T81" s="3"/>
      <c r="U81" s="3"/>
      <c r="V81" s="3"/>
      <c r="W81" s="3">
        <f t="shared" si="1"/>
        <v>-1500009.09</v>
      </c>
      <c r="X81" s="44" t="s">
        <v>197</v>
      </c>
      <c r="AA81"/>
      <c r="AC81" s="3">
        <v>-819117.99</v>
      </c>
      <c r="AE81" s="31">
        <v>-819117.99</v>
      </c>
      <c r="AG81" s="31">
        <v>-1500009.09</v>
      </c>
      <c r="AJ81" s="31"/>
    </row>
    <row r="82" spans="3:36">
      <c r="C82">
        <v>5360</v>
      </c>
      <c r="D82" t="s">
        <v>537</v>
      </c>
      <c r="E82">
        <v>98100000</v>
      </c>
      <c r="H82" t="s">
        <v>633</v>
      </c>
      <c r="K82" s="3">
        <v>0</v>
      </c>
      <c r="L82" s="26"/>
      <c r="M82" s="3">
        <v>0</v>
      </c>
      <c r="O82" s="3">
        <v>0</v>
      </c>
      <c r="S82" s="3"/>
      <c r="T82" s="3"/>
      <c r="U82" s="3"/>
      <c r="V82" s="3"/>
      <c r="W82" s="3">
        <f t="shared" si="1"/>
        <v>0</v>
      </c>
      <c r="X82" s="44" t="s">
        <v>197</v>
      </c>
      <c r="AA82"/>
      <c r="AC82" s="3">
        <v>0</v>
      </c>
      <c r="AE82">
        <v>0</v>
      </c>
      <c r="AG82">
        <v>0</v>
      </c>
    </row>
    <row r="83" spans="3:36">
      <c r="C83">
        <v>5360</v>
      </c>
      <c r="D83" t="s">
        <v>537</v>
      </c>
      <c r="E83">
        <v>98110000</v>
      </c>
      <c r="H83" t="s">
        <v>634</v>
      </c>
      <c r="K83" s="3">
        <v>0</v>
      </c>
      <c r="L83" s="26"/>
      <c r="M83" s="3">
        <v>0</v>
      </c>
      <c r="O83" s="3">
        <v>0</v>
      </c>
      <c r="S83" s="3"/>
      <c r="T83" s="3"/>
      <c r="U83" s="3"/>
      <c r="V83" s="3"/>
      <c r="W83" s="3">
        <f t="shared" si="1"/>
        <v>0</v>
      </c>
      <c r="X83" s="44" t="s">
        <v>197</v>
      </c>
      <c r="AA83"/>
      <c r="AC83" s="3">
        <v>0</v>
      </c>
      <c r="AE83">
        <v>0</v>
      </c>
      <c r="AG83">
        <v>0</v>
      </c>
    </row>
    <row r="84" spans="3:36">
      <c r="C84">
        <v>5360</v>
      </c>
      <c r="E84">
        <v>98120000</v>
      </c>
      <c r="H84" t="s">
        <v>635</v>
      </c>
      <c r="K84" s="3">
        <v>-72634.289999999994</v>
      </c>
      <c r="L84" s="26"/>
      <c r="M84" s="3">
        <v>-94996.51</v>
      </c>
      <c r="O84" s="3">
        <v>-22362.22</v>
      </c>
      <c r="Q84">
        <v>-30.8</v>
      </c>
      <c r="S84" s="3"/>
      <c r="T84" s="3"/>
      <c r="U84" s="3"/>
      <c r="V84" s="3"/>
      <c r="W84" s="3">
        <f t="shared" si="1"/>
        <v>-72634.289999999994</v>
      </c>
      <c r="X84" s="44" t="s">
        <v>197</v>
      </c>
      <c r="AA84"/>
      <c r="AC84" s="3">
        <v>-94996.51</v>
      </c>
      <c r="AE84" s="31">
        <v>-94996.51</v>
      </c>
      <c r="AG84" s="31">
        <v>-72634.289999999994</v>
      </c>
      <c r="AJ84" s="31"/>
    </row>
    <row r="85" spans="3:36">
      <c r="C85">
        <v>5360</v>
      </c>
      <c r="E85">
        <v>98130000</v>
      </c>
      <c r="H85" t="s">
        <v>636</v>
      </c>
      <c r="K85" s="3">
        <v>-6885914.9800000004</v>
      </c>
      <c r="L85" s="26"/>
      <c r="M85" s="3">
        <v>0</v>
      </c>
      <c r="O85" s="3">
        <v>6885914.9800000004</v>
      </c>
      <c r="Q85">
        <v>100</v>
      </c>
      <c r="S85" s="9"/>
      <c r="T85" s="3"/>
      <c r="U85" s="3"/>
      <c r="V85" s="3"/>
      <c r="W85" s="3">
        <f t="shared" si="1"/>
        <v>-6885914.9800000004</v>
      </c>
      <c r="X85" s="44" t="s">
        <v>197</v>
      </c>
      <c r="AA85"/>
      <c r="AC85" s="3">
        <v>0</v>
      </c>
      <c r="AE85">
        <v>0</v>
      </c>
      <c r="AG85" s="31">
        <v>-6885914.9800000004</v>
      </c>
      <c r="AJ85" s="31"/>
    </row>
    <row r="86" spans="3:36">
      <c r="E86" t="s">
        <v>637</v>
      </c>
      <c r="K86" s="3">
        <v>162728302.06</v>
      </c>
      <c r="L86" s="26"/>
      <c r="M86" s="3">
        <v>155621869.97</v>
      </c>
      <c r="O86" s="3">
        <v>-7106432.0899999999</v>
      </c>
      <c r="Q86">
        <v>-4.4000000000000004</v>
      </c>
      <c r="R86" t="s">
        <v>569</v>
      </c>
      <c r="S86" s="3">
        <f>SUM(S58:S85)</f>
        <v>0</v>
      </c>
      <c r="T86" s="3">
        <f>SUM(T58:T85)</f>
        <v>0</v>
      </c>
      <c r="U86" s="3">
        <f>SUM(U58:U85)</f>
        <v>0</v>
      </c>
      <c r="V86" s="3">
        <f>SUM(V58:V85)</f>
        <v>0</v>
      </c>
      <c r="W86" s="3">
        <f t="shared" si="1"/>
        <v>162728302.06</v>
      </c>
      <c r="X86" s="44"/>
      <c r="AA86"/>
      <c r="AC86" s="3">
        <v>155621869.97</v>
      </c>
      <c r="AE86" s="31">
        <v>155621869.97</v>
      </c>
      <c r="AG86" s="31">
        <v>162728302.06</v>
      </c>
      <c r="AJ86" s="31"/>
    </row>
    <row r="87" spans="3:36">
      <c r="C87">
        <v>5360</v>
      </c>
      <c r="D87" t="s">
        <v>537</v>
      </c>
      <c r="E87">
        <v>95010000</v>
      </c>
      <c r="H87" t="s">
        <v>638</v>
      </c>
      <c r="K87" s="3">
        <v>0</v>
      </c>
      <c r="L87" s="26"/>
      <c r="M87" s="3">
        <v>0</v>
      </c>
      <c r="O87" s="3">
        <v>0</v>
      </c>
      <c r="S87" s="3"/>
      <c r="T87" s="3"/>
      <c r="U87" s="3"/>
      <c r="V87" s="3"/>
      <c r="W87" s="3">
        <f t="shared" si="1"/>
        <v>0</v>
      </c>
      <c r="X87" s="44" t="s">
        <v>197</v>
      </c>
      <c r="AA87"/>
      <c r="AC87" s="3">
        <v>0</v>
      </c>
      <c r="AE87">
        <v>0</v>
      </c>
      <c r="AG87">
        <v>0</v>
      </c>
    </row>
    <row r="88" spans="3:36">
      <c r="C88">
        <v>5360</v>
      </c>
      <c r="D88" t="s">
        <v>537</v>
      </c>
      <c r="E88">
        <v>95470000</v>
      </c>
      <c r="H88" t="s">
        <v>638</v>
      </c>
      <c r="K88" s="3">
        <v>0</v>
      </c>
      <c r="L88" s="26"/>
      <c r="M88" s="3">
        <v>0</v>
      </c>
      <c r="O88" s="3">
        <v>0</v>
      </c>
      <c r="S88" s="3"/>
      <c r="T88" s="3"/>
      <c r="U88" s="3"/>
      <c r="V88" s="3"/>
      <c r="W88" s="3">
        <f t="shared" si="1"/>
        <v>0</v>
      </c>
      <c r="X88" s="44" t="s">
        <v>197</v>
      </c>
      <c r="AA88"/>
      <c r="AC88" s="3">
        <v>0</v>
      </c>
      <c r="AE88">
        <v>0</v>
      </c>
      <c r="AG88">
        <v>0</v>
      </c>
    </row>
    <row r="89" spans="3:36">
      <c r="E89" t="s">
        <v>639</v>
      </c>
      <c r="K89" s="3">
        <v>0</v>
      </c>
      <c r="L89" s="26"/>
      <c r="M89" s="3">
        <v>0</v>
      </c>
      <c r="O89" s="3">
        <v>0</v>
      </c>
      <c r="R89" t="s">
        <v>569</v>
      </c>
      <c r="S89" s="3">
        <f>SUM(S87:S88)</f>
        <v>0</v>
      </c>
      <c r="T89" s="3">
        <f>SUM(T87:T88)</f>
        <v>0</v>
      </c>
      <c r="U89" s="3">
        <f>SUM(U87:U88)</f>
        <v>0</v>
      </c>
      <c r="V89" s="3">
        <f>SUM(V87:V88)</f>
        <v>0</v>
      </c>
      <c r="W89" s="3">
        <f t="shared" si="1"/>
        <v>0</v>
      </c>
      <c r="X89" s="619"/>
      <c r="AA89"/>
      <c r="AC89" s="3">
        <v>0</v>
      </c>
      <c r="AE89">
        <v>0</v>
      </c>
      <c r="AG89">
        <v>0</v>
      </c>
    </row>
    <row r="90" spans="3:36">
      <c r="C90">
        <v>5360</v>
      </c>
      <c r="E90">
        <v>95000000</v>
      </c>
      <c r="H90" t="s">
        <v>640</v>
      </c>
      <c r="K90" s="3">
        <v>82.81</v>
      </c>
      <c r="L90" s="26"/>
      <c r="M90" s="3">
        <v>1181.25</v>
      </c>
      <c r="O90" s="3">
        <v>1098.44</v>
      </c>
      <c r="Q90">
        <v>1326.5</v>
      </c>
      <c r="S90" s="3">
        <v>-82.81</v>
      </c>
      <c r="T90" s="3"/>
      <c r="U90" s="3"/>
      <c r="V90" s="3"/>
      <c r="W90" s="3">
        <f t="shared" si="1"/>
        <v>0</v>
      </c>
      <c r="X90" s="44" t="s">
        <v>197</v>
      </c>
      <c r="AA90"/>
      <c r="AC90" s="3">
        <v>1181.25</v>
      </c>
      <c r="AE90" s="31">
        <v>1181.25</v>
      </c>
      <c r="AG90">
        <v>82.81</v>
      </c>
    </row>
    <row r="91" spans="3:36">
      <c r="C91">
        <v>5360</v>
      </c>
      <c r="D91" t="s">
        <v>537</v>
      </c>
      <c r="E91">
        <v>95020000</v>
      </c>
      <c r="H91" t="s">
        <v>641</v>
      </c>
      <c r="K91" s="3">
        <v>0</v>
      </c>
      <c r="L91" s="26"/>
      <c r="M91" s="3">
        <v>0</v>
      </c>
      <c r="O91" s="3">
        <v>0</v>
      </c>
      <c r="S91" s="3"/>
      <c r="T91" s="3"/>
      <c r="U91" s="3"/>
      <c r="V91" s="3"/>
      <c r="W91" s="3">
        <f t="shared" si="1"/>
        <v>0</v>
      </c>
      <c r="X91" s="44" t="s">
        <v>197</v>
      </c>
      <c r="AA91"/>
      <c r="AC91" s="3">
        <v>0</v>
      </c>
      <c r="AE91">
        <v>0</v>
      </c>
      <c r="AG91">
        <v>0</v>
      </c>
    </row>
    <row r="92" spans="3:36">
      <c r="C92">
        <v>5360</v>
      </c>
      <c r="D92" t="s">
        <v>537</v>
      </c>
      <c r="E92">
        <v>95030000</v>
      </c>
      <c r="H92" t="s">
        <v>642</v>
      </c>
      <c r="K92" s="3">
        <v>0</v>
      </c>
      <c r="L92" s="26"/>
      <c r="M92" s="3">
        <v>0</v>
      </c>
      <c r="O92" s="3">
        <v>0</v>
      </c>
      <c r="S92" s="3"/>
      <c r="T92" s="3"/>
      <c r="U92" s="3"/>
      <c r="V92" s="3"/>
      <c r="W92" s="3">
        <f t="shared" si="1"/>
        <v>0</v>
      </c>
      <c r="X92" s="44" t="s">
        <v>197</v>
      </c>
      <c r="AA92"/>
      <c r="AC92" s="3">
        <v>0</v>
      </c>
      <c r="AE92">
        <v>0</v>
      </c>
      <c r="AG92">
        <v>0</v>
      </c>
    </row>
    <row r="93" spans="3:36">
      <c r="C93">
        <v>5360</v>
      </c>
      <c r="D93" t="s">
        <v>537</v>
      </c>
      <c r="E93">
        <v>95040000</v>
      </c>
      <c r="H93" t="s">
        <v>643</v>
      </c>
      <c r="K93" s="3">
        <v>0</v>
      </c>
      <c r="L93" s="26"/>
      <c r="M93" s="3">
        <v>0</v>
      </c>
      <c r="O93" s="3">
        <v>0</v>
      </c>
      <c r="S93" s="3"/>
      <c r="T93" s="3"/>
      <c r="U93" s="3"/>
      <c r="V93" s="3"/>
      <c r="W93" s="3">
        <f t="shared" si="1"/>
        <v>0</v>
      </c>
      <c r="X93" s="44" t="s">
        <v>197</v>
      </c>
      <c r="AA93"/>
      <c r="AC93" s="3">
        <v>0</v>
      </c>
      <c r="AE93">
        <v>0</v>
      </c>
      <c r="AG93">
        <v>0</v>
      </c>
    </row>
    <row r="94" spans="3:36">
      <c r="C94">
        <v>5360</v>
      </c>
      <c r="D94" t="s">
        <v>537</v>
      </c>
      <c r="E94">
        <v>95050000</v>
      </c>
      <c r="H94" t="s">
        <v>644</v>
      </c>
      <c r="K94" s="3">
        <v>0</v>
      </c>
      <c r="L94" s="26"/>
      <c r="M94" s="3">
        <v>0</v>
      </c>
      <c r="O94" s="3">
        <v>0</v>
      </c>
      <c r="S94" s="3"/>
      <c r="T94" s="3"/>
      <c r="U94" s="3"/>
      <c r="V94" s="3"/>
      <c r="W94" s="3">
        <f t="shared" si="1"/>
        <v>0</v>
      </c>
      <c r="X94" s="44" t="s">
        <v>197</v>
      </c>
      <c r="AA94"/>
      <c r="AC94" s="3">
        <v>0</v>
      </c>
      <c r="AE94">
        <v>0</v>
      </c>
      <c r="AG94">
        <v>0</v>
      </c>
    </row>
    <row r="95" spans="3:36">
      <c r="C95">
        <v>5360</v>
      </c>
      <c r="D95" t="s">
        <v>537</v>
      </c>
      <c r="E95">
        <v>95060000</v>
      </c>
      <c r="H95" t="s">
        <v>645</v>
      </c>
      <c r="K95" s="3">
        <v>0</v>
      </c>
      <c r="L95" s="26"/>
      <c r="M95" s="3">
        <v>0</v>
      </c>
      <c r="O95" s="3">
        <v>0</v>
      </c>
      <c r="S95" s="3"/>
      <c r="T95" s="3"/>
      <c r="U95" s="3"/>
      <c r="V95" s="3"/>
      <c r="W95" s="3">
        <f t="shared" si="1"/>
        <v>0</v>
      </c>
      <c r="X95" s="44" t="s">
        <v>197</v>
      </c>
      <c r="AA95"/>
      <c r="AC95" s="3">
        <v>0</v>
      </c>
      <c r="AE95">
        <v>0</v>
      </c>
      <c r="AG95">
        <v>0</v>
      </c>
    </row>
    <row r="96" spans="3:36">
      <c r="C96">
        <v>5360</v>
      </c>
      <c r="D96" t="s">
        <v>537</v>
      </c>
      <c r="E96">
        <v>95070000</v>
      </c>
      <c r="H96" t="s">
        <v>646</v>
      </c>
      <c r="K96" s="3">
        <v>0</v>
      </c>
      <c r="L96" s="26"/>
      <c r="M96" s="3">
        <v>0</v>
      </c>
      <c r="O96" s="3">
        <v>0</v>
      </c>
      <c r="S96" s="3"/>
      <c r="T96" s="3"/>
      <c r="U96" s="3"/>
      <c r="V96" s="3"/>
      <c r="W96" s="3">
        <f t="shared" si="1"/>
        <v>0</v>
      </c>
      <c r="X96" s="44" t="s">
        <v>197</v>
      </c>
      <c r="AA96"/>
      <c r="AC96" s="3">
        <v>0</v>
      </c>
      <c r="AE96">
        <v>0</v>
      </c>
      <c r="AG96">
        <v>0</v>
      </c>
    </row>
    <row r="97" spans="3:33">
      <c r="C97">
        <v>5360</v>
      </c>
      <c r="D97" t="s">
        <v>537</v>
      </c>
      <c r="E97">
        <v>95080000</v>
      </c>
      <c r="H97" t="s">
        <v>647</v>
      </c>
      <c r="K97" s="3">
        <v>0</v>
      </c>
      <c r="L97" s="26"/>
      <c r="M97" s="3">
        <v>0</v>
      </c>
      <c r="O97" s="3">
        <v>0</v>
      </c>
      <c r="S97" s="3"/>
      <c r="T97" s="3"/>
      <c r="U97" s="3"/>
      <c r="V97" s="3"/>
      <c r="W97" s="3">
        <f t="shared" si="1"/>
        <v>0</v>
      </c>
      <c r="X97" s="44" t="s">
        <v>197</v>
      </c>
      <c r="AA97"/>
      <c r="AC97" s="3">
        <v>0</v>
      </c>
      <c r="AE97">
        <v>0</v>
      </c>
      <c r="AG97">
        <v>0</v>
      </c>
    </row>
    <row r="98" spans="3:33">
      <c r="C98">
        <v>5360</v>
      </c>
      <c r="D98" t="s">
        <v>537</v>
      </c>
      <c r="E98">
        <v>95090000</v>
      </c>
      <c r="H98" t="s">
        <v>648</v>
      </c>
      <c r="K98" s="3">
        <v>0</v>
      </c>
      <c r="L98" s="26"/>
      <c r="M98" s="3">
        <v>0</v>
      </c>
      <c r="O98" s="3">
        <v>0</v>
      </c>
      <c r="S98" s="3"/>
      <c r="T98" s="3"/>
      <c r="U98" s="3"/>
      <c r="V98" s="3"/>
      <c r="W98" s="3">
        <f t="shared" si="1"/>
        <v>0</v>
      </c>
      <c r="X98" s="44" t="s">
        <v>197</v>
      </c>
      <c r="AA98"/>
      <c r="AC98" s="3">
        <v>0</v>
      </c>
      <c r="AE98">
        <v>0</v>
      </c>
      <c r="AG98">
        <v>0</v>
      </c>
    </row>
    <row r="99" spans="3:33">
      <c r="E99" t="s">
        <v>649</v>
      </c>
      <c r="K99" s="3">
        <v>82.81</v>
      </c>
      <c r="L99" s="26"/>
      <c r="M99" s="3">
        <v>1181.25</v>
      </c>
      <c r="O99" s="3">
        <v>1098.44</v>
      </c>
      <c r="Q99">
        <v>1326.5</v>
      </c>
      <c r="R99" t="s">
        <v>650</v>
      </c>
      <c r="S99" s="3">
        <f>SUM(S90:S98)</f>
        <v>-82.81</v>
      </c>
      <c r="T99" s="3">
        <f>SUM(T90:T98)</f>
        <v>0</v>
      </c>
      <c r="U99" s="3">
        <f>SUM(U90:U98)</f>
        <v>0</v>
      </c>
      <c r="V99" s="3">
        <f>SUM(V90:V98)</f>
        <v>0</v>
      </c>
      <c r="W99" s="3">
        <f t="shared" si="1"/>
        <v>0</v>
      </c>
      <c r="X99" s="619"/>
      <c r="AA99"/>
      <c r="AC99" s="3">
        <v>1181.25</v>
      </c>
      <c r="AE99" s="31">
        <v>1181.25</v>
      </c>
      <c r="AG99">
        <v>82.81</v>
      </c>
    </row>
    <row r="100" spans="3:33">
      <c r="C100">
        <v>5360</v>
      </c>
      <c r="D100" t="s">
        <v>537</v>
      </c>
      <c r="E100">
        <v>95100000</v>
      </c>
      <c r="H100" t="s">
        <v>651</v>
      </c>
      <c r="K100" s="3">
        <v>0</v>
      </c>
      <c r="L100" s="26"/>
      <c r="M100" s="3">
        <v>0</v>
      </c>
      <c r="O100" s="3">
        <v>0</v>
      </c>
      <c r="S100" s="3"/>
      <c r="T100" s="3"/>
      <c r="U100" s="3"/>
      <c r="V100" s="3"/>
      <c r="W100" s="3">
        <f t="shared" si="1"/>
        <v>0</v>
      </c>
      <c r="X100" s="44" t="s">
        <v>197</v>
      </c>
      <c r="AA100"/>
      <c r="AC100" s="3">
        <v>0</v>
      </c>
      <c r="AE100">
        <v>0</v>
      </c>
      <c r="AG100">
        <v>0</v>
      </c>
    </row>
    <row r="101" spans="3:33">
      <c r="C101">
        <v>5360</v>
      </c>
      <c r="D101" t="s">
        <v>537</v>
      </c>
      <c r="E101">
        <v>95110000</v>
      </c>
      <c r="H101" t="s">
        <v>652</v>
      </c>
      <c r="K101" s="3">
        <v>0</v>
      </c>
      <c r="L101" s="26"/>
      <c r="M101" s="3">
        <v>0</v>
      </c>
      <c r="O101" s="3">
        <v>0</v>
      </c>
      <c r="S101" s="3"/>
      <c r="T101" s="3"/>
      <c r="U101" s="3"/>
      <c r="V101" s="3"/>
      <c r="W101" s="3">
        <f t="shared" si="1"/>
        <v>0</v>
      </c>
      <c r="X101" s="44" t="s">
        <v>197</v>
      </c>
      <c r="AA101"/>
      <c r="AC101" s="3">
        <v>0</v>
      </c>
      <c r="AE101">
        <v>0</v>
      </c>
      <c r="AG101">
        <v>0</v>
      </c>
    </row>
    <row r="102" spans="3:33">
      <c r="C102">
        <v>5360</v>
      </c>
      <c r="D102" t="s">
        <v>537</v>
      </c>
      <c r="E102">
        <v>95120000</v>
      </c>
      <c r="H102" t="s">
        <v>653</v>
      </c>
      <c r="K102" s="3">
        <v>0</v>
      </c>
      <c r="L102" s="26"/>
      <c r="M102" s="3">
        <v>0</v>
      </c>
      <c r="O102" s="3">
        <v>0</v>
      </c>
      <c r="S102" s="3"/>
      <c r="T102" s="3"/>
      <c r="U102" s="3"/>
      <c r="V102" s="3"/>
      <c r="W102" s="3">
        <f t="shared" si="1"/>
        <v>0</v>
      </c>
      <c r="X102" s="44" t="s">
        <v>197</v>
      </c>
      <c r="AA102"/>
      <c r="AC102" s="3">
        <v>0</v>
      </c>
      <c r="AE102">
        <v>0</v>
      </c>
      <c r="AG102">
        <v>0</v>
      </c>
    </row>
    <row r="103" spans="3:33">
      <c r="C103">
        <v>5360</v>
      </c>
      <c r="D103" t="s">
        <v>537</v>
      </c>
      <c r="E103">
        <v>95130000</v>
      </c>
      <c r="H103" t="s">
        <v>654</v>
      </c>
      <c r="K103" s="3">
        <v>0</v>
      </c>
      <c r="L103" s="26"/>
      <c r="M103" s="3">
        <v>0</v>
      </c>
      <c r="O103" s="3">
        <v>0</v>
      </c>
      <c r="S103" s="3"/>
      <c r="T103" s="3"/>
      <c r="U103" s="3"/>
      <c r="V103" s="3"/>
      <c r="W103" s="3">
        <f t="shared" si="1"/>
        <v>0</v>
      </c>
      <c r="X103" s="44" t="s">
        <v>197</v>
      </c>
      <c r="AA103"/>
      <c r="AC103" s="3">
        <v>0</v>
      </c>
      <c r="AE103">
        <v>0</v>
      </c>
      <c r="AG103">
        <v>0</v>
      </c>
    </row>
    <row r="104" spans="3:33">
      <c r="C104">
        <v>5360</v>
      </c>
      <c r="D104" t="s">
        <v>537</v>
      </c>
      <c r="E104">
        <v>95140000</v>
      </c>
      <c r="H104" t="s">
        <v>655</v>
      </c>
      <c r="K104" s="3">
        <v>0</v>
      </c>
      <c r="L104" s="26"/>
      <c r="M104" s="3">
        <v>0</v>
      </c>
      <c r="O104" s="3">
        <v>0</v>
      </c>
      <c r="S104" s="3"/>
      <c r="T104" s="3"/>
      <c r="U104" s="3"/>
      <c r="V104" s="3"/>
      <c r="W104" s="3">
        <f t="shared" si="1"/>
        <v>0</v>
      </c>
      <c r="X104" s="44" t="s">
        <v>197</v>
      </c>
      <c r="AA104"/>
      <c r="AC104" s="3">
        <v>0</v>
      </c>
      <c r="AE104">
        <v>0</v>
      </c>
      <c r="AG104">
        <v>0</v>
      </c>
    </row>
    <row r="105" spans="3:33">
      <c r="C105">
        <v>5360</v>
      </c>
      <c r="D105" t="s">
        <v>537</v>
      </c>
      <c r="E105">
        <v>95150000</v>
      </c>
      <c r="H105" t="s">
        <v>628</v>
      </c>
      <c r="K105" s="3">
        <v>0</v>
      </c>
      <c r="L105" s="26"/>
      <c r="M105" s="3">
        <v>0</v>
      </c>
      <c r="O105" s="3">
        <v>0</v>
      </c>
      <c r="S105" s="3"/>
      <c r="T105" s="3"/>
      <c r="U105" s="3"/>
      <c r="V105" s="3"/>
      <c r="W105" s="3">
        <f t="shared" si="1"/>
        <v>0</v>
      </c>
      <c r="X105" s="44" t="s">
        <v>197</v>
      </c>
      <c r="AA105"/>
      <c r="AC105" s="3">
        <v>0</v>
      </c>
      <c r="AE105">
        <v>0</v>
      </c>
      <c r="AG105">
        <v>0</v>
      </c>
    </row>
    <row r="106" spans="3:33">
      <c r="E106" t="s">
        <v>656</v>
      </c>
      <c r="K106" s="3">
        <v>0</v>
      </c>
      <c r="L106" s="26"/>
      <c r="M106" s="3">
        <v>0</v>
      </c>
      <c r="O106" s="3">
        <v>0</v>
      </c>
      <c r="R106" t="s">
        <v>650</v>
      </c>
      <c r="S106" s="3">
        <f>SUM(S100:S105)</f>
        <v>0</v>
      </c>
      <c r="T106" s="3">
        <f>SUM(T100:T105)</f>
        <v>0</v>
      </c>
      <c r="U106" s="3">
        <f>SUM(U100:U105)</f>
        <v>0</v>
      </c>
      <c r="V106" s="3">
        <f>SUM(V100:V105)</f>
        <v>0</v>
      </c>
      <c r="W106" s="3">
        <f t="shared" si="1"/>
        <v>0</v>
      </c>
      <c r="X106" s="619"/>
      <c r="AA106"/>
      <c r="AC106" s="3">
        <v>0</v>
      </c>
      <c r="AE106">
        <v>0</v>
      </c>
      <c r="AG106">
        <v>0</v>
      </c>
    </row>
    <row r="107" spans="3:33">
      <c r="E107" t="s">
        <v>657</v>
      </c>
      <c r="K107" s="3">
        <v>82.81</v>
      </c>
      <c r="L107" s="26"/>
      <c r="M107" s="3">
        <v>1181.25</v>
      </c>
      <c r="O107" s="3">
        <v>1098.44</v>
      </c>
      <c r="Q107">
        <v>1326.5</v>
      </c>
      <c r="R107" t="s">
        <v>658</v>
      </c>
      <c r="S107" s="3">
        <f>S99+S106</f>
        <v>-82.81</v>
      </c>
      <c r="T107" s="3">
        <f>T99+T106</f>
        <v>0</v>
      </c>
      <c r="U107" s="3">
        <f>U99+U106</f>
        <v>0</v>
      </c>
      <c r="V107" s="3">
        <f>V99+V106</f>
        <v>0</v>
      </c>
      <c r="W107" s="3">
        <f t="shared" si="1"/>
        <v>0</v>
      </c>
      <c r="X107" s="619"/>
      <c r="AC107" s="3">
        <v>1181.25</v>
      </c>
      <c r="AE107" s="31">
        <v>1181.25</v>
      </c>
      <c r="AG107">
        <v>82.81</v>
      </c>
    </row>
    <row r="108" spans="3:33">
      <c r="C108">
        <v>5360</v>
      </c>
      <c r="D108" t="s">
        <v>537</v>
      </c>
      <c r="E108">
        <v>95170000</v>
      </c>
      <c r="H108" t="s">
        <v>659</v>
      </c>
      <c r="K108" s="3">
        <v>0</v>
      </c>
      <c r="L108" s="26"/>
      <c r="M108" s="3">
        <v>0</v>
      </c>
      <c r="O108" s="3">
        <v>0</v>
      </c>
      <c r="S108" s="3"/>
      <c r="T108" s="3"/>
      <c r="U108" s="3"/>
      <c r="V108" s="3"/>
      <c r="W108" s="3">
        <f t="shared" si="1"/>
        <v>0</v>
      </c>
      <c r="X108" s="44" t="s">
        <v>197</v>
      </c>
      <c r="AA108"/>
      <c r="AC108" s="3">
        <v>0</v>
      </c>
      <c r="AE108">
        <v>0</v>
      </c>
      <c r="AG108">
        <v>0</v>
      </c>
    </row>
    <row r="109" spans="3:33">
      <c r="C109">
        <v>5360</v>
      </c>
      <c r="D109" t="s">
        <v>537</v>
      </c>
      <c r="E109">
        <v>95180000</v>
      </c>
      <c r="H109" t="s">
        <v>660</v>
      </c>
      <c r="K109" s="3">
        <v>0</v>
      </c>
      <c r="L109" s="26"/>
      <c r="M109" s="3">
        <v>0</v>
      </c>
      <c r="O109" s="3">
        <v>0</v>
      </c>
      <c r="S109" s="3"/>
      <c r="T109" s="3"/>
      <c r="U109" s="3"/>
      <c r="V109" s="3"/>
      <c r="W109" s="3">
        <f t="shared" si="1"/>
        <v>0</v>
      </c>
      <c r="X109" s="44" t="s">
        <v>197</v>
      </c>
      <c r="AA109"/>
      <c r="AC109" s="3">
        <v>0</v>
      </c>
      <c r="AE109">
        <v>0</v>
      </c>
      <c r="AG109">
        <v>0</v>
      </c>
    </row>
    <row r="110" spans="3:33">
      <c r="C110">
        <v>5360</v>
      </c>
      <c r="D110" t="s">
        <v>537</v>
      </c>
      <c r="E110">
        <v>95190000</v>
      </c>
      <c r="H110" t="s">
        <v>661</v>
      </c>
      <c r="K110" s="3">
        <v>0</v>
      </c>
      <c r="L110" s="26"/>
      <c r="M110" s="3">
        <v>0</v>
      </c>
      <c r="O110" s="3">
        <v>0</v>
      </c>
      <c r="S110" s="3"/>
      <c r="T110" s="3"/>
      <c r="U110" s="3"/>
      <c r="V110" s="3"/>
      <c r="W110" s="3">
        <f t="shared" si="1"/>
        <v>0</v>
      </c>
      <c r="X110" s="44" t="s">
        <v>197</v>
      </c>
      <c r="AA110"/>
      <c r="AC110" s="3">
        <v>0</v>
      </c>
      <c r="AE110">
        <v>0</v>
      </c>
      <c r="AG110">
        <v>0</v>
      </c>
    </row>
    <row r="111" spans="3:33">
      <c r="C111">
        <v>5360</v>
      </c>
      <c r="D111" t="s">
        <v>537</v>
      </c>
      <c r="E111">
        <v>95200000</v>
      </c>
      <c r="H111" t="s">
        <v>641</v>
      </c>
      <c r="K111" s="3">
        <v>0</v>
      </c>
      <c r="L111" s="26"/>
      <c r="M111" s="3">
        <v>0</v>
      </c>
      <c r="O111" s="3">
        <v>0</v>
      </c>
      <c r="S111" s="3"/>
      <c r="T111" s="3"/>
      <c r="U111" s="3"/>
      <c r="V111" s="3"/>
      <c r="W111" s="3">
        <f t="shared" si="1"/>
        <v>0</v>
      </c>
      <c r="X111" s="44" t="s">
        <v>197</v>
      </c>
      <c r="AA111"/>
      <c r="AC111" s="3">
        <v>0</v>
      </c>
      <c r="AE111">
        <v>0</v>
      </c>
      <c r="AG111">
        <v>0</v>
      </c>
    </row>
    <row r="112" spans="3:33">
      <c r="C112">
        <v>5360</v>
      </c>
      <c r="D112" t="s">
        <v>537</v>
      </c>
      <c r="E112">
        <v>95210000</v>
      </c>
      <c r="H112" t="s">
        <v>642</v>
      </c>
      <c r="K112" s="3">
        <v>0</v>
      </c>
      <c r="L112" s="26"/>
      <c r="M112" s="3">
        <v>0</v>
      </c>
      <c r="O112" s="3">
        <v>0</v>
      </c>
      <c r="S112" s="3"/>
      <c r="T112" s="3"/>
      <c r="U112" s="3"/>
      <c r="V112" s="3"/>
      <c r="W112" s="3">
        <f t="shared" si="1"/>
        <v>0</v>
      </c>
      <c r="X112" s="44" t="s">
        <v>197</v>
      </c>
      <c r="AA112"/>
      <c r="AC112" s="3">
        <v>0</v>
      </c>
      <c r="AE112">
        <v>0</v>
      </c>
      <c r="AG112">
        <v>0</v>
      </c>
    </row>
    <row r="113" spans="3:33">
      <c r="C113">
        <v>5360</v>
      </c>
      <c r="D113" t="s">
        <v>537</v>
      </c>
      <c r="E113">
        <v>95220000</v>
      </c>
      <c r="H113" t="s">
        <v>643</v>
      </c>
      <c r="K113" s="3">
        <v>0</v>
      </c>
      <c r="L113" s="26"/>
      <c r="M113" s="3">
        <v>0</v>
      </c>
      <c r="O113" s="3">
        <v>0</v>
      </c>
      <c r="S113" s="3"/>
      <c r="T113" s="3"/>
      <c r="U113" s="3"/>
      <c r="V113" s="3"/>
      <c r="W113" s="3">
        <f t="shared" si="1"/>
        <v>0</v>
      </c>
      <c r="X113" s="44" t="s">
        <v>197</v>
      </c>
      <c r="AA113"/>
      <c r="AC113" s="3">
        <v>0</v>
      </c>
      <c r="AE113">
        <v>0</v>
      </c>
      <c r="AG113">
        <v>0</v>
      </c>
    </row>
    <row r="114" spans="3:33">
      <c r="C114">
        <v>5360</v>
      </c>
      <c r="D114" t="s">
        <v>537</v>
      </c>
      <c r="E114">
        <v>95230000</v>
      </c>
      <c r="H114" t="s">
        <v>644</v>
      </c>
      <c r="K114" s="3">
        <v>0</v>
      </c>
      <c r="L114" s="26"/>
      <c r="M114" s="3">
        <v>0</v>
      </c>
      <c r="O114" s="3">
        <v>0</v>
      </c>
      <c r="S114" s="3"/>
      <c r="T114" s="3"/>
      <c r="U114" s="3"/>
      <c r="V114" s="3"/>
      <c r="W114" s="3">
        <f t="shared" si="1"/>
        <v>0</v>
      </c>
      <c r="X114" s="44" t="s">
        <v>197</v>
      </c>
      <c r="AC114" s="3">
        <v>0</v>
      </c>
      <c r="AE114">
        <v>0</v>
      </c>
      <c r="AG114">
        <v>0</v>
      </c>
    </row>
    <row r="115" spans="3:33">
      <c r="C115">
        <v>5360</v>
      </c>
      <c r="D115" t="s">
        <v>537</v>
      </c>
      <c r="E115">
        <v>95240000</v>
      </c>
      <c r="H115" t="s">
        <v>662</v>
      </c>
      <c r="K115" s="3">
        <v>0</v>
      </c>
      <c r="L115" s="26"/>
      <c r="M115" s="3">
        <v>0</v>
      </c>
      <c r="O115" s="3">
        <v>0</v>
      </c>
      <c r="S115" s="3"/>
      <c r="T115" s="3"/>
      <c r="U115" s="3"/>
      <c r="V115" s="3"/>
      <c r="W115" s="3">
        <f t="shared" si="1"/>
        <v>0</v>
      </c>
      <c r="X115" s="44" t="s">
        <v>197</v>
      </c>
      <c r="AA115"/>
      <c r="AC115" s="3">
        <v>0</v>
      </c>
      <c r="AE115">
        <v>0</v>
      </c>
      <c r="AG115">
        <v>0</v>
      </c>
    </row>
    <row r="116" spans="3:33">
      <c r="C116">
        <v>5360</v>
      </c>
      <c r="D116" t="s">
        <v>537</v>
      </c>
      <c r="E116">
        <v>95250000</v>
      </c>
      <c r="H116" t="s">
        <v>646</v>
      </c>
      <c r="K116" s="3">
        <v>0</v>
      </c>
      <c r="L116" s="26"/>
      <c r="M116" s="3">
        <v>0</v>
      </c>
      <c r="O116" s="3">
        <v>0</v>
      </c>
      <c r="S116" s="3"/>
      <c r="T116" s="3"/>
      <c r="U116" s="3"/>
      <c r="V116" s="3"/>
      <c r="W116" s="3">
        <f t="shared" si="1"/>
        <v>0</v>
      </c>
      <c r="X116" s="44" t="s">
        <v>197</v>
      </c>
      <c r="AA116"/>
      <c r="AC116" s="3">
        <v>0</v>
      </c>
      <c r="AE116">
        <v>0</v>
      </c>
      <c r="AG116">
        <v>0</v>
      </c>
    </row>
    <row r="117" spans="3:33">
      <c r="C117">
        <v>5360</v>
      </c>
      <c r="D117" t="s">
        <v>537</v>
      </c>
      <c r="E117">
        <v>95350000</v>
      </c>
      <c r="H117" t="s">
        <v>663</v>
      </c>
      <c r="K117" s="3">
        <v>0</v>
      </c>
      <c r="L117" s="26"/>
      <c r="M117" s="3">
        <v>0</v>
      </c>
      <c r="O117" s="3">
        <v>0</v>
      </c>
      <c r="S117" s="3"/>
      <c r="T117" s="3"/>
      <c r="U117" s="3"/>
      <c r="V117" s="3"/>
      <c r="W117" s="3">
        <f t="shared" si="1"/>
        <v>0</v>
      </c>
      <c r="X117" s="44" t="s">
        <v>197</v>
      </c>
      <c r="AA117"/>
      <c r="AC117" s="3">
        <v>0</v>
      </c>
      <c r="AE117">
        <v>0</v>
      </c>
      <c r="AG117">
        <v>0</v>
      </c>
    </row>
    <row r="118" spans="3:33">
      <c r="C118">
        <v>5360</v>
      </c>
      <c r="D118" t="s">
        <v>537</v>
      </c>
      <c r="E118">
        <v>95360000</v>
      </c>
      <c r="H118" t="s">
        <v>664</v>
      </c>
      <c r="K118" s="3">
        <v>0</v>
      </c>
      <c r="L118" s="26"/>
      <c r="M118" s="3">
        <v>0</v>
      </c>
      <c r="O118" s="3">
        <v>0</v>
      </c>
      <c r="S118" s="3"/>
      <c r="T118" s="3"/>
      <c r="U118" s="3"/>
      <c r="V118" s="3"/>
      <c r="W118" s="3">
        <f t="shared" si="1"/>
        <v>0</v>
      </c>
      <c r="X118" s="44" t="s">
        <v>197</v>
      </c>
      <c r="AA118"/>
      <c r="AC118" s="3">
        <v>0</v>
      </c>
      <c r="AE118">
        <v>0</v>
      </c>
      <c r="AG118">
        <v>0</v>
      </c>
    </row>
    <row r="119" spans="3:33">
      <c r="C119">
        <v>5360</v>
      </c>
      <c r="D119" t="s">
        <v>537</v>
      </c>
      <c r="E119">
        <v>95370000</v>
      </c>
      <c r="H119" t="s">
        <v>665</v>
      </c>
      <c r="K119" s="3">
        <v>0</v>
      </c>
      <c r="L119" s="26"/>
      <c r="M119" s="3">
        <v>0</v>
      </c>
      <c r="O119" s="3">
        <v>0</v>
      </c>
      <c r="S119" s="3"/>
      <c r="T119" s="3"/>
      <c r="U119" s="3"/>
      <c r="V119" s="3"/>
      <c r="W119" s="3">
        <f t="shared" si="1"/>
        <v>0</v>
      </c>
      <c r="X119" s="44" t="s">
        <v>197</v>
      </c>
      <c r="AA119"/>
      <c r="AC119" s="3">
        <v>0</v>
      </c>
      <c r="AE119">
        <v>0</v>
      </c>
      <c r="AG119">
        <v>0</v>
      </c>
    </row>
    <row r="120" spans="3:33">
      <c r="C120">
        <v>5360</v>
      </c>
      <c r="D120" t="s">
        <v>537</v>
      </c>
      <c r="E120">
        <v>95380000</v>
      </c>
      <c r="H120" t="s">
        <v>644</v>
      </c>
      <c r="K120" s="3">
        <v>0</v>
      </c>
      <c r="L120" s="26"/>
      <c r="M120" s="3">
        <v>0</v>
      </c>
      <c r="O120" s="3">
        <v>0</v>
      </c>
      <c r="S120" s="3"/>
      <c r="T120" s="3"/>
      <c r="U120" s="3"/>
      <c r="V120" s="3"/>
      <c r="W120" s="3">
        <f t="shared" si="1"/>
        <v>0</v>
      </c>
      <c r="X120" s="44" t="s">
        <v>197</v>
      </c>
      <c r="AA120"/>
      <c r="AC120" s="3">
        <v>0</v>
      </c>
      <c r="AE120">
        <v>0</v>
      </c>
      <c r="AG120">
        <v>0</v>
      </c>
    </row>
    <row r="121" spans="3:33">
      <c r="C121">
        <v>5360</v>
      </c>
      <c r="D121" t="s">
        <v>537</v>
      </c>
      <c r="E121">
        <v>95390000</v>
      </c>
      <c r="H121" t="s">
        <v>666</v>
      </c>
      <c r="K121" s="3">
        <v>0</v>
      </c>
      <c r="L121" s="26"/>
      <c r="M121" s="3">
        <v>0</v>
      </c>
      <c r="O121" s="3">
        <v>0</v>
      </c>
      <c r="S121" s="3"/>
      <c r="T121" s="3"/>
      <c r="U121" s="3"/>
      <c r="V121" s="3"/>
      <c r="W121" s="3">
        <f t="shared" si="1"/>
        <v>0</v>
      </c>
      <c r="X121" s="44" t="s">
        <v>197</v>
      </c>
      <c r="AA121"/>
      <c r="AC121" s="3">
        <v>0</v>
      </c>
      <c r="AE121">
        <v>0</v>
      </c>
      <c r="AG121">
        <v>0</v>
      </c>
    </row>
    <row r="122" spans="3:33">
      <c r="C122">
        <v>5360</v>
      </c>
      <c r="D122" t="s">
        <v>537</v>
      </c>
      <c r="E122">
        <v>95400000</v>
      </c>
      <c r="H122" t="s">
        <v>646</v>
      </c>
      <c r="K122" s="3">
        <v>0</v>
      </c>
      <c r="L122" s="26"/>
      <c r="M122" s="3">
        <v>0</v>
      </c>
      <c r="O122" s="3">
        <v>0</v>
      </c>
      <c r="S122" s="3"/>
      <c r="T122" s="3"/>
      <c r="U122" s="3"/>
      <c r="V122" s="3"/>
      <c r="W122" s="3">
        <f t="shared" si="1"/>
        <v>0</v>
      </c>
      <c r="X122" s="44" t="s">
        <v>197</v>
      </c>
      <c r="AA122"/>
      <c r="AC122" s="3">
        <v>0</v>
      </c>
      <c r="AE122">
        <v>0</v>
      </c>
      <c r="AG122">
        <v>0</v>
      </c>
    </row>
    <row r="123" spans="3:33">
      <c r="C123">
        <v>5360</v>
      </c>
      <c r="D123" t="s">
        <v>537</v>
      </c>
      <c r="E123">
        <v>95401000</v>
      </c>
      <c r="H123" t="s">
        <v>667</v>
      </c>
      <c r="K123" s="3">
        <v>0</v>
      </c>
      <c r="L123" s="26"/>
      <c r="M123" s="3">
        <v>0</v>
      </c>
      <c r="O123" s="3">
        <v>0</v>
      </c>
      <c r="S123" s="3"/>
      <c r="T123" s="3"/>
      <c r="U123" s="3"/>
      <c r="V123" s="3"/>
      <c r="W123" s="3">
        <f t="shared" si="1"/>
        <v>0</v>
      </c>
      <c r="X123" s="44" t="s">
        <v>197</v>
      </c>
      <c r="AA123"/>
      <c r="AC123" s="3">
        <v>0</v>
      </c>
      <c r="AE123">
        <v>0</v>
      </c>
      <c r="AG123">
        <v>0</v>
      </c>
    </row>
    <row r="124" spans="3:33">
      <c r="C124">
        <v>5360</v>
      </c>
      <c r="D124" t="s">
        <v>537</v>
      </c>
      <c r="E124">
        <v>95410000</v>
      </c>
      <c r="H124" t="s">
        <v>668</v>
      </c>
      <c r="K124" s="3">
        <v>0</v>
      </c>
      <c r="L124" s="26"/>
      <c r="M124" s="3">
        <v>0</v>
      </c>
      <c r="O124" s="3">
        <v>0</v>
      </c>
      <c r="S124" s="3"/>
      <c r="T124" s="3"/>
      <c r="U124" s="3"/>
      <c r="V124" s="3"/>
      <c r="W124" s="3">
        <f t="shared" si="1"/>
        <v>0</v>
      </c>
      <c r="X124" s="44" t="s">
        <v>197</v>
      </c>
      <c r="AA124"/>
      <c r="AC124" s="3">
        <v>0</v>
      </c>
      <c r="AE124">
        <v>0</v>
      </c>
      <c r="AG124">
        <v>0</v>
      </c>
    </row>
    <row r="125" spans="3:33">
      <c r="C125">
        <v>5360</v>
      </c>
      <c r="D125" t="s">
        <v>537</v>
      </c>
      <c r="E125">
        <v>95480000</v>
      </c>
      <c r="H125" t="s">
        <v>669</v>
      </c>
      <c r="K125" s="3">
        <v>0</v>
      </c>
      <c r="L125" s="26"/>
      <c r="M125" s="3">
        <v>0</v>
      </c>
      <c r="O125" s="3">
        <v>0</v>
      </c>
      <c r="S125" s="3"/>
      <c r="T125" s="3"/>
      <c r="U125" s="3"/>
      <c r="V125" s="3"/>
      <c r="W125" s="3">
        <f t="shared" si="1"/>
        <v>0</v>
      </c>
      <c r="X125" s="44" t="s">
        <v>197</v>
      </c>
      <c r="AA125"/>
      <c r="AC125" s="3">
        <v>0</v>
      </c>
      <c r="AE125">
        <v>0</v>
      </c>
      <c r="AG125">
        <v>0</v>
      </c>
    </row>
    <row r="126" spans="3:33">
      <c r="C126">
        <v>5360</v>
      </c>
      <c r="D126" t="s">
        <v>537</v>
      </c>
      <c r="E126">
        <v>95481000</v>
      </c>
      <c r="H126" t="s">
        <v>670</v>
      </c>
      <c r="K126" s="3">
        <v>0</v>
      </c>
      <c r="L126" s="26"/>
      <c r="M126" s="3">
        <v>0</v>
      </c>
      <c r="O126" s="3">
        <v>0</v>
      </c>
      <c r="S126" s="3"/>
      <c r="T126" s="3"/>
      <c r="U126" s="3"/>
      <c r="V126" s="3"/>
      <c r="W126" s="3">
        <f t="shared" si="1"/>
        <v>0</v>
      </c>
      <c r="X126" s="44" t="s">
        <v>197</v>
      </c>
      <c r="AC126" s="3">
        <v>0</v>
      </c>
      <c r="AE126">
        <v>0</v>
      </c>
      <c r="AG126">
        <v>0</v>
      </c>
    </row>
    <row r="127" spans="3:33">
      <c r="C127">
        <v>5360</v>
      </c>
      <c r="D127" t="s">
        <v>537</v>
      </c>
      <c r="E127">
        <v>95490000</v>
      </c>
      <c r="H127" t="s">
        <v>671</v>
      </c>
      <c r="K127" s="3">
        <v>0</v>
      </c>
      <c r="L127" s="26"/>
      <c r="M127" s="3">
        <v>0</v>
      </c>
      <c r="O127" s="3">
        <v>0</v>
      </c>
      <c r="S127" s="3"/>
      <c r="T127" s="3"/>
      <c r="U127" s="3"/>
      <c r="V127" s="3"/>
      <c r="W127" s="3">
        <f t="shared" si="1"/>
        <v>0</v>
      </c>
      <c r="X127" s="44" t="s">
        <v>197</v>
      </c>
      <c r="AA127"/>
      <c r="AC127" s="3">
        <v>0</v>
      </c>
      <c r="AE127">
        <v>0</v>
      </c>
      <c r="AG127">
        <v>0</v>
      </c>
    </row>
    <row r="128" spans="3:33">
      <c r="C128">
        <v>5360</v>
      </c>
      <c r="D128" t="s">
        <v>537</v>
      </c>
      <c r="E128">
        <v>95500000</v>
      </c>
      <c r="H128" t="s">
        <v>646</v>
      </c>
      <c r="K128" s="3">
        <v>0</v>
      </c>
      <c r="L128" s="26"/>
      <c r="M128" s="3">
        <v>0</v>
      </c>
      <c r="O128" s="3">
        <v>0</v>
      </c>
      <c r="S128" s="3"/>
      <c r="T128" s="3"/>
      <c r="U128" s="3"/>
      <c r="V128" s="3"/>
      <c r="W128" s="3">
        <f t="shared" si="1"/>
        <v>0</v>
      </c>
      <c r="X128" s="44" t="s">
        <v>197</v>
      </c>
      <c r="AA128"/>
      <c r="AC128" s="3">
        <v>0</v>
      </c>
      <c r="AE128">
        <v>0</v>
      </c>
      <c r="AG128">
        <v>0</v>
      </c>
    </row>
    <row r="129" spans="3:33">
      <c r="C129">
        <v>5360</v>
      </c>
      <c r="D129" t="s">
        <v>537</v>
      </c>
      <c r="E129">
        <v>95501000</v>
      </c>
      <c r="H129" t="s">
        <v>628</v>
      </c>
      <c r="K129" s="3">
        <v>0</v>
      </c>
      <c r="L129" s="26"/>
      <c r="M129" s="3">
        <v>0</v>
      </c>
      <c r="O129" s="3">
        <v>0</v>
      </c>
      <c r="S129" s="3"/>
      <c r="T129" s="3"/>
      <c r="U129" s="3"/>
      <c r="V129" s="3"/>
      <c r="W129" s="3">
        <f t="shared" si="1"/>
        <v>0</v>
      </c>
      <c r="X129" s="619" t="s">
        <v>197</v>
      </c>
      <c r="AA129"/>
      <c r="AC129" s="3">
        <v>0</v>
      </c>
      <c r="AE129">
        <v>0</v>
      </c>
      <c r="AG129">
        <v>0</v>
      </c>
    </row>
    <row r="130" spans="3:33">
      <c r="E130" t="s">
        <v>672</v>
      </c>
      <c r="K130" s="3">
        <v>0</v>
      </c>
      <c r="L130" s="26"/>
      <c r="M130" s="3">
        <v>0</v>
      </c>
      <c r="O130" s="3">
        <v>0</v>
      </c>
      <c r="R130" t="s">
        <v>650</v>
      </c>
      <c r="S130" s="3">
        <f>SUM(S108:S129)</f>
        <v>0</v>
      </c>
      <c r="T130" s="3">
        <f>SUM(T108:T129)</f>
        <v>0</v>
      </c>
      <c r="U130" s="3">
        <f>SUM(U108:U129)</f>
        <v>0</v>
      </c>
      <c r="V130" s="3">
        <f>SUM(V108:V129)</f>
        <v>0</v>
      </c>
      <c r="W130" s="3">
        <f t="shared" si="1"/>
        <v>0</v>
      </c>
      <c r="X130" s="44"/>
      <c r="AA130"/>
      <c r="AC130" s="3">
        <v>0</v>
      </c>
      <c r="AE130">
        <v>0</v>
      </c>
      <c r="AG130">
        <v>0</v>
      </c>
    </row>
    <row r="131" spans="3:33">
      <c r="C131">
        <v>5360</v>
      </c>
      <c r="D131" t="s">
        <v>537</v>
      </c>
      <c r="E131">
        <v>95280000</v>
      </c>
      <c r="H131" t="s">
        <v>668</v>
      </c>
      <c r="K131" s="3">
        <v>0</v>
      </c>
      <c r="L131" s="26"/>
      <c r="M131" s="3">
        <v>0</v>
      </c>
      <c r="O131" s="3">
        <v>0</v>
      </c>
      <c r="S131" s="3"/>
      <c r="T131" s="3"/>
      <c r="U131" s="3"/>
      <c r="V131" s="3"/>
      <c r="W131" s="3">
        <f t="shared" si="1"/>
        <v>0</v>
      </c>
      <c r="X131" s="44" t="s">
        <v>197</v>
      </c>
      <c r="AA131"/>
      <c r="AC131" s="3">
        <v>0</v>
      </c>
      <c r="AE131">
        <v>0</v>
      </c>
      <c r="AG131">
        <v>0</v>
      </c>
    </row>
    <row r="132" spans="3:33">
      <c r="C132">
        <v>5360</v>
      </c>
      <c r="D132" t="s">
        <v>537</v>
      </c>
      <c r="E132">
        <v>95290000</v>
      </c>
      <c r="H132" t="s">
        <v>652</v>
      </c>
      <c r="K132" s="3">
        <v>0</v>
      </c>
      <c r="L132" s="26"/>
      <c r="M132" s="3">
        <v>0</v>
      </c>
      <c r="O132" s="3">
        <v>0</v>
      </c>
      <c r="S132" s="3"/>
      <c r="T132" s="3"/>
      <c r="U132" s="3"/>
      <c r="V132" s="3"/>
      <c r="W132" s="3">
        <f t="shared" si="1"/>
        <v>0</v>
      </c>
      <c r="X132" s="44" t="s">
        <v>197</v>
      </c>
      <c r="AA132"/>
      <c r="AC132" s="3">
        <v>0</v>
      </c>
      <c r="AE132">
        <v>0</v>
      </c>
      <c r="AG132">
        <v>0</v>
      </c>
    </row>
    <row r="133" spans="3:33">
      <c r="C133">
        <v>5360</v>
      </c>
      <c r="D133" t="s">
        <v>537</v>
      </c>
      <c r="E133">
        <v>95300000</v>
      </c>
      <c r="H133" t="s">
        <v>673</v>
      </c>
      <c r="K133" s="3">
        <v>0</v>
      </c>
      <c r="L133" s="26"/>
      <c r="M133" s="3">
        <v>0</v>
      </c>
      <c r="O133" s="3">
        <v>0</v>
      </c>
      <c r="S133" s="3"/>
      <c r="T133" s="3"/>
      <c r="U133" s="3"/>
      <c r="V133" s="3"/>
      <c r="W133" s="3">
        <f t="shared" si="1"/>
        <v>0</v>
      </c>
      <c r="X133" s="44" t="s">
        <v>197</v>
      </c>
      <c r="AA133"/>
      <c r="AC133" s="3">
        <v>0</v>
      </c>
      <c r="AE133">
        <v>0</v>
      </c>
      <c r="AG133">
        <v>0</v>
      </c>
    </row>
    <row r="134" spans="3:33">
      <c r="C134">
        <v>5360</v>
      </c>
      <c r="D134" t="s">
        <v>537</v>
      </c>
      <c r="E134">
        <v>95310000</v>
      </c>
      <c r="H134" t="s">
        <v>654</v>
      </c>
      <c r="K134" s="3">
        <v>0</v>
      </c>
      <c r="L134" s="26"/>
      <c r="M134" s="3">
        <v>0</v>
      </c>
      <c r="O134" s="3">
        <v>0</v>
      </c>
      <c r="S134" s="46"/>
      <c r="T134" s="46"/>
      <c r="U134" s="3"/>
      <c r="V134" s="3"/>
      <c r="W134" s="3">
        <f t="shared" si="1"/>
        <v>0</v>
      </c>
      <c r="X134" s="44" t="s">
        <v>197</v>
      </c>
      <c r="AA134"/>
      <c r="AC134" s="3">
        <v>0</v>
      </c>
      <c r="AE134">
        <v>0</v>
      </c>
      <c r="AG134">
        <v>0</v>
      </c>
    </row>
    <row r="135" spans="3:33">
      <c r="C135">
        <v>5360</v>
      </c>
      <c r="D135" t="s">
        <v>537</v>
      </c>
      <c r="E135">
        <v>95320000</v>
      </c>
      <c r="H135" t="s">
        <v>674</v>
      </c>
      <c r="K135" s="3">
        <v>0</v>
      </c>
      <c r="L135" s="26"/>
      <c r="M135" s="3">
        <v>0</v>
      </c>
      <c r="O135" s="3">
        <v>0</v>
      </c>
      <c r="S135" s="46"/>
      <c r="T135" s="46"/>
      <c r="U135" s="3"/>
      <c r="V135" s="3"/>
      <c r="W135" s="3">
        <f t="shared" si="1"/>
        <v>0</v>
      </c>
      <c r="X135" s="44" t="s">
        <v>197</v>
      </c>
      <c r="AA135"/>
      <c r="AC135" s="3">
        <v>0</v>
      </c>
      <c r="AE135">
        <v>0</v>
      </c>
      <c r="AG135">
        <v>0</v>
      </c>
    </row>
    <row r="136" spans="3:33">
      <c r="C136">
        <v>5360</v>
      </c>
      <c r="D136" t="s">
        <v>537</v>
      </c>
      <c r="E136">
        <v>95420000</v>
      </c>
      <c r="H136" t="s">
        <v>652</v>
      </c>
      <c r="K136" s="3">
        <v>0</v>
      </c>
      <c r="L136" s="26"/>
      <c r="M136" s="3">
        <v>0</v>
      </c>
      <c r="O136" s="3">
        <v>0</v>
      </c>
      <c r="S136" s="46"/>
      <c r="T136" s="46"/>
      <c r="U136" s="3"/>
      <c r="V136" s="3"/>
      <c r="W136" s="3">
        <f t="shared" si="1"/>
        <v>0</v>
      </c>
      <c r="X136" s="44" t="s">
        <v>197</v>
      </c>
      <c r="AA136"/>
      <c r="AC136" s="3">
        <v>0</v>
      </c>
      <c r="AE136">
        <v>0</v>
      </c>
      <c r="AG136">
        <v>0</v>
      </c>
    </row>
    <row r="137" spans="3:33">
      <c r="C137">
        <v>5360</v>
      </c>
      <c r="D137" t="s">
        <v>537</v>
      </c>
      <c r="E137">
        <v>95430000</v>
      </c>
      <c r="H137" t="s">
        <v>675</v>
      </c>
      <c r="K137" s="3">
        <v>0</v>
      </c>
      <c r="L137" s="26"/>
      <c r="M137" s="3">
        <v>0</v>
      </c>
      <c r="O137" s="3">
        <v>0</v>
      </c>
      <c r="S137" s="3"/>
      <c r="T137" s="3"/>
      <c r="U137" s="3"/>
      <c r="V137" s="3"/>
      <c r="W137" s="3">
        <f t="shared" ref="W137:W200" si="2">SUM(K137,S137:V137)</f>
        <v>0</v>
      </c>
      <c r="X137" s="44" t="s">
        <v>197</v>
      </c>
      <c r="AA137"/>
      <c r="AC137" s="3">
        <v>0</v>
      </c>
      <c r="AE137">
        <v>0</v>
      </c>
      <c r="AG137">
        <v>0</v>
      </c>
    </row>
    <row r="138" spans="3:33">
      <c r="C138">
        <v>5360</v>
      </c>
      <c r="D138" t="s">
        <v>537</v>
      </c>
      <c r="E138">
        <v>95440000</v>
      </c>
      <c r="H138" t="s">
        <v>654</v>
      </c>
      <c r="K138" s="3">
        <v>0</v>
      </c>
      <c r="L138" s="26"/>
      <c r="M138" s="3">
        <v>0</v>
      </c>
      <c r="O138" s="3">
        <v>0</v>
      </c>
      <c r="S138" s="3"/>
      <c r="T138" s="3"/>
      <c r="U138" s="3"/>
      <c r="V138" s="3"/>
      <c r="W138" s="3">
        <f t="shared" si="2"/>
        <v>0</v>
      </c>
      <c r="X138" s="44" t="s">
        <v>197</v>
      </c>
      <c r="AA138"/>
      <c r="AC138" s="3">
        <v>0</v>
      </c>
      <c r="AE138">
        <v>0</v>
      </c>
      <c r="AG138">
        <v>0</v>
      </c>
    </row>
    <row r="139" spans="3:33">
      <c r="C139">
        <v>5360</v>
      </c>
      <c r="D139" t="s">
        <v>537</v>
      </c>
      <c r="E139">
        <v>95450000</v>
      </c>
      <c r="H139" t="s">
        <v>676</v>
      </c>
      <c r="K139" s="3">
        <v>0</v>
      </c>
      <c r="L139" s="26"/>
      <c r="M139" s="3">
        <v>0</v>
      </c>
      <c r="O139" s="3">
        <v>0</v>
      </c>
      <c r="S139" s="3"/>
      <c r="T139" s="3"/>
      <c r="U139" s="3"/>
      <c r="V139" s="3"/>
      <c r="W139" s="3">
        <f t="shared" si="2"/>
        <v>0</v>
      </c>
      <c r="X139" s="44" t="s">
        <v>197</v>
      </c>
      <c r="AA139"/>
      <c r="AC139" s="3">
        <v>0</v>
      </c>
      <c r="AE139">
        <v>0</v>
      </c>
      <c r="AG139">
        <v>0</v>
      </c>
    </row>
    <row r="140" spans="3:33">
      <c r="C140">
        <v>5360</v>
      </c>
      <c r="D140" t="s">
        <v>537</v>
      </c>
      <c r="E140">
        <v>95451000</v>
      </c>
      <c r="H140" t="s">
        <v>628</v>
      </c>
      <c r="K140" s="3">
        <v>0</v>
      </c>
      <c r="L140" s="26"/>
      <c r="M140" s="3">
        <v>0</v>
      </c>
      <c r="O140" s="3">
        <v>0</v>
      </c>
      <c r="S140" s="3"/>
      <c r="T140" s="3"/>
      <c r="U140" s="3"/>
      <c r="V140" s="3"/>
      <c r="W140" s="3">
        <f t="shared" si="2"/>
        <v>0</v>
      </c>
      <c r="X140" s="44" t="s">
        <v>197</v>
      </c>
      <c r="AA140"/>
      <c r="AC140" s="3">
        <v>0</v>
      </c>
      <c r="AE140">
        <v>0</v>
      </c>
      <c r="AG140">
        <v>0</v>
      </c>
    </row>
    <row r="141" spans="3:33">
      <c r="C141">
        <v>5360</v>
      </c>
      <c r="D141" t="s">
        <v>537</v>
      </c>
      <c r="E141">
        <v>95460000</v>
      </c>
      <c r="H141" t="s">
        <v>677</v>
      </c>
      <c r="K141" s="3">
        <v>0</v>
      </c>
      <c r="L141" s="26"/>
      <c r="M141" s="3">
        <v>0</v>
      </c>
      <c r="O141" s="3">
        <v>0</v>
      </c>
      <c r="S141" s="3"/>
      <c r="T141" s="3"/>
      <c r="U141" s="3"/>
      <c r="V141" s="3"/>
      <c r="W141" s="3">
        <f t="shared" si="2"/>
        <v>0</v>
      </c>
      <c r="X141" s="44" t="s">
        <v>197</v>
      </c>
      <c r="AA141"/>
      <c r="AC141" s="3">
        <v>0</v>
      </c>
      <c r="AE141">
        <v>0</v>
      </c>
      <c r="AG141">
        <v>0</v>
      </c>
    </row>
    <row r="142" spans="3:33">
      <c r="C142">
        <v>5360</v>
      </c>
      <c r="D142" t="s">
        <v>537</v>
      </c>
      <c r="E142">
        <v>95510000</v>
      </c>
      <c r="H142" t="s">
        <v>668</v>
      </c>
      <c r="K142" s="3">
        <v>0</v>
      </c>
      <c r="L142" s="26"/>
      <c r="M142" s="3">
        <v>0</v>
      </c>
      <c r="O142" s="3">
        <v>0</v>
      </c>
      <c r="S142" s="3"/>
      <c r="T142" s="3"/>
      <c r="U142" s="3"/>
      <c r="V142" s="3"/>
      <c r="W142" s="3">
        <f t="shared" si="2"/>
        <v>0</v>
      </c>
      <c r="X142" s="44" t="s">
        <v>197</v>
      </c>
      <c r="AA142"/>
      <c r="AC142" s="3">
        <v>0</v>
      </c>
      <c r="AE142">
        <v>0</v>
      </c>
      <c r="AG142">
        <v>0</v>
      </c>
    </row>
    <row r="143" spans="3:33">
      <c r="C143">
        <v>5360</v>
      </c>
      <c r="D143" t="s">
        <v>537</v>
      </c>
      <c r="E143">
        <v>95520000</v>
      </c>
      <c r="H143" t="s">
        <v>652</v>
      </c>
      <c r="K143" s="3">
        <v>0</v>
      </c>
      <c r="L143" s="26"/>
      <c r="M143" s="3">
        <v>0</v>
      </c>
      <c r="O143" s="3">
        <v>0</v>
      </c>
      <c r="S143" s="3"/>
      <c r="T143" s="3"/>
      <c r="U143" s="3"/>
      <c r="V143" s="3"/>
      <c r="W143" s="3">
        <f t="shared" si="2"/>
        <v>0</v>
      </c>
      <c r="X143" s="44" t="s">
        <v>197</v>
      </c>
      <c r="AA143"/>
      <c r="AC143" s="3">
        <v>0</v>
      </c>
      <c r="AE143">
        <v>0</v>
      </c>
      <c r="AG143">
        <v>0</v>
      </c>
    </row>
    <row r="144" spans="3:33">
      <c r="C144">
        <v>5360</v>
      </c>
      <c r="D144" t="s">
        <v>537</v>
      </c>
      <c r="E144">
        <v>95530000</v>
      </c>
      <c r="H144" t="s">
        <v>678</v>
      </c>
      <c r="K144" s="3">
        <v>0</v>
      </c>
      <c r="L144" s="26"/>
      <c r="M144" s="3">
        <v>0</v>
      </c>
      <c r="O144" s="3">
        <v>0</v>
      </c>
      <c r="S144" s="3"/>
      <c r="T144" s="3"/>
      <c r="U144" s="3"/>
      <c r="V144" s="3"/>
      <c r="W144" s="3">
        <f t="shared" si="2"/>
        <v>0</v>
      </c>
      <c r="X144" s="44" t="s">
        <v>197</v>
      </c>
      <c r="AA144"/>
      <c r="AC144" s="3">
        <v>0</v>
      </c>
      <c r="AE144">
        <v>0</v>
      </c>
      <c r="AG144">
        <v>0</v>
      </c>
    </row>
    <row r="145" spans="3:33">
      <c r="C145">
        <v>5360</v>
      </c>
      <c r="D145" t="s">
        <v>537</v>
      </c>
      <c r="E145">
        <v>95540000</v>
      </c>
      <c r="H145" t="s">
        <v>679</v>
      </c>
      <c r="K145" s="3">
        <v>0</v>
      </c>
      <c r="L145" s="26"/>
      <c r="M145" s="3">
        <v>0</v>
      </c>
      <c r="O145" s="3">
        <v>0</v>
      </c>
      <c r="S145" s="3"/>
      <c r="T145" s="3"/>
      <c r="U145" s="3"/>
      <c r="V145" s="3"/>
      <c r="W145" s="3">
        <f t="shared" si="2"/>
        <v>0</v>
      </c>
      <c r="X145" s="44" t="s">
        <v>197</v>
      </c>
      <c r="AC145" s="3">
        <v>0</v>
      </c>
      <c r="AE145">
        <v>0</v>
      </c>
      <c r="AG145">
        <v>0</v>
      </c>
    </row>
    <row r="146" spans="3:33">
      <c r="C146">
        <v>5360</v>
      </c>
      <c r="D146" t="s">
        <v>537</v>
      </c>
      <c r="E146">
        <v>95541000</v>
      </c>
      <c r="H146" t="s">
        <v>628</v>
      </c>
      <c r="K146" s="3">
        <v>0</v>
      </c>
      <c r="L146" s="26"/>
      <c r="M146" s="3">
        <v>0</v>
      </c>
      <c r="O146" s="3">
        <v>0</v>
      </c>
      <c r="S146" s="3"/>
      <c r="T146" s="3"/>
      <c r="U146" s="3"/>
      <c r="V146" s="3"/>
      <c r="W146" s="3">
        <f t="shared" si="2"/>
        <v>0</v>
      </c>
      <c r="X146" s="619" t="s">
        <v>197</v>
      </c>
      <c r="AA146"/>
      <c r="AC146" s="3">
        <v>0</v>
      </c>
      <c r="AE146">
        <v>0</v>
      </c>
      <c r="AG146">
        <v>0</v>
      </c>
    </row>
    <row r="147" spans="3:33">
      <c r="E147" t="s">
        <v>680</v>
      </c>
      <c r="K147" s="3">
        <v>0</v>
      </c>
      <c r="L147" s="26"/>
      <c r="M147" s="3">
        <v>0</v>
      </c>
      <c r="O147" s="3">
        <v>0</v>
      </c>
      <c r="R147" t="s">
        <v>650</v>
      </c>
      <c r="S147" s="3">
        <f>SUM(S131:S146)</f>
        <v>0</v>
      </c>
      <c r="T147" s="3">
        <f>SUM(T131:T146)</f>
        <v>0</v>
      </c>
      <c r="U147" s="3">
        <f>SUM(U131:U146)</f>
        <v>0</v>
      </c>
      <c r="V147" s="3">
        <f>SUM(V131:V146)</f>
        <v>0</v>
      </c>
      <c r="W147" s="3">
        <f t="shared" si="2"/>
        <v>0</v>
      </c>
      <c r="X147" s="619"/>
      <c r="AA147"/>
      <c r="AC147" s="3">
        <v>0</v>
      </c>
      <c r="AE147">
        <v>0</v>
      </c>
      <c r="AG147">
        <v>0</v>
      </c>
    </row>
    <row r="148" spans="3:33">
      <c r="E148" t="s">
        <v>681</v>
      </c>
      <c r="K148" s="3">
        <v>0</v>
      </c>
      <c r="L148" s="26"/>
      <c r="M148" s="3">
        <v>0</v>
      </c>
      <c r="O148" s="3">
        <v>0</v>
      </c>
      <c r="R148" t="s">
        <v>658</v>
      </c>
      <c r="S148" s="3">
        <f>S147+S130</f>
        <v>0</v>
      </c>
      <c r="T148" s="3">
        <f>T147+T130</f>
        <v>0</v>
      </c>
      <c r="U148" s="3">
        <f>U147+U130</f>
        <v>0</v>
      </c>
      <c r="V148" s="3">
        <f>V147+V130</f>
        <v>0</v>
      </c>
      <c r="W148" s="3">
        <f t="shared" si="2"/>
        <v>0</v>
      </c>
      <c r="X148" s="44"/>
      <c r="AA148"/>
      <c r="AC148" s="3">
        <v>0</v>
      </c>
      <c r="AE148">
        <v>0</v>
      </c>
      <c r="AG148">
        <v>0</v>
      </c>
    </row>
    <row r="149" spans="3:33">
      <c r="C149">
        <v>5360</v>
      </c>
      <c r="D149" t="s">
        <v>537</v>
      </c>
      <c r="E149">
        <v>95560000</v>
      </c>
      <c r="H149" t="s">
        <v>682</v>
      </c>
      <c r="K149" s="3">
        <v>0</v>
      </c>
      <c r="L149" s="26"/>
      <c r="M149" s="3">
        <v>0</v>
      </c>
      <c r="O149" s="3">
        <v>0</v>
      </c>
      <c r="S149" s="3"/>
      <c r="T149" s="3"/>
      <c r="U149" s="3"/>
      <c r="V149" s="3"/>
      <c r="W149" s="3">
        <f t="shared" si="2"/>
        <v>0</v>
      </c>
      <c r="X149" s="44" t="s">
        <v>197</v>
      </c>
      <c r="AA149"/>
      <c r="AC149" s="3">
        <v>0</v>
      </c>
      <c r="AE149">
        <v>0</v>
      </c>
      <c r="AG149">
        <v>0</v>
      </c>
    </row>
    <row r="150" spans="3:33">
      <c r="C150">
        <v>5360</v>
      </c>
      <c r="D150" t="s">
        <v>537</v>
      </c>
      <c r="E150">
        <v>95570000</v>
      </c>
      <c r="H150" t="s">
        <v>683</v>
      </c>
      <c r="K150" s="3">
        <v>0</v>
      </c>
      <c r="L150" s="26"/>
      <c r="M150" s="3">
        <v>0</v>
      </c>
      <c r="O150" s="3">
        <v>0</v>
      </c>
      <c r="S150" s="3"/>
      <c r="T150" s="3"/>
      <c r="U150" s="3"/>
      <c r="V150" s="3"/>
      <c r="W150" s="3">
        <f t="shared" si="2"/>
        <v>0</v>
      </c>
      <c r="X150" s="44" t="s">
        <v>197</v>
      </c>
      <c r="AA150"/>
      <c r="AC150" s="3">
        <v>0</v>
      </c>
      <c r="AE150">
        <v>0</v>
      </c>
      <c r="AG150">
        <v>0</v>
      </c>
    </row>
    <row r="151" spans="3:33">
      <c r="C151">
        <v>5360</v>
      </c>
      <c r="D151" t="s">
        <v>537</v>
      </c>
      <c r="E151">
        <v>95600000</v>
      </c>
      <c r="H151" t="s">
        <v>684</v>
      </c>
      <c r="K151" s="3">
        <v>0</v>
      </c>
      <c r="L151" s="26"/>
      <c r="M151" s="3">
        <v>0</v>
      </c>
      <c r="O151" s="3">
        <v>0</v>
      </c>
      <c r="S151" s="3"/>
      <c r="T151" s="3"/>
      <c r="U151" s="3"/>
      <c r="V151" s="3"/>
      <c r="W151" s="3">
        <f t="shared" si="2"/>
        <v>0</v>
      </c>
      <c r="X151" s="44" t="s">
        <v>199</v>
      </c>
      <c r="AA151"/>
      <c r="AC151" s="3">
        <v>0</v>
      </c>
      <c r="AE151">
        <v>0</v>
      </c>
      <c r="AG151">
        <v>0</v>
      </c>
    </row>
    <row r="152" spans="3:33">
      <c r="C152">
        <v>5360</v>
      </c>
      <c r="D152" t="s">
        <v>537</v>
      </c>
      <c r="E152">
        <v>95610000</v>
      </c>
      <c r="H152" t="s">
        <v>628</v>
      </c>
      <c r="K152" s="3">
        <v>0</v>
      </c>
      <c r="L152" s="26"/>
      <c r="M152" s="3">
        <v>0</v>
      </c>
      <c r="O152" s="3">
        <v>0</v>
      </c>
      <c r="S152" s="3"/>
      <c r="T152" s="3"/>
      <c r="U152" s="3"/>
      <c r="V152" s="3"/>
      <c r="W152" s="3">
        <f t="shared" si="2"/>
        <v>0</v>
      </c>
      <c r="X152" s="44" t="s">
        <v>580</v>
      </c>
      <c r="AA152"/>
      <c r="AC152" s="3">
        <v>0</v>
      </c>
      <c r="AE152">
        <v>0</v>
      </c>
      <c r="AG152">
        <v>0</v>
      </c>
    </row>
    <row r="153" spans="3:33">
      <c r="C153">
        <v>5360</v>
      </c>
      <c r="D153" t="s">
        <v>537</v>
      </c>
      <c r="E153">
        <v>95611000</v>
      </c>
      <c r="H153" t="s">
        <v>685</v>
      </c>
      <c r="K153" s="3">
        <v>0</v>
      </c>
      <c r="L153" s="26"/>
      <c r="M153" s="3">
        <v>0</v>
      </c>
      <c r="O153" s="3">
        <v>0</v>
      </c>
      <c r="S153" s="3"/>
      <c r="T153" s="3"/>
      <c r="U153" s="3"/>
      <c r="V153" s="3"/>
      <c r="W153" s="3">
        <f t="shared" si="2"/>
        <v>0</v>
      </c>
      <c r="X153" s="44" t="s">
        <v>199</v>
      </c>
      <c r="AA153"/>
      <c r="AC153" s="3">
        <v>0</v>
      </c>
      <c r="AE153">
        <v>0</v>
      </c>
      <c r="AG153">
        <v>0</v>
      </c>
    </row>
    <row r="154" spans="3:33">
      <c r="C154">
        <v>5360</v>
      </c>
      <c r="D154" t="s">
        <v>537</v>
      </c>
      <c r="E154">
        <v>95612000</v>
      </c>
      <c r="H154" t="s">
        <v>686</v>
      </c>
      <c r="K154" s="3">
        <v>0</v>
      </c>
      <c r="L154" s="26"/>
      <c r="M154" s="3">
        <v>0</v>
      </c>
      <c r="O154" s="3">
        <v>0</v>
      </c>
      <c r="S154" s="3"/>
      <c r="T154" s="3"/>
      <c r="U154" s="3"/>
      <c r="V154" s="3"/>
      <c r="W154" s="3">
        <f t="shared" si="2"/>
        <v>0</v>
      </c>
      <c r="X154" s="44" t="s">
        <v>199</v>
      </c>
      <c r="AC154" s="3">
        <v>0</v>
      </c>
      <c r="AE154">
        <v>0</v>
      </c>
      <c r="AG154">
        <v>0</v>
      </c>
    </row>
    <row r="155" spans="3:33">
      <c r="C155">
        <v>5360</v>
      </c>
      <c r="D155" t="s">
        <v>537</v>
      </c>
      <c r="E155">
        <v>95613000</v>
      </c>
      <c r="H155" t="s">
        <v>687</v>
      </c>
      <c r="K155" s="3">
        <v>0</v>
      </c>
      <c r="L155" s="26"/>
      <c r="M155" s="3">
        <v>0</v>
      </c>
      <c r="O155" s="3">
        <v>0</v>
      </c>
      <c r="S155" s="3"/>
      <c r="T155" s="3"/>
      <c r="U155" s="3"/>
      <c r="V155" s="3"/>
      <c r="W155" s="3">
        <f t="shared" si="2"/>
        <v>0</v>
      </c>
      <c r="X155" s="44" t="s">
        <v>199</v>
      </c>
      <c r="AA155"/>
      <c r="AC155" s="3">
        <v>0</v>
      </c>
      <c r="AE155">
        <v>0</v>
      </c>
      <c r="AG155">
        <v>0</v>
      </c>
    </row>
    <row r="156" spans="3:33">
      <c r="C156">
        <v>5360</v>
      </c>
      <c r="D156" t="s">
        <v>537</v>
      </c>
      <c r="E156">
        <v>95614000</v>
      </c>
      <c r="H156" t="s">
        <v>688</v>
      </c>
      <c r="K156" s="3">
        <v>0</v>
      </c>
      <c r="L156" s="26"/>
      <c r="M156" s="3">
        <v>0</v>
      </c>
      <c r="O156" s="3">
        <v>0</v>
      </c>
      <c r="S156" s="3"/>
      <c r="T156" s="3"/>
      <c r="U156" s="3"/>
      <c r="V156" s="3"/>
      <c r="W156" s="3">
        <f t="shared" si="2"/>
        <v>0</v>
      </c>
      <c r="X156" s="44" t="s">
        <v>199</v>
      </c>
      <c r="AA156"/>
      <c r="AC156" s="3">
        <v>0</v>
      </c>
      <c r="AE156">
        <v>0</v>
      </c>
      <c r="AG156">
        <v>0</v>
      </c>
    </row>
    <row r="157" spans="3:33">
      <c r="C157">
        <v>5360</v>
      </c>
      <c r="D157" t="s">
        <v>537</v>
      </c>
      <c r="E157">
        <v>95615000</v>
      </c>
      <c r="H157" t="s">
        <v>689</v>
      </c>
      <c r="K157" s="3">
        <v>0</v>
      </c>
      <c r="L157" s="26"/>
      <c r="M157" s="3">
        <v>0</v>
      </c>
      <c r="O157" s="3">
        <v>0</v>
      </c>
      <c r="S157" s="3"/>
      <c r="T157" s="3"/>
      <c r="U157" s="3"/>
      <c r="V157" s="3"/>
      <c r="W157" s="3">
        <f t="shared" si="2"/>
        <v>0</v>
      </c>
      <c r="X157" s="44" t="s">
        <v>199</v>
      </c>
      <c r="AC157" s="3">
        <v>0</v>
      </c>
      <c r="AE157">
        <v>0</v>
      </c>
      <c r="AG157">
        <v>0</v>
      </c>
    </row>
    <row r="158" spans="3:33">
      <c r="C158">
        <v>5360</v>
      </c>
      <c r="D158" t="s">
        <v>537</v>
      </c>
      <c r="E158">
        <v>95616000</v>
      </c>
      <c r="H158" t="s">
        <v>690</v>
      </c>
      <c r="K158" s="3">
        <v>0</v>
      </c>
      <c r="L158" s="26"/>
      <c r="M158" s="3">
        <v>0</v>
      </c>
      <c r="O158" s="3">
        <v>0</v>
      </c>
      <c r="S158" s="3"/>
      <c r="T158" s="3"/>
      <c r="U158" s="3"/>
      <c r="V158" s="3"/>
      <c r="W158" s="3">
        <f t="shared" si="2"/>
        <v>0</v>
      </c>
      <c r="X158" s="44" t="s">
        <v>199</v>
      </c>
      <c r="AC158" s="3">
        <v>0</v>
      </c>
      <c r="AE158">
        <v>0</v>
      </c>
      <c r="AG158">
        <v>0</v>
      </c>
    </row>
    <row r="159" spans="3:33">
      <c r="C159">
        <v>5360</v>
      </c>
      <c r="D159" t="s">
        <v>537</v>
      </c>
      <c r="E159">
        <v>95617000</v>
      </c>
      <c r="H159" t="s">
        <v>691</v>
      </c>
      <c r="K159" s="3">
        <v>0</v>
      </c>
      <c r="L159" s="26"/>
      <c r="M159" s="3">
        <v>0</v>
      </c>
      <c r="O159" s="3">
        <v>0</v>
      </c>
      <c r="S159" s="3"/>
      <c r="T159" s="3"/>
      <c r="U159" s="3"/>
      <c r="V159" s="3"/>
      <c r="W159" s="3">
        <f t="shared" si="2"/>
        <v>0</v>
      </c>
      <c r="X159" s="44" t="s">
        <v>199</v>
      </c>
      <c r="AC159" s="3">
        <v>0</v>
      </c>
      <c r="AE159">
        <v>0</v>
      </c>
      <c r="AG159">
        <v>0</v>
      </c>
    </row>
    <row r="160" spans="3:33">
      <c r="C160">
        <v>5360</v>
      </c>
      <c r="D160" t="s">
        <v>537</v>
      </c>
      <c r="E160">
        <v>95618000</v>
      </c>
      <c r="H160" t="s">
        <v>692</v>
      </c>
      <c r="K160" s="3">
        <v>0</v>
      </c>
      <c r="L160" s="26"/>
      <c r="M160" s="3">
        <v>0</v>
      </c>
      <c r="O160" s="3">
        <v>0</v>
      </c>
      <c r="S160" s="3"/>
      <c r="T160" s="3"/>
      <c r="U160" s="3"/>
      <c r="V160" s="3"/>
      <c r="W160" s="3">
        <f t="shared" si="2"/>
        <v>0</v>
      </c>
      <c r="X160" s="44" t="s">
        <v>199</v>
      </c>
      <c r="AA160"/>
      <c r="AC160" s="3">
        <v>0</v>
      </c>
      <c r="AE160">
        <v>0</v>
      </c>
      <c r="AG160">
        <v>0</v>
      </c>
    </row>
    <row r="161" spans="3:33">
      <c r="C161">
        <v>5360</v>
      </c>
      <c r="E161">
        <v>95620000</v>
      </c>
      <c r="H161" t="s">
        <v>693</v>
      </c>
      <c r="K161" s="3">
        <v>1278.28</v>
      </c>
      <c r="L161" s="26"/>
      <c r="M161" s="3">
        <v>589.46</v>
      </c>
      <c r="O161" s="3">
        <v>-688.82</v>
      </c>
      <c r="Q161">
        <v>-53.9</v>
      </c>
      <c r="S161" s="3">
        <v>-1278.28</v>
      </c>
      <c r="T161" s="3"/>
      <c r="U161" s="3"/>
      <c r="V161" s="3"/>
      <c r="W161" s="3">
        <f t="shared" si="2"/>
        <v>0</v>
      </c>
      <c r="X161" s="44" t="s">
        <v>199</v>
      </c>
      <c r="AA161"/>
      <c r="AC161" s="3">
        <v>589.46</v>
      </c>
      <c r="AE161">
        <v>589.46</v>
      </c>
      <c r="AG161" s="31">
        <v>1278.28</v>
      </c>
    </row>
    <row r="162" spans="3:33">
      <c r="C162">
        <v>5360</v>
      </c>
      <c r="D162" t="s">
        <v>537</v>
      </c>
      <c r="E162">
        <v>95630000</v>
      </c>
      <c r="H162" t="s">
        <v>694</v>
      </c>
      <c r="K162" s="3">
        <v>0</v>
      </c>
      <c r="L162" s="26"/>
      <c r="M162" s="3">
        <v>0</v>
      </c>
      <c r="O162" s="3">
        <v>0</v>
      </c>
      <c r="S162" s="3"/>
      <c r="T162" s="3"/>
      <c r="U162" s="3"/>
      <c r="V162" s="3"/>
      <c r="W162" s="3">
        <f t="shared" si="2"/>
        <v>0</v>
      </c>
      <c r="X162" s="44" t="s">
        <v>199</v>
      </c>
      <c r="AA162"/>
      <c r="AC162" s="3">
        <v>0</v>
      </c>
      <c r="AE162">
        <v>0</v>
      </c>
      <c r="AG162">
        <v>0</v>
      </c>
    </row>
    <row r="163" spans="3:33">
      <c r="C163">
        <v>5360</v>
      </c>
      <c r="D163" t="s">
        <v>537</v>
      </c>
      <c r="E163">
        <v>95640000</v>
      </c>
      <c r="H163" t="s">
        <v>695</v>
      </c>
      <c r="K163" s="3">
        <v>0</v>
      </c>
      <c r="L163" s="26"/>
      <c r="M163" s="3">
        <v>0</v>
      </c>
      <c r="O163" s="3">
        <v>0</v>
      </c>
      <c r="S163" s="3"/>
      <c r="T163" s="3"/>
      <c r="U163" s="3"/>
      <c r="V163" s="3"/>
      <c r="W163" s="3">
        <f t="shared" si="2"/>
        <v>0</v>
      </c>
      <c r="X163" s="44" t="s">
        <v>199</v>
      </c>
      <c r="AA163"/>
      <c r="AC163" s="3">
        <v>0</v>
      </c>
      <c r="AE163">
        <v>0</v>
      </c>
      <c r="AG163">
        <v>0</v>
      </c>
    </row>
    <row r="164" spans="3:33">
      <c r="C164">
        <v>5360</v>
      </c>
      <c r="D164" t="s">
        <v>537</v>
      </c>
      <c r="E164">
        <v>95650000</v>
      </c>
      <c r="H164" t="s">
        <v>696</v>
      </c>
      <c r="K164" s="3">
        <v>0</v>
      </c>
      <c r="L164" s="26"/>
      <c r="M164" s="3">
        <v>0</v>
      </c>
      <c r="O164" s="3">
        <v>0</v>
      </c>
      <c r="S164" s="3"/>
      <c r="T164" s="3"/>
      <c r="U164" s="3"/>
      <c r="V164" s="3"/>
      <c r="W164" s="3">
        <f t="shared" si="2"/>
        <v>0</v>
      </c>
      <c r="X164" s="44" t="s">
        <v>199</v>
      </c>
      <c r="AA164"/>
      <c r="AC164" s="3">
        <v>0</v>
      </c>
      <c r="AE164">
        <v>0</v>
      </c>
      <c r="AG164">
        <v>0</v>
      </c>
    </row>
    <row r="165" spans="3:33">
      <c r="C165">
        <v>5360</v>
      </c>
      <c r="D165" t="s">
        <v>537</v>
      </c>
      <c r="E165">
        <v>95660000</v>
      </c>
      <c r="H165" t="s">
        <v>697</v>
      </c>
      <c r="K165" s="3">
        <v>6.85</v>
      </c>
      <c r="L165" s="26"/>
      <c r="M165" s="3">
        <v>0</v>
      </c>
      <c r="O165" s="3">
        <v>-6.85</v>
      </c>
      <c r="Q165">
        <v>-100</v>
      </c>
      <c r="S165" s="3">
        <v>-6.85</v>
      </c>
      <c r="T165" s="3"/>
      <c r="U165" s="3"/>
      <c r="V165" s="3"/>
      <c r="W165" s="3">
        <f t="shared" si="2"/>
        <v>0</v>
      </c>
      <c r="X165" s="44" t="s">
        <v>199</v>
      </c>
      <c r="AA165"/>
      <c r="AC165" s="3">
        <v>0</v>
      </c>
      <c r="AE165">
        <v>0</v>
      </c>
      <c r="AG165">
        <v>6.85</v>
      </c>
    </row>
    <row r="166" spans="3:33">
      <c r="C166">
        <v>5360</v>
      </c>
      <c r="D166" t="s">
        <v>537</v>
      </c>
      <c r="E166">
        <v>95670000</v>
      </c>
      <c r="H166" t="s">
        <v>698</v>
      </c>
      <c r="K166" s="3">
        <v>0</v>
      </c>
      <c r="L166" s="26"/>
      <c r="M166" s="3">
        <v>0</v>
      </c>
      <c r="O166" s="3">
        <v>0</v>
      </c>
      <c r="S166" s="3"/>
      <c r="T166" s="3"/>
      <c r="U166" s="3"/>
      <c r="V166" s="3"/>
      <c r="W166" s="3">
        <f t="shared" si="2"/>
        <v>0</v>
      </c>
      <c r="X166" s="44" t="s">
        <v>199</v>
      </c>
      <c r="AA166"/>
      <c r="AC166" s="3">
        <v>0</v>
      </c>
      <c r="AE166">
        <v>0</v>
      </c>
      <c r="AG166">
        <v>0</v>
      </c>
    </row>
    <row r="167" spans="3:33">
      <c r="C167">
        <v>5360</v>
      </c>
      <c r="D167" t="s">
        <v>537</v>
      </c>
      <c r="E167">
        <v>95671000</v>
      </c>
      <c r="H167" t="s">
        <v>628</v>
      </c>
      <c r="K167" s="3">
        <v>0</v>
      </c>
      <c r="L167" s="26"/>
      <c r="M167" s="3">
        <v>0</v>
      </c>
      <c r="O167" s="3">
        <v>0</v>
      </c>
      <c r="S167" s="3"/>
      <c r="T167" s="3"/>
      <c r="U167" s="3"/>
      <c r="V167" s="3"/>
      <c r="W167" s="3">
        <f t="shared" si="2"/>
        <v>0</v>
      </c>
      <c r="X167" s="44" t="s">
        <v>199</v>
      </c>
      <c r="AA167"/>
      <c r="AC167" s="3">
        <v>0</v>
      </c>
      <c r="AE167">
        <v>0</v>
      </c>
      <c r="AG167">
        <v>0</v>
      </c>
    </row>
    <row r="168" spans="3:33">
      <c r="C168">
        <v>5360</v>
      </c>
      <c r="D168" t="s">
        <v>537</v>
      </c>
      <c r="E168">
        <v>95757000</v>
      </c>
      <c r="H168" t="s">
        <v>699</v>
      </c>
      <c r="K168" s="3">
        <v>0</v>
      </c>
      <c r="L168" s="26"/>
      <c r="M168" s="3">
        <v>0</v>
      </c>
      <c r="O168" s="3">
        <v>0</v>
      </c>
      <c r="S168" s="3"/>
      <c r="T168" s="3"/>
      <c r="U168" s="3"/>
      <c r="V168" s="3"/>
      <c r="W168" s="3">
        <f t="shared" si="2"/>
        <v>0</v>
      </c>
      <c r="X168" s="44" t="s">
        <v>199</v>
      </c>
      <c r="AA168"/>
      <c r="AC168" s="3">
        <v>0</v>
      </c>
      <c r="AE168">
        <v>0</v>
      </c>
      <c r="AG168">
        <v>0</v>
      </c>
    </row>
    <row r="169" spans="3:33">
      <c r="E169" t="s">
        <v>700</v>
      </c>
      <c r="K169" s="3">
        <v>1285.1300000000001</v>
      </c>
      <c r="L169" s="26"/>
      <c r="M169" s="3">
        <v>589.46</v>
      </c>
      <c r="O169" s="3">
        <v>-695.67</v>
      </c>
      <c r="Q169">
        <v>-54.1</v>
      </c>
      <c r="R169" t="s">
        <v>650</v>
      </c>
      <c r="S169" s="3">
        <f>SUM(S149:S168)</f>
        <v>-1285.1299999999999</v>
      </c>
      <c r="T169" s="3">
        <f>SUM(T149:T168)</f>
        <v>0</v>
      </c>
      <c r="U169" s="3">
        <f>SUM(U149:U168)</f>
        <v>0</v>
      </c>
      <c r="V169" s="3">
        <f>SUM(V149:V168)</f>
        <v>0</v>
      </c>
      <c r="W169" s="3">
        <f t="shared" si="2"/>
        <v>2.2737367544323206E-13</v>
      </c>
      <c r="X169" s="44"/>
      <c r="AA169"/>
      <c r="AC169" s="3">
        <v>589.46</v>
      </c>
      <c r="AE169">
        <v>589.46</v>
      </c>
      <c r="AG169" s="31">
        <v>1285.1300000000001</v>
      </c>
    </row>
    <row r="170" spans="3:33">
      <c r="C170">
        <v>5360</v>
      </c>
      <c r="D170" t="s">
        <v>537</v>
      </c>
      <c r="E170">
        <v>95680000</v>
      </c>
      <c r="H170" t="s">
        <v>701</v>
      </c>
      <c r="K170" s="3">
        <v>0</v>
      </c>
      <c r="L170" s="26"/>
      <c r="M170" s="3">
        <v>0</v>
      </c>
      <c r="O170" s="3">
        <v>0</v>
      </c>
      <c r="S170" s="3"/>
      <c r="T170" s="3"/>
      <c r="U170" s="3"/>
      <c r="V170" s="3"/>
      <c r="W170" s="3">
        <f t="shared" si="2"/>
        <v>0</v>
      </c>
      <c r="X170" s="44" t="s">
        <v>199</v>
      </c>
      <c r="AA170"/>
      <c r="AC170" s="3">
        <v>0</v>
      </c>
      <c r="AE170">
        <v>0</v>
      </c>
      <c r="AG170">
        <v>0</v>
      </c>
    </row>
    <row r="171" spans="3:33">
      <c r="C171">
        <v>5360</v>
      </c>
      <c r="D171" t="s">
        <v>537</v>
      </c>
      <c r="E171">
        <v>95690000</v>
      </c>
      <c r="H171" t="s">
        <v>702</v>
      </c>
      <c r="K171" s="3">
        <v>0</v>
      </c>
      <c r="L171" s="26"/>
      <c r="M171" s="3">
        <v>0</v>
      </c>
      <c r="O171" s="3">
        <v>0</v>
      </c>
      <c r="S171" s="3"/>
      <c r="T171" s="3"/>
      <c r="U171" s="3"/>
      <c r="V171" s="3"/>
      <c r="W171" s="3">
        <f t="shared" si="2"/>
        <v>0</v>
      </c>
      <c r="X171" s="44" t="s">
        <v>199</v>
      </c>
      <c r="AA171"/>
      <c r="AC171" s="3">
        <v>0</v>
      </c>
      <c r="AE171">
        <v>0</v>
      </c>
      <c r="AG171">
        <v>0</v>
      </c>
    </row>
    <row r="172" spans="3:33">
      <c r="C172">
        <v>5360</v>
      </c>
      <c r="D172" t="s">
        <v>537</v>
      </c>
      <c r="E172">
        <v>95691000</v>
      </c>
      <c r="H172" t="s">
        <v>703</v>
      </c>
      <c r="K172" s="3">
        <v>0</v>
      </c>
      <c r="L172" s="26"/>
      <c r="M172" s="3">
        <v>0</v>
      </c>
      <c r="O172" s="3">
        <v>0</v>
      </c>
      <c r="S172" s="3"/>
      <c r="T172" s="3"/>
      <c r="U172" s="3"/>
      <c r="V172" s="3"/>
      <c r="W172" s="3">
        <f t="shared" si="2"/>
        <v>0</v>
      </c>
      <c r="X172" s="44" t="s">
        <v>199</v>
      </c>
      <c r="AA172"/>
      <c r="AC172" s="3">
        <v>0</v>
      </c>
      <c r="AE172">
        <v>0</v>
      </c>
      <c r="AG172">
        <v>0</v>
      </c>
    </row>
    <row r="173" spans="3:33">
      <c r="C173">
        <v>5360</v>
      </c>
      <c r="D173" t="s">
        <v>537</v>
      </c>
      <c r="E173">
        <v>95692000</v>
      </c>
      <c r="H173" t="s">
        <v>704</v>
      </c>
      <c r="K173" s="3">
        <v>0</v>
      </c>
      <c r="L173" s="26"/>
      <c r="M173" s="3">
        <v>0</v>
      </c>
      <c r="O173" s="3">
        <v>0</v>
      </c>
      <c r="S173" s="3"/>
      <c r="T173" s="3"/>
      <c r="U173" s="3"/>
      <c r="V173" s="3"/>
      <c r="W173" s="3">
        <f t="shared" si="2"/>
        <v>0</v>
      </c>
      <c r="X173" s="44" t="s">
        <v>199</v>
      </c>
      <c r="AA173"/>
      <c r="AC173" s="3">
        <v>0</v>
      </c>
      <c r="AE173">
        <v>0</v>
      </c>
      <c r="AG173">
        <v>0</v>
      </c>
    </row>
    <row r="174" spans="3:33">
      <c r="C174">
        <v>5360</v>
      </c>
      <c r="D174" t="s">
        <v>537</v>
      </c>
      <c r="E174">
        <v>95693000</v>
      </c>
      <c r="H174" t="s">
        <v>705</v>
      </c>
      <c r="K174" s="3">
        <v>0</v>
      </c>
      <c r="L174" s="26"/>
      <c r="M174" s="3">
        <v>0</v>
      </c>
      <c r="O174" s="3">
        <v>0</v>
      </c>
      <c r="S174" s="3"/>
      <c r="T174" s="3"/>
      <c r="U174" s="3"/>
      <c r="V174" s="3"/>
      <c r="W174" s="3">
        <f t="shared" si="2"/>
        <v>0</v>
      </c>
      <c r="X174" s="44" t="s">
        <v>199</v>
      </c>
      <c r="AA174"/>
      <c r="AC174" s="3">
        <v>0</v>
      </c>
      <c r="AE174">
        <v>0</v>
      </c>
      <c r="AG174">
        <v>0</v>
      </c>
    </row>
    <row r="175" spans="3:33">
      <c r="C175">
        <v>5360</v>
      </c>
      <c r="D175" t="s">
        <v>537</v>
      </c>
      <c r="E175">
        <v>95694000</v>
      </c>
      <c r="H175" t="s">
        <v>706</v>
      </c>
      <c r="K175" s="3">
        <v>0</v>
      </c>
      <c r="L175" s="26"/>
      <c r="M175" s="3">
        <v>0</v>
      </c>
      <c r="O175" s="3">
        <v>0</v>
      </c>
      <c r="S175" s="3"/>
      <c r="T175" s="3"/>
      <c r="U175" s="3"/>
      <c r="V175" s="3"/>
      <c r="W175" s="3">
        <f t="shared" si="2"/>
        <v>0</v>
      </c>
      <c r="X175" s="44" t="s">
        <v>199</v>
      </c>
      <c r="AA175"/>
      <c r="AC175" s="3">
        <v>0</v>
      </c>
      <c r="AE175">
        <v>0</v>
      </c>
      <c r="AG175">
        <v>0</v>
      </c>
    </row>
    <row r="176" spans="3:33">
      <c r="C176">
        <v>5360</v>
      </c>
      <c r="D176" t="s">
        <v>537</v>
      </c>
      <c r="E176">
        <v>95700000</v>
      </c>
      <c r="H176" t="s">
        <v>707</v>
      </c>
      <c r="K176" s="3">
        <v>0</v>
      </c>
      <c r="L176" s="26"/>
      <c r="M176" s="3">
        <v>0</v>
      </c>
      <c r="O176" s="3">
        <v>0</v>
      </c>
      <c r="S176" s="3"/>
      <c r="T176" s="3"/>
      <c r="U176" s="3"/>
      <c r="V176" s="3"/>
      <c r="W176" s="3">
        <f t="shared" si="2"/>
        <v>0</v>
      </c>
      <c r="X176" s="44" t="s">
        <v>199</v>
      </c>
      <c r="AA176"/>
      <c r="AC176" s="3">
        <v>0</v>
      </c>
      <c r="AE176">
        <v>0</v>
      </c>
      <c r="AG176">
        <v>0</v>
      </c>
    </row>
    <row r="177" spans="3:33">
      <c r="C177">
        <v>5360</v>
      </c>
      <c r="D177" t="s">
        <v>537</v>
      </c>
      <c r="E177">
        <v>95710000</v>
      </c>
      <c r="H177" t="s">
        <v>708</v>
      </c>
      <c r="K177" s="3">
        <v>0</v>
      </c>
      <c r="L177" s="26"/>
      <c r="M177" s="3">
        <v>0</v>
      </c>
      <c r="O177" s="3">
        <v>0</v>
      </c>
      <c r="S177" s="3"/>
      <c r="T177" s="3"/>
      <c r="U177" s="3"/>
      <c r="V177" s="3"/>
      <c r="W177" s="3">
        <f t="shared" si="2"/>
        <v>0</v>
      </c>
      <c r="X177" s="44" t="s">
        <v>199</v>
      </c>
      <c r="AA177"/>
      <c r="AC177" s="3">
        <v>0</v>
      </c>
      <c r="AE177">
        <v>0</v>
      </c>
      <c r="AG177">
        <v>0</v>
      </c>
    </row>
    <row r="178" spans="3:33">
      <c r="C178">
        <v>5360</v>
      </c>
      <c r="D178" t="s">
        <v>537</v>
      </c>
      <c r="E178">
        <v>95720000</v>
      </c>
      <c r="H178" t="s">
        <v>709</v>
      </c>
      <c r="K178" s="3">
        <v>0</v>
      </c>
      <c r="L178" s="26"/>
      <c r="M178" s="3">
        <v>0</v>
      </c>
      <c r="O178" s="3">
        <v>0</v>
      </c>
      <c r="S178" s="3"/>
      <c r="T178" s="3"/>
      <c r="U178" s="3"/>
      <c r="V178" s="3"/>
      <c r="W178" s="3">
        <f t="shared" si="2"/>
        <v>0</v>
      </c>
      <c r="X178" s="44" t="s">
        <v>199</v>
      </c>
      <c r="AA178"/>
      <c r="AC178" s="3">
        <v>0</v>
      </c>
      <c r="AE178">
        <v>0</v>
      </c>
      <c r="AG178">
        <v>0</v>
      </c>
    </row>
    <row r="179" spans="3:33">
      <c r="C179">
        <v>5360</v>
      </c>
      <c r="D179" t="s">
        <v>537</v>
      </c>
      <c r="E179">
        <v>95730000</v>
      </c>
      <c r="H179" t="s">
        <v>710</v>
      </c>
      <c r="K179" s="3">
        <v>0</v>
      </c>
      <c r="L179" s="26"/>
      <c r="M179" s="3">
        <v>0</v>
      </c>
      <c r="O179" s="3">
        <v>0</v>
      </c>
      <c r="S179" s="3"/>
      <c r="T179" s="3"/>
      <c r="U179" s="3"/>
      <c r="V179" s="3"/>
      <c r="W179" s="3">
        <f t="shared" si="2"/>
        <v>0</v>
      </c>
      <c r="X179" s="44" t="s">
        <v>199</v>
      </c>
      <c r="AA179"/>
      <c r="AC179" s="3">
        <v>0</v>
      </c>
      <c r="AE179">
        <v>0</v>
      </c>
      <c r="AG179">
        <v>0</v>
      </c>
    </row>
    <row r="180" spans="3:33">
      <c r="C180">
        <v>5360</v>
      </c>
      <c r="D180" t="s">
        <v>537</v>
      </c>
      <c r="E180">
        <v>95740000</v>
      </c>
      <c r="H180" t="s">
        <v>628</v>
      </c>
      <c r="K180" s="3">
        <v>0</v>
      </c>
      <c r="L180" s="26"/>
      <c r="M180" s="3">
        <v>0</v>
      </c>
      <c r="O180" s="3">
        <v>0</v>
      </c>
      <c r="S180" s="3"/>
      <c r="T180" s="3"/>
      <c r="U180" s="3"/>
      <c r="V180" s="3"/>
      <c r="W180" s="3">
        <f t="shared" si="2"/>
        <v>0</v>
      </c>
      <c r="X180" s="44" t="s">
        <v>199</v>
      </c>
      <c r="AA180"/>
      <c r="AC180" s="3">
        <v>0</v>
      </c>
      <c r="AE180">
        <v>0</v>
      </c>
      <c r="AG180">
        <v>0</v>
      </c>
    </row>
    <row r="181" spans="3:33">
      <c r="C181">
        <v>5360</v>
      </c>
      <c r="D181" t="s">
        <v>537</v>
      </c>
      <c r="E181">
        <v>95750000</v>
      </c>
      <c r="H181" t="s">
        <v>628</v>
      </c>
      <c r="K181" s="3">
        <v>0</v>
      </c>
      <c r="L181" s="26"/>
      <c r="M181" s="3">
        <v>0</v>
      </c>
      <c r="O181" s="3">
        <v>0</v>
      </c>
      <c r="S181" s="3"/>
      <c r="T181" s="3"/>
      <c r="U181" s="3"/>
      <c r="V181" s="3"/>
      <c r="W181" s="3">
        <f t="shared" si="2"/>
        <v>0</v>
      </c>
      <c r="X181" s="44" t="s">
        <v>580</v>
      </c>
      <c r="AA181"/>
      <c r="AC181" s="3">
        <v>0</v>
      </c>
      <c r="AE181">
        <v>0</v>
      </c>
      <c r="AG181">
        <v>0</v>
      </c>
    </row>
    <row r="182" spans="3:33">
      <c r="C182">
        <v>5360</v>
      </c>
      <c r="D182" t="s">
        <v>537</v>
      </c>
      <c r="E182">
        <v>95751000</v>
      </c>
      <c r="H182" t="s">
        <v>711</v>
      </c>
      <c r="K182" s="3">
        <v>0</v>
      </c>
      <c r="L182" s="26"/>
      <c r="M182" s="3">
        <v>0</v>
      </c>
      <c r="O182" s="3">
        <v>0</v>
      </c>
      <c r="S182" s="3"/>
      <c r="T182" s="3"/>
      <c r="U182" s="3"/>
      <c r="V182" s="3"/>
      <c r="W182" s="3">
        <f t="shared" si="2"/>
        <v>0</v>
      </c>
      <c r="X182" s="44" t="s">
        <v>199</v>
      </c>
      <c r="AA182"/>
      <c r="AC182" s="3">
        <v>0</v>
      </c>
      <c r="AE182">
        <v>0</v>
      </c>
      <c r="AG182">
        <v>0</v>
      </c>
    </row>
    <row r="183" spans="3:33">
      <c r="C183">
        <v>5360</v>
      </c>
      <c r="D183" t="s">
        <v>537</v>
      </c>
      <c r="E183">
        <v>95752000</v>
      </c>
      <c r="H183" t="s">
        <v>712</v>
      </c>
      <c r="K183" s="3">
        <v>0</v>
      </c>
      <c r="L183" s="26"/>
      <c r="M183" s="3">
        <v>0</v>
      </c>
      <c r="O183" s="3">
        <v>0</v>
      </c>
      <c r="S183" s="3"/>
      <c r="T183" s="3"/>
      <c r="U183" s="3"/>
      <c r="V183" s="3"/>
      <c r="W183" s="3">
        <f t="shared" si="2"/>
        <v>0</v>
      </c>
      <c r="X183" s="44" t="s">
        <v>199</v>
      </c>
      <c r="AA183"/>
      <c r="AC183" s="3">
        <v>0</v>
      </c>
      <c r="AE183">
        <v>0</v>
      </c>
      <c r="AG183">
        <v>0</v>
      </c>
    </row>
    <row r="184" spans="3:33">
      <c r="C184">
        <v>5360</v>
      </c>
      <c r="D184" t="s">
        <v>537</v>
      </c>
      <c r="E184">
        <v>95753000</v>
      </c>
      <c r="H184" t="s">
        <v>713</v>
      </c>
      <c r="K184" s="3">
        <v>0</v>
      </c>
      <c r="L184" s="26"/>
      <c r="M184" s="3">
        <v>0</v>
      </c>
      <c r="O184" s="3">
        <v>0</v>
      </c>
      <c r="S184" s="3"/>
      <c r="T184" s="3"/>
      <c r="U184" s="3"/>
      <c r="V184" s="3"/>
      <c r="W184" s="3">
        <f t="shared" si="2"/>
        <v>0</v>
      </c>
      <c r="X184" s="44" t="s">
        <v>199</v>
      </c>
      <c r="AA184"/>
      <c r="AC184" s="3">
        <v>0</v>
      </c>
      <c r="AE184">
        <v>0</v>
      </c>
      <c r="AG184">
        <v>0</v>
      </c>
    </row>
    <row r="185" spans="3:33">
      <c r="C185">
        <v>5360</v>
      </c>
      <c r="D185" t="s">
        <v>537</v>
      </c>
      <c r="E185">
        <v>95754000</v>
      </c>
      <c r="H185" t="s">
        <v>714</v>
      </c>
      <c r="K185" s="3">
        <v>0</v>
      </c>
      <c r="L185" s="26"/>
      <c r="M185" s="3">
        <v>0</v>
      </c>
      <c r="O185" s="3">
        <v>0</v>
      </c>
      <c r="S185" s="3"/>
      <c r="T185" s="3"/>
      <c r="U185" s="3"/>
      <c r="V185" s="3"/>
      <c r="W185" s="3">
        <f t="shared" si="2"/>
        <v>0</v>
      </c>
      <c r="X185" s="44" t="s">
        <v>199</v>
      </c>
      <c r="AA185"/>
      <c r="AC185" s="3">
        <v>0</v>
      </c>
      <c r="AE185">
        <v>0</v>
      </c>
      <c r="AG185">
        <v>0</v>
      </c>
    </row>
    <row r="186" spans="3:33">
      <c r="C186">
        <v>5360</v>
      </c>
      <c r="D186" t="s">
        <v>537</v>
      </c>
      <c r="E186">
        <v>95755000</v>
      </c>
      <c r="H186" t="s">
        <v>715</v>
      </c>
      <c r="K186" s="3">
        <v>0</v>
      </c>
      <c r="L186" s="26"/>
      <c r="M186" s="3">
        <v>0</v>
      </c>
      <c r="O186" s="3">
        <v>0</v>
      </c>
      <c r="S186" s="3"/>
      <c r="T186" s="3"/>
      <c r="U186" s="3"/>
      <c r="V186" s="3"/>
      <c r="W186" s="3">
        <f t="shared" si="2"/>
        <v>0</v>
      </c>
      <c r="X186" s="44" t="s">
        <v>199</v>
      </c>
      <c r="AA186"/>
      <c r="AC186" s="3">
        <v>0</v>
      </c>
      <c r="AE186">
        <v>0</v>
      </c>
      <c r="AG186">
        <v>0</v>
      </c>
    </row>
    <row r="187" spans="3:33">
      <c r="C187">
        <v>5360</v>
      </c>
      <c r="D187" t="s">
        <v>537</v>
      </c>
      <c r="E187">
        <v>95756000</v>
      </c>
      <c r="H187" t="s">
        <v>716</v>
      </c>
      <c r="K187" s="3">
        <v>0</v>
      </c>
      <c r="L187" s="26"/>
      <c r="M187" s="3">
        <v>0</v>
      </c>
      <c r="O187" s="3">
        <v>0</v>
      </c>
      <c r="S187" s="3"/>
      <c r="T187" s="3"/>
      <c r="U187" s="3"/>
      <c r="V187" s="3"/>
      <c r="W187" s="3">
        <f t="shared" si="2"/>
        <v>0</v>
      </c>
      <c r="X187" s="44" t="s">
        <v>199</v>
      </c>
      <c r="AA187"/>
      <c r="AC187" s="3">
        <v>0</v>
      </c>
      <c r="AE187">
        <v>0</v>
      </c>
      <c r="AG187">
        <v>0</v>
      </c>
    </row>
    <row r="188" spans="3:33">
      <c r="C188">
        <v>5360</v>
      </c>
      <c r="D188" t="s">
        <v>537</v>
      </c>
      <c r="E188">
        <v>95758000</v>
      </c>
      <c r="H188" t="s">
        <v>698</v>
      </c>
      <c r="K188" s="3">
        <v>0</v>
      </c>
      <c r="L188" s="26"/>
      <c r="M188" s="3">
        <v>0</v>
      </c>
      <c r="O188" s="3">
        <v>0</v>
      </c>
      <c r="S188" s="3"/>
      <c r="T188" s="3"/>
      <c r="U188" s="3"/>
      <c r="V188" s="3"/>
      <c r="W188" s="3">
        <f t="shared" si="2"/>
        <v>0</v>
      </c>
      <c r="X188" s="44" t="s">
        <v>199</v>
      </c>
      <c r="AA188"/>
      <c r="AC188" s="3">
        <v>0</v>
      </c>
      <c r="AE188">
        <v>0</v>
      </c>
      <c r="AG188">
        <v>0</v>
      </c>
    </row>
    <row r="189" spans="3:33">
      <c r="C189">
        <v>5360</v>
      </c>
      <c r="D189" t="s">
        <v>537</v>
      </c>
      <c r="E189">
        <v>95761000</v>
      </c>
      <c r="H189" t="s">
        <v>717</v>
      </c>
      <c r="K189" s="3">
        <v>0</v>
      </c>
      <c r="L189" s="26"/>
      <c r="M189" s="3">
        <v>0</v>
      </c>
      <c r="O189" s="3">
        <v>0</v>
      </c>
      <c r="S189" s="3"/>
      <c r="T189" s="3"/>
      <c r="U189" s="3"/>
      <c r="V189" s="3"/>
      <c r="W189" s="3">
        <f t="shared" si="2"/>
        <v>0</v>
      </c>
      <c r="X189" s="44" t="s">
        <v>199</v>
      </c>
      <c r="AA189"/>
      <c r="AC189" s="3">
        <v>0</v>
      </c>
      <c r="AE189">
        <v>0</v>
      </c>
      <c r="AG189">
        <v>0</v>
      </c>
    </row>
    <row r="190" spans="3:33">
      <c r="C190">
        <v>5360</v>
      </c>
      <c r="D190" t="s">
        <v>537</v>
      </c>
      <c r="E190">
        <v>95762000</v>
      </c>
      <c r="H190" t="s">
        <v>703</v>
      </c>
      <c r="K190" s="3">
        <v>0</v>
      </c>
      <c r="L190" s="26"/>
      <c r="M190" s="3">
        <v>0</v>
      </c>
      <c r="O190" s="3">
        <v>0</v>
      </c>
      <c r="S190" s="3"/>
      <c r="T190" s="3"/>
      <c r="U190" s="3"/>
      <c r="V190" s="3"/>
      <c r="W190" s="3">
        <f t="shared" si="2"/>
        <v>0</v>
      </c>
      <c r="X190" s="44" t="s">
        <v>199</v>
      </c>
      <c r="AA190"/>
      <c r="AC190" s="3">
        <v>0</v>
      </c>
      <c r="AE190">
        <v>0</v>
      </c>
      <c r="AG190">
        <v>0</v>
      </c>
    </row>
    <row r="191" spans="3:33">
      <c r="C191">
        <v>5360</v>
      </c>
      <c r="D191" t="s">
        <v>537</v>
      </c>
      <c r="E191">
        <v>95763000</v>
      </c>
      <c r="H191" t="s">
        <v>704</v>
      </c>
      <c r="K191" s="3">
        <v>0</v>
      </c>
      <c r="L191" s="26"/>
      <c r="M191" s="3">
        <v>0</v>
      </c>
      <c r="O191" s="3">
        <v>0</v>
      </c>
      <c r="S191" s="3"/>
      <c r="T191" s="3"/>
      <c r="U191" s="3"/>
      <c r="V191" s="3"/>
      <c r="W191" s="3">
        <f t="shared" si="2"/>
        <v>0</v>
      </c>
      <c r="X191" s="44" t="s">
        <v>199</v>
      </c>
      <c r="AA191"/>
      <c r="AC191" s="3">
        <v>0</v>
      </c>
      <c r="AE191">
        <v>0</v>
      </c>
      <c r="AG191">
        <v>0</v>
      </c>
    </row>
    <row r="192" spans="3:33">
      <c r="C192">
        <v>5360</v>
      </c>
      <c r="D192" t="s">
        <v>537</v>
      </c>
      <c r="E192">
        <v>95764000</v>
      </c>
      <c r="H192" t="s">
        <v>705</v>
      </c>
      <c r="K192" s="3">
        <v>0</v>
      </c>
      <c r="L192" s="26"/>
      <c r="M192" s="3">
        <v>0</v>
      </c>
      <c r="O192" s="3">
        <v>0</v>
      </c>
      <c r="S192" s="3"/>
      <c r="T192" s="3"/>
      <c r="U192" s="3"/>
      <c r="V192" s="3"/>
      <c r="W192" s="3">
        <f t="shared" si="2"/>
        <v>0</v>
      </c>
      <c r="X192" s="44" t="s">
        <v>199</v>
      </c>
      <c r="AA192"/>
      <c r="AC192" s="3">
        <v>0</v>
      </c>
      <c r="AE192">
        <v>0</v>
      </c>
      <c r="AG192">
        <v>0</v>
      </c>
    </row>
    <row r="193" spans="3:36">
      <c r="C193">
        <v>5360</v>
      </c>
      <c r="D193" t="s">
        <v>537</v>
      </c>
      <c r="E193">
        <v>95765000</v>
      </c>
      <c r="H193" t="s">
        <v>718</v>
      </c>
      <c r="K193" s="3">
        <v>0</v>
      </c>
      <c r="L193" s="26"/>
      <c r="M193" s="3">
        <v>0</v>
      </c>
      <c r="O193" s="3">
        <v>0</v>
      </c>
      <c r="S193" s="3"/>
      <c r="T193" s="3"/>
      <c r="U193" s="3"/>
      <c r="V193" s="3"/>
      <c r="W193" s="3">
        <f t="shared" si="2"/>
        <v>0</v>
      </c>
      <c r="X193" s="44" t="s">
        <v>199</v>
      </c>
      <c r="AA193"/>
      <c r="AC193" s="3">
        <v>0</v>
      </c>
      <c r="AE193">
        <v>0</v>
      </c>
      <c r="AG193">
        <v>0</v>
      </c>
    </row>
    <row r="194" spans="3:36">
      <c r="E194" t="s">
        <v>719</v>
      </c>
      <c r="K194" s="3">
        <v>0</v>
      </c>
      <c r="L194" s="26"/>
      <c r="M194" s="3">
        <v>0</v>
      </c>
      <c r="O194" s="3">
        <v>0</v>
      </c>
      <c r="R194" t="s">
        <v>650</v>
      </c>
      <c r="S194" s="3">
        <f>SUM(S170:S193)</f>
        <v>0</v>
      </c>
      <c r="T194" s="3">
        <f>SUM(T170:T193)</f>
        <v>0</v>
      </c>
      <c r="U194" s="3">
        <f>SUM(U170:U193)</f>
        <v>0</v>
      </c>
      <c r="V194" s="3">
        <f>SUM(V170:V193)</f>
        <v>0</v>
      </c>
      <c r="W194" s="3">
        <f t="shared" si="2"/>
        <v>0</v>
      </c>
      <c r="X194" s="44"/>
      <c r="AA194"/>
      <c r="AC194" s="3">
        <v>0</v>
      </c>
      <c r="AE194">
        <v>0</v>
      </c>
      <c r="AG194">
        <v>0</v>
      </c>
    </row>
    <row r="195" spans="3:36">
      <c r="E195" t="s">
        <v>720</v>
      </c>
      <c r="K195" s="3">
        <v>1285.1300000000001</v>
      </c>
      <c r="L195" s="26"/>
      <c r="M195" s="3">
        <v>589.46</v>
      </c>
      <c r="O195" s="3">
        <v>-695.67</v>
      </c>
      <c r="Q195">
        <v>-54.1</v>
      </c>
      <c r="R195" t="s">
        <v>658</v>
      </c>
      <c r="S195" s="3">
        <f>S194+S169</f>
        <v>-1285.1299999999999</v>
      </c>
      <c r="T195" s="3">
        <f>T194+T169</f>
        <v>0</v>
      </c>
      <c r="U195" s="3">
        <f>U194+U169</f>
        <v>0</v>
      </c>
      <c r="V195" s="3">
        <f>V194+V169</f>
        <v>0</v>
      </c>
      <c r="W195" s="3">
        <f t="shared" si="2"/>
        <v>2.2737367544323206E-13</v>
      </c>
      <c r="X195" s="44"/>
      <c r="AA195"/>
      <c r="AC195" s="3">
        <v>589.46</v>
      </c>
      <c r="AE195">
        <v>589.46</v>
      </c>
      <c r="AG195" s="31">
        <v>1285.1300000000001</v>
      </c>
    </row>
    <row r="196" spans="3:36">
      <c r="C196">
        <v>5360</v>
      </c>
      <c r="D196" t="s">
        <v>537</v>
      </c>
      <c r="E196">
        <v>95800000</v>
      </c>
      <c r="H196" t="s">
        <v>721</v>
      </c>
      <c r="K196" s="3">
        <v>0</v>
      </c>
      <c r="L196" s="26"/>
      <c r="M196" s="3">
        <v>0</v>
      </c>
      <c r="O196" s="3">
        <v>0</v>
      </c>
      <c r="S196" s="3"/>
      <c r="T196" s="3"/>
      <c r="U196" s="3"/>
      <c r="V196" s="3"/>
      <c r="W196" s="3">
        <f t="shared" si="2"/>
        <v>0</v>
      </c>
      <c r="X196" s="44" t="s">
        <v>200</v>
      </c>
      <c r="AA196"/>
      <c r="AC196" s="3">
        <v>0</v>
      </c>
      <c r="AE196">
        <v>0</v>
      </c>
      <c r="AG196">
        <v>0</v>
      </c>
    </row>
    <row r="197" spans="3:36">
      <c r="C197">
        <v>5360</v>
      </c>
      <c r="D197" t="s">
        <v>537</v>
      </c>
      <c r="E197">
        <v>95810000</v>
      </c>
      <c r="H197" t="s">
        <v>722</v>
      </c>
      <c r="K197" s="3">
        <v>0</v>
      </c>
      <c r="L197" s="26"/>
      <c r="M197" s="3">
        <v>0</v>
      </c>
      <c r="O197" s="3">
        <v>0</v>
      </c>
      <c r="S197" s="3"/>
      <c r="T197" s="3"/>
      <c r="U197" s="3"/>
      <c r="V197" s="3"/>
      <c r="W197" s="3">
        <f t="shared" si="2"/>
        <v>0</v>
      </c>
      <c r="X197" s="44" t="s">
        <v>200</v>
      </c>
      <c r="AA197"/>
      <c r="AC197" s="3">
        <v>0</v>
      </c>
      <c r="AE197">
        <v>0</v>
      </c>
      <c r="AG197">
        <v>0</v>
      </c>
    </row>
    <row r="198" spans="3:36">
      <c r="C198">
        <v>5360</v>
      </c>
      <c r="D198" t="s">
        <v>537</v>
      </c>
      <c r="E198">
        <v>95811000</v>
      </c>
      <c r="H198" t="s">
        <v>628</v>
      </c>
      <c r="K198" s="3">
        <v>0</v>
      </c>
      <c r="L198" s="26"/>
      <c r="M198" s="3">
        <v>0</v>
      </c>
      <c r="O198" s="3">
        <v>0</v>
      </c>
      <c r="S198" s="3"/>
      <c r="T198" s="3"/>
      <c r="U198" s="3"/>
      <c r="V198" s="3"/>
      <c r="W198" s="3">
        <f t="shared" si="2"/>
        <v>0</v>
      </c>
      <c r="X198" s="44" t="s">
        <v>200</v>
      </c>
      <c r="AA198"/>
      <c r="AC198" s="3">
        <v>0</v>
      </c>
      <c r="AE198">
        <v>0</v>
      </c>
      <c r="AG198">
        <v>0</v>
      </c>
    </row>
    <row r="199" spans="3:36">
      <c r="C199">
        <v>5360</v>
      </c>
      <c r="D199" t="s">
        <v>537</v>
      </c>
      <c r="E199">
        <v>95820000</v>
      </c>
      <c r="H199" t="s">
        <v>723</v>
      </c>
      <c r="K199" s="3">
        <v>0</v>
      </c>
      <c r="L199" s="26"/>
      <c r="M199" s="3">
        <v>0</v>
      </c>
      <c r="O199" s="3">
        <v>0</v>
      </c>
      <c r="S199" s="3"/>
      <c r="T199" s="3"/>
      <c r="U199" s="3"/>
      <c r="V199" s="3"/>
      <c r="W199" s="3">
        <f t="shared" si="2"/>
        <v>0</v>
      </c>
      <c r="X199" s="44" t="s">
        <v>200</v>
      </c>
      <c r="AA199"/>
      <c r="AC199" s="3">
        <v>0</v>
      </c>
      <c r="AE199">
        <v>0</v>
      </c>
      <c r="AG199">
        <v>0</v>
      </c>
    </row>
    <row r="200" spans="3:36">
      <c r="C200">
        <v>5360</v>
      </c>
      <c r="D200" t="s">
        <v>537</v>
      </c>
      <c r="E200">
        <v>95830000</v>
      </c>
      <c r="H200" t="s">
        <v>724</v>
      </c>
      <c r="K200" s="3">
        <v>0</v>
      </c>
      <c r="L200" s="26"/>
      <c r="M200" s="3">
        <v>0</v>
      </c>
      <c r="O200" s="3">
        <v>0</v>
      </c>
      <c r="S200" s="3"/>
      <c r="T200" s="3"/>
      <c r="U200" s="3"/>
      <c r="V200" s="3"/>
      <c r="W200" s="3">
        <f t="shared" si="2"/>
        <v>0</v>
      </c>
      <c r="X200" s="44" t="s">
        <v>200</v>
      </c>
      <c r="AA200"/>
      <c r="AC200" s="3">
        <v>0</v>
      </c>
      <c r="AE200">
        <v>0</v>
      </c>
      <c r="AG200">
        <v>0</v>
      </c>
    </row>
    <row r="201" spans="3:36">
      <c r="C201">
        <v>5360</v>
      </c>
      <c r="D201" t="s">
        <v>537</v>
      </c>
      <c r="E201">
        <v>95840000</v>
      </c>
      <c r="H201" t="s">
        <v>725</v>
      </c>
      <c r="K201" s="3">
        <v>0</v>
      </c>
      <c r="L201" s="26"/>
      <c r="M201" s="3">
        <v>0</v>
      </c>
      <c r="O201" s="3">
        <v>0</v>
      </c>
      <c r="S201" s="3"/>
      <c r="T201" s="3"/>
      <c r="U201" s="3"/>
      <c r="V201" s="3"/>
      <c r="W201" s="3">
        <f t="shared" ref="W201:W264" si="3">SUM(K201,S201:V201)</f>
        <v>0</v>
      </c>
      <c r="X201" s="44" t="s">
        <v>200</v>
      </c>
      <c r="AA201"/>
      <c r="AC201" s="3">
        <v>0</v>
      </c>
      <c r="AE201">
        <v>0</v>
      </c>
      <c r="AG201">
        <v>0</v>
      </c>
    </row>
    <row r="202" spans="3:36">
      <c r="C202">
        <v>5360</v>
      </c>
      <c r="D202" t="s">
        <v>537</v>
      </c>
      <c r="E202">
        <v>95850000</v>
      </c>
      <c r="H202" t="s">
        <v>726</v>
      </c>
      <c r="K202" s="3">
        <v>0</v>
      </c>
      <c r="L202" s="26"/>
      <c r="M202" s="3">
        <v>0</v>
      </c>
      <c r="O202" s="3">
        <v>0</v>
      </c>
      <c r="S202" s="3"/>
      <c r="T202" s="3"/>
      <c r="U202" s="3"/>
      <c r="V202" s="3"/>
      <c r="W202" s="3">
        <f t="shared" si="3"/>
        <v>0</v>
      </c>
      <c r="X202" s="44" t="s">
        <v>200</v>
      </c>
      <c r="AA202"/>
      <c r="AC202" s="3">
        <v>0</v>
      </c>
      <c r="AE202">
        <v>0</v>
      </c>
      <c r="AG202">
        <v>0</v>
      </c>
    </row>
    <row r="203" spans="3:36">
      <c r="C203">
        <v>5360</v>
      </c>
      <c r="E203">
        <v>95860000</v>
      </c>
      <c r="H203" t="s">
        <v>727</v>
      </c>
      <c r="K203" s="3">
        <v>492.87</v>
      </c>
      <c r="L203" s="26"/>
      <c r="M203" s="3">
        <v>309.38</v>
      </c>
      <c r="O203" s="3">
        <v>-183.49</v>
      </c>
      <c r="Q203">
        <v>-37.200000000000003</v>
      </c>
      <c r="S203" s="3">
        <v>-492.87</v>
      </c>
      <c r="T203" s="3"/>
      <c r="U203" s="3"/>
      <c r="V203" s="3"/>
      <c r="W203" s="3">
        <f t="shared" si="3"/>
        <v>0</v>
      </c>
      <c r="X203" s="44" t="s">
        <v>200</v>
      </c>
      <c r="AA203"/>
      <c r="AC203" s="3">
        <v>309.38</v>
      </c>
      <c r="AE203">
        <v>309.38</v>
      </c>
      <c r="AG203">
        <v>492.87</v>
      </c>
    </row>
    <row r="204" spans="3:36">
      <c r="C204">
        <v>5360</v>
      </c>
      <c r="D204" t="s">
        <v>537</v>
      </c>
      <c r="E204">
        <v>95870000</v>
      </c>
      <c r="H204" t="s">
        <v>728</v>
      </c>
      <c r="K204" s="3">
        <v>0</v>
      </c>
      <c r="L204" s="26"/>
      <c r="M204" s="3">
        <v>0</v>
      </c>
      <c r="O204" s="3">
        <v>0</v>
      </c>
      <c r="S204" s="3"/>
      <c r="T204" s="3"/>
      <c r="U204" s="3"/>
      <c r="V204" s="3"/>
      <c r="W204" s="3">
        <f t="shared" si="3"/>
        <v>0</v>
      </c>
      <c r="X204" s="44" t="s">
        <v>200</v>
      </c>
      <c r="AA204"/>
      <c r="AC204" s="3">
        <v>0</v>
      </c>
      <c r="AE204">
        <v>0</v>
      </c>
      <c r="AG204">
        <v>0</v>
      </c>
    </row>
    <row r="205" spans="3:36">
      <c r="C205">
        <v>5360</v>
      </c>
      <c r="E205">
        <v>95880000</v>
      </c>
      <c r="H205" t="s">
        <v>729</v>
      </c>
      <c r="K205" s="3">
        <v>459.81</v>
      </c>
      <c r="M205" s="3">
        <v>614.34</v>
      </c>
      <c r="O205" s="3">
        <v>154.53</v>
      </c>
      <c r="Q205">
        <v>33.6</v>
      </c>
      <c r="S205" s="3">
        <v>-459.81</v>
      </c>
      <c r="T205" s="3"/>
      <c r="U205" s="3"/>
      <c r="V205" s="3"/>
      <c r="W205" s="3">
        <f t="shared" si="3"/>
        <v>0</v>
      </c>
      <c r="X205" s="44" t="s">
        <v>200</v>
      </c>
      <c r="AA205"/>
      <c r="AC205" s="3">
        <v>614.34</v>
      </c>
      <c r="AE205">
        <v>614.34</v>
      </c>
      <c r="AG205">
        <v>459.81</v>
      </c>
      <c r="AJ205" s="31"/>
    </row>
    <row r="206" spans="3:36">
      <c r="C206">
        <v>5360</v>
      </c>
      <c r="D206" t="s">
        <v>537</v>
      </c>
      <c r="E206">
        <v>95890000</v>
      </c>
      <c r="H206" t="s">
        <v>730</v>
      </c>
      <c r="K206" s="3">
        <v>0</v>
      </c>
      <c r="M206" s="3">
        <v>0</v>
      </c>
      <c r="O206" s="3">
        <v>0</v>
      </c>
      <c r="S206" s="3"/>
      <c r="T206" s="3"/>
      <c r="U206" s="3"/>
      <c r="V206" s="3"/>
      <c r="W206" s="3">
        <f t="shared" si="3"/>
        <v>0</v>
      </c>
      <c r="X206" s="44" t="s">
        <v>200</v>
      </c>
      <c r="AA206"/>
      <c r="AC206" s="3">
        <v>0</v>
      </c>
      <c r="AE206">
        <v>0</v>
      </c>
      <c r="AG206">
        <v>0</v>
      </c>
    </row>
    <row r="207" spans="3:36">
      <c r="E207" t="s">
        <v>731</v>
      </c>
      <c r="K207" s="3">
        <v>952.68</v>
      </c>
      <c r="M207" s="3">
        <v>923.72</v>
      </c>
      <c r="O207" s="3">
        <v>-28.96</v>
      </c>
      <c r="Q207">
        <v>-3</v>
      </c>
      <c r="R207" t="s">
        <v>650</v>
      </c>
      <c r="S207" s="3">
        <f>SUM(S196:S206)</f>
        <v>-952.68000000000006</v>
      </c>
      <c r="T207" s="3">
        <f>SUM(T196:T206)</f>
        <v>0</v>
      </c>
      <c r="U207" s="3">
        <f>SUM(U196:U206)</f>
        <v>0</v>
      </c>
      <c r="V207" s="3">
        <f>SUM(V196:V206)</f>
        <v>0</v>
      </c>
      <c r="W207" s="3">
        <f t="shared" si="3"/>
        <v>-1.1368683772161603E-13</v>
      </c>
      <c r="X207" s="44"/>
      <c r="AA207"/>
      <c r="AC207" s="3">
        <v>923.72</v>
      </c>
      <c r="AE207">
        <v>923.72</v>
      </c>
      <c r="AG207">
        <v>952.68</v>
      </c>
      <c r="AJ207" s="31"/>
    </row>
    <row r="208" spans="3:36">
      <c r="C208">
        <v>5360</v>
      </c>
      <c r="D208" t="s">
        <v>537</v>
      </c>
      <c r="E208">
        <v>95900000</v>
      </c>
      <c r="H208" t="s">
        <v>732</v>
      </c>
      <c r="K208" s="3">
        <v>0</v>
      </c>
      <c r="M208" s="3">
        <v>0</v>
      </c>
      <c r="O208" s="3">
        <v>0</v>
      </c>
      <c r="S208" s="3"/>
      <c r="T208" s="3"/>
      <c r="U208" s="3"/>
      <c r="V208" s="3"/>
      <c r="W208" s="3">
        <f t="shared" si="3"/>
        <v>0</v>
      </c>
      <c r="X208" s="44" t="s">
        <v>200</v>
      </c>
      <c r="AA208"/>
      <c r="AC208" s="3">
        <v>0</v>
      </c>
      <c r="AE208">
        <v>0</v>
      </c>
      <c r="AG208">
        <v>0</v>
      </c>
    </row>
    <row r="209" spans="3:36">
      <c r="C209">
        <v>5360</v>
      </c>
      <c r="D209" t="s">
        <v>537</v>
      </c>
      <c r="E209">
        <v>95910000</v>
      </c>
      <c r="H209" t="s">
        <v>733</v>
      </c>
      <c r="K209" s="3">
        <v>0</v>
      </c>
      <c r="M209" s="3">
        <v>0</v>
      </c>
      <c r="O209" s="3">
        <v>0</v>
      </c>
      <c r="S209" s="3"/>
      <c r="T209" s="3"/>
      <c r="U209" s="3"/>
      <c r="V209" s="3"/>
      <c r="W209" s="3">
        <f t="shared" si="3"/>
        <v>0</v>
      </c>
      <c r="X209" s="44" t="s">
        <v>200</v>
      </c>
      <c r="AA209"/>
      <c r="AC209" s="3">
        <v>0</v>
      </c>
      <c r="AE209">
        <v>0</v>
      </c>
      <c r="AG209">
        <v>0</v>
      </c>
    </row>
    <row r="210" spans="3:36">
      <c r="C210">
        <v>5360</v>
      </c>
      <c r="D210" t="s">
        <v>537</v>
      </c>
      <c r="E210">
        <v>95920000</v>
      </c>
      <c r="H210" t="s">
        <v>734</v>
      </c>
      <c r="K210" s="3">
        <v>0</v>
      </c>
      <c r="M210" s="3">
        <v>0</v>
      </c>
      <c r="O210" s="3">
        <v>0</v>
      </c>
      <c r="S210" s="3"/>
      <c r="T210" s="3"/>
      <c r="U210" s="3"/>
      <c r="V210" s="3"/>
      <c r="W210" s="3">
        <f t="shared" si="3"/>
        <v>0</v>
      </c>
      <c r="X210" s="44" t="s">
        <v>200</v>
      </c>
      <c r="AA210"/>
      <c r="AC210" s="3">
        <v>0</v>
      </c>
      <c r="AE210">
        <v>0</v>
      </c>
      <c r="AG210">
        <v>0</v>
      </c>
    </row>
    <row r="211" spans="3:36">
      <c r="C211">
        <v>5360</v>
      </c>
      <c r="D211" t="s">
        <v>537</v>
      </c>
      <c r="E211">
        <v>95921000</v>
      </c>
      <c r="H211" t="s">
        <v>628</v>
      </c>
      <c r="K211" s="3">
        <v>0</v>
      </c>
      <c r="M211" s="3">
        <v>0</v>
      </c>
      <c r="O211" s="3">
        <v>0</v>
      </c>
      <c r="S211" s="3"/>
      <c r="T211" s="3"/>
      <c r="U211" s="3"/>
      <c r="V211" s="3"/>
      <c r="W211" s="3">
        <f t="shared" si="3"/>
        <v>0</v>
      </c>
      <c r="X211" s="44" t="s">
        <v>200</v>
      </c>
      <c r="AA211"/>
      <c r="AC211" s="3">
        <v>0</v>
      </c>
      <c r="AE211">
        <v>0</v>
      </c>
      <c r="AG211">
        <v>0</v>
      </c>
    </row>
    <row r="212" spans="3:36">
      <c r="C212">
        <v>5360</v>
      </c>
      <c r="D212" t="s">
        <v>537</v>
      </c>
      <c r="E212">
        <v>95930000</v>
      </c>
      <c r="H212" t="s">
        <v>735</v>
      </c>
      <c r="K212" s="3">
        <v>0</v>
      </c>
      <c r="M212" s="3">
        <v>0</v>
      </c>
      <c r="O212" s="3">
        <v>0</v>
      </c>
      <c r="S212" s="3"/>
      <c r="T212" s="3"/>
      <c r="U212" s="3"/>
      <c r="V212" s="3"/>
      <c r="W212" s="3">
        <f t="shared" si="3"/>
        <v>0</v>
      </c>
      <c r="X212" s="44" t="s">
        <v>200</v>
      </c>
      <c r="AA212"/>
      <c r="AC212" s="3">
        <v>0</v>
      </c>
      <c r="AE212">
        <v>0</v>
      </c>
      <c r="AG212">
        <v>0</v>
      </c>
    </row>
    <row r="213" spans="3:36">
      <c r="C213">
        <v>5360</v>
      </c>
      <c r="D213" t="s">
        <v>537</v>
      </c>
      <c r="E213">
        <v>95940000</v>
      </c>
      <c r="H213" t="s">
        <v>736</v>
      </c>
      <c r="K213" s="3">
        <v>0</v>
      </c>
      <c r="M213" s="3">
        <v>0</v>
      </c>
      <c r="O213" s="3">
        <v>0</v>
      </c>
      <c r="S213" s="3"/>
      <c r="T213" s="3"/>
      <c r="U213" s="3"/>
      <c r="V213" s="3"/>
      <c r="W213" s="3">
        <f t="shared" si="3"/>
        <v>0</v>
      </c>
      <c r="X213" s="44" t="s">
        <v>200</v>
      </c>
      <c r="AA213"/>
      <c r="AC213" s="3">
        <v>0</v>
      </c>
      <c r="AE213">
        <v>0</v>
      </c>
      <c r="AG213">
        <v>0</v>
      </c>
    </row>
    <row r="214" spans="3:36">
      <c r="C214">
        <v>5360</v>
      </c>
      <c r="D214" t="s">
        <v>537</v>
      </c>
      <c r="E214">
        <v>95941000</v>
      </c>
      <c r="H214" t="s">
        <v>628</v>
      </c>
      <c r="K214" s="3">
        <v>0</v>
      </c>
      <c r="M214" s="3">
        <v>0</v>
      </c>
      <c r="O214" s="3">
        <v>0</v>
      </c>
      <c r="S214" s="3"/>
      <c r="T214" s="3"/>
      <c r="U214" s="3"/>
      <c r="V214" s="3"/>
      <c r="W214" s="3">
        <f t="shared" si="3"/>
        <v>0</v>
      </c>
      <c r="X214" s="44" t="s">
        <v>200</v>
      </c>
      <c r="AA214"/>
      <c r="AC214" s="3">
        <v>0</v>
      </c>
      <c r="AE214">
        <v>0</v>
      </c>
      <c r="AG214">
        <v>0</v>
      </c>
    </row>
    <row r="215" spans="3:36">
      <c r="C215">
        <v>5360</v>
      </c>
      <c r="D215" t="s">
        <v>537</v>
      </c>
      <c r="E215">
        <v>95950000</v>
      </c>
      <c r="H215" t="s">
        <v>737</v>
      </c>
      <c r="K215" s="3">
        <v>0</v>
      </c>
      <c r="M215" s="3">
        <v>0</v>
      </c>
      <c r="O215" s="3">
        <v>0</v>
      </c>
      <c r="S215" s="3"/>
      <c r="T215" s="3"/>
      <c r="U215" s="3"/>
      <c r="V215" s="3"/>
      <c r="W215" s="3">
        <f t="shared" si="3"/>
        <v>0</v>
      </c>
      <c r="X215" s="44" t="s">
        <v>200</v>
      </c>
      <c r="AA215"/>
      <c r="AC215" s="3">
        <v>0</v>
      </c>
      <c r="AE215">
        <v>0</v>
      </c>
      <c r="AG215">
        <v>0</v>
      </c>
      <c r="AJ215" s="31"/>
    </row>
    <row r="216" spans="3:36">
      <c r="C216">
        <v>5360</v>
      </c>
      <c r="D216" t="s">
        <v>537</v>
      </c>
      <c r="E216">
        <v>95960000</v>
      </c>
      <c r="H216" t="s">
        <v>738</v>
      </c>
      <c r="K216" s="3">
        <v>0</v>
      </c>
      <c r="M216" s="3">
        <v>0</v>
      </c>
      <c r="O216" s="3">
        <v>0</v>
      </c>
      <c r="S216" s="3"/>
      <c r="T216" s="3"/>
      <c r="U216" s="3"/>
      <c r="V216" s="3"/>
      <c r="W216" s="3">
        <f t="shared" si="3"/>
        <v>0</v>
      </c>
      <c r="X216" s="44" t="s">
        <v>200</v>
      </c>
      <c r="AA216"/>
      <c r="AC216" s="3">
        <v>0</v>
      </c>
      <c r="AE216">
        <v>0</v>
      </c>
      <c r="AG216">
        <v>0</v>
      </c>
    </row>
    <row r="217" spans="3:36">
      <c r="C217">
        <v>5360</v>
      </c>
      <c r="D217" t="s">
        <v>537</v>
      </c>
      <c r="E217">
        <v>95970000</v>
      </c>
      <c r="H217" t="s">
        <v>739</v>
      </c>
      <c r="K217" s="3">
        <v>0</v>
      </c>
      <c r="M217" s="3">
        <v>0</v>
      </c>
      <c r="O217" s="3">
        <v>0</v>
      </c>
      <c r="S217" s="3"/>
      <c r="T217" s="3"/>
      <c r="U217" s="3"/>
      <c r="V217" s="3"/>
      <c r="W217" s="3">
        <f t="shared" si="3"/>
        <v>0</v>
      </c>
      <c r="X217" s="44" t="s">
        <v>200</v>
      </c>
      <c r="AA217"/>
      <c r="AC217" s="3">
        <v>0</v>
      </c>
      <c r="AE217">
        <v>0</v>
      </c>
      <c r="AG217">
        <v>0</v>
      </c>
    </row>
    <row r="218" spans="3:36">
      <c r="C218">
        <v>5360</v>
      </c>
      <c r="D218" t="s">
        <v>537</v>
      </c>
      <c r="E218">
        <v>95980000</v>
      </c>
      <c r="H218" t="s">
        <v>740</v>
      </c>
      <c r="K218" s="3">
        <v>0</v>
      </c>
      <c r="M218" s="3">
        <v>0</v>
      </c>
      <c r="O218" s="3">
        <v>0</v>
      </c>
      <c r="S218" s="3"/>
      <c r="T218" s="3"/>
      <c r="U218" s="3"/>
      <c r="V218" s="3"/>
      <c r="W218" s="3">
        <f t="shared" si="3"/>
        <v>0</v>
      </c>
      <c r="X218" s="44" t="s">
        <v>200</v>
      </c>
      <c r="AA218"/>
      <c r="AC218" s="3">
        <v>0</v>
      </c>
      <c r="AE218">
        <v>0</v>
      </c>
      <c r="AG218">
        <v>0</v>
      </c>
    </row>
    <row r="219" spans="3:36">
      <c r="E219" t="s">
        <v>741</v>
      </c>
      <c r="K219" s="3">
        <v>0</v>
      </c>
      <c r="M219" s="3">
        <v>0</v>
      </c>
      <c r="O219" s="3">
        <v>0</v>
      </c>
      <c r="R219" t="s">
        <v>650</v>
      </c>
      <c r="S219" s="3">
        <f>SUM(S208:S218)</f>
        <v>0</v>
      </c>
      <c r="T219" s="3">
        <f>SUM(T208:T218)</f>
        <v>0</v>
      </c>
      <c r="U219" s="3">
        <f>SUM(U208:U218)</f>
        <v>0</v>
      </c>
      <c r="V219" s="3">
        <f>SUM(V208:V218)</f>
        <v>0</v>
      </c>
      <c r="W219" s="3">
        <f t="shared" si="3"/>
        <v>0</v>
      </c>
      <c r="X219" s="44"/>
      <c r="AA219"/>
      <c r="AC219" s="3">
        <v>0</v>
      </c>
      <c r="AE219">
        <v>0</v>
      </c>
      <c r="AG219">
        <v>0</v>
      </c>
      <c r="AJ219" s="31"/>
    </row>
    <row r="220" spans="3:36">
      <c r="E220" t="s">
        <v>742</v>
      </c>
      <c r="K220" s="3">
        <v>952.68</v>
      </c>
      <c r="M220" s="3">
        <v>923.72</v>
      </c>
      <c r="O220" s="3">
        <v>-28.96</v>
      </c>
      <c r="Q220">
        <v>-3</v>
      </c>
      <c r="R220" t="s">
        <v>658</v>
      </c>
      <c r="S220" s="3">
        <f>S207+S219</f>
        <v>-952.68000000000006</v>
      </c>
      <c r="T220" s="3">
        <f>T207+T219</f>
        <v>0</v>
      </c>
      <c r="U220" s="3">
        <f>U207+U219</f>
        <v>0</v>
      </c>
      <c r="V220" s="3">
        <f>V207+V219</f>
        <v>0</v>
      </c>
      <c r="W220" s="3">
        <f t="shared" si="3"/>
        <v>-1.1368683772161603E-13</v>
      </c>
      <c r="X220" s="44"/>
      <c r="AA220"/>
      <c r="AC220" s="3">
        <v>923.72</v>
      </c>
      <c r="AE220">
        <v>923.72</v>
      </c>
      <c r="AG220">
        <v>952.68</v>
      </c>
      <c r="AJ220" s="31"/>
    </row>
    <row r="221" spans="3:36">
      <c r="C221">
        <v>5360</v>
      </c>
      <c r="D221" t="s">
        <v>537</v>
      </c>
      <c r="E221">
        <v>97350000</v>
      </c>
      <c r="H221" t="s">
        <v>743</v>
      </c>
      <c r="K221" s="3">
        <v>0</v>
      </c>
      <c r="M221" s="3">
        <v>0</v>
      </c>
      <c r="O221" s="3">
        <v>0</v>
      </c>
      <c r="S221" s="3"/>
      <c r="T221" s="3"/>
      <c r="U221" s="3"/>
      <c r="V221" s="3"/>
      <c r="W221" s="3">
        <f t="shared" si="3"/>
        <v>0</v>
      </c>
      <c r="X221" s="44" t="s">
        <v>197</v>
      </c>
      <c r="AA221"/>
      <c r="AC221" s="3">
        <v>0</v>
      </c>
      <c r="AE221">
        <v>0</v>
      </c>
      <c r="AG221">
        <v>0</v>
      </c>
    </row>
    <row r="222" spans="3:36">
      <c r="C222">
        <v>5360</v>
      </c>
      <c r="D222" t="s">
        <v>537</v>
      </c>
      <c r="E222">
        <v>97360000</v>
      </c>
      <c r="H222" t="s">
        <v>744</v>
      </c>
      <c r="K222" s="3">
        <v>0</v>
      </c>
      <c r="M222" s="3">
        <v>0</v>
      </c>
      <c r="O222" s="3">
        <v>0</v>
      </c>
      <c r="S222" s="3"/>
      <c r="T222" s="3"/>
      <c r="U222" s="3"/>
      <c r="V222" s="3"/>
      <c r="W222" s="3">
        <f t="shared" si="3"/>
        <v>0</v>
      </c>
      <c r="X222" s="44" t="s">
        <v>197</v>
      </c>
      <c r="AA222"/>
      <c r="AC222" s="3">
        <v>0</v>
      </c>
      <c r="AE222">
        <v>0</v>
      </c>
      <c r="AG222">
        <v>0</v>
      </c>
    </row>
    <row r="223" spans="3:36">
      <c r="C223">
        <v>5360</v>
      </c>
      <c r="D223" t="s">
        <v>537</v>
      </c>
      <c r="E223">
        <v>97410000</v>
      </c>
      <c r="H223" t="s">
        <v>745</v>
      </c>
      <c r="K223" s="3">
        <v>0</v>
      </c>
      <c r="M223" s="3">
        <v>0</v>
      </c>
      <c r="O223" s="3">
        <v>0</v>
      </c>
      <c r="S223" s="3"/>
      <c r="T223" s="3"/>
      <c r="U223" s="3"/>
      <c r="V223" s="3"/>
      <c r="W223" s="3">
        <f t="shared" si="3"/>
        <v>0</v>
      </c>
      <c r="X223" s="44" t="s">
        <v>197</v>
      </c>
      <c r="AA223"/>
      <c r="AC223" s="3">
        <v>0</v>
      </c>
      <c r="AE223">
        <v>0</v>
      </c>
      <c r="AG223">
        <v>0</v>
      </c>
    </row>
    <row r="224" spans="3:36">
      <c r="C224">
        <v>5360</v>
      </c>
      <c r="D224" t="s">
        <v>537</v>
      </c>
      <c r="E224">
        <v>97420000</v>
      </c>
      <c r="H224" t="s">
        <v>746</v>
      </c>
      <c r="K224" s="3">
        <v>0</v>
      </c>
      <c r="M224" s="3">
        <v>0</v>
      </c>
      <c r="O224" s="3">
        <v>0</v>
      </c>
      <c r="S224" s="3"/>
      <c r="T224" s="3"/>
      <c r="U224" s="3"/>
      <c r="V224" s="3"/>
      <c r="W224" s="3">
        <f t="shared" si="3"/>
        <v>0</v>
      </c>
      <c r="X224" s="44" t="s">
        <v>197</v>
      </c>
      <c r="AA224"/>
      <c r="AC224" s="3">
        <v>0</v>
      </c>
      <c r="AE224">
        <v>0</v>
      </c>
      <c r="AG224">
        <v>0</v>
      </c>
    </row>
    <row r="225" spans="3:33">
      <c r="C225">
        <v>5360</v>
      </c>
      <c r="D225" t="s">
        <v>537</v>
      </c>
      <c r="E225">
        <v>97500000</v>
      </c>
      <c r="H225" t="s">
        <v>747</v>
      </c>
      <c r="K225" s="3">
        <v>0</v>
      </c>
      <c r="M225" s="3">
        <v>0</v>
      </c>
      <c r="O225" s="3">
        <v>0</v>
      </c>
      <c r="S225" s="3"/>
      <c r="T225" s="3"/>
      <c r="U225" s="3"/>
      <c r="V225" s="3"/>
      <c r="W225" s="3">
        <f t="shared" si="3"/>
        <v>0</v>
      </c>
      <c r="X225" s="44" t="s">
        <v>197</v>
      </c>
      <c r="AA225"/>
      <c r="AC225" s="3">
        <v>0</v>
      </c>
      <c r="AE225">
        <v>0</v>
      </c>
      <c r="AG225">
        <v>0</v>
      </c>
    </row>
    <row r="226" spans="3:33">
      <c r="C226">
        <v>5360</v>
      </c>
      <c r="D226" t="s">
        <v>537</v>
      </c>
      <c r="E226">
        <v>97510000</v>
      </c>
      <c r="H226" t="s">
        <v>748</v>
      </c>
      <c r="K226" s="3">
        <v>0</v>
      </c>
      <c r="M226" s="3">
        <v>0</v>
      </c>
      <c r="O226" s="3">
        <v>0</v>
      </c>
      <c r="S226" s="3"/>
      <c r="T226" s="3"/>
      <c r="U226" s="3"/>
      <c r="V226" s="3"/>
      <c r="W226" s="3">
        <f t="shared" si="3"/>
        <v>0</v>
      </c>
      <c r="X226" s="44" t="s">
        <v>197</v>
      </c>
      <c r="AA226"/>
      <c r="AC226" s="3">
        <v>0</v>
      </c>
      <c r="AE226">
        <v>0</v>
      </c>
      <c r="AG226">
        <v>0</v>
      </c>
    </row>
    <row r="227" spans="3:33">
      <c r="C227">
        <v>5360</v>
      </c>
      <c r="D227" t="s">
        <v>537</v>
      </c>
      <c r="E227">
        <v>97520000</v>
      </c>
      <c r="H227" t="s">
        <v>749</v>
      </c>
      <c r="K227" s="3">
        <v>0</v>
      </c>
      <c r="M227" s="3">
        <v>0</v>
      </c>
      <c r="O227" s="3">
        <v>0</v>
      </c>
      <c r="S227" s="3"/>
      <c r="T227" s="3"/>
      <c r="U227" s="3"/>
      <c r="V227" s="3"/>
      <c r="W227" s="3">
        <f t="shared" si="3"/>
        <v>0</v>
      </c>
      <c r="X227" s="44" t="s">
        <v>197</v>
      </c>
      <c r="AA227"/>
      <c r="AC227" s="3">
        <v>0</v>
      </c>
      <c r="AE227">
        <v>0</v>
      </c>
      <c r="AG227">
        <v>0</v>
      </c>
    </row>
    <row r="228" spans="3:33">
      <c r="C228">
        <v>5360</v>
      </c>
      <c r="D228" t="s">
        <v>537</v>
      </c>
      <c r="E228">
        <v>97530000</v>
      </c>
      <c r="H228" t="s">
        <v>750</v>
      </c>
      <c r="K228" s="3">
        <v>0</v>
      </c>
      <c r="M228" s="3">
        <v>0</v>
      </c>
      <c r="O228" s="3">
        <v>0</v>
      </c>
      <c r="S228" s="3"/>
      <c r="T228" s="3"/>
      <c r="U228" s="3"/>
      <c r="V228" s="3"/>
      <c r="W228" s="3">
        <f t="shared" si="3"/>
        <v>0</v>
      </c>
      <c r="X228" s="44" t="s">
        <v>197</v>
      </c>
      <c r="AA228"/>
      <c r="AC228" s="3">
        <v>0</v>
      </c>
      <c r="AE228">
        <v>0</v>
      </c>
      <c r="AG228">
        <v>0</v>
      </c>
    </row>
    <row r="229" spans="3:33">
      <c r="C229">
        <v>5360</v>
      </c>
      <c r="D229" t="s">
        <v>537</v>
      </c>
      <c r="E229">
        <v>97540000</v>
      </c>
      <c r="H229" t="s">
        <v>751</v>
      </c>
      <c r="K229" s="3">
        <v>0</v>
      </c>
      <c r="M229" s="3">
        <v>0</v>
      </c>
      <c r="O229" s="3">
        <v>0</v>
      </c>
      <c r="S229" s="3"/>
      <c r="T229" s="3"/>
      <c r="U229" s="3"/>
      <c r="V229" s="3"/>
      <c r="W229" s="3">
        <f t="shared" si="3"/>
        <v>0</v>
      </c>
      <c r="X229" s="44" t="s">
        <v>197</v>
      </c>
      <c r="AA229"/>
      <c r="AC229" s="3">
        <v>0</v>
      </c>
      <c r="AE229">
        <v>0</v>
      </c>
      <c r="AG229">
        <v>0</v>
      </c>
    </row>
    <row r="230" spans="3:33">
      <c r="C230">
        <v>5360</v>
      </c>
      <c r="D230" t="s">
        <v>537</v>
      </c>
      <c r="E230">
        <v>97550000</v>
      </c>
      <c r="H230" t="s">
        <v>752</v>
      </c>
      <c r="K230" s="3">
        <v>0</v>
      </c>
      <c r="M230" s="3">
        <v>0</v>
      </c>
      <c r="O230" s="3">
        <v>0</v>
      </c>
      <c r="S230" s="3"/>
      <c r="T230" s="3"/>
      <c r="U230" s="3"/>
      <c r="V230" s="3"/>
      <c r="W230" s="3">
        <f t="shared" si="3"/>
        <v>0</v>
      </c>
      <c r="X230" s="44" t="s">
        <v>197</v>
      </c>
      <c r="AA230"/>
      <c r="AC230" s="3">
        <v>0</v>
      </c>
      <c r="AE230">
        <v>0</v>
      </c>
      <c r="AG230">
        <v>0</v>
      </c>
    </row>
    <row r="231" spans="3:33">
      <c r="C231">
        <v>5360</v>
      </c>
      <c r="D231" t="s">
        <v>537</v>
      </c>
      <c r="E231">
        <v>97560000</v>
      </c>
      <c r="H231" t="s">
        <v>753</v>
      </c>
      <c r="K231" s="3">
        <v>0</v>
      </c>
      <c r="M231" s="3">
        <v>0</v>
      </c>
      <c r="O231" s="3">
        <v>0</v>
      </c>
      <c r="S231" s="3"/>
      <c r="T231" s="3"/>
      <c r="U231" s="3"/>
      <c r="V231" s="3"/>
      <c r="W231" s="3">
        <f t="shared" si="3"/>
        <v>0</v>
      </c>
      <c r="X231" s="44" t="s">
        <v>197</v>
      </c>
      <c r="AA231"/>
      <c r="AC231" s="3">
        <v>0</v>
      </c>
      <c r="AE231">
        <v>0</v>
      </c>
      <c r="AG231">
        <v>0</v>
      </c>
    </row>
    <row r="232" spans="3:33">
      <c r="C232">
        <v>5360</v>
      </c>
      <c r="D232" t="s">
        <v>537</v>
      </c>
      <c r="E232">
        <v>97570000</v>
      </c>
      <c r="H232" t="s">
        <v>754</v>
      </c>
      <c r="K232" s="3">
        <v>0</v>
      </c>
      <c r="M232" s="3">
        <v>0</v>
      </c>
      <c r="O232" s="3">
        <v>0</v>
      </c>
      <c r="S232" s="3"/>
      <c r="T232" s="3"/>
      <c r="U232" s="3"/>
      <c r="V232" s="3"/>
      <c r="W232" s="3">
        <f t="shared" si="3"/>
        <v>0</v>
      </c>
      <c r="X232" s="44" t="s">
        <v>197</v>
      </c>
      <c r="AA232"/>
      <c r="AC232" s="3">
        <v>0</v>
      </c>
      <c r="AE232">
        <v>0</v>
      </c>
      <c r="AG232">
        <v>0</v>
      </c>
    </row>
    <row r="233" spans="3:33">
      <c r="C233">
        <v>5360</v>
      </c>
      <c r="D233" t="s">
        <v>537</v>
      </c>
      <c r="E233">
        <v>97580000</v>
      </c>
      <c r="H233" t="s">
        <v>755</v>
      </c>
      <c r="K233" s="3">
        <v>0</v>
      </c>
      <c r="M233" s="3">
        <v>0</v>
      </c>
      <c r="O233" s="3">
        <v>0</v>
      </c>
      <c r="S233" s="3"/>
      <c r="T233" s="3"/>
      <c r="U233" s="3"/>
      <c r="V233" s="3"/>
      <c r="W233" s="3">
        <f t="shared" si="3"/>
        <v>0</v>
      </c>
      <c r="X233" s="44" t="s">
        <v>197</v>
      </c>
      <c r="AA233"/>
      <c r="AC233" s="3">
        <v>0</v>
      </c>
      <c r="AE233">
        <v>0</v>
      </c>
      <c r="AG233">
        <v>0</v>
      </c>
    </row>
    <row r="234" spans="3:33">
      <c r="C234">
        <v>5360</v>
      </c>
      <c r="D234" t="s">
        <v>537</v>
      </c>
      <c r="E234">
        <v>97590000</v>
      </c>
      <c r="H234" t="s">
        <v>756</v>
      </c>
      <c r="K234" s="3">
        <v>0</v>
      </c>
      <c r="M234" s="3">
        <v>0</v>
      </c>
      <c r="O234" s="3">
        <v>0</v>
      </c>
      <c r="S234" s="3"/>
      <c r="T234" s="3"/>
      <c r="U234" s="3"/>
      <c r="V234" s="3"/>
      <c r="W234" s="3">
        <f t="shared" si="3"/>
        <v>0</v>
      </c>
      <c r="X234" s="44" t="s">
        <v>197</v>
      </c>
      <c r="AA234"/>
      <c r="AC234" s="3">
        <v>0</v>
      </c>
      <c r="AE234">
        <v>0</v>
      </c>
      <c r="AG234">
        <v>0</v>
      </c>
    </row>
    <row r="235" spans="3:33">
      <c r="C235">
        <v>5360</v>
      </c>
      <c r="D235" t="s">
        <v>537</v>
      </c>
      <c r="E235">
        <v>97600000</v>
      </c>
      <c r="H235" t="s">
        <v>757</v>
      </c>
      <c r="K235" s="3">
        <v>0</v>
      </c>
      <c r="M235" s="3">
        <v>0</v>
      </c>
      <c r="O235" s="3">
        <v>0</v>
      </c>
      <c r="S235" s="3"/>
      <c r="T235" s="3"/>
      <c r="U235" s="3"/>
      <c r="V235" s="3"/>
      <c r="W235" s="3">
        <f t="shared" si="3"/>
        <v>0</v>
      </c>
      <c r="X235" s="44" t="s">
        <v>197</v>
      </c>
      <c r="AA235"/>
      <c r="AC235" s="3">
        <v>0</v>
      </c>
      <c r="AE235">
        <v>0</v>
      </c>
      <c r="AG235">
        <v>0</v>
      </c>
    </row>
    <row r="236" spans="3:33">
      <c r="C236">
        <v>5360</v>
      </c>
      <c r="D236" t="s">
        <v>537</v>
      </c>
      <c r="E236">
        <v>97610000</v>
      </c>
      <c r="H236" t="s">
        <v>758</v>
      </c>
      <c r="K236" s="3">
        <v>0</v>
      </c>
      <c r="M236" s="3">
        <v>0</v>
      </c>
      <c r="O236" s="3">
        <v>0</v>
      </c>
      <c r="S236" s="3"/>
      <c r="T236" s="3"/>
      <c r="U236" s="3"/>
      <c r="V236" s="3"/>
      <c r="W236" s="3">
        <f t="shared" si="3"/>
        <v>0</v>
      </c>
      <c r="X236" s="44" t="s">
        <v>197</v>
      </c>
      <c r="AA236"/>
      <c r="AC236" s="3">
        <v>0</v>
      </c>
      <c r="AE236">
        <v>0</v>
      </c>
      <c r="AG236">
        <v>0</v>
      </c>
    </row>
    <row r="237" spans="3:33">
      <c r="C237">
        <v>5360</v>
      </c>
      <c r="D237" t="s">
        <v>537</v>
      </c>
      <c r="E237">
        <v>97620000</v>
      </c>
      <c r="H237" t="s">
        <v>745</v>
      </c>
      <c r="K237" s="3">
        <v>0</v>
      </c>
      <c r="M237" s="3">
        <v>0</v>
      </c>
      <c r="O237" s="3">
        <v>0</v>
      </c>
      <c r="S237" s="3"/>
      <c r="T237" s="3"/>
      <c r="U237" s="3"/>
      <c r="V237" s="3"/>
      <c r="W237" s="3">
        <f t="shared" si="3"/>
        <v>0</v>
      </c>
      <c r="X237" s="44" t="s">
        <v>197</v>
      </c>
      <c r="AA237"/>
      <c r="AC237" s="3">
        <v>0</v>
      </c>
      <c r="AE237">
        <v>0</v>
      </c>
      <c r="AG237">
        <v>0</v>
      </c>
    </row>
    <row r="238" spans="3:33">
      <c r="C238">
        <v>5360</v>
      </c>
      <c r="D238" t="s">
        <v>537</v>
      </c>
      <c r="E238">
        <v>97630000</v>
      </c>
      <c r="H238" t="s">
        <v>759</v>
      </c>
      <c r="K238" s="3">
        <v>0</v>
      </c>
      <c r="M238" s="3">
        <v>0</v>
      </c>
      <c r="O238" s="3">
        <v>0</v>
      </c>
      <c r="S238" s="3"/>
      <c r="T238" s="3"/>
      <c r="U238" s="3"/>
      <c r="V238" s="3"/>
      <c r="W238" s="3">
        <f t="shared" si="3"/>
        <v>0</v>
      </c>
      <c r="X238" s="44" t="s">
        <v>197</v>
      </c>
      <c r="AA238"/>
      <c r="AC238" s="3">
        <v>0</v>
      </c>
      <c r="AE238">
        <v>0</v>
      </c>
      <c r="AG238">
        <v>0</v>
      </c>
    </row>
    <row r="239" spans="3:33">
      <c r="C239">
        <v>5360</v>
      </c>
      <c r="D239" t="s">
        <v>537</v>
      </c>
      <c r="E239">
        <v>97640000</v>
      </c>
      <c r="H239" t="s">
        <v>760</v>
      </c>
      <c r="K239" s="3">
        <v>0</v>
      </c>
      <c r="M239" s="3">
        <v>0</v>
      </c>
      <c r="O239" s="3">
        <v>0</v>
      </c>
      <c r="S239" s="3"/>
      <c r="T239" s="3"/>
      <c r="U239" s="3"/>
      <c r="V239" s="3"/>
      <c r="W239" s="3">
        <f t="shared" si="3"/>
        <v>0</v>
      </c>
      <c r="X239" s="44" t="s">
        <v>197</v>
      </c>
      <c r="AA239"/>
      <c r="AC239" s="3">
        <v>0</v>
      </c>
      <c r="AE239">
        <v>0</v>
      </c>
      <c r="AG239">
        <v>0</v>
      </c>
    </row>
    <row r="240" spans="3:33">
      <c r="C240">
        <v>5360</v>
      </c>
      <c r="D240" t="s">
        <v>537</v>
      </c>
      <c r="E240">
        <v>97650000</v>
      </c>
      <c r="H240" t="s">
        <v>761</v>
      </c>
      <c r="K240" s="3">
        <v>0</v>
      </c>
      <c r="M240" s="3">
        <v>0</v>
      </c>
      <c r="O240" s="3">
        <v>0</v>
      </c>
      <c r="S240" s="3"/>
      <c r="T240" s="3"/>
      <c r="U240" s="3"/>
      <c r="V240" s="3"/>
      <c r="W240" s="3">
        <f t="shared" si="3"/>
        <v>0</v>
      </c>
      <c r="X240" s="44" t="s">
        <v>197</v>
      </c>
      <c r="AA240"/>
      <c r="AC240" s="3">
        <v>0</v>
      </c>
      <c r="AE240">
        <v>0</v>
      </c>
      <c r="AG240">
        <v>0</v>
      </c>
    </row>
    <row r="241" spans="3:33">
      <c r="C241">
        <v>5360</v>
      </c>
      <c r="D241" t="s">
        <v>537</v>
      </c>
      <c r="E241">
        <v>97660000</v>
      </c>
      <c r="H241" t="s">
        <v>762</v>
      </c>
      <c r="K241" s="3">
        <v>0</v>
      </c>
      <c r="M241" s="3">
        <v>0</v>
      </c>
      <c r="O241" s="3">
        <v>0</v>
      </c>
      <c r="S241" s="3"/>
      <c r="T241" s="3"/>
      <c r="U241" s="3"/>
      <c r="V241" s="3"/>
      <c r="W241" s="3">
        <f t="shared" si="3"/>
        <v>0</v>
      </c>
      <c r="X241" s="44" t="s">
        <v>197</v>
      </c>
      <c r="AA241"/>
      <c r="AC241" s="3">
        <v>0</v>
      </c>
      <c r="AE241">
        <v>0</v>
      </c>
      <c r="AG241">
        <v>0</v>
      </c>
    </row>
    <row r="242" spans="3:33">
      <c r="C242">
        <v>5360</v>
      </c>
      <c r="D242" t="s">
        <v>537</v>
      </c>
      <c r="E242">
        <v>97670000</v>
      </c>
      <c r="H242" t="s">
        <v>763</v>
      </c>
      <c r="K242" s="3">
        <v>0</v>
      </c>
      <c r="M242" s="3">
        <v>0</v>
      </c>
      <c r="O242" s="3">
        <v>0</v>
      </c>
      <c r="S242" s="3"/>
      <c r="T242" s="3"/>
      <c r="U242" s="3"/>
      <c r="V242" s="3"/>
      <c r="W242" s="3">
        <f t="shared" si="3"/>
        <v>0</v>
      </c>
      <c r="X242" s="44" t="s">
        <v>197</v>
      </c>
      <c r="AA242"/>
      <c r="AC242" s="3">
        <v>0</v>
      </c>
      <c r="AE242">
        <v>0</v>
      </c>
      <c r="AG242">
        <v>0</v>
      </c>
    </row>
    <row r="243" spans="3:33">
      <c r="C243">
        <v>5360</v>
      </c>
      <c r="D243" t="s">
        <v>537</v>
      </c>
      <c r="E243">
        <v>97680000</v>
      </c>
      <c r="H243" t="s">
        <v>764</v>
      </c>
      <c r="K243" s="3">
        <v>0</v>
      </c>
      <c r="M243" s="3">
        <v>0</v>
      </c>
      <c r="O243" s="3">
        <v>0</v>
      </c>
      <c r="S243" s="3"/>
      <c r="T243" s="3"/>
      <c r="U243" s="3"/>
      <c r="V243" s="3"/>
      <c r="W243" s="3">
        <f t="shared" si="3"/>
        <v>0</v>
      </c>
      <c r="X243" s="44" t="s">
        <v>197</v>
      </c>
      <c r="AA243"/>
      <c r="AC243" s="3">
        <v>0</v>
      </c>
      <c r="AE243">
        <v>0</v>
      </c>
      <c r="AG243">
        <v>0</v>
      </c>
    </row>
    <row r="244" spans="3:33">
      <c r="C244">
        <v>5360</v>
      </c>
      <c r="D244" t="s">
        <v>537</v>
      </c>
      <c r="E244">
        <v>97690000</v>
      </c>
      <c r="H244" t="s">
        <v>765</v>
      </c>
      <c r="K244" s="3">
        <v>0</v>
      </c>
      <c r="M244" s="3">
        <v>0</v>
      </c>
      <c r="O244" s="3">
        <v>0</v>
      </c>
      <c r="S244" s="3"/>
      <c r="T244" s="3"/>
      <c r="U244" s="3"/>
      <c r="V244" s="3"/>
      <c r="W244" s="3">
        <f t="shared" si="3"/>
        <v>0</v>
      </c>
      <c r="X244" s="44" t="s">
        <v>197</v>
      </c>
      <c r="AA244"/>
      <c r="AC244" s="3">
        <v>0</v>
      </c>
      <c r="AE244">
        <v>0</v>
      </c>
      <c r="AG244">
        <v>0</v>
      </c>
    </row>
    <row r="245" spans="3:33">
      <c r="C245">
        <v>5360</v>
      </c>
      <c r="D245" t="s">
        <v>537</v>
      </c>
      <c r="E245">
        <v>97700000</v>
      </c>
      <c r="H245" t="s">
        <v>747</v>
      </c>
      <c r="K245" s="3">
        <v>0</v>
      </c>
      <c r="M245" s="3">
        <v>0</v>
      </c>
      <c r="O245" s="3">
        <v>0</v>
      </c>
      <c r="S245" s="3"/>
      <c r="T245" s="3"/>
      <c r="U245" s="3"/>
      <c r="V245" s="3"/>
      <c r="W245" s="3">
        <f t="shared" si="3"/>
        <v>0</v>
      </c>
      <c r="X245" s="44" t="s">
        <v>197</v>
      </c>
      <c r="AA245"/>
      <c r="AC245" s="3">
        <v>0</v>
      </c>
      <c r="AE245">
        <v>0</v>
      </c>
      <c r="AG245">
        <v>0</v>
      </c>
    </row>
    <row r="246" spans="3:33">
      <c r="C246">
        <v>5360</v>
      </c>
      <c r="D246" t="s">
        <v>537</v>
      </c>
      <c r="E246">
        <v>97710000</v>
      </c>
      <c r="H246" t="s">
        <v>766</v>
      </c>
      <c r="K246" s="3">
        <v>0</v>
      </c>
      <c r="M246" s="3">
        <v>0</v>
      </c>
      <c r="O246" s="3">
        <v>0</v>
      </c>
      <c r="S246" s="3"/>
      <c r="T246" s="3"/>
      <c r="U246" s="3"/>
      <c r="V246" s="3"/>
      <c r="W246" s="3">
        <f t="shared" si="3"/>
        <v>0</v>
      </c>
      <c r="X246" s="44" t="s">
        <v>197</v>
      </c>
      <c r="AA246"/>
      <c r="AC246" s="3">
        <v>0</v>
      </c>
      <c r="AE246">
        <v>0</v>
      </c>
      <c r="AG246">
        <v>0</v>
      </c>
    </row>
    <row r="247" spans="3:33">
      <c r="C247">
        <v>5360</v>
      </c>
      <c r="D247" t="s">
        <v>537</v>
      </c>
      <c r="E247">
        <v>97720000</v>
      </c>
      <c r="H247" t="s">
        <v>767</v>
      </c>
      <c r="K247" s="3">
        <v>0</v>
      </c>
      <c r="M247" s="3">
        <v>0</v>
      </c>
      <c r="O247" s="3">
        <v>0</v>
      </c>
      <c r="S247" s="3"/>
      <c r="T247" s="3"/>
      <c r="U247" s="3"/>
      <c r="V247" s="3"/>
      <c r="W247" s="3">
        <f t="shared" si="3"/>
        <v>0</v>
      </c>
      <c r="X247" s="44" t="s">
        <v>197</v>
      </c>
      <c r="AA247"/>
      <c r="AC247" s="3">
        <v>0</v>
      </c>
      <c r="AE247">
        <v>0</v>
      </c>
      <c r="AG247">
        <v>0</v>
      </c>
    </row>
    <row r="248" spans="3:33">
      <c r="C248">
        <v>5360</v>
      </c>
      <c r="D248" t="s">
        <v>537</v>
      </c>
      <c r="E248">
        <v>97730000</v>
      </c>
      <c r="H248" t="s">
        <v>768</v>
      </c>
      <c r="K248" s="3">
        <v>0</v>
      </c>
      <c r="M248" s="3">
        <v>0</v>
      </c>
      <c r="O248" s="3">
        <v>0</v>
      </c>
      <c r="S248" s="3"/>
      <c r="T248" s="3"/>
      <c r="U248" s="3"/>
      <c r="V248" s="3"/>
      <c r="W248" s="3">
        <f t="shared" si="3"/>
        <v>0</v>
      </c>
      <c r="X248" s="44" t="s">
        <v>197</v>
      </c>
      <c r="AA248"/>
      <c r="AC248" s="3">
        <v>0</v>
      </c>
      <c r="AE248">
        <v>0</v>
      </c>
      <c r="AG248">
        <v>0</v>
      </c>
    </row>
    <row r="249" spans="3:33">
      <c r="C249">
        <v>5360</v>
      </c>
      <c r="D249" t="s">
        <v>537</v>
      </c>
      <c r="E249">
        <v>97740000</v>
      </c>
      <c r="H249" t="s">
        <v>769</v>
      </c>
      <c r="K249" s="3">
        <v>0</v>
      </c>
      <c r="M249" s="3">
        <v>0</v>
      </c>
      <c r="O249" s="3">
        <v>0</v>
      </c>
      <c r="S249" s="3"/>
      <c r="T249" s="3"/>
      <c r="U249" s="3"/>
      <c r="V249" s="3"/>
      <c r="W249" s="3">
        <f t="shared" si="3"/>
        <v>0</v>
      </c>
      <c r="X249" s="44" t="s">
        <v>197</v>
      </c>
      <c r="AA249"/>
      <c r="AC249" s="3">
        <v>0</v>
      </c>
      <c r="AE249">
        <v>0</v>
      </c>
      <c r="AG249">
        <v>0</v>
      </c>
    </row>
    <row r="250" spans="3:33">
      <c r="C250">
        <v>5360</v>
      </c>
      <c r="D250" t="s">
        <v>537</v>
      </c>
      <c r="E250">
        <v>97750000</v>
      </c>
      <c r="H250" t="s">
        <v>770</v>
      </c>
      <c r="K250" s="3">
        <v>0</v>
      </c>
      <c r="M250" s="3">
        <v>0</v>
      </c>
      <c r="O250" s="3">
        <v>0</v>
      </c>
      <c r="S250" s="3"/>
      <c r="T250" s="3"/>
      <c r="U250" s="3"/>
      <c r="V250" s="3"/>
      <c r="W250" s="3">
        <f t="shared" si="3"/>
        <v>0</v>
      </c>
      <c r="X250" s="44" t="s">
        <v>197</v>
      </c>
      <c r="AA250"/>
      <c r="AC250" s="3">
        <v>0</v>
      </c>
      <c r="AE250">
        <v>0</v>
      </c>
      <c r="AG250">
        <v>0</v>
      </c>
    </row>
    <row r="251" spans="3:33">
      <c r="C251">
        <v>5360</v>
      </c>
      <c r="D251" t="s">
        <v>537</v>
      </c>
      <c r="E251">
        <v>97760000</v>
      </c>
      <c r="H251" t="s">
        <v>771</v>
      </c>
      <c r="K251" s="3">
        <v>0</v>
      </c>
      <c r="M251" s="3">
        <v>0</v>
      </c>
      <c r="O251" s="3">
        <v>0</v>
      </c>
      <c r="S251" s="3"/>
      <c r="T251" s="3"/>
      <c r="U251" s="3"/>
      <c r="V251" s="3"/>
      <c r="W251" s="3">
        <f t="shared" si="3"/>
        <v>0</v>
      </c>
      <c r="X251" s="44" t="s">
        <v>197</v>
      </c>
      <c r="AA251"/>
      <c r="AC251" s="3">
        <v>0</v>
      </c>
      <c r="AE251">
        <v>0</v>
      </c>
      <c r="AG251">
        <v>0</v>
      </c>
    </row>
    <row r="252" spans="3:33">
      <c r="C252">
        <v>5360</v>
      </c>
      <c r="D252" t="s">
        <v>537</v>
      </c>
      <c r="E252">
        <v>97770000</v>
      </c>
      <c r="H252" t="s">
        <v>772</v>
      </c>
      <c r="K252" s="3">
        <v>0</v>
      </c>
      <c r="M252" s="3">
        <v>0</v>
      </c>
      <c r="O252" s="3">
        <v>0</v>
      </c>
      <c r="S252" s="3"/>
      <c r="T252" s="3"/>
      <c r="U252" s="3"/>
      <c r="V252" s="3"/>
      <c r="W252" s="3">
        <f t="shared" si="3"/>
        <v>0</v>
      </c>
      <c r="X252" s="44" t="s">
        <v>197</v>
      </c>
      <c r="AA252"/>
      <c r="AC252" s="3">
        <v>0</v>
      </c>
      <c r="AE252">
        <v>0</v>
      </c>
      <c r="AG252">
        <v>0</v>
      </c>
    </row>
    <row r="253" spans="3:33">
      <c r="C253">
        <v>5360</v>
      </c>
      <c r="D253" t="s">
        <v>537</v>
      </c>
      <c r="E253">
        <v>97780000</v>
      </c>
      <c r="H253" t="s">
        <v>773</v>
      </c>
      <c r="K253" s="3">
        <v>0</v>
      </c>
      <c r="M253" s="3">
        <v>0</v>
      </c>
      <c r="O253" s="3">
        <v>0</v>
      </c>
      <c r="S253" s="3"/>
      <c r="T253" s="3"/>
      <c r="U253" s="3"/>
      <c r="V253" s="3"/>
      <c r="W253" s="3">
        <f t="shared" si="3"/>
        <v>0</v>
      </c>
      <c r="X253" s="44" t="s">
        <v>197</v>
      </c>
      <c r="AA253"/>
      <c r="AC253" s="3">
        <v>0</v>
      </c>
      <c r="AE253">
        <v>0</v>
      </c>
      <c r="AG253">
        <v>0</v>
      </c>
    </row>
    <row r="254" spans="3:33">
      <c r="C254">
        <v>5360</v>
      </c>
      <c r="D254" t="s">
        <v>537</v>
      </c>
      <c r="E254">
        <v>97790000</v>
      </c>
      <c r="H254" t="s">
        <v>774</v>
      </c>
      <c r="K254" s="3">
        <v>0</v>
      </c>
      <c r="M254" s="3">
        <v>0</v>
      </c>
      <c r="O254" s="3">
        <v>0</v>
      </c>
      <c r="S254" s="3"/>
      <c r="T254" s="3"/>
      <c r="U254" s="3"/>
      <c r="V254" s="3"/>
      <c r="W254" s="3">
        <f t="shared" si="3"/>
        <v>0</v>
      </c>
      <c r="X254" s="44" t="s">
        <v>197</v>
      </c>
      <c r="AA254"/>
      <c r="AC254" s="3">
        <v>0</v>
      </c>
      <c r="AE254">
        <v>0</v>
      </c>
      <c r="AG254">
        <v>0</v>
      </c>
    </row>
    <row r="255" spans="3:33">
      <c r="C255">
        <v>5360</v>
      </c>
      <c r="D255" t="s">
        <v>537</v>
      </c>
      <c r="E255">
        <v>97800000</v>
      </c>
      <c r="H255" t="s">
        <v>775</v>
      </c>
      <c r="K255" s="3">
        <v>0</v>
      </c>
      <c r="M255" s="3">
        <v>0</v>
      </c>
      <c r="O255" s="3">
        <v>0</v>
      </c>
      <c r="S255" s="3"/>
      <c r="T255" s="3"/>
      <c r="U255" s="3"/>
      <c r="V255" s="3"/>
      <c r="W255" s="3">
        <f t="shared" si="3"/>
        <v>0</v>
      </c>
      <c r="X255" s="44" t="s">
        <v>197</v>
      </c>
      <c r="AA255"/>
      <c r="AC255" s="3">
        <v>0</v>
      </c>
      <c r="AE255">
        <v>0</v>
      </c>
      <c r="AG255">
        <v>0</v>
      </c>
    </row>
    <row r="256" spans="3:33">
      <c r="C256">
        <v>5360</v>
      </c>
      <c r="D256" t="s">
        <v>537</v>
      </c>
      <c r="E256">
        <v>97810000</v>
      </c>
      <c r="H256" t="s">
        <v>776</v>
      </c>
      <c r="K256" s="3">
        <v>0</v>
      </c>
      <c r="M256" s="3">
        <v>0</v>
      </c>
      <c r="O256" s="3">
        <v>0</v>
      </c>
      <c r="S256" s="3"/>
      <c r="T256" s="3"/>
      <c r="U256" s="3"/>
      <c r="V256" s="3"/>
      <c r="W256" s="3">
        <f t="shared" si="3"/>
        <v>0</v>
      </c>
      <c r="X256" s="44" t="s">
        <v>197</v>
      </c>
      <c r="AA256"/>
      <c r="AC256" s="3">
        <v>0</v>
      </c>
      <c r="AE256">
        <v>0</v>
      </c>
      <c r="AG256">
        <v>0</v>
      </c>
    </row>
    <row r="257" spans="3:33">
      <c r="C257">
        <v>5360</v>
      </c>
      <c r="D257" t="s">
        <v>537</v>
      </c>
      <c r="E257">
        <v>97820000</v>
      </c>
      <c r="H257" t="s">
        <v>777</v>
      </c>
      <c r="K257" s="3">
        <v>0</v>
      </c>
      <c r="M257" s="3">
        <v>0</v>
      </c>
      <c r="O257" s="3">
        <v>0</v>
      </c>
      <c r="S257" s="3"/>
      <c r="T257" s="3"/>
      <c r="U257" s="3"/>
      <c r="V257" s="3"/>
      <c r="W257" s="3">
        <f t="shared" si="3"/>
        <v>0</v>
      </c>
      <c r="X257" s="44" t="s">
        <v>197</v>
      </c>
      <c r="AA257"/>
      <c r="AC257" s="3">
        <v>0</v>
      </c>
      <c r="AE257">
        <v>0</v>
      </c>
      <c r="AG257">
        <v>0</v>
      </c>
    </row>
    <row r="258" spans="3:33">
      <c r="C258">
        <v>5360</v>
      </c>
      <c r="D258" t="s">
        <v>537</v>
      </c>
      <c r="E258">
        <v>97830000</v>
      </c>
      <c r="H258" t="s">
        <v>757</v>
      </c>
      <c r="K258" s="3">
        <v>0</v>
      </c>
      <c r="M258" s="3">
        <v>0</v>
      </c>
      <c r="O258" s="3">
        <v>0</v>
      </c>
      <c r="S258" s="3"/>
      <c r="T258" s="3"/>
      <c r="U258" s="3"/>
      <c r="V258" s="3"/>
      <c r="W258" s="3">
        <f t="shared" si="3"/>
        <v>0</v>
      </c>
      <c r="X258" s="44" t="s">
        <v>197</v>
      </c>
      <c r="AA258"/>
      <c r="AC258" s="3">
        <v>0</v>
      </c>
      <c r="AE258">
        <v>0</v>
      </c>
      <c r="AG258">
        <v>0</v>
      </c>
    </row>
    <row r="259" spans="3:33">
      <c r="C259">
        <v>5360</v>
      </c>
      <c r="D259" t="s">
        <v>537</v>
      </c>
      <c r="E259">
        <v>97840000</v>
      </c>
      <c r="H259" t="s">
        <v>758</v>
      </c>
      <c r="K259" s="3">
        <v>0</v>
      </c>
      <c r="M259" s="3">
        <v>0</v>
      </c>
      <c r="O259" s="3">
        <v>0</v>
      </c>
      <c r="S259" s="3"/>
      <c r="T259" s="3"/>
      <c r="U259" s="3"/>
      <c r="V259" s="3"/>
      <c r="W259" s="3">
        <f t="shared" si="3"/>
        <v>0</v>
      </c>
      <c r="X259" s="44" t="s">
        <v>197</v>
      </c>
      <c r="AA259"/>
      <c r="AC259" s="3">
        <v>0</v>
      </c>
      <c r="AE259">
        <v>0</v>
      </c>
      <c r="AG259">
        <v>0</v>
      </c>
    </row>
    <row r="260" spans="3:33">
      <c r="C260">
        <v>5360</v>
      </c>
      <c r="D260" t="s">
        <v>537</v>
      </c>
      <c r="E260">
        <v>97850000</v>
      </c>
      <c r="H260" t="s">
        <v>745</v>
      </c>
      <c r="K260" s="3">
        <v>0</v>
      </c>
      <c r="M260" s="3">
        <v>0</v>
      </c>
      <c r="O260" s="3">
        <v>0</v>
      </c>
      <c r="S260" s="3"/>
      <c r="T260" s="3"/>
      <c r="U260" s="3"/>
      <c r="V260" s="3"/>
      <c r="W260" s="3">
        <f t="shared" si="3"/>
        <v>0</v>
      </c>
      <c r="X260" s="44" t="s">
        <v>197</v>
      </c>
      <c r="AA260"/>
      <c r="AC260" s="3">
        <v>0</v>
      </c>
      <c r="AE260">
        <v>0</v>
      </c>
      <c r="AG260">
        <v>0</v>
      </c>
    </row>
    <row r="261" spans="3:33">
      <c r="C261">
        <v>5360</v>
      </c>
      <c r="D261" t="s">
        <v>537</v>
      </c>
      <c r="E261">
        <v>97860000</v>
      </c>
      <c r="H261" t="s">
        <v>778</v>
      </c>
      <c r="K261" s="3">
        <v>0</v>
      </c>
      <c r="M261" s="3">
        <v>0</v>
      </c>
      <c r="O261" s="3">
        <v>0</v>
      </c>
      <c r="S261" s="3"/>
      <c r="T261" s="3"/>
      <c r="U261" s="3"/>
      <c r="V261" s="3"/>
      <c r="W261" s="3">
        <f t="shared" si="3"/>
        <v>0</v>
      </c>
      <c r="X261" s="44" t="s">
        <v>197</v>
      </c>
      <c r="AA261"/>
      <c r="AC261" s="3">
        <v>0</v>
      </c>
      <c r="AE261">
        <v>0</v>
      </c>
      <c r="AG261">
        <v>0</v>
      </c>
    </row>
    <row r="262" spans="3:33">
      <c r="C262">
        <v>5360</v>
      </c>
      <c r="D262" t="s">
        <v>537</v>
      </c>
      <c r="E262">
        <v>97870000</v>
      </c>
      <c r="H262" t="s">
        <v>779</v>
      </c>
      <c r="K262" s="3">
        <v>0</v>
      </c>
      <c r="M262" s="3">
        <v>0</v>
      </c>
      <c r="O262" s="3">
        <v>0</v>
      </c>
      <c r="S262" s="3"/>
      <c r="T262" s="3"/>
      <c r="U262" s="3"/>
      <c r="V262" s="3"/>
      <c r="W262" s="3">
        <f t="shared" si="3"/>
        <v>0</v>
      </c>
      <c r="X262" s="44" t="s">
        <v>197</v>
      </c>
      <c r="AA262"/>
      <c r="AC262" s="3">
        <v>0</v>
      </c>
      <c r="AE262">
        <v>0</v>
      </c>
      <c r="AG262">
        <v>0</v>
      </c>
    </row>
    <row r="263" spans="3:33">
      <c r="C263">
        <v>5360</v>
      </c>
      <c r="D263" t="s">
        <v>537</v>
      </c>
      <c r="E263">
        <v>97880000</v>
      </c>
      <c r="H263" t="s">
        <v>780</v>
      </c>
      <c r="K263" s="3">
        <v>0</v>
      </c>
      <c r="M263" s="3">
        <v>0</v>
      </c>
      <c r="O263" s="3">
        <v>0</v>
      </c>
      <c r="S263" s="3"/>
      <c r="T263" s="3"/>
      <c r="U263" s="3"/>
      <c r="V263" s="3"/>
      <c r="W263" s="3">
        <f t="shared" si="3"/>
        <v>0</v>
      </c>
      <c r="X263" s="44" t="s">
        <v>197</v>
      </c>
      <c r="AA263"/>
      <c r="AC263" s="3">
        <v>0</v>
      </c>
      <c r="AE263">
        <v>0</v>
      </c>
      <c r="AG263">
        <v>0</v>
      </c>
    </row>
    <row r="264" spans="3:33">
      <c r="C264">
        <v>5360</v>
      </c>
      <c r="D264" t="s">
        <v>537</v>
      </c>
      <c r="E264">
        <v>97890000</v>
      </c>
      <c r="H264" t="s">
        <v>781</v>
      </c>
      <c r="K264" s="3">
        <v>0</v>
      </c>
      <c r="M264" s="3">
        <v>0</v>
      </c>
      <c r="O264" s="3">
        <v>0</v>
      </c>
      <c r="S264" s="3"/>
      <c r="T264" s="3"/>
      <c r="U264" s="3"/>
      <c r="V264" s="3"/>
      <c r="W264" s="3">
        <f t="shared" si="3"/>
        <v>0</v>
      </c>
      <c r="X264" s="44" t="s">
        <v>197</v>
      </c>
      <c r="AA264"/>
      <c r="AC264" s="3">
        <v>0</v>
      </c>
      <c r="AE264">
        <v>0</v>
      </c>
      <c r="AG264">
        <v>0</v>
      </c>
    </row>
    <row r="265" spans="3:33">
      <c r="C265">
        <v>5360</v>
      </c>
      <c r="D265" t="s">
        <v>537</v>
      </c>
      <c r="E265">
        <v>97900000</v>
      </c>
      <c r="H265" t="s">
        <v>782</v>
      </c>
      <c r="K265" s="3">
        <v>0</v>
      </c>
      <c r="M265" s="3">
        <v>0</v>
      </c>
      <c r="O265" s="3">
        <v>0</v>
      </c>
      <c r="S265" s="3"/>
      <c r="T265" s="3"/>
      <c r="U265" s="3"/>
      <c r="V265" s="3"/>
      <c r="W265" s="3">
        <f t="shared" ref="W265:W328" si="4">SUM(K265,S265:V265)</f>
        <v>0</v>
      </c>
      <c r="X265" s="44" t="s">
        <v>197</v>
      </c>
      <c r="AA265"/>
      <c r="AC265" s="3">
        <v>0</v>
      </c>
      <c r="AE265">
        <v>0</v>
      </c>
      <c r="AG265">
        <v>0</v>
      </c>
    </row>
    <row r="266" spans="3:33">
      <c r="C266">
        <v>5360</v>
      </c>
      <c r="D266" t="s">
        <v>537</v>
      </c>
      <c r="E266">
        <v>97910000</v>
      </c>
      <c r="H266" t="s">
        <v>765</v>
      </c>
      <c r="K266" s="3">
        <v>0</v>
      </c>
      <c r="M266" s="3">
        <v>0</v>
      </c>
      <c r="O266" s="3">
        <v>0</v>
      </c>
      <c r="S266" s="3"/>
      <c r="T266" s="3"/>
      <c r="U266" s="3"/>
      <c r="V266" s="3"/>
      <c r="W266" s="3">
        <f t="shared" si="4"/>
        <v>0</v>
      </c>
      <c r="X266" s="44" t="s">
        <v>197</v>
      </c>
      <c r="AA266"/>
      <c r="AC266" s="3">
        <v>0</v>
      </c>
      <c r="AE266">
        <v>0</v>
      </c>
      <c r="AG266">
        <v>0</v>
      </c>
    </row>
    <row r="267" spans="3:33">
      <c r="C267">
        <v>5360</v>
      </c>
      <c r="D267" t="s">
        <v>537</v>
      </c>
      <c r="E267">
        <v>97950000</v>
      </c>
      <c r="H267" t="s">
        <v>783</v>
      </c>
      <c r="K267" s="3">
        <v>0</v>
      </c>
      <c r="M267" s="3">
        <v>0</v>
      </c>
      <c r="O267" s="3">
        <v>0</v>
      </c>
      <c r="S267" s="3"/>
      <c r="T267" s="3"/>
      <c r="U267" s="3"/>
      <c r="V267" s="3"/>
      <c r="W267" s="3">
        <f t="shared" si="4"/>
        <v>0</v>
      </c>
      <c r="X267" s="44" t="s">
        <v>197</v>
      </c>
      <c r="AA267"/>
      <c r="AC267" s="3">
        <v>0</v>
      </c>
      <c r="AE267">
        <v>0</v>
      </c>
      <c r="AG267">
        <v>0</v>
      </c>
    </row>
    <row r="268" spans="3:33">
      <c r="C268">
        <v>5360</v>
      </c>
      <c r="D268" t="s">
        <v>537</v>
      </c>
      <c r="E268">
        <v>97960000</v>
      </c>
      <c r="H268" t="s">
        <v>784</v>
      </c>
      <c r="K268" s="3">
        <v>0</v>
      </c>
      <c r="M268" s="3">
        <v>0</v>
      </c>
      <c r="O268" s="3">
        <v>0</v>
      </c>
      <c r="S268" s="3"/>
      <c r="T268" s="3"/>
      <c r="U268" s="3"/>
      <c r="V268" s="3"/>
      <c r="W268" s="3">
        <f t="shared" si="4"/>
        <v>0</v>
      </c>
      <c r="X268" s="44" t="s">
        <v>197</v>
      </c>
      <c r="AA268"/>
      <c r="AC268" s="3">
        <v>0</v>
      </c>
      <c r="AE268">
        <v>0</v>
      </c>
      <c r="AG268">
        <v>0</v>
      </c>
    </row>
    <row r="269" spans="3:33">
      <c r="C269">
        <v>5360</v>
      </c>
      <c r="D269" t="s">
        <v>537</v>
      </c>
      <c r="E269">
        <v>97970000</v>
      </c>
      <c r="H269" t="s">
        <v>785</v>
      </c>
      <c r="K269" s="3">
        <v>0</v>
      </c>
      <c r="M269" s="3">
        <v>0</v>
      </c>
      <c r="O269" s="3">
        <v>0</v>
      </c>
      <c r="S269" s="3"/>
      <c r="T269" s="3"/>
      <c r="U269" s="3"/>
      <c r="V269" s="3"/>
      <c r="W269" s="3">
        <f t="shared" si="4"/>
        <v>0</v>
      </c>
      <c r="X269" s="44" t="s">
        <v>197</v>
      </c>
      <c r="AA269"/>
      <c r="AC269" s="3">
        <v>0</v>
      </c>
      <c r="AE269">
        <v>0</v>
      </c>
      <c r="AG269">
        <v>0</v>
      </c>
    </row>
    <row r="270" spans="3:33">
      <c r="C270">
        <v>5360</v>
      </c>
      <c r="D270" t="s">
        <v>537</v>
      </c>
      <c r="E270">
        <v>97980000</v>
      </c>
      <c r="H270" t="s">
        <v>786</v>
      </c>
      <c r="K270" s="3">
        <v>0</v>
      </c>
      <c r="M270" s="3">
        <v>0</v>
      </c>
      <c r="O270" s="3">
        <v>0</v>
      </c>
      <c r="S270" s="3"/>
      <c r="T270" s="3"/>
      <c r="U270" s="3"/>
      <c r="V270" s="3"/>
      <c r="W270" s="3">
        <f t="shared" si="4"/>
        <v>0</v>
      </c>
      <c r="X270" s="44" t="s">
        <v>197</v>
      </c>
      <c r="Y270" t="s">
        <v>787</v>
      </c>
      <c r="AA270"/>
      <c r="AC270" s="3">
        <v>0</v>
      </c>
      <c r="AE270">
        <v>0</v>
      </c>
      <c r="AG270">
        <v>0</v>
      </c>
    </row>
    <row r="271" spans="3:33">
      <c r="C271">
        <v>5360</v>
      </c>
      <c r="D271" t="s">
        <v>537</v>
      </c>
      <c r="E271">
        <v>98140000</v>
      </c>
      <c r="H271" t="s">
        <v>747</v>
      </c>
      <c r="K271" s="3">
        <v>0</v>
      </c>
      <c r="M271" s="3">
        <v>0</v>
      </c>
      <c r="O271" s="3">
        <v>0</v>
      </c>
      <c r="S271" s="3"/>
      <c r="T271" s="3"/>
      <c r="U271" s="3"/>
      <c r="V271" s="3"/>
      <c r="W271" s="3">
        <f t="shared" si="4"/>
        <v>0</v>
      </c>
      <c r="X271" s="44" t="s">
        <v>198</v>
      </c>
      <c r="Y271" s="145">
        <f>SUMIF(X:X,"A",W:W)</f>
        <v>162728302.06000003</v>
      </c>
      <c r="Z271" t="s">
        <v>788</v>
      </c>
      <c r="AA271"/>
      <c r="AC271" s="3">
        <v>0</v>
      </c>
      <c r="AE271">
        <v>0</v>
      </c>
      <c r="AG271">
        <v>0</v>
      </c>
    </row>
    <row r="272" spans="3:33">
      <c r="C272">
        <v>5360</v>
      </c>
      <c r="D272" t="s">
        <v>537</v>
      </c>
      <c r="E272">
        <v>98150000</v>
      </c>
      <c r="H272" t="s">
        <v>789</v>
      </c>
      <c r="K272" s="3">
        <v>0</v>
      </c>
      <c r="M272" s="3">
        <v>0</v>
      </c>
      <c r="O272" s="3">
        <v>0</v>
      </c>
      <c r="S272" s="3"/>
      <c r="T272" s="3"/>
      <c r="U272" s="3"/>
      <c r="V272" s="3"/>
      <c r="W272" s="3">
        <f t="shared" si="4"/>
        <v>0</v>
      </c>
      <c r="X272" s="44" t="s">
        <v>198</v>
      </c>
      <c r="AA272"/>
      <c r="AC272" s="3">
        <v>0</v>
      </c>
      <c r="AE272">
        <v>0</v>
      </c>
      <c r="AG272">
        <v>0</v>
      </c>
    </row>
    <row r="273" spans="3:33">
      <c r="C273">
        <v>5360</v>
      </c>
      <c r="D273" t="s">
        <v>537</v>
      </c>
      <c r="E273">
        <v>98160000</v>
      </c>
      <c r="H273" t="s">
        <v>790</v>
      </c>
      <c r="K273" s="3">
        <v>0</v>
      </c>
      <c r="M273" s="3">
        <v>0</v>
      </c>
      <c r="O273" s="3">
        <v>0</v>
      </c>
      <c r="S273" s="3"/>
      <c r="T273" s="3"/>
      <c r="U273" s="3"/>
      <c r="V273" s="3"/>
      <c r="W273" s="3">
        <f t="shared" si="4"/>
        <v>0</v>
      </c>
      <c r="X273" s="44" t="s">
        <v>198</v>
      </c>
      <c r="AA273"/>
      <c r="AC273" s="3">
        <v>0</v>
      </c>
      <c r="AE273">
        <v>0</v>
      </c>
      <c r="AG273">
        <v>0</v>
      </c>
    </row>
    <row r="274" spans="3:33">
      <c r="C274">
        <v>5360</v>
      </c>
      <c r="D274" t="s">
        <v>537</v>
      </c>
      <c r="E274">
        <v>98170000</v>
      </c>
      <c r="H274" t="s">
        <v>791</v>
      </c>
      <c r="K274" s="3">
        <v>0</v>
      </c>
      <c r="M274" s="3">
        <v>0</v>
      </c>
      <c r="O274" s="3">
        <v>0</v>
      </c>
      <c r="S274" s="3"/>
      <c r="T274" s="3"/>
      <c r="U274" s="3"/>
      <c r="V274" s="3"/>
      <c r="W274" s="3">
        <f t="shared" si="4"/>
        <v>0</v>
      </c>
      <c r="X274" s="44" t="s">
        <v>198</v>
      </c>
      <c r="AA274"/>
      <c r="AC274" s="3">
        <v>0</v>
      </c>
      <c r="AE274">
        <v>0</v>
      </c>
      <c r="AG274">
        <v>0</v>
      </c>
    </row>
    <row r="275" spans="3:33">
      <c r="C275">
        <v>5360</v>
      </c>
      <c r="D275" t="s">
        <v>537</v>
      </c>
      <c r="E275">
        <v>98180000</v>
      </c>
      <c r="H275" t="s">
        <v>792</v>
      </c>
      <c r="K275" s="3">
        <v>0</v>
      </c>
      <c r="M275" s="3">
        <v>0</v>
      </c>
      <c r="O275" s="3">
        <v>0</v>
      </c>
      <c r="S275" s="3"/>
      <c r="T275" s="3"/>
      <c r="U275" s="3"/>
      <c r="V275" s="3"/>
      <c r="W275" s="3">
        <f t="shared" si="4"/>
        <v>0</v>
      </c>
      <c r="X275" s="44" t="s">
        <v>198</v>
      </c>
      <c r="AA275"/>
      <c r="AC275" s="3">
        <v>0</v>
      </c>
      <c r="AE275">
        <v>0</v>
      </c>
      <c r="AG275">
        <v>0</v>
      </c>
    </row>
    <row r="276" spans="3:33">
      <c r="C276">
        <v>5360</v>
      </c>
      <c r="D276" t="s">
        <v>537</v>
      </c>
      <c r="E276">
        <v>98190000</v>
      </c>
      <c r="H276" t="s">
        <v>793</v>
      </c>
      <c r="K276" s="3">
        <v>0</v>
      </c>
      <c r="M276" s="3">
        <v>0</v>
      </c>
      <c r="O276" s="3">
        <v>0</v>
      </c>
      <c r="S276" s="3"/>
      <c r="T276" s="3"/>
      <c r="U276" s="3"/>
      <c r="V276" s="3"/>
      <c r="W276" s="3">
        <f t="shared" si="4"/>
        <v>0</v>
      </c>
      <c r="X276" s="44" t="s">
        <v>198</v>
      </c>
      <c r="AA276"/>
      <c r="AC276" s="3">
        <v>0</v>
      </c>
      <c r="AE276">
        <v>0</v>
      </c>
      <c r="AG276">
        <v>0</v>
      </c>
    </row>
    <row r="277" spans="3:33">
      <c r="C277">
        <v>5360</v>
      </c>
      <c r="D277" t="s">
        <v>537</v>
      </c>
      <c r="E277">
        <v>98200000</v>
      </c>
      <c r="H277" t="s">
        <v>794</v>
      </c>
      <c r="K277" s="3">
        <v>0</v>
      </c>
      <c r="M277" s="3">
        <v>0</v>
      </c>
      <c r="O277" s="3">
        <v>0</v>
      </c>
      <c r="S277" s="3"/>
      <c r="T277" s="3"/>
      <c r="U277" s="3"/>
      <c r="V277" s="3"/>
      <c r="W277" s="3">
        <f t="shared" si="4"/>
        <v>0</v>
      </c>
      <c r="X277" s="44" t="s">
        <v>198</v>
      </c>
      <c r="AA277"/>
      <c r="AC277" s="3">
        <v>0</v>
      </c>
      <c r="AE277">
        <v>0</v>
      </c>
      <c r="AG277">
        <v>0</v>
      </c>
    </row>
    <row r="278" spans="3:33">
      <c r="C278">
        <v>5360</v>
      </c>
      <c r="D278" t="s">
        <v>537</v>
      </c>
      <c r="E278">
        <v>98210000</v>
      </c>
      <c r="H278" t="s">
        <v>795</v>
      </c>
      <c r="K278" s="3">
        <v>0</v>
      </c>
      <c r="M278" s="3">
        <v>0</v>
      </c>
      <c r="O278" s="3">
        <v>0</v>
      </c>
      <c r="S278" s="3"/>
      <c r="T278" s="3"/>
      <c r="U278" s="3"/>
      <c r="V278" s="3"/>
      <c r="W278" s="3">
        <f t="shared" si="4"/>
        <v>0</v>
      </c>
      <c r="X278" s="44" t="s">
        <v>198</v>
      </c>
      <c r="AA278"/>
      <c r="AC278" s="3">
        <v>0</v>
      </c>
      <c r="AE278">
        <v>0</v>
      </c>
      <c r="AG278">
        <v>0</v>
      </c>
    </row>
    <row r="279" spans="3:33">
      <c r="C279">
        <v>5360</v>
      </c>
      <c r="D279" t="s">
        <v>537</v>
      </c>
      <c r="E279">
        <v>98220000</v>
      </c>
      <c r="H279" t="s">
        <v>796</v>
      </c>
      <c r="K279" s="3">
        <v>0</v>
      </c>
      <c r="M279" s="3">
        <v>0</v>
      </c>
      <c r="O279" s="3">
        <v>0</v>
      </c>
      <c r="S279" s="3"/>
      <c r="T279" s="3"/>
      <c r="U279" s="3"/>
      <c r="V279" s="3"/>
      <c r="W279" s="3">
        <f t="shared" si="4"/>
        <v>0</v>
      </c>
      <c r="X279" s="44" t="s">
        <v>198</v>
      </c>
      <c r="AA279"/>
      <c r="AC279" s="3">
        <v>0</v>
      </c>
      <c r="AE279">
        <v>0</v>
      </c>
      <c r="AG279">
        <v>0</v>
      </c>
    </row>
    <row r="280" spans="3:33">
      <c r="C280">
        <v>5360</v>
      </c>
      <c r="D280" t="s">
        <v>537</v>
      </c>
      <c r="E280">
        <v>98230000</v>
      </c>
      <c r="H280" t="s">
        <v>797</v>
      </c>
      <c r="K280" s="3">
        <v>0</v>
      </c>
      <c r="M280" s="3">
        <v>0</v>
      </c>
      <c r="O280" s="3">
        <v>0</v>
      </c>
      <c r="S280" s="3"/>
      <c r="T280" s="3"/>
      <c r="U280" s="3"/>
      <c r="V280" s="3"/>
      <c r="W280" s="3">
        <f t="shared" si="4"/>
        <v>0</v>
      </c>
      <c r="X280" s="44" t="s">
        <v>198</v>
      </c>
      <c r="AA280"/>
      <c r="AC280" s="3">
        <v>0</v>
      </c>
      <c r="AE280">
        <v>0</v>
      </c>
      <c r="AG280">
        <v>0</v>
      </c>
    </row>
    <row r="281" spans="3:33">
      <c r="C281">
        <v>5360</v>
      </c>
      <c r="D281" t="s">
        <v>537</v>
      </c>
      <c r="E281">
        <v>98240000</v>
      </c>
      <c r="H281" t="s">
        <v>756</v>
      </c>
      <c r="K281" s="3">
        <v>0</v>
      </c>
      <c r="M281" s="3">
        <v>0</v>
      </c>
      <c r="O281" s="3">
        <v>0</v>
      </c>
      <c r="S281" s="3"/>
      <c r="T281" s="3"/>
      <c r="U281" s="3"/>
      <c r="V281" s="3"/>
      <c r="W281" s="3">
        <f t="shared" si="4"/>
        <v>0</v>
      </c>
      <c r="X281" s="44" t="s">
        <v>198</v>
      </c>
      <c r="AA281"/>
      <c r="AC281" s="3">
        <v>0</v>
      </c>
      <c r="AE281">
        <v>0</v>
      </c>
      <c r="AG281">
        <v>0</v>
      </c>
    </row>
    <row r="282" spans="3:33">
      <c r="C282">
        <v>5360</v>
      </c>
      <c r="D282" t="s">
        <v>537</v>
      </c>
      <c r="E282">
        <v>98250000</v>
      </c>
      <c r="H282" t="s">
        <v>798</v>
      </c>
      <c r="K282" s="3">
        <v>0</v>
      </c>
      <c r="M282" s="3">
        <v>0</v>
      </c>
      <c r="O282" s="3">
        <v>0</v>
      </c>
      <c r="S282" s="3"/>
      <c r="T282" s="3"/>
      <c r="U282" s="3"/>
      <c r="V282" s="3"/>
      <c r="W282" s="3">
        <f t="shared" si="4"/>
        <v>0</v>
      </c>
      <c r="X282" s="44" t="s">
        <v>198</v>
      </c>
      <c r="AA282"/>
      <c r="AC282" s="3">
        <v>0</v>
      </c>
      <c r="AE282">
        <v>0</v>
      </c>
      <c r="AG282">
        <v>0</v>
      </c>
    </row>
    <row r="283" spans="3:33">
      <c r="C283">
        <v>5360</v>
      </c>
      <c r="D283" t="s">
        <v>537</v>
      </c>
      <c r="E283">
        <v>98260000</v>
      </c>
      <c r="H283" t="s">
        <v>757</v>
      </c>
      <c r="K283" s="3">
        <v>0</v>
      </c>
      <c r="M283" s="3">
        <v>0</v>
      </c>
      <c r="O283" s="3">
        <v>0</v>
      </c>
      <c r="S283" s="3"/>
      <c r="T283" s="3"/>
      <c r="U283" s="3"/>
      <c r="V283" s="3"/>
      <c r="W283" s="3">
        <f t="shared" si="4"/>
        <v>0</v>
      </c>
      <c r="X283" s="44" t="s">
        <v>198</v>
      </c>
      <c r="AA283"/>
      <c r="AC283" s="3">
        <v>0</v>
      </c>
      <c r="AE283">
        <v>0</v>
      </c>
      <c r="AG283">
        <v>0</v>
      </c>
    </row>
    <row r="284" spans="3:33">
      <c r="C284">
        <v>5360</v>
      </c>
      <c r="D284" t="s">
        <v>537</v>
      </c>
      <c r="E284">
        <v>98300000</v>
      </c>
      <c r="H284" t="s">
        <v>758</v>
      </c>
      <c r="K284" s="3">
        <v>0</v>
      </c>
      <c r="M284" s="3">
        <v>0</v>
      </c>
      <c r="O284" s="3">
        <v>0</v>
      </c>
      <c r="S284" s="3"/>
      <c r="T284" s="3"/>
      <c r="U284" s="3"/>
      <c r="V284" s="3"/>
      <c r="W284" s="3">
        <f t="shared" si="4"/>
        <v>0</v>
      </c>
      <c r="X284" s="44" t="s">
        <v>198</v>
      </c>
      <c r="AA284"/>
      <c r="AC284" s="3">
        <v>0</v>
      </c>
      <c r="AE284">
        <v>0</v>
      </c>
      <c r="AG284">
        <v>0</v>
      </c>
    </row>
    <row r="285" spans="3:33">
      <c r="C285">
        <v>5360</v>
      </c>
      <c r="D285" t="s">
        <v>537</v>
      </c>
      <c r="E285">
        <v>98310000</v>
      </c>
      <c r="H285" t="s">
        <v>745</v>
      </c>
      <c r="K285" s="3">
        <v>0</v>
      </c>
      <c r="M285" s="3">
        <v>0</v>
      </c>
      <c r="O285" s="3">
        <v>0</v>
      </c>
      <c r="S285" s="3"/>
      <c r="T285" s="3"/>
      <c r="U285" s="3"/>
      <c r="V285" s="3"/>
      <c r="W285" s="3">
        <f t="shared" si="4"/>
        <v>0</v>
      </c>
      <c r="X285" s="44" t="s">
        <v>198</v>
      </c>
      <c r="AA285"/>
      <c r="AC285" s="3">
        <v>0</v>
      </c>
      <c r="AE285">
        <v>0</v>
      </c>
      <c r="AG285">
        <v>0</v>
      </c>
    </row>
    <row r="286" spans="3:33">
      <c r="C286">
        <v>5360</v>
      </c>
      <c r="D286" t="s">
        <v>537</v>
      </c>
      <c r="E286">
        <v>98320000</v>
      </c>
      <c r="H286" t="s">
        <v>799</v>
      </c>
      <c r="K286" s="3">
        <v>0</v>
      </c>
      <c r="M286" s="3">
        <v>0</v>
      </c>
      <c r="O286" s="3">
        <v>0</v>
      </c>
      <c r="S286" s="3"/>
      <c r="T286" s="3"/>
      <c r="U286" s="3"/>
      <c r="V286" s="3"/>
      <c r="W286" s="3">
        <f t="shared" si="4"/>
        <v>0</v>
      </c>
      <c r="X286" s="44" t="s">
        <v>198</v>
      </c>
      <c r="AA286"/>
      <c r="AC286" s="3">
        <v>0</v>
      </c>
      <c r="AE286">
        <v>0</v>
      </c>
      <c r="AG286">
        <v>0</v>
      </c>
    </row>
    <row r="287" spans="3:33">
      <c r="C287">
        <v>5360</v>
      </c>
      <c r="D287" t="s">
        <v>537</v>
      </c>
      <c r="E287">
        <v>98330000</v>
      </c>
      <c r="H287" t="s">
        <v>800</v>
      </c>
      <c r="K287" s="3">
        <v>0</v>
      </c>
      <c r="M287" s="3">
        <v>0</v>
      </c>
      <c r="O287" s="3">
        <v>0</v>
      </c>
      <c r="S287" s="3"/>
      <c r="T287" s="3"/>
      <c r="U287" s="3"/>
      <c r="V287" s="3"/>
      <c r="W287" s="3">
        <f t="shared" si="4"/>
        <v>0</v>
      </c>
      <c r="X287" s="44" t="s">
        <v>198</v>
      </c>
      <c r="AA287"/>
      <c r="AC287" s="3">
        <v>0</v>
      </c>
      <c r="AE287">
        <v>0</v>
      </c>
      <c r="AG287">
        <v>0</v>
      </c>
    </row>
    <row r="288" spans="3:33">
      <c r="C288">
        <v>5360</v>
      </c>
      <c r="D288" t="s">
        <v>537</v>
      </c>
      <c r="E288">
        <v>98340000</v>
      </c>
      <c r="H288" t="s">
        <v>801</v>
      </c>
      <c r="K288" s="3">
        <v>0</v>
      </c>
      <c r="M288" s="3">
        <v>0</v>
      </c>
      <c r="O288" s="3">
        <v>0</v>
      </c>
      <c r="S288" s="3"/>
      <c r="T288" s="3"/>
      <c r="U288" s="3"/>
      <c r="V288" s="3"/>
      <c r="W288" s="3">
        <f t="shared" si="4"/>
        <v>0</v>
      </c>
      <c r="X288" s="44" t="s">
        <v>198</v>
      </c>
      <c r="AA288"/>
      <c r="AC288" s="3">
        <v>0</v>
      </c>
      <c r="AE288">
        <v>0</v>
      </c>
      <c r="AG288">
        <v>0</v>
      </c>
    </row>
    <row r="289" spans="3:36">
      <c r="C289">
        <v>5360</v>
      </c>
      <c r="D289" t="s">
        <v>537</v>
      </c>
      <c r="E289">
        <v>98350000</v>
      </c>
      <c r="H289" t="s">
        <v>802</v>
      </c>
      <c r="K289" s="3">
        <v>0</v>
      </c>
      <c r="M289" s="3">
        <v>0</v>
      </c>
      <c r="O289" s="3">
        <v>0</v>
      </c>
      <c r="S289" s="3"/>
      <c r="T289" s="3"/>
      <c r="U289" s="3"/>
      <c r="V289" s="3"/>
      <c r="W289" s="3">
        <f t="shared" si="4"/>
        <v>0</v>
      </c>
      <c r="X289" s="44" t="s">
        <v>198</v>
      </c>
      <c r="AA289"/>
      <c r="AC289" s="3">
        <v>0</v>
      </c>
      <c r="AE289">
        <v>0</v>
      </c>
      <c r="AG289">
        <v>0</v>
      </c>
    </row>
    <row r="290" spans="3:36">
      <c r="C290">
        <v>5360</v>
      </c>
      <c r="D290" t="s">
        <v>537</v>
      </c>
      <c r="E290">
        <v>98360000</v>
      </c>
      <c r="H290" t="s">
        <v>763</v>
      </c>
      <c r="K290" s="3">
        <v>0</v>
      </c>
      <c r="M290" s="3">
        <v>0</v>
      </c>
      <c r="O290" s="3">
        <v>0</v>
      </c>
      <c r="S290" s="3"/>
      <c r="T290" s="3"/>
      <c r="U290" s="3"/>
      <c r="V290" s="3"/>
      <c r="W290" s="3">
        <f t="shared" si="4"/>
        <v>0</v>
      </c>
      <c r="X290" s="44" t="s">
        <v>198</v>
      </c>
      <c r="AA290"/>
      <c r="AC290" s="3">
        <v>0</v>
      </c>
      <c r="AE290">
        <v>0</v>
      </c>
      <c r="AG290">
        <v>0</v>
      </c>
    </row>
    <row r="291" spans="3:36">
      <c r="C291">
        <v>5360</v>
      </c>
      <c r="D291" t="s">
        <v>537</v>
      </c>
      <c r="E291">
        <v>98370000</v>
      </c>
      <c r="H291" t="s">
        <v>765</v>
      </c>
      <c r="K291" s="3">
        <v>0</v>
      </c>
      <c r="M291" s="3">
        <v>0</v>
      </c>
      <c r="O291" s="3">
        <v>0</v>
      </c>
      <c r="S291" s="3"/>
      <c r="T291" s="3"/>
      <c r="U291" s="3"/>
      <c r="V291" s="3"/>
      <c r="W291" s="3">
        <f t="shared" si="4"/>
        <v>0</v>
      </c>
      <c r="X291" s="619" t="s">
        <v>198</v>
      </c>
      <c r="AA291"/>
      <c r="AC291" s="3">
        <v>0</v>
      </c>
      <c r="AE291">
        <v>0</v>
      </c>
      <c r="AG291">
        <v>0</v>
      </c>
    </row>
    <row r="292" spans="3:36">
      <c r="E292" t="s">
        <v>803</v>
      </c>
      <c r="K292" s="3">
        <v>0</v>
      </c>
      <c r="M292" s="3">
        <v>0</v>
      </c>
      <c r="O292" s="3">
        <v>0</v>
      </c>
      <c r="R292" t="s">
        <v>650</v>
      </c>
      <c r="S292" s="3">
        <f>SUM(S221:S291)</f>
        <v>0</v>
      </c>
      <c r="T292" s="3">
        <f>SUM(T221:T291)</f>
        <v>0</v>
      </c>
      <c r="U292" s="3">
        <f>SUM(U221:U291)</f>
        <v>0</v>
      </c>
      <c r="V292" s="3">
        <f>SUM(V221:V291)</f>
        <v>0</v>
      </c>
      <c r="W292" s="3">
        <f t="shared" si="4"/>
        <v>0</v>
      </c>
      <c r="X292" s="44"/>
      <c r="AA292"/>
      <c r="AC292" s="3">
        <v>0</v>
      </c>
      <c r="AE292">
        <v>0</v>
      </c>
      <c r="AG292">
        <v>0</v>
      </c>
    </row>
    <row r="293" spans="3:36">
      <c r="C293">
        <v>5360</v>
      </c>
      <c r="D293" t="s">
        <v>537</v>
      </c>
      <c r="E293">
        <v>98400000</v>
      </c>
      <c r="H293" t="s">
        <v>747</v>
      </c>
      <c r="K293" s="3">
        <v>0</v>
      </c>
      <c r="M293" s="3">
        <v>0</v>
      </c>
      <c r="O293" s="3">
        <v>0</v>
      </c>
      <c r="S293" s="3"/>
      <c r="T293" s="3"/>
      <c r="U293" s="3"/>
      <c r="V293" s="3"/>
      <c r="W293" s="3">
        <f t="shared" si="4"/>
        <v>0</v>
      </c>
      <c r="X293" s="44" t="s">
        <v>198</v>
      </c>
      <c r="AA293"/>
      <c r="AC293" s="3">
        <v>0</v>
      </c>
      <c r="AE293">
        <v>0</v>
      </c>
      <c r="AG293">
        <v>0</v>
      </c>
    </row>
    <row r="294" spans="3:36">
      <c r="C294">
        <v>5360</v>
      </c>
      <c r="E294">
        <v>98410000</v>
      </c>
      <c r="H294" t="s">
        <v>804</v>
      </c>
      <c r="K294" s="3">
        <v>2416310.16</v>
      </c>
      <c r="M294" s="3">
        <v>2366263.35</v>
      </c>
      <c r="O294" s="3">
        <v>-50046.81</v>
      </c>
      <c r="Q294">
        <v>-2.1</v>
      </c>
      <c r="S294" s="3"/>
      <c r="T294" s="3"/>
      <c r="U294" s="3"/>
      <c r="V294" s="3"/>
      <c r="W294" s="3">
        <f t="shared" si="4"/>
        <v>2416310.16</v>
      </c>
      <c r="X294" s="44" t="s">
        <v>198</v>
      </c>
      <c r="AA294"/>
      <c r="AC294" s="3">
        <v>2366263.35</v>
      </c>
      <c r="AE294" s="31">
        <v>2366263.35</v>
      </c>
      <c r="AG294" s="31">
        <v>2416310.16</v>
      </c>
      <c r="AJ294" s="31"/>
    </row>
    <row r="295" spans="3:36">
      <c r="C295">
        <v>5360</v>
      </c>
      <c r="E295">
        <v>98420000</v>
      </c>
      <c r="H295" t="s">
        <v>757</v>
      </c>
      <c r="K295" s="3">
        <v>0</v>
      </c>
      <c r="M295" s="3">
        <v>955.13</v>
      </c>
      <c r="O295" s="3">
        <v>955.13</v>
      </c>
      <c r="S295" s="3"/>
      <c r="T295" s="3"/>
      <c r="U295" s="3"/>
      <c r="V295" s="3"/>
      <c r="W295" s="3">
        <f t="shared" si="4"/>
        <v>0</v>
      </c>
      <c r="X295" s="44" t="s">
        <v>198</v>
      </c>
      <c r="AA295"/>
      <c r="AC295" s="3">
        <v>955.13</v>
      </c>
      <c r="AE295">
        <v>955.13</v>
      </c>
      <c r="AG295">
        <v>0</v>
      </c>
      <c r="AJ295" s="31"/>
    </row>
    <row r="296" spans="3:36">
      <c r="C296">
        <v>5360</v>
      </c>
      <c r="D296" t="s">
        <v>537</v>
      </c>
      <c r="E296">
        <v>98421000</v>
      </c>
      <c r="H296" t="s">
        <v>768</v>
      </c>
      <c r="K296" s="3">
        <v>0</v>
      </c>
      <c r="M296" s="3">
        <v>0</v>
      </c>
      <c r="O296" s="3">
        <v>0</v>
      </c>
      <c r="S296" s="3"/>
      <c r="T296" s="3"/>
      <c r="U296" s="3"/>
      <c r="V296" s="3"/>
      <c r="W296" s="3">
        <f t="shared" si="4"/>
        <v>0</v>
      </c>
      <c r="X296" s="44" t="s">
        <v>198</v>
      </c>
      <c r="AA296"/>
      <c r="AC296" s="3">
        <v>0</v>
      </c>
      <c r="AE296">
        <v>0</v>
      </c>
      <c r="AG296">
        <v>0</v>
      </c>
    </row>
    <row r="297" spans="3:36">
      <c r="C297">
        <v>5360</v>
      </c>
      <c r="D297" t="s">
        <v>537</v>
      </c>
      <c r="E297">
        <v>98422000</v>
      </c>
      <c r="H297" t="s">
        <v>769</v>
      </c>
      <c r="K297" s="3">
        <v>0</v>
      </c>
      <c r="M297" s="3">
        <v>0</v>
      </c>
      <c r="O297" s="3">
        <v>0</v>
      </c>
      <c r="S297" s="3"/>
      <c r="T297" s="3"/>
      <c r="U297" s="3"/>
      <c r="V297" s="3"/>
      <c r="W297" s="3">
        <f t="shared" si="4"/>
        <v>0</v>
      </c>
      <c r="X297" s="44" t="s">
        <v>198</v>
      </c>
      <c r="AA297"/>
      <c r="AC297" s="3">
        <v>0</v>
      </c>
      <c r="AE297">
        <v>0</v>
      </c>
      <c r="AG297">
        <v>0</v>
      </c>
    </row>
    <row r="298" spans="3:36">
      <c r="C298">
        <v>5360</v>
      </c>
      <c r="D298" t="s">
        <v>537</v>
      </c>
      <c r="E298">
        <v>98423000</v>
      </c>
      <c r="H298" t="s">
        <v>797</v>
      </c>
      <c r="K298" s="3">
        <v>0</v>
      </c>
      <c r="M298" s="3">
        <v>0</v>
      </c>
      <c r="O298" s="3">
        <v>0</v>
      </c>
      <c r="S298" s="3"/>
      <c r="T298" s="3"/>
      <c r="U298" s="3"/>
      <c r="V298" s="3"/>
      <c r="W298" s="3">
        <f t="shared" si="4"/>
        <v>0</v>
      </c>
      <c r="X298" s="44" t="s">
        <v>198</v>
      </c>
      <c r="AA298"/>
      <c r="AC298" s="3">
        <v>0</v>
      </c>
      <c r="AE298">
        <v>0</v>
      </c>
      <c r="AG298">
        <v>0</v>
      </c>
    </row>
    <row r="299" spans="3:36">
      <c r="C299">
        <v>5360</v>
      </c>
      <c r="D299" t="s">
        <v>537</v>
      </c>
      <c r="E299">
        <v>98440000</v>
      </c>
      <c r="H299" t="s">
        <v>628</v>
      </c>
      <c r="K299" s="3">
        <v>0</v>
      </c>
      <c r="M299" s="3">
        <v>0</v>
      </c>
      <c r="O299" s="3">
        <v>0</v>
      </c>
      <c r="S299" s="3"/>
      <c r="T299" s="3"/>
      <c r="U299" s="3"/>
      <c r="V299" s="3"/>
      <c r="W299" s="3">
        <f t="shared" si="4"/>
        <v>0</v>
      </c>
      <c r="X299" s="44" t="s">
        <v>580</v>
      </c>
      <c r="AA299"/>
      <c r="AC299" s="3">
        <v>0</v>
      </c>
      <c r="AE299">
        <v>0</v>
      </c>
      <c r="AG299">
        <v>0</v>
      </c>
    </row>
    <row r="300" spans="3:36">
      <c r="C300">
        <v>5360</v>
      </c>
      <c r="E300">
        <v>98441000</v>
      </c>
      <c r="H300" t="s">
        <v>747</v>
      </c>
      <c r="K300" s="3">
        <v>3570.69</v>
      </c>
      <c r="M300" s="3">
        <v>37255.22</v>
      </c>
      <c r="O300" s="3">
        <v>33684.53</v>
      </c>
      <c r="Q300">
        <v>943.4</v>
      </c>
      <c r="S300" s="3"/>
      <c r="T300" s="3"/>
      <c r="U300" s="3"/>
      <c r="V300" s="3"/>
      <c r="W300" s="3">
        <f t="shared" si="4"/>
        <v>3570.69</v>
      </c>
      <c r="X300" s="44" t="s">
        <v>198</v>
      </c>
      <c r="AA300"/>
      <c r="AC300" s="3">
        <v>37255.22</v>
      </c>
      <c r="AE300" s="31">
        <v>37255.22</v>
      </c>
      <c r="AG300" s="31">
        <v>3570.69</v>
      </c>
      <c r="AJ300" s="31"/>
    </row>
    <row r="301" spans="3:36">
      <c r="C301">
        <v>5360</v>
      </c>
      <c r="E301">
        <v>98442000</v>
      </c>
      <c r="H301" t="s">
        <v>805</v>
      </c>
      <c r="K301" s="3">
        <v>0</v>
      </c>
      <c r="M301" s="3">
        <v>143.43</v>
      </c>
      <c r="O301" s="3">
        <v>143.43</v>
      </c>
      <c r="S301" s="3"/>
      <c r="T301" s="3"/>
      <c r="U301" s="3"/>
      <c r="V301" s="3"/>
      <c r="W301" s="3">
        <f t="shared" si="4"/>
        <v>0</v>
      </c>
      <c r="X301" s="44" t="s">
        <v>198</v>
      </c>
      <c r="AA301"/>
      <c r="AC301" s="3">
        <v>143.43</v>
      </c>
      <c r="AE301">
        <v>143.43</v>
      </c>
      <c r="AG301">
        <v>0</v>
      </c>
    </row>
    <row r="302" spans="3:36">
      <c r="C302">
        <v>5360</v>
      </c>
      <c r="D302" t="s">
        <v>537</v>
      </c>
      <c r="E302">
        <v>98443000</v>
      </c>
      <c r="H302" t="s">
        <v>806</v>
      </c>
      <c r="K302" s="3">
        <v>0</v>
      </c>
      <c r="M302" s="3">
        <v>0</v>
      </c>
      <c r="O302" s="3">
        <v>0</v>
      </c>
      <c r="S302" s="3"/>
      <c r="T302" s="3"/>
      <c r="U302" s="3"/>
      <c r="V302" s="3"/>
      <c r="W302" s="3">
        <f t="shared" si="4"/>
        <v>0</v>
      </c>
      <c r="X302" s="44" t="s">
        <v>198</v>
      </c>
      <c r="AA302"/>
      <c r="AC302" s="3">
        <v>0</v>
      </c>
      <c r="AE302">
        <v>0</v>
      </c>
      <c r="AG302">
        <v>0</v>
      </c>
    </row>
    <row r="303" spans="3:36">
      <c r="C303">
        <v>5360</v>
      </c>
      <c r="E303">
        <v>98444000</v>
      </c>
      <c r="H303" t="s">
        <v>807</v>
      </c>
      <c r="K303" s="3">
        <v>28055.81</v>
      </c>
      <c r="M303" s="3">
        <v>23819.9</v>
      </c>
      <c r="O303" s="3">
        <v>-4235.91</v>
      </c>
      <c r="Q303">
        <v>-15.1</v>
      </c>
      <c r="S303" s="3"/>
      <c r="T303" s="3"/>
      <c r="U303" s="3"/>
      <c r="V303" s="3"/>
      <c r="W303" s="3">
        <f t="shared" si="4"/>
        <v>28055.81</v>
      </c>
      <c r="X303" s="44" t="s">
        <v>198</v>
      </c>
      <c r="AA303"/>
      <c r="AC303" s="3">
        <v>23819.9</v>
      </c>
      <c r="AE303" s="31">
        <v>23819.9</v>
      </c>
      <c r="AG303" s="31">
        <v>28055.81</v>
      </c>
      <c r="AJ303" s="31"/>
    </row>
    <row r="304" spans="3:36">
      <c r="C304">
        <v>5360</v>
      </c>
      <c r="D304" t="s">
        <v>537</v>
      </c>
      <c r="E304">
        <v>98445000</v>
      </c>
      <c r="H304" t="s">
        <v>808</v>
      </c>
      <c r="K304" s="3">
        <v>0</v>
      </c>
      <c r="M304" s="3">
        <v>0</v>
      </c>
      <c r="O304" s="3">
        <v>0</v>
      </c>
      <c r="S304" s="3"/>
      <c r="T304" s="3"/>
      <c r="U304" s="3"/>
      <c r="V304" s="3"/>
      <c r="W304" s="3">
        <f t="shared" si="4"/>
        <v>0</v>
      </c>
      <c r="X304" s="44" t="s">
        <v>198</v>
      </c>
      <c r="AA304"/>
      <c r="AC304" s="3">
        <v>0</v>
      </c>
      <c r="AE304">
        <v>0</v>
      </c>
      <c r="AG304">
        <v>0</v>
      </c>
    </row>
    <row r="305" spans="3:36">
      <c r="C305">
        <v>5360</v>
      </c>
      <c r="D305" t="s">
        <v>537</v>
      </c>
      <c r="E305">
        <v>98446000</v>
      </c>
      <c r="H305" t="s">
        <v>809</v>
      </c>
      <c r="K305" s="3">
        <v>0</v>
      </c>
      <c r="M305" s="3">
        <v>0</v>
      </c>
      <c r="O305" s="3">
        <v>0</v>
      </c>
      <c r="S305" s="3"/>
      <c r="T305" s="3"/>
      <c r="U305" s="3"/>
      <c r="V305" s="3"/>
      <c r="W305" s="3">
        <f t="shared" si="4"/>
        <v>0</v>
      </c>
      <c r="X305" s="44" t="s">
        <v>198</v>
      </c>
      <c r="AA305"/>
      <c r="AC305" s="3">
        <v>0</v>
      </c>
      <c r="AE305">
        <v>0</v>
      </c>
      <c r="AG305">
        <v>0</v>
      </c>
    </row>
    <row r="306" spans="3:36">
      <c r="C306">
        <v>5360</v>
      </c>
      <c r="D306" t="s">
        <v>537</v>
      </c>
      <c r="E306">
        <v>98447000</v>
      </c>
      <c r="H306" t="s">
        <v>810</v>
      </c>
      <c r="K306" s="3">
        <v>0</v>
      </c>
      <c r="M306" s="3">
        <v>0</v>
      </c>
      <c r="O306" s="3">
        <v>0</v>
      </c>
      <c r="S306" s="3"/>
      <c r="T306" s="3"/>
      <c r="U306" s="3"/>
      <c r="V306" s="3"/>
      <c r="W306" s="3">
        <f t="shared" si="4"/>
        <v>0</v>
      </c>
      <c r="X306" s="44" t="s">
        <v>198</v>
      </c>
      <c r="AA306"/>
      <c r="AC306" s="3">
        <v>0</v>
      </c>
      <c r="AE306">
        <v>0</v>
      </c>
      <c r="AG306">
        <v>0</v>
      </c>
    </row>
    <row r="307" spans="3:36">
      <c r="C307">
        <v>5360</v>
      </c>
      <c r="D307" t="s">
        <v>537</v>
      </c>
      <c r="E307">
        <v>98448000</v>
      </c>
      <c r="H307" t="s">
        <v>811</v>
      </c>
      <c r="K307" s="3">
        <v>0</v>
      </c>
      <c r="M307" s="3">
        <v>0</v>
      </c>
      <c r="O307" s="3">
        <v>0</v>
      </c>
      <c r="S307" s="3"/>
      <c r="T307" s="3"/>
      <c r="U307" s="3"/>
      <c r="V307" s="3"/>
      <c r="W307" s="3">
        <f t="shared" si="4"/>
        <v>0</v>
      </c>
      <c r="X307" s="44" t="s">
        <v>198</v>
      </c>
      <c r="AA307"/>
      <c r="AC307" s="3">
        <v>0</v>
      </c>
      <c r="AE307">
        <v>0</v>
      </c>
      <c r="AG307">
        <v>0</v>
      </c>
    </row>
    <row r="308" spans="3:36">
      <c r="C308">
        <v>5360</v>
      </c>
      <c r="D308" t="s">
        <v>537</v>
      </c>
      <c r="E308">
        <v>98450000</v>
      </c>
      <c r="H308" t="s">
        <v>628</v>
      </c>
      <c r="K308" s="3">
        <v>0</v>
      </c>
      <c r="M308" s="3">
        <v>0</v>
      </c>
      <c r="O308" s="3">
        <v>0</v>
      </c>
      <c r="S308" s="3"/>
      <c r="T308" s="3"/>
      <c r="U308" s="3"/>
      <c r="V308" s="3"/>
      <c r="W308" s="3">
        <f t="shared" si="4"/>
        <v>0</v>
      </c>
      <c r="X308" s="44" t="s">
        <v>580</v>
      </c>
      <c r="AA308"/>
      <c r="AC308" s="3">
        <v>0</v>
      </c>
      <c r="AE308">
        <v>0</v>
      </c>
      <c r="AG308">
        <v>0</v>
      </c>
    </row>
    <row r="309" spans="3:36">
      <c r="C309">
        <v>5360</v>
      </c>
      <c r="E309">
        <v>98451000</v>
      </c>
      <c r="H309" t="s">
        <v>768</v>
      </c>
      <c r="K309" s="3">
        <v>2744.64</v>
      </c>
      <c r="M309" s="3">
        <v>3047.76</v>
      </c>
      <c r="O309" s="3">
        <v>303.12</v>
      </c>
      <c r="Q309">
        <v>11</v>
      </c>
      <c r="S309" s="3"/>
      <c r="T309" s="3"/>
      <c r="U309" s="3"/>
      <c r="V309" s="3"/>
      <c r="W309" s="3">
        <f t="shared" si="4"/>
        <v>2744.64</v>
      </c>
      <c r="X309" s="44" t="s">
        <v>198</v>
      </c>
      <c r="AA309"/>
      <c r="AC309" s="3">
        <v>3047.76</v>
      </c>
      <c r="AE309" s="31">
        <v>3047.76</v>
      </c>
      <c r="AG309" s="31">
        <v>2744.64</v>
      </c>
      <c r="AJ309" s="31"/>
    </row>
    <row r="310" spans="3:36">
      <c r="C310">
        <v>5360</v>
      </c>
      <c r="E310">
        <v>98452000</v>
      </c>
      <c r="H310" t="s">
        <v>769</v>
      </c>
      <c r="K310" s="3">
        <v>6398.07</v>
      </c>
      <c r="M310" s="3">
        <v>11190.48</v>
      </c>
      <c r="O310" s="3">
        <v>4792.41</v>
      </c>
      <c r="Q310">
        <v>74.900000000000006</v>
      </c>
      <c r="S310" s="3"/>
      <c r="T310" s="3"/>
      <c r="U310" s="3"/>
      <c r="V310" s="3"/>
      <c r="W310" s="3">
        <f t="shared" si="4"/>
        <v>6398.07</v>
      </c>
      <c r="X310" s="44" t="s">
        <v>198</v>
      </c>
      <c r="AA310"/>
      <c r="AC310" s="3">
        <v>11190.48</v>
      </c>
      <c r="AE310" s="31">
        <v>11190.48</v>
      </c>
      <c r="AG310" s="31">
        <v>6398.07</v>
      </c>
      <c r="AJ310" s="31"/>
    </row>
    <row r="311" spans="3:36">
      <c r="C311">
        <v>5360</v>
      </c>
      <c r="E311">
        <v>98453000</v>
      </c>
      <c r="H311" t="s">
        <v>757</v>
      </c>
      <c r="K311" s="3">
        <v>0</v>
      </c>
      <c r="M311" s="3">
        <v>0</v>
      </c>
      <c r="O311" s="3">
        <v>0</v>
      </c>
      <c r="S311" s="3"/>
      <c r="T311" s="3"/>
      <c r="U311" s="3"/>
      <c r="V311" s="3"/>
      <c r="W311" s="3">
        <f t="shared" si="4"/>
        <v>0</v>
      </c>
      <c r="X311" s="44" t="s">
        <v>198</v>
      </c>
      <c r="AA311"/>
      <c r="AC311" s="3">
        <v>0</v>
      </c>
      <c r="AE311">
        <v>0</v>
      </c>
      <c r="AG311">
        <v>0</v>
      </c>
      <c r="AJ311" s="31"/>
    </row>
    <row r="312" spans="3:36">
      <c r="C312">
        <v>5360</v>
      </c>
      <c r="D312" t="s">
        <v>537</v>
      </c>
      <c r="E312">
        <v>98454000</v>
      </c>
      <c r="H312" t="s">
        <v>812</v>
      </c>
      <c r="K312" s="3">
        <v>0</v>
      </c>
      <c r="M312" s="3">
        <v>0</v>
      </c>
      <c r="O312" s="3">
        <v>0</v>
      </c>
      <c r="S312" s="3"/>
      <c r="T312" s="3"/>
      <c r="U312" s="3"/>
      <c r="V312" s="3"/>
      <c r="W312" s="3">
        <f t="shared" si="4"/>
        <v>0</v>
      </c>
      <c r="X312" s="44" t="s">
        <v>198</v>
      </c>
      <c r="AA312"/>
      <c r="AC312" s="3">
        <v>0</v>
      </c>
      <c r="AE312">
        <v>0</v>
      </c>
      <c r="AG312">
        <v>0</v>
      </c>
    </row>
    <row r="313" spans="3:36">
      <c r="C313">
        <v>5360</v>
      </c>
      <c r="D313" t="s">
        <v>537</v>
      </c>
      <c r="E313">
        <v>98455000</v>
      </c>
      <c r="H313" t="s">
        <v>813</v>
      </c>
      <c r="K313" s="3">
        <v>0</v>
      </c>
      <c r="M313" s="3">
        <v>0</v>
      </c>
      <c r="O313" s="3">
        <v>0</v>
      </c>
      <c r="S313" s="3"/>
      <c r="T313" s="3"/>
      <c r="U313" s="3"/>
      <c r="V313" s="3"/>
      <c r="W313" s="3">
        <f t="shared" si="4"/>
        <v>0</v>
      </c>
      <c r="X313" s="44" t="s">
        <v>198</v>
      </c>
      <c r="AA313"/>
      <c r="AC313" s="3">
        <v>0</v>
      </c>
      <c r="AE313">
        <v>0</v>
      </c>
      <c r="AG313">
        <v>0</v>
      </c>
    </row>
    <row r="314" spans="3:36">
      <c r="C314">
        <v>5360</v>
      </c>
      <c r="D314" t="s">
        <v>537</v>
      </c>
      <c r="E314">
        <v>98456000</v>
      </c>
      <c r="H314" t="s">
        <v>814</v>
      </c>
      <c r="K314" s="3">
        <v>0</v>
      </c>
      <c r="M314" s="3">
        <v>0</v>
      </c>
      <c r="O314" s="3">
        <v>0</v>
      </c>
      <c r="S314" s="3"/>
      <c r="T314" s="3"/>
      <c r="U314" s="3"/>
      <c r="V314" s="3"/>
      <c r="W314" s="3">
        <f t="shared" si="4"/>
        <v>0</v>
      </c>
      <c r="X314" s="44" t="s">
        <v>198</v>
      </c>
      <c r="AA314"/>
      <c r="AC314" s="3">
        <v>0</v>
      </c>
      <c r="AE314">
        <v>0</v>
      </c>
      <c r="AG314">
        <v>0</v>
      </c>
    </row>
    <row r="315" spans="3:36">
      <c r="C315">
        <v>5360</v>
      </c>
      <c r="D315" t="s">
        <v>537</v>
      </c>
      <c r="E315">
        <v>98460000</v>
      </c>
      <c r="H315" t="s">
        <v>628</v>
      </c>
      <c r="K315" s="3">
        <v>0</v>
      </c>
      <c r="M315" s="3">
        <v>0</v>
      </c>
      <c r="O315" s="3">
        <v>0</v>
      </c>
      <c r="S315" s="3"/>
      <c r="T315" s="3"/>
      <c r="U315" s="3"/>
      <c r="V315" s="3"/>
      <c r="W315" s="3">
        <f t="shared" si="4"/>
        <v>0</v>
      </c>
      <c r="X315" s="44" t="s">
        <v>580</v>
      </c>
      <c r="AA315"/>
      <c r="AC315" s="3">
        <v>0</v>
      </c>
      <c r="AE315">
        <v>0</v>
      </c>
      <c r="AG315">
        <v>0</v>
      </c>
    </row>
    <row r="316" spans="3:36">
      <c r="C316">
        <v>5360</v>
      </c>
      <c r="D316" t="s">
        <v>537</v>
      </c>
      <c r="E316">
        <v>98461000</v>
      </c>
      <c r="H316" t="s">
        <v>797</v>
      </c>
      <c r="K316" s="3">
        <v>0</v>
      </c>
      <c r="M316" s="3">
        <v>0</v>
      </c>
      <c r="O316" s="3">
        <v>0</v>
      </c>
      <c r="S316" s="3"/>
      <c r="T316" s="3"/>
      <c r="U316" s="3"/>
      <c r="V316" s="3"/>
      <c r="W316" s="3">
        <f t="shared" si="4"/>
        <v>0</v>
      </c>
      <c r="X316" s="44" t="s">
        <v>198</v>
      </c>
      <c r="AA316"/>
      <c r="AC316" s="3">
        <v>0</v>
      </c>
      <c r="AE316">
        <v>0</v>
      </c>
      <c r="AG316">
        <v>0</v>
      </c>
    </row>
    <row r="317" spans="3:36">
      <c r="C317">
        <v>5360</v>
      </c>
      <c r="E317">
        <v>98462000</v>
      </c>
      <c r="H317" t="s">
        <v>756</v>
      </c>
      <c r="K317" s="3">
        <v>637270.38</v>
      </c>
      <c r="M317" s="3">
        <v>388505.3</v>
      </c>
      <c r="O317" s="3">
        <v>-248765.08</v>
      </c>
      <c r="Q317">
        <v>-39</v>
      </c>
      <c r="S317" s="3"/>
      <c r="T317" s="3"/>
      <c r="U317" s="3"/>
      <c r="V317" s="3"/>
      <c r="W317" s="3">
        <f t="shared" si="4"/>
        <v>637270.38</v>
      </c>
      <c r="X317" s="44" t="s">
        <v>198</v>
      </c>
      <c r="AA317"/>
      <c r="AC317" s="3">
        <v>388505.3</v>
      </c>
      <c r="AE317" s="31">
        <v>388505.3</v>
      </c>
      <c r="AG317" s="31">
        <v>637270.38</v>
      </c>
      <c r="AJ317" s="31"/>
    </row>
    <row r="318" spans="3:36">
      <c r="C318">
        <v>5360</v>
      </c>
      <c r="D318" t="s">
        <v>537</v>
      </c>
      <c r="E318">
        <v>98500000</v>
      </c>
      <c r="H318" t="s">
        <v>747</v>
      </c>
      <c r="K318" s="3">
        <v>0</v>
      </c>
      <c r="M318" s="3">
        <v>0</v>
      </c>
      <c r="O318" s="3">
        <v>0</v>
      </c>
      <c r="S318" s="3"/>
      <c r="T318" s="3"/>
      <c r="U318" s="3"/>
      <c r="V318" s="3"/>
      <c r="W318" s="3">
        <f t="shared" si="4"/>
        <v>0</v>
      </c>
      <c r="X318" s="44" t="s">
        <v>199</v>
      </c>
      <c r="AA318"/>
      <c r="AC318" s="3">
        <v>0</v>
      </c>
      <c r="AE318">
        <v>0</v>
      </c>
      <c r="AG318">
        <v>0</v>
      </c>
    </row>
    <row r="319" spans="3:36">
      <c r="C319">
        <v>5360</v>
      </c>
      <c r="D319" t="s">
        <v>537</v>
      </c>
      <c r="E319">
        <v>98510000</v>
      </c>
      <c r="H319" t="s">
        <v>811</v>
      </c>
      <c r="K319" s="3">
        <v>0</v>
      </c>
      <c r="M319" s="3">
        <v>0</v>
      </c>
      <c r="O319" s="3">
        <v>0</v>
      </c>
      <c r="S319" s="3"/>
      <c r="T319" s="3"/>
      <c r="U319" s="3"/>
      <c r="V319" s="3"/>
      <c r="W319" s="3">
        <f t="shared" si="4"/>
        <v>0</v>
      </c>
      <c r="X319" s="44" t="s">
        <v>199</v>
      </c>
      <c r="AA319"/>
      <c r="AC319" s="3">
        <v>0</v>
      </c>
      <c r="AE319">
        <v>0</v>
      </c>
      <c r="AG319">
        <v>0</v>
      </c>
    </row>
    <row r="320" spans="3:36">
      <c r="C320">
        <v>5360</v>
      </c>
      <c r="D320" t="s">
        <v>537</v>
      </c>
      <c r="E320">
        <v>98520000</v>
      </c>
      <c r="H320" t="s">
        <v>810</v>
      </c>
      <c r="K320" s="3">
        <v>0</v>
      </c>
      <c r="M320" s="3">
        <v>0</v>
      </c>
      <c r="O320" s="3">
        <v>0</v>
      </c>
      <c r="S320" s="3"/>
      <c r="T320" s="3"/>
      <c r="U320" s="3"/>
      <c r="V320" s="3"/>
      <c r="W320" s="3">
        <f t="shared" si="4"/>
        <v>0</v>
      </c>
      <c r="X320" s="44" t="s">
        <v>199</v>
      </c>
      <c r="AA320"/>
      <c r="AC320" s="3">
        <v>0</v>
      </c>
      <c r="AE320">
        <v>0</v>
      </c>
      <c r="AG320">
        <v>0</v>
      </c>
    </row>
    <row r="321" spans="3:36">
      <c r="C321">
        <v>5360</v>
      </c>
      <c r="D321" t="s">
        <v>537</v>
      </c>
      <c r="E321">
        <v>98530000</v>
      </c>
      <c r="H321" t="s">
        <v>809</v>
      </c>
      <c r="K321" s="3">
        <v>0</v>
      </c>
      <c r="M321" s="3">
        <v>0</v>
      </c>
      <c r="O321" s="3">
        <v>0</v>
      </c>
      <c r="S321" s="3"/>
      <c r="T321" s="3"/>
      <c r="U321" s="3"/>
      <c r="V321" s="3"/>
      <c r="W321" s="3">
        <f t="shared" si="4"/>
        <v>0</v>
      </c>
      <c r="X321" s="44" t="s">
        <v>199</v>
      </c>
      <c r="AA321"/>
      <c r="AC321" s="3">
        <v>0</v>
      </c>
      <c r="AE321">
        <v>0</v>
      </c>
      <c r="AG321">
        <v>0</v>
      </c>
    </row>
    <row r="322" spans="3:36">
      <c r="C322">
        <v>5360</v>
      </c>
      <c r="D322" t="s">
        <v>537</v>
      </c>
      <c r="E322">
        <v>98540000</v>
      </c>
      <c r="H322" t="s">
        <v>815</v>
      </c>
      <c r="K322" s="3">
        <v>0</v>
      </c>
      <c r="M322" s="3">
        <v>0</v>
      </c>
      <c r="O322" s="3">
        <v>0</v>
      </c>
      <c r="S322" s="3"/>
      <c r="T322" s="3"/>
      <c r="U322" s="3"/>
      <c r="V322" s="3"/>
      <c r="W322" s="3">
        <f t="shared" si="4"/>
        <v>0</v>
      </c>
      <c r="X322" s="44" t="s">
        <v>199</v>
      </c>
      <c r="AA322"/>
      <c r="AC322" s="3">
        <v>0</v>
      </c>
      <c r="AE322">
        <v>0</v>
      </c>
      <c r="AG322">
        <v>0</v>
      </c>
    </row>
    <row r="323" spans="3:36">
      <c r="C323">
        <v>5360</v>
      </c>
      <c r="D323" t="s">
        <v>537</v>
      </c>
      <c r="E323">
        <v>98550000</v>
      </c>
      <c r="H323" t="s">
        <v>816</v>
      </c>
      <c r="K323" s="3">
        <v>0</v>
      </c>
      <c r="M323" s="3">
        <v>0</v>
      </c>
      <c r="O323" s="3">
        <v>0</v>
      </c>
      <c r="S323" s="3"/>
      <c r="T323" s="3"/>
      <c r="U323" s="3"/>
      <c r="V323" s="3"/>
      <c r="W323" s="3">
        <f t="shared" si="4"/>
        <v>0</v>
      </c>
      <c r="X323" s="44" t="s">
        <v>199</v>
      </c>
      <c r="AA323"/>
      <c r="AC323" s="3">
        <v>0</v>
      </c>
      <c r="AE323">
        <v>0</v>
      </c>
      <c r="AG323">
        <v>0</v>
      </c>
    </row>
    <row r="324" spans="3:36">
      <c r="C324">
        <v>5360</v>
      </c>
      <c r="E324">
        <v>98560000</v>
      </c>
      <c r="H324" t="s">
        <v>817</v>
      </c>
      <c r="K324" s="3">
        <v>33156.050000000003</v>
      </c>
      <c r="M324" s="3">
        <v>190194.12</v>
      </c>
      <c r="O324" s="3">
        <v>157038.07</v>
      </c>
      <c r="Q324">
        <v>473.6</v>
      </c>
      <c r="S324" s="3"/>
      <c r="T324" s="3"/>
      <c r="U324" s="3"/>
      <c r="V324" s="3"/>
      <c r="W324" s="3">
        <f t="shared" si="4"/>
        <v>33156.050000000003</v>
      </c>
      <c r="X324" s="44" t="s">
        <v>199</v>
      </c>
      <c r="AA324"/>
      <c r="AC324" s="3">
        <v>190194.12</v>
      </c>
      <c r="AE324" s="31">
        <v>190194.12</v>
      </c>
      <c r="AG324" s="31">
        <v>33156.050000000003</v>
      </c>
      <c r="AJ324" s="31"/>
    </row>
    <row r="325" spans="3:36">
      <c r="C325">
        <v>5360</v>
      </c>
      <c r="E325">
        <v>98570000</v>
      </c>
      <c r="H325" t="s">
        <v>818</v>
      </c>
      <c r="K325" s="3">
        <v>926.46</v>
      </c>
      <c r="M325" s="3">
        <v>820.18</v>
      </c>
      <c r="O325" s="3">
        <v>-106.28</v>
      </c>
      <c r="Q325">
        <v>-11.5</v>
      </c>
      <c r="S325" s="3"/>
      <c r="T325" s="3"/>
      <c r="U325" s="3"/>
      <c r="V325" s="3"/>
      <c r="W325" s="3">
        <f t="shared" si="4"/>
        <v>926.46</v>
      </c>
      <c r="X325" s="44" t="s">
        <v>199</v>
      </c>
      <c r="AA325"/>
      <c r="AC325" s="3">
        <v>820.18</v>
      </c>
      <c r="AE325">
        <v>820.18</v>
      </c>
      <c r="AG325">
        <v>926.46</v>
      </c>
      <c r="AJ325" s="31"/>
    </row>
    <row r="326" spans="3:36">
      <c r="C326">
        <v>5360</v>
      </c>
      <c r="D326" t="s">
        <v>537</v>
      </c>
      <c r="E326">
        <v>98580000</v>
      </c>
      <c r="H326" t="s">
        <v>819</v>
      </c>
      <c r="K326" s="3">
        <v>0</v>
      </c>
      <c r="M326" s="3">
        <v>0</v>
      </c>
      <c r="O326" s="3">
        <v>0</v>
      </c>
      <c r="S326" s="3"/>
      <c r="T326" s="3"/>
      <c r="U326" s="3"/>
      <c r="V326" s="3"/>
      <c r="W326" s="3">
        <f t="shared" si="4"/>
        <v>0</v>
      </c>
      <c r="X326" s="44" t="s">
        <v>199</v>
      </c>
      <c r="AA326"/>
      <c r="AC326" s="3">
        <v>0</v>
      </c>
      <c r="AE326">
        <v>0</v>
      </c>
      <c r="AG326">
        <v>0</v>
      </c>
    </row>
    <row r="327" spans="3:36">
      <c r="C327">
        <v>5360</v>
      </c>
      <c r="D327" t="s">
        <v>537</v>
      </c>
      <c r="E327">
        <v>98590000</v>
      </c>
      <c r="H327" t="s">
        <v>756</v>
      </c>
      <c r="K327" s="3">
        <v>0</v>
      </c>
      <c r="M327" s="3">
        <v>0</v>
      </c>
      <c r="O327" s="3">
        <v>0</v>
      </c>
      <c r="S327" s="3"/>
      <c r="T327" s="3"/>
      <c r="U327" s="3"/>
      <c r="V327" s="3"/>
      <c r="W327" s="3">
        <f t="shared" si="4"/>
        <v>0</v>
      </c>
      <c r="X327" s="44" t="s">
        <v>199</v>
      </c>
      <c r="AA327"/>
      <c r="AC327" s="3">
        <v>0</v>
      </c>
      <c r="AE327">
        <v>0</v>
      </c>
      <c r="AG327">
        <v>0</v>
      </c>
    </row>
    <row r="328" spans="3:36">
      <c r="C328">
        <v>5360</v>
      </c>
      <c r="D328" t="s">
        <v>537</v>
      </c>
      <c r="E328">
        <v>98600000</v>
      </c>
      <c r="H328" t="s">
        <v>757</v>
      </c>
      <c r="K328" s="3">
        <v>0</v>
      </c>
      <c r="M328" s="3">
        <v>0</v>
      </c>
      <c r="O328" s="3">
        <v>0</v>
      </c>
      <c r="S328" s="3"/>
      <c r="T328" s="3"/>
      <c r="U328" s="3"/>
      <c r="V328" s="3"/>
      <c r="W328" s="3">
        <f t="shared" si="4"/>
        <v>0</v>
      </c>
      <c r="X328" s="44" t="s">
        <v>199</v>
      </c>
      <c r="AA328"/>
      <c r="AC328" s="3">
        <v>0</v>
      </c>
      <c r="AE328">
        <v>0</v>
      </c>
      <c r="AG328">
        <v>0</v>
      </c>
    </row>
    <row r="329" spans="3:36">
      <c r="C329">
        <v>5360</v>
      </c>
      <c r="E329">
        <v>98610000</v>
      </c>
      <c r="H329" t="s">
        <v>758</v>
      </c>
      <c r="K329" s="3">
        <v>160181.29999999999</v>
      </c>
      <c r="M329" s="3">
        <v>142664.81</v>
      </c>
      <c r="O329" s="3">
        <v>-17516.490000000002</v>
      </c>
      <c r="Q329">
        <v>-10.9</v>
      </c>
      <c r="S329" s="3"/>
      <c r="T329" s="3"/>
      <c r="U329" s="3"/>
      <c r="V329" s="3"/>
      <c r="W329" s="3">
        <f t="shared" ref="W329:W392" si="5">SUM(K329,S329:V329)</f>
        <v>160181.29999999999</v>
      </c>
      <c r="X329" s="44" t="s">
        <v>199</v>
      </c>
      <c r="AA329"/>
      <c r="AC329" s="3">
        <v>142664.81</v>
      </c>
      <c r="AE329" s="31">
        <v>142664.81</v>
      </c>
      <c r="AG329" s="31">
        <v>160181.29999999999</v>
      </c>
      <c r="AJ329" s="31"/>
    </row>
    <row r="330" spans="3:36">
      <c r="C330">
        <v>5360</v>
      </c>
      <c r="D330" t="s">
        <v>537</v>
      </c>
      <c r="E330">
        <v>98620000</v>
      </c>
      <c r="H330" t="s">
        <v>745</v>
      </c>
      <c r="K330" s="3">
        <v>0</v>
      </c>
      <c r="M330" s="3">
        <v>0</v>
      </c>
      <c r="O330" s="3">
        <v>0</v>
      </c>
      <c r="S330" s="3"/>
      <c r="T330" s="3"/>
      <c r="U330" s="3"/>
      <c r="V330" s="3"/>
      <c r="W330" s="3">
        <f t="shared" si="5"/>
        <v>0</v>
      </c>
      <c r="X330" s="44" t="s">
        <v>199</v>
      </c>
      <c r="AA330"/>
      <c r="AC330" s="3">
        <v>0</v>
      </c>
      <c r="AE330">
        <v>0</v>
      </c>
      <c r="AG330">
        <v>0</v>
      </c>
    </row>
    <row r="331" spans="3:36">
      <c r="C331">
        <v>5360</v>
      </c>
      <c r="E331">
        <v>98640000</v>
      </c>
      <c r="H331" t="s">
        <v>801</v>
      </c>
      <c r="K331" s="3">
        <v>0</v>
      </c>
      <c r="M331" s="3">
        <v>870</v>
      </c>
      <c r="O331" s="3">
        <v>870</v>
      </c>
      <c r="S331" s="3"/>
      <c r="T331" s="3"/>
      <c r="U331" s="3"/>
      <c r="V331" s="3"/>
      <c r="W331" s="3">
        <f t="shared" si="5"/>
        <v>0</v>
      </c>
      <c r="X331" s="44" t="s">
        <v>199</v>
      </c>
      <c r="AA331"/>
      <c r="AC331" s="3">
        <v>870</v>
      </c>
      <c r="AE331">
        <v>870</v>
      </c>
      <c r="AG331">
        <v>0</v>
      </c>
    </row>
    <row r="332" spans="3:36">
      <c r="C332">
        <v>5360</v>
      </c>
      <c r="D332" t="s">
        <v>537</v>
      </c>
      <c r="E332">
        <v>98660000</v>
      </c>
      <c r="H332" t="s">
        <v>820</v>
      </c>
      <c r="K332" s="3">
        <v>0</v>
      </c>
      <c r="M332" s="3">
        <v>0</v>
      </c>
      <c r="O332" s="3">
        <v>0</v>
      </c>
      <c r="S332" s="3"/>
      <c r="T332" s="3"/>
      <c r="U332" s="3"/>
      <c r="V332" s="3"/>
      <c r="W332" s="3">
        <f t="shared" si="5"/>
        <v>0</v>
      </c>
      <c r="X332" s="44" t="s">
        <v>199</v>
      </c>
      <c r="AA332"/>
      <c r="AC332" s="3">
        <v>0</v>
      </c>
      <c r="AE332">
        <v>0</v>
      </c>
      <c r="AG332">
        <v>0</v>
      </c>
    </row>
    <row r="333" spans="3:36">
      <c r="C333">
        <v>5360</v>
      </c>
      <c r="D333" t="s">
        <v>537</v>
      </c>
      <c r="E333">
        <v>98670000</v>
      </c>
      <c r="H333" t="s">
        <v>765</v>
      </c>
      <c r="K333" s="3">
        <v>0</v>
      </c>
      <c r="M333" s="3">
        <v>0</v>
      </c>
      <c r="O333" s="3">
        <v>0</v>
      </c>
      <c r="S333" s="3"/>
      <c r="T333" s="3"/>
      <c r="U333" s="3"/>
      <c r="V333" s="3"/>
      <c r="W333" s="3">
        <f t="shared" si="5"/>
        <v>0</v>
      </c>
      <c r="X333" s="44" t="s">
        <v>199</v>
      </c>
      <c r="AA333"/>
      <c r="AC333" s="3">
        <v>0</v>
      </c>
      <c r="AE333">
        <v>0</v>
      </c>
      <c r="AG333">
        <v>0</v>
      </c>
    </row>
    <row r="334" spans="3:36">
      <c r="C334" s="326">
        <v>5360</v>
      </c>
      <c r="D334" s="326"/>
      <c r="E334" s="326">
        <v>98700000</v>
      </c>
      <c r="F334" s="326"/>
      <c r="G334" s="326"/>
      <c r="H334" s="326" t="s">
        <v>747</v>
      </c>
      <c r="I334" s="326"/>
      <c r="J334" s="326"/>
      <c r="K334" s="327">
        <v>2975254.46</v>
      </c>
      <c r="L334" s="326"/>
      <c r="M334" s="327">
        <v>2966789.3</v>
      </c>
      <c r="N334" s="326"/>
      <c r="O334" s="327">
        <v>-8465.16</v>
      </c>
      <c r="Q334">
        <v>-0.3</v>
      </c>
      <c r="S334" s="3"/>
      <c r="T334" s="3"/>
      <c r="U334" s="3"/>
      <c r="V334" s="3"/>
      <c r="W334" s="3">
        <f t="shared" si="5"/>
        <v>2975254.46</v>
      </c>
      <c r="X334" s="44" t="s">
        <v>199</v>
      </c>
      <c r="AA334"/>
      <c r="AC334" s="327">
        <v>2966789.3</v>
      </c>
      <c r="AE334" s="31">
        <v>2966789.3</v>
      </c>
      <c r="AG334" s="31">
        <v>2975254.46</v>
      </c>
      <c r="AJ334" s="31"/>
    </row>
    <row r="335" spans="3:36">
      <c r="C335">
        <v>5360</v>
      </c>
      <c r="E335">
        <v>98710000</v>
      </c>
      <c r="H335" t="s">
        <v>821</v>
      </c>
      <c r="K335" s="3">
        <v>898055.1</v>
      </c>
      <c r="M335" s="3">
        <v>821806.07999999996</v>
      </c>
      <c r="O335" s="3">
        <v>-76249.02</v>
      </c>
      <c r="Q335">
        <v>-8.5</v>
      </c>
      <c r="S335" s="3"/>
      <c r="T335" s="3"/>
      <c r="U335" s="3"/>
      <c r="V335" s="3"/>
      <c r="W335" s="3">
        <f t="shared" si="5"/>
        <v>898055.1</v>
      </c>
      <c r="X335" s="44" t="s">
        <v>200</v>
      </c>
      <c r="AA335"/>
      <c r="AC335" s="3">
        <v>821806.07999999996</v>
      </c>
      <c r="AE335" s="31">
        <v>821806.07999999996</v>
      </c>
      <c r="AG335" s="31">
        <v>898055.1</v>
      </c>
      <c r="AJ335" s="31"/>
    </row>
    <row r="336" spans="3:36">
      <c r="C336">
        <v>5360</v>
      </c>
      <c r="D336" t="s">
        <v>537</v>
      </c>
      <c r="E336">
        <v>98720000</v>
      </c>
      <c r="H336" t="s">
        <v>809</v>
      </c>
      <c r="K336" s="3">
        <v>0</v>
      </c>
      <c r="M336" s="3">
        <v>0</v>
      </c>
      <c r="O336" s="3">
        <v>0</v>
      </c>
      <c r="S336" s="3"/>
      <c r="T336" s="3"/>
      <c r="U336" s="3"/>
      <c r="V336" s="3"/>
      <c r="W336" s="3">
        <f t="shared" si="5"/>
        <v>0</v>
      </c>
      <c r="X336" s="44" t="s">
        <v>200</v>
      </c>
      <c r="AA336"/>
      <c r="AC336" s="3">
        <v>0</v>
      </c>
      <c r="AE336">
        <v>0</v>
      </c>
      <c r="AG336">
        <v>0</v>
      </c>
    </row>
    <row r="337" spans="3:36">
      <c r="C337">
        <v>5360</v>
      </c>
      <c r="E337">
        <v>98730000</v>
      </c>
      <c r="H337" t="s">
        <v>793</v>
      </c>
      <c r="K337" s="3">
        <v>17116.38</v>
      </c>
      <c r="M337" s="3">
        <v>12524.56</v>
      </c>
      <c r="O337" s="3">
        <v>-4591.82</v>
      </c>
      <c r="Q337">
        <v>-26.8</v>
      </c>
      <c r="S337" s="3"/>
      <c r="T337" s="3"/>
      <c r="U337" s="3"/>
      <c r="V337" s="3"/>
      <c r="W337" s="3">
        <f t="shared" si="5"/>
        <v>17116.38</v>
      </c>
      <c r="X337" s="44" t="s">
        <v>200</v>
      </c>
      <c r="AA337"/>
      <c r="AC337" s="3">
        <v>12524.56</v>
      </c>
      <c r="AE337" s="31">
        <v>12524.56</v>
      </c>
      <c r="AG337" s="31">
        <v>17116.38</v>
      </c>
      <c r="AJ337" s="31"/>
    </row>
    <row r="338" spans="3:36">
      <c r="C338">
        <v>5360</v>
      </c>
      <c r="E338">
        <v>98740000</v>
      </c>
      <c r="H338" t="s">
        <v>822</v>
      </c>
      <c r="K338" s="3">
        <v>7051491.3700000001</v>
      </c>
      <c r="M338" s="3">
        <v>6497828.8899999997</v>
      </c>
      <c r="O338" s="3">
        <v>-553662.48</v>
      </c>
      <c r="Q338">
        <v>-7.9</v>
      </c>
      <c r="S338" s="3"/>
      <c r="T338" s="3"/>
      <c r="U338" s="3"/>
      <c r="V338" s="3"/>
      <c r="W338" s="3">
        <f t="shared" si="5"/>
        <v>7051491.3700000001</v>
      </c>
      <c r="X338" s="44" t="s">
        <v>200</v>
      </c>
      <c r="AA338"/>
      <c r="AC338" s="3">
        <v>6497828.8899999997</v>
      </c>
      <c r="AE338" s="31">
        <v>6497828.8899999997</v>
      </c>
      <c r="AG338" s="31">
        <v>7051491.3700000001</v>
      </c>
      <c r="AJ338" s="31"/>
    </row>
    <row r="339" spans="3:36">
      <c r="C339">
        <v>5360</v>
      </c>
      <c r="E339">
        <v>98750000</v>
      </c>
      <c r="H339" t="s">
        <v>823</v>
      </c>
      <c r="K339" s="3">
        <v>703533.56</v>
      </c>
      <c r="M339" s="3">
        <v>700531.59</v>
      </c>
      <c r="O339" s="3">
        <v>-3001.97</v>
      </c>
      <c r="Q339">
        <v>-0.4</v>
      </c>
      <c r="S339" s="3"/>
      <c r="T339" s="3"/>
      <c r="U339" s="3"/>
      <c r="V339" s="3"/>
      <c r="W339" s="3">
        <f t="shared" si="5"/>
        <v>703533.56</v>
      </c>
      <c r="X339" s="44" t="s">
        <v>200</v>
      </c>
      <c r="AA339"/>
      <c r="AC339" s="3">
        <v>700531.59</v>
      </c>
      <c r="AE339" s="31">
        <v>700531.59</v>
      </c>
      <c r="AG339" s="31">
        <v>703533.56</v>
      </c>
      <c r="AJ339" s="31"/>
    </row>
    <row r="340" spans="3:36">
      <c r="C340">
        <v>5360</v>
      </c>
      <c r="E340">
        <v>98760000</v>
      </c>
      <c r="H340" t="s">
        <v>824</v>
      </c>
      <c r="K340" s="3">
        <v>0</v>
      </c>
      <c r="M340" s="3">
        <v>0</v>
      </c>
      <c r="O340" s="3">
        <v>0</v>
      </c>
      <c r="S340" s="3"/>
      <c r="T340" s="3"/>
      <c r="U340" s="3"/>
      <c r="V340" s="3"/>
      <c r="W340" s="3">
        <f t="shared" si="5"/>
        <v>0</v>
      </c>
      <c r="X340" s="44" t="s">
        <v>200</v>
      </c>
      <c r="AA340"/>
      <c r="AC340" s="3">
        <v>0</v>
      </c>
      <c r="AE340">
        <v>0</v>
      </c>
      <c r="AG340">
        <v>0</v>
      </c>
      <c r="AJ340" s="31"/>
    </row>
    <row r="341" spans="3:36">
      <c r="C341">
        <v>5360</v>
      </c>
      <c r="D341" t="s">
        <v>537</v>
      </c>
      <c r="E341">
        <v>98770000</v>
      </c>
      <c r="H341" t="s">
        <v>825</v>
      </c>
      <c r="K341" s="3">
        <v>0</v>
      </c>
      <c r="M341" s="3">
        <v>0</v>
      </c>
      <c r="O341" s="3">
        <v>0</v>
      </c>
      <c r="S341" s="3"/>
      <c r="T341" s="3"/>
      <c r="U341" s="3"/>
      <c r="V341" s="3"/>
      <c r="W341" s="3">
        <f t="shared" si="5"/>
        <v>0</v>
      </c>
      <c r="X341" s="44" t="s">
        <v>200</v>
      </c>
      <c r="AA341"/>
      <c r="AC341" s="3">
        <v>0</v>
      </c>
      <c r="AE341">
        <v>0</v>
      </c>
      <c r="AG341">
        <v>0</v>
      </c>
    </row>
    <row r="342" spans="3:36">
      <c r="C342" s="326">
        <v>5360</v>
      </c>
      <c r="D342" s="326"/>
      <c r="E342" s="326">
        <v>98780000</v>
      </c>
      <c r="F342" s="326"/>
      <c r="G342" s="326"/>
      <c r="H342" s="326" t="s">
        <v>826</v>
      </c>
      <c r="I342" s="326"/>
      <c r="J342" s="326"/>
      <c r="K342" s="327">
        <v>5124605.38</v>
      </c>
      <c r="L342" s="326"/>
      <c r="M342" s="327">
        <v>5278802.46</v>
      </c>
      <c r="N342" s="326"/>
      <c r="O342" s="327">
        <v>154197.07999999999</v>
      </c>
      <c r="Q342">
        <v>3</v>
      </c>
      <c r="S342" s="3">
        <v>45594</v>
      </c>
      <c r="T342" s="3"/>
      <c r="U342" s="3"/>
      <c r="V342" s="3"/>
      <c r="W342" s="3">
        <f t="shared" si="5"/>
        <v>5170199.38</v>
      </c>
      <c r="X342" s="44" t="s">
        <v>200</v>
      </c>
      <c r="AA342"/>
      <c r="AC342" s="327">
        <v>5278802.46</v>
      </c>
      <c r="AE342" s="31">
        <v>5278802.46</v>
      </c>
      <c r="AG342" s="31">
        <v>5124605.38</v>
      </c>
      <c r="AJ342" s="31"/>
    </row>
    <row r="343" spans="3:36">
      <c r="C343">
        <v>5360</v>
      </c>
      <c r="E343">
        <v>98790000</v>
      </c>
      <c r="H343" t="s">
        <v>827</v>
      </c>
      <c r="K343" s="3">
        <v>52762.03</v>
      </c>
      <c r="M343" s="3">
        <v>39584.980000000003</v>
      </c>
      <c r="O343" s="3">
        <v>-13177.05</v>
      </c>
      <c r="Q343">
        <v>-25</v>
      </c>
      <c r="S343" s="3"/>
      <c r="T343" s="3"/>
      <c r="U343" s="3"/>
      <c r="V343" s="3"/>
      <c r="W343" s="3">
        <f t="shared" si="5"/>
        <v>52762.03</v>
      </c>
      <c r="X343" s="44" t="s">
        <v>200</v>
      </c>
      <c r="AA343"/>
      <c r="AC343" s="3">
        <v>39584.980000000003</v>
      </c>
      <c r="AE343" s="31">
        <v>39584.980000000003</v>
      </c>
      <c r="AG343" s="31">
        <v>52762.03</v>
      </c>
      <c r="AJ343" s="31"/>
    </row>
    <row r="344" spans="3:36">
      <c r="C344">
        <v>5360</v>
      </c>
      <c r="E344">
        <v>98800000</v>
      </c>
      <c r="H344" t="s">
        <v>756</v>
      </c>
      <c r="K344" s="3">
        <v>3255582.33</v>
      </c>
      <c r="M344" s="3">
        <v>4532772.07</v>
      </c>
      <c r="O344" s="3">
        <v>1277189.74</v>
      </c>
      <c r="Q344">
        <v>39.200000000000003</v>
      </c>
      <c r="S344" s="3"/>
      <c r="T344" s="3"/>
      <c r="U344" s="3"/>
      <c r="V344" s="3"/>
      <c r="W344" s="3">
        <f t="shared" si="5"/>
        <v>3255582.33</v>
      </c>
      <c r="X344" s="44" t="s">
        <v>200</v>
      </c>
      <c r="AA344"/>
      <c r="AC344" s="3">
        <v>4532772.07</v>
      </c>
      <c r="AE344" s="31">
        <v>4532772.07</v>
      </c>
      <c r="AG344" s="31">
        <v>3255582.33</v>
      </c>
      <c r="AJ344" s="31"/>
    </row>
    <row r="345" spans="3:36">
      <c r="C345">
        <v>5360</v>
      </c>
      <c r="D345" t="s">
        <v>537</v>
      </c>
      <c r="E345">
        <v>98810000</v>
      </c>
      <c r="H345" t="s">
        <v>757</v>
      </c>
      <c r="K345" s="3">
        <v>0</v>
      </c>
      <c r="M345" s="3">
        <v>0</v>
      </c>
      <c r="O345" s="3">
        <v>0</v>
      </c>
      <c r="S345" s="3">
        <v>50</v>
      </c>
      <c r="T345" s="3"/>
      <c r="U345" s="3"/>
      <c r="V345" s="3"/>
      <c r="W345" s="3">
        <f t="shared" si="5"/>
        <v>50</v>
      </c>
      <c r="X345" s="619" t="s">
        <v>200</v>
      </c>
      <c r="AA345"/>
      <c r="AC345" s="3">
        <v>0</v>
      </c>
      <c r="AE345">
        <v>0</v>
      </c>
      <c r="AG345">
        <v>0</v>
      </c>
    </row>
    <row r="346" spans="3:36">
      <c r="E346" t="s">
        <v>828</v>
      </c>
      <c r="K346" s="3">
        <v>23367014.170000002</v>
      </c>
      <c r="M346" s="3">
        <v>24016369.609999999</v>
      </c>
      <c r="O346" s="3">
        <v>649355.43999999994</v>
      </c>
      <c r="Q346">
        <v>2.8</v>
      </c>
      <c r="R346" t="s">
        <v>650</v>
      </c>
      <c r="S346" s="3">
        <f>SUM(S293:S345)</f>
        <v>45644</v>
      </c>
      <c r="T346" s="3">
        <f>SUM(T293:T345)</f>
        <v>0</v>
      </c>
      <c r="U346" s="3">
        <f>SUM(U293:U345)</f>
        <v>0</v>
      </c>
      <c r="V346" s="3">
        <f>SUM(V293:V345)</f>
        <v>0</v>
      </c>
      <c r="W346" s="3">
        <f t="shared" si="5"/>
        <v>23412658.170000002</v>
      </c>
      <c r="X346" s="44"/>
      <c r="AA346"/>
      <c r="AC346" s="3">
        <v>24016369.609999999</v>
      </c>
      <c r="AE346" s="31">
        <v>24016369.609999999</v>
      </c>
      <c r="AG346" s="31">
        <v>23367014.170000002</v>
      </c>
      <c r="AJ346" s="31"/>
    </row>
    <row r="347" spans="3:36">
      <c r="C347">
        <v>5360</v>
      </c>
      <c r="D347" t="s">
        <v>537</v>
      </c>
      <c r="E347">
        <v>98430000</v>
      </c>
      <c r="H347" t="s">
        <v>628</v>
      </c>
      <c r="K347" s="3">
        <v>0</v>
      </c>
      <c r="M347" s="3">
        <v>0</v>
      </c>
      <c r="O347" s="3">
        <v>0</v>
      </c>
      <c r="S347" s="3"/>
      <c r="T347" s="3"/>
      <c r="U347" s="3"/>
      <c r="V347" s="3"/>
      <c r="W347" s="3">
        <f t="shared" si="5"/>
        <v>0</v>
      </c>
      <c r="X347" s="44" t="s">
        <v>580</v>
      </c>
      <c r="AA347"/>
      <c r="AC347" s="3">
        <v>0</v>
      </c>
      <c r="AE347">
        <v>0</v>
      </c>
      <c r="AG347">
        <v>0</v>
      </c>
    </row>
    <row r="348" spans="3:36">
      <c r="C348">
        <v>5360</v>
      </c>
      <c r="D348" t="s">
        <v>537</v>
      </c>
      <c r="E348">
        <v>98431000</v>
      </c>
      <c r="H348" t="s">
        <v>758</v>
      </c>
      <c r="K348" s="3">
        <v>0</v>
      </c>
      <c r="M348" s="3">
        <v>0</v>
      </c>
      <c r="O348" s="3">
        <v>0</v>
      </c>
      <c r="S348" s="3"/>
      <c r="T348" s="3"/>
      <c r="U348" s="3"/>
      <c r="V348" s="3"/>
      <c r="W348" s="3">
        <f t="shared" si="5"/>
        <v>0</v>
      </c>
      <c r="X348" s="44" t="s">
        <v>198</v>
      </c>
      <c r="AA348"/>
      <c r="AC348" s="3">
        <v>0</v>
      </c>
      <c r="AE348">
        <v>0</v>
      </c>
      <c r="AG348">
        <v>0</v>
      </c>
    </row>
    <row r="349" spans="3:36">
      <c r="C349">
        <v>5360</v>
      </c>
      <c r="D349" t="s">
        <v>537</v>
      </c>
      <c r="E349">
        <v>98432000</v>
      </c>
      <c r="H349" t="s">
        <v>745</v>
      </c>
      <c r="K349" s="3">
        <v>0</v>
      </c>
      <c r="M349" s="3">
        <v>0</v>
      </c>
      <c r="O349" s="3">
        <v>0</v>
      </c>
      <c r="S349" s="3"/>
      <c r="T349" s="3"/>
      <c r="U349" s="3"/>
      <c r="V349" s="3"/>
      <c r="W349" s="3">
        <f t="shared" si="5"/>
        <v>0</v>
      </c>
      <c r="X349" s="44" t="s">
        <v>198</v>
      </c>
      <c r="AA349"/>
      <c r="AC349" s="3">
        <v>0</v>
      </c>
      <c r="AE349">
        <v>0</v>
      </c>
      <c r="AG349">
        <v>0</v>
      </c>
    </row>
    <row r="350" spans="3:36">
      <c r="C350">
        <v>5360</v>
      </c>
      <c r="D350" t="s">
        <v>537</v>
      </c>
      <c r="E350">
        <v>98433000</v>
      </c>
      <c r="H350" t="s">
        <v>829</v>
      </c>
      <c r="K350" s="3">
        <v>0</v>
      </c>
      <c r="M350" s="3">
        <v>0</v>
      </c>
      <c r="O350" s="3">
        <v>0</v>
      </c>
      <c r="S350" s="3"/>
      <c r="T350" s="3"/>
      <c r="U350" s="3"/>
      <c r="V350" s="3"/>
      <c r="W350" s="3">
        <f t="shared" si="5"/>
        <v>0</v>
      </c>
      <c r="X350" s="44" t="s">
        <v>198</v>
      </c>
      <c r="AA350"/>
      <c r="AC350" s="3">
        <v>0</v>
      </c>
      <c r="AE350">
        <v>0</v>
      </c>
      <c r="AG350">
        <v>0</v>
      </c>
    </row>
    <row r="351" spans="3:36">
      <c r="C351">
        <v>5360</v>
      </c>
      <c r="D351" t="s">
        <v>537</v>
      </c>
      <c r="E351">
        <v>98434000</v>
      </c>
      <c r="H351" t="s">
        <v>763</v>
      </c>
      <c r="K351" s="3">
        <v>0</v>
      </c>
      <c r="M351" s="3">
        <v>0</v>
      </c>
      <c r="O351" s="3">
        <v>0</v>
      </c>
      <c r="S351" s="3"/>
      <c r="T351" s="3"/>
      <c r="U351" s="3"/>
      <c r="V351" s="3"/>
      <c r="W351" s="3">
        <f t="shared" si="5"/>
        <v>0</v>
      </c>
      <c r="X351" s="44" t="s">
        <v>198</v>
      </c>
      <c r="AA351"/>
      <c r="AC351" s="3">
        <v>0</v>
      </c>
      <c r="AE351">
        <v>0</v>
      </c>
      <c r="AG351">
        <v>0</v>
      </c>
    </row>
    <row r="352" spans="3:36">
      <c r="C352">
        <v>5360</v>
      </c>
      <c r="D352" t="s">
        <v>537</v>
      </c>
      <c r="E352">
        <v>98435000</v>
      </c>
      <c r="H352" t="s">
        <v>830</v>
      </c>
      <c r="K352" s="3">
        <v>0</v>
      </c>
      <c r="M352" s="3">
        <v>0</v>
      </c>
      <c r="O352" s="3">
        <v>0</v>
      </c>
      <c r="S352" s="3"/>
      <c r="T352" s="3"/>
      <c r="U352" s="3"/>
      <c r="V352" s="3"/>
      <c r="W352" s="3">
        <f t="shared" si="5"/>
        <v>0</v>
      </c>
      <c r="X352" s="44" t="s">
        <v>198</v>
      </c>
      <c r="AA352"/>
      <c r="AC352" s="3">
        <v>0</v>
      </c>
      <c r="AE352">
        <v>0</v>
      </c>
      <c r="AG352">
        <v>0</v>
      </c>
    </row>
    <row r="353" spans="3:36">
      <c r="C353">
        <v>5360</v>
      </c>
      <c r="E353">
        <v>98436000</v>
      </c>
      <c r="H353" t="s">
        <v>831</v>
      </c>
      <c r="K353" s="3">
        <v>24959.61</v>
      </c>
      <c r="M353" s="3">
        <v>39137.279999999999</v>
      </c>
      <c r="O353" s="3">
        <v>14177.67</v>
      </c>
      <c r="Q353">
        <v>56.8</v>
      </c>
      <c r="S353" s="3"/>
      <c r="T353" s="3"/>
      <c r="U353" s="3"/>
      <c r="V353" s="3"/>
      <c r="W353" s="3">
        <f t="shared" si="5"/>
        <v>24959.61</v>
      </c>
      <c r="X353" s="44" t="s">
        <v>198</v>
      </c>
      <c r="AA353"/>
      <c r="AC353" s="3">
        <v>39137.279999999999</v>
      </c>
      <c r="AE353" s="31">
        <v>39137.279999999999</v>
      </c>
      <c r="AG353" s="31">
        <v>24959.61</v>
      </c>
      <c r="AJ353" s="31"/>
    </row>
    <row r="354" spans="3:36">
      <c r="C354">
        <v>5360</v>
      </c>
      <c r="D354" t="s">
        <v>537</v>
      </c>
      <c r="E354">
        <v>98437000</v>
      </c>
      <c r="H354" t="s">
        <v>781</v>
      </c>
      <c r="K354" s="3">
        <v>0</v>
      </c>
      <c r="M354" s="3">
        <v>0</v>
      </c>
      <c r="O354" s="3">
        <v>0</v>
      </c>
      <c r="S354" s="3"/>
      <c r="T354" s="3"/>
      <c r="U354" s="3"/>
      <c r="V354" s="3"/>
      <c r="W354" s="3">
        <f t="shared" si="5"/>
        <v>0</v>
      </c>
      <c r="X354" s="44" t="s">
        <v>198</v>
      </c>
      <c r="AA354"/>
      <c r="AC354" s="3">
        <v>0</v>
      </c>
      <c r="AE354">
        <v>0</v>
      </c>
      <c r="AG354">
        <v>0</v>
      </c>
    </row>
    <row r="355" spans="3:36">
      <c r="C355">
        <v>5360</v>
      </c>
      <c r="D355" t="s">
        <v>537</v>
      </c>
      <c r="E355">
        <v>98438000</v>
      </c>
      <c r="H355" t="s">
        <v>832</v>
      </c>
      <c r="K355" s="3">
        <v>0</v>
      </c>
      <c r="M355" s="3">
        <v>0</v>
      </c>
      <c r="O355" s="3">
        <v>0</v>
      </c>
      <c r="S355" s="3"/>
      <c r="T355" s="3"/>
      <c r="U355" s="3"/>
      <c r="V355" s="3"/>
      <c r="W355" s="3">
        <f t="shared" si="5"/>
        <v>0</v>
      </c>
      <c r="X355" s="44" t="s">
        <v>198</v>
      </c>
      <c r="AA355"/>
      <c r="AC355" s="3">
        <v>0</v>
      </c>
      <c r="AE355">
        <v>0</v>
      </c>
      <c r="AG355">
        <v>0</v>
      </c>
      <c r="AJ355" s="31"/>
    </row>
    <row r="356" spans="3:36">
      <c r="C356">
        <v>5360</v>
      </c>
      <c r="D356" t="s">
        <v>537</v>
      </c>
      <c r="E356">
        <v>98439000</v>
      </c>
      <c r="H356" t="s">
        <v>765</v>
      </c>
      <c r="K356" s="3">
        <v>0</v>
      </c>
      <c r="M356" s="3">
        <v>0</v>
      </c>
      <c r="O356" s="3">
        <v>0</v>
      </c>
      <c r="S356" s="3"/>
      <c r="T356" s="3"/>
      <c r="U356" s="3"/>
      <c r="V356" s="3"/>
      <c r="W356" s="3">
        <f t="shared" si="5"/>
        <v>0</v>
      </c>
      <c r="X356" s="44" t="s">
        <v>198</v>
      </c>
      <c r="AA356"/>
      <c r="AC356" s="3">
        <v>0</v>
      </c>
      <c r="AE356">
        <v>0</v>
      </c>
      <c r="AG356">
        <v>0</v>
      </c>
    </row>
    <row r="357" spans="3:36">
      <c r="C357">
        <v>5360</v>
      </c>
      <c r="D357" t="s">
        <v>537</v>
      </c>
      <c r="E357">
        <v>98470000</v>
      </c>
      <c r="H357" t="s">
        <v>628</v>
      </c>
      <c r="K357" s="3">
        <v>0</v>
      </c>
      <c r="M357" s="3">
        <v>0</v>
      </c>
      <c r="O357" s="3">
        <v>0</v>
      </c>
      <c r="S357" s="3"/>
      <c r="T357" s="3"/>
      <c r="U357" s="3"/>
      <c r="V357" s="3"/>
      <c r="W357" s="3">
        <f t="shared" si="5"/>
        <v>0</v>
      </c>
      <c r="X357" s="44" t="s">
        <v>580</v>
      </c>
      <c r="AA357"/>
      <c r="AC357" s="3">
        <v>0</v>
      </c>
      <c r="AE357">
        <v>0</v>
      </c>
      <c r="AG357">
        <v>0</v>
      </c>
    </row>
    <row r="358" spans="3:36">
      <c r="C358">
        <v>5360</v>
      </c>
      <c r="D358" t="s">
        <v>537</v>
      </c>
      <c r="E358">
        <v>98471000</v>
      </c>
      <c r="H358" t="s">
        <v>758</v>
      </c>
      <c r="K358" s="3">
        <v>0</v>
      </c>
      <c r="M358" s="3">
        <v>0</v>
      </c>
      <c r="O358" s="3">
        <v>0</v>
      </c>
      <c r="S358" s="3"/>
      <c r="T358" s="3"/>
      <c r="U358" s="3"/>
      <c r="V358" s="3"/>
      <c r="W358" s="3">
        <f t="shared" si="5"/>
        <v>0</v>
      </c>
      <c r="X358" s="44" t="s">
        <v>198</v>
      </c>
      <c r="AA358"/>
      <c r="AC358" s="3">
        <v>0</v>
      </c>
      <c r="AE358">
        <v>0</v>
      </c>
      <c r="AG358">
        <v>0</v>
      </c>
    </row>
    <row r="359" spans="3:36">
      <c r="C359">
        <v>5360</v>
      </c>
      <c r="E359">
        <v>98472000</v>
      </c>
      <c r="H359" t="s">
        <v>745</v>
      </c>
      <c r="K359" s="3">
        <v>105414.79</v>
      </c>
      <c r="M359" s="3">
        <v>76360.73</v>
      </c>
      <c r="O359" s="3">
        <v>-29054.06</v>
      </c>
      <c r="Q359">
        <v>-27.6</v>
      </c>
      <c r="S359" s="3"/>
      <c r="T359" s="3"/>
      <c r="U359" s="3"/>
      <c r="V359" s="3"/>
      <c r="W359" s="3">
        <f t="shared" si="5"/>
        <v>105414.79</v>
      </c>
      <c r="X359" s="44" t="s">
        <v>198</v>
      </c>
      <c r="AA359"/>
      <c r="AC359" s="3">
        <v>76360.73</v>
      </c>
      <c r="AE359" s="31">
        <v>76360.73</v>
      </c>
      <c r="AG359" s="31">
        <v>105414.79</v>
      </c>
      <c r="AJ359" s="31"/>
    </row>
    <row r="360" spans="3:36">
      <c r="C360">
        <v>5360</v>
      </c>
      <c r="E360">
        <v>98473000</v>
      </c>
      <c r="H360" t="s">
        <v>833</v>
      </c>
      <c r="K360" s="3">
        <v>8991</v>
      </c>
      <c r="M360" s="3">
        <v>4885</v>
      </c>
      <c r="O360" s="3">
        <v>-4106</v>
      </c>
      <c r="Q360">
        <v>-45.7</v>
      </c>
      <c r="S360" s="3"/>
      <c r="T360" s="3"/>
      <c r="U360" s="3"/>
      <c r="V360" s="3"/>
      <c r="W360" s="3">
        <f t="shared" si="5"/>
        <v>8991</v>
      </c>
      <c r="X360" s="44" t="s">
        <v>198</v>
      </c>
      <c r="AA360"/>
      <c r="AC360" s="3">
        <v>4885</v>
      </c>
      <c r="AE360" s="31">
        <v>4885</v>
      </c>
      <c r="AG360" s="31">
        <v>8991</v>
      </c>
      <c r="AJ360" s="31"/>
    </row>
    <row r="361" spans="3:36">
      <c r="C361">
        <v>5360</v>
      </c>
      <c r="D361" t="s">
        <v>537</v>
      </c>
      <c r="E361">
        <v>98474000</v>
      </c>
      <c r="H361" t="s">
        <v>834</v>
      </c>
      <c r="K361" s="3">
        <v>0</v>
      </c>
      <c r="M361" s="3">
        <v>0</v>
      </c>
      <c r="O361" s="3">
        <v>0</v>
      </c>
      <c r="S361" s="3"/>
      <c r="T361" s="3"/>
      <c r="U361" s="3"/>
      <c r="V361" s="3"/>
      <c r="W361" s="3">
        <f t="shared" si="5"/>
        <v>0</v>
      </c>
      <c r="X361" s="44" t="s">
        <v>198</v>
      </c>
      <c r="AA361"/>
      <c r="AC361" s="3">
        <v>0</v>
      </c>
      <c r="AE361">
        <v>0</v>
      </c>
      <c r="AG361">
        <v>0</v>
      </c>
    </row>
    <row r="362" spans="3:36">
      <c r="C362">
        <v>5360</v>
      </c>
      <c r="E362">
        <v>98475000</v>
      </c>
      <c r="H362" t="s">
        <v>832</v>
      </c>
      <c r="K362" s="3">
        <v>13044.73</v>
      </c>
      <c r="M362" s="3">
        <v>23372.41</v>
      </c>
      <c r="O362" s="3">
        <v>10327.68</v>
      </c>
      <c r="Q362">
        <v>79.2</v>
      </c>
      <c r="S362" s="3"/>
      <c r="T362" s="3"/>
      <c r="U362" s="3"/>
      <c r="V362" s="3"/>
      <c r="W362" s="3">
        <f t="shared" si="5"/>
        <v>13044.73</v>
      </c>
      <c r="X362" s="44" t="s">
        <v>198</v>
      </c>
      <c r="AA362"/>
      <c r="AC362" s="3">
        <v>23372.41</v>
      </c>
      <c r="AE362" s="31">
        <v>23372.41</v>
      </c>
      <c r="AG362" s="31">
        <v>13044.73</v>
      </c>
      <c r="AJ362" s="31"/>
    </row>
    <row r="363" spans="3:36">
      <c r="C363">
        <v>5360</v>
      </c>
      <c r="D363" t="s">
        <v>537</v>
      </c>
      <c r="E363">
        <v>98476000</v>
      </c>
      <c r="H363" t="s">
        <v>801</v>
      </c>
      <c r="K363" s="3">
        <v>0</v>
      </c>
      <c r="M363" s="3">
        <v>0</v>
      </c>
      <c r="O363" s="3">
        <v>0</v>
      </c>
      <c r="S363" s="3"/>
      <c r="T363" s="3"/>
      <c r="U363" s="3"/>
      <c r="V363" s="3"/>
      <c r="W363" s="3">
        <f t="shared" si="5"/>
        <v>0</v>
      </c>
      <c r="X363" s="44" t="s">
        <v>198</v>
      </c>
      <c r="AA363"/>
      <c r="AC363" s="3">
        <v>0</v>
      </c>
      <c r="AE363">
        <v>0</v>
      </c>
      <c r="AG363">
        <v>0</v>
      </c>
    </row>
    <row r="364" spans="3:36">
      <c r="C364">
        <v>5360</v>
      </c>
      <c r="D364" t="s">
        <v>537</v>
      </c>
      <c r="E364">
        <v>98477000</v>
      </c>
      <c r="H364" t="s">
        <v>820</v>
      </c>
      <c r="K364" s="3">
        <v>0</v>
      </c>
      <c r="M364" s="3">
        <v>0</v>
      </c>
      <c r="O364" s="3">
        <v>0</v>
      </c>
      <c r="S364" s="3"/>
      <c r="T364" s="3"/>
      <c r="U364" s="3"/>
      <c r="V364" s="3"/>
      <c r="W364" s="3">
        <f t="shared" si="5"/>
        <v>0</v>
      </c>
      <c r="X364" s="44" t="s">
        <v>198</v>
      </c>
      <c r="AA364"/>
      <c r="AC364" s="3">
        <v>0</v>
      </c>
      <c r="AE364">
        <v>0</v>
      </c>
      <c r="AG364">
        <v>0</v>
      </c>
    </row>
    <row r="365" spans="3:36">
      <c r="C365">
        <v>5360</v>
      </c>
      <c r="E365">
        <v>98478000</v>
      </c>
      <c r="H365" t="s">
        <v>765</v>
      </c>
      <c r="K365" s="3">
        <v>389331.52</v>
      </c>
      <c r="M365" s="3">
        <v>313607.7</v>
      </c>
      <c r="O365" s="3">
        <v>-75723.820000000007</v>
      </c>
      <c r="Q365">
        <v>-19.399999999999999</v>
      </c>
      <c r="S365" s="3"/>
      <c r="T365" s="3"/>
      <c r="U365" s="3"/>
      <c r="V365" s="3"/>
      <c r="W365" s="3">
        <f t="shared" si="5"/>
        <v>389331.52</v>
      </c>
      <c r="X365" s="44" t="s">
        <v>198</v>
      </c>
      <c r="Y365" t="s">
        <v>835</v>
      </c>
      <c r="AA365"/>
      <c r="AC365" s="3">
        <v>313607.7</v>
      </c>
      <c r="AE365" s="31">
        <v>313607.7</v>
      </c>
      <c r="AG365" s="31">
        <v>389331.52</v>
      </c>
      <c r="AJ365" s="31"/>
    </row>
    <row r="366" spans="3:36">
      <c r="C366">
        <v>5360</v>
      </c>
      <c r="D366" t="s">
        <v>537</v>
      </c>
      <c r="E366">
        <v>98480000</v>
      </c>
      <c r="H366" t="s">
        <v>836</v>
      </c>
      <c r="K366" s="3">
        <v>0</v>
      </c>
      <c r="M366" s="3">
        <v>0</v>
      </c>
      <c r="O366" s="3">
        <v>0</v>
      </c>
      <c r="S366" s="3"/>
      <c r="T366" s="3"/>
      <c r="U366" s="3"/>
      <c r="V366" s="3"/>
      <c r="W366" s="3">
        <f t="shared" si="5"/>
        <v>0</v>
      </c>
      <c r="X366" s="44" t="s">
        <v>580</v>
      </c>
      <c r="Y366" s="145">
        <f>SUMIF(X:X,"B",W:W)</f>
        <v>3636091.4</v>
      </c>
      <c r="Z366" t="s">
        <v>94</v>
      </c>
      <c r="AA366"/>
      <c r="AC366" s="3">
        <v>0</v>
      </c>
      <c r="AE366">
        <v>0</v>
      </c>
      <c r="AG366">
        <v>0</v>
      </c>
    </row>
    <row r="367" spans="3:36">
      <c r="C367">
        <v>5360</v>
      </c>
      <c r="E367">
        <v>98630000</v>
      </c>
      <c r="H367" t="s">
        <v>837</v>
      </c>
      <c r="K367" s="3">
        <v>495012.79</v>
      </c>
      <c r="M367" s="3">
        <v>563712.34</v>
      </c>
      <c r="O367" s="3">
        <v>68699.55</v>
      </c>
      <c r="Q367">
        <v>13.9</v>
      </c>
      <c r="S367" s="3"/>
      <c r="T367" s="3"/>
      <c r="U367" s="3"/>
      <c r="V367" s="3"/>
      <c r="W367" s="3">
        <f t="shared" si="5"/>
        <v>495012.79</v>
      </c>
      <c r="X367" s="44" t="s">
        <v>199</v>
      </c>
      <c r="Y367" s="32"/>
      <c r="AA367"/>
      <c r="AC367" s="3">
        <v>563712.34</v>
      </c>
      <c r="AE367" s="31">
        <v>563712.34</v>
      </c>
      <c r="AG367" s="31">
        <v>495012.79</v>
      </c>
      <c r="AJ367" s="31"/>
    </row>
    <row r="368" spans="3:36">
      <c r="C368">
        <v>5360</v>
      </c>
      <c r="E368">
        <v>98650000</v>
      </c>
      <c r="H368" t="s">
        <v>802</v>
      </c>
      <c r="K368" s="3">
        <v>505.57</v>
      </c>
      <c r="M368" s="3">
        <v>20277.740000000002</v>
      </c>
      <c r="O368" s="3">
        <v>19772.169999999998</v>
      </c>
      <c r="Q368">
        <v>3910.9</v>
      </c>
      <c r="S368" s="3"/>
      <c r="T368" s="3"/>
      <c r="U368" s="3"/>
      <c r="V368" s="3"/>
      <c r="W368" s="3">
        <f t="shared" si="5"/>
        <v>505.57</v>
      </c>
      <c r="X368" s="44" t="s">
        <v>199</v>
      </c>
      <c r="Y368" s="32" t="s">
        <v>838</v>
      </c>
      <c r="AA368"/>
      <c r="AC368" s="3">
        <v>20277.740000000002</v>
      </c>
      <c r="AE368" s="31">
        <v>20277.740000000002</v>
      </c>
      <c r="AG368">
        <v>505.57</v>
      </c>
      <c r="AJ368" s="31"/>
    </row>
    <row r="369" spans="3:36">
      <c r="C369">
        <v>5360</v>
      </c>
      <c r="E369">
        <v>98850000</v>
      </c>
      <c r="H369" t="s">
        <v>758</v>
      </c>
      <c r="K369" s="3">
        <v>1151046.83</v>
      </c>
      <c r="M369" s="3">
        <v>1029817.93</v>
      </c>
      <c r="O369" s="3">
        <v>-121228.9</v>
      </c>
      <c r="Q369">
        <v>-10.5</v>
      </c>
      <c r="S369" s="3"/>
      <c r="T369" s="3"/>
      <c r="U369" s="3"/>
      <c r="V369" s="3"/>
      <c r="W369" s="3">
        <f t="shared" si="5"/>
        <v>1151046.83</v>
      </c>
      <c r="X369" s="44" t="s">
        <v>200</v>
      </c>
      <c r="Y369" s="145">
        <f>SUMIF(X:X,"T",W:W)</f>
        <v>3665036.63</v>
      </c>
      <c r="Z369" t="s">
        <v>95</v>
      </c>
      <c r="AA369"/>
      <c r="AC369" s="3">
        <v>1029817.93</v>
      </c>
      <c r="AE369" s="31">
        <v>1029817.93</v>
      </c>
      <c r="AG369" s="31">
        <v>1151046.83</v>
      </c>
      <c r="AJ369" s="31"/>
    </row>
    <row r="370" spans="3:36">
      <c r="C370">
        <v>5360</v>
      </c>
      <c r="D370" t="s">
        <v>537</v>
      </c>
      <c r="E370">
        <v>98860000</v>
      </c>
      <c r="H370" t="s">
        <v>745</v>
      </c>
      <c r="K370" s="3">
        <v>0</v>
      </c>
      <c r="M370" s="3">
        <v>0</v>
      </c>
      <c r="O370" s="3">
        <v>0</v>
      </c>
      <c r="S370" s="3"/>
      <c r="T370" s="3"/>
      <c r="U370" s="3"/>
      <c r="V370" s="3"/>
      <c r="W370" s="3">
        <f t="shared" si="5"/>
        <v>0</v>
      </c>
      <c r="X370" s="44" t="s">
        <v>200</v>
      </c>
      <c r="Y370" s="32"/>
      <c r="AA370"/>
      <c r="AC370" s="3">
        <v>0</v>
      </c>
      <c r="AE370">
        <v>0</v>
      </c>
      <c r="AG370">
        <v>0</v>
      </c>
    </row>
    <row r="371" spans="3:36">
      <c r="C371">
        <v>5360</v>
      </c>
      <c r="E371">
        <v>98870000</v>
      </c>
      <c r="H371" t="s">
        <v>837</v>
      </c>
      <c r="K371" s="3">
        <v>2005020.8</v>
      </c>
      <c r="M371" s="3">
        <v>1875994.89</v>
      </c>
      <c r="O371" s="3">
        <v>-129025.91</v>
      </c>
      <c r="Q371">
        <v>-6.4</v>
      </c>
      <c r="S371" s="3"/>
      <c r="T371" s="3"/>
      <c r="U371" s="3"/>
      <c r="V371" s="3"/>
      <c r="W371" s="3">
        <f t="shared" si="5"/>
        <v>2005020.8</v>
      </c>
      <c r="X371" s="44" t="s">
        <v>200</v>
      </c>
      <c r="Y371" s="32"/>
      <c r="AA371"/>
      <c r="AC371" s="3">
        <v>1875994.89</v>
      </c>
      <c r="AE371" s="31">
        <v>1875994.89</v>
      </c>
      <c r="AG371" s="31">
        <v>2005020.8</v>
      </c>
      <c r="AJ371" s="31"/>
    </row>
    <row r="372" spans="3:36">
      <c r="C372">
        <v>5360</v>
      </c>
      <c r="E372">
        <v>98880000</v>
      </c>
      <c r="H372" t="s">
        <v>801</v>
      </c>
      <c r="K372" s="3">
        <v>1694.06</v>
      </c>
      <c r="M372" s="3">
        <v>99.29</v>
      </c>
      <c r="O372" s="3">
        <v>-1594.77</v>
      </c>
      <c r="Q372">
        <v>-94.1</v>
      </c>
      <c r="S372" s="3"/>
      <c r="T372" s="3"/>
      <c r="U372" s="3"/>
      <c r="V372" s="3"/>
      <c r="W372" s="3">
        <f t="shared" si="5"/>
        <v>1694.06</v>
      </c>
      <c r="X372" s="44" t="s">
        <v>200</v>
      </c>
      <c r="Y372" s="32"/>
      <c r="AA372"/>
      <c r="AC372" s="3">
        <v>99.29</v>
      </c>
      <c r="AE372">
        <v>99.29</v>
      </c>
      <c r="AG372" s="31">
        <v>1694.06</v>
      </c>
    </row>
    <row r="373" spans="3:36">
      <c r="C373">
        <v>5360</v>
      </c>
      <c r="E373">
        <v>98890000</v>
      </c>
      <c r="H373" t="s">
        <v>839</v>
      </c>
      <c r="K373" s="3">
        <v>955932.97</v>
      </c>
      <c r="M373" s="3">
        <v>719555.03</v>
      </c>
      <c r="O373" s="3">
        <v>-236377.94</v>
      </c>
      <c r="Q373">
        <v>-24.7</v>
      </c>
      <c r="S373" s="3"/>
      <c r="T373" s="3"/>
      <c r="U373" s="3"/>
      <c r="V373" s="3"/>
      <c r="W373" s="3">
        <f t="shared" si="5"/>
        <v>955932.97</v>
      </c>
      <c r="X373" s="44" t="s">
        <v>200</v>
      </c>
      <c r="Y373" s="32"/>
      <c r="AA373"/>
      <c r="AC373" s="3">
        <v>719555.03</v>
      </c>
      <c r="AE373" s="31">
        <v>719555.03</v>
      </c>
      <c r="AG373" s="31">
        <v>955932.97</v>
      </c>
      <c r="AJ373" s="31"/>
    </row>
    <row r="374" spans="3:36">
      <c r="C374">
        <v>5360</v>
      </c>
      <c r="E374">
        <v>98900000</v>
      </c>
      <c r="H374" t="s">
        <v>840</v>
      </c>
      <c r="K374" s="3">
        <v>192141.82</v>
      </c>
      <c r="M374" s="3">
        <v>188416.35</v>
      </c>
      <c r="O374" s="3">
        <v>-3725.47</v>
      </c>
      <c r="Q374">
        <v>-1.9</v>
      </c>
      <c r="S374" s="3"/>
      <c r="T374" s="3"/>
      <c r="U374" s="3"/>
      <c r="V374" s="3"/>
      <c r="W374" s="3">
        <f t="shared" si="5"/>
        <v>192141.82</v>
      </c>
      <c r="X374" s="44" t="s">
        <v>200</v>
      </c>
      <c r="Y374" s="32"/>
      <c r="AA374"/>
      <c r="AC374" s="3">
        <v>188416.35</v>
      </c>
      <c r="AE374" s="31">
        <v>188416.35</v>
      </c>
      <c r="AG374" s="31">
        <v>192141.82</v>
      </c>
      <c r="AJ374" s="31"/>
    </row>
    <row r="375" spans="3:36">
      <c r="C375">
        <v>5360</v>
      </c>
      <c r="D375" t="s">
        <v>537</v>
      </c>
      <c r="E375">
        <v>98910000</v>
      </c>
      <c r="H375" t="s">
        <v>841</v>
      </c>
      <c r="K375" s="3">
        <v>0</v>
      </c>
      <c r="M375" s="3">
        <v>0</v>
      </c>
      <c r="O375" s="3">
        <v>0</v>
      </c>
      <c r="S375" s="3"/>
      <c r="T375" s="3"/>
      <c r="U375" s="3"/>
      <c r="V375" s="3"/>
      <c r="W375" s="3">
        <f t="shared" si="5"/>
        <v>0</v>
      </c>
      <c r="X375" s="44" t="s">
        <v>200</v>
      </c>
      <c r="Y375" s="32"/>
      <c r="AA375"/>
      <c r="AC375" s="3">
        <v>0</v>
      </c>
      <c r="AE375">
        <v>0</v>
      </c>
      <c r="AG375">
        <v>0</v>
      </c>
    </row>
    <row r="376" spans="3:36">
      <c r="C376">
        <v>5360</v>
      </c>
      <c r="E376">
        <v>98920000</v>
      </c>
      <c r="H376" t="s">
        <v>842</v>
      </c>
      <c r="K376" s="3">
        <v>5781584.79</v>
      </c>
      <c r="M376" s="3">
        <v>5184436.42</v>
      </c>
      <c r="O376" s="3">
        <v>-597148.37</v>
      </c>
      <c r="Q376">
        <v>-10.3</v>
      </c>
      <c r="S376" s="3"/>
      <c r="T376" s="3"/>
      <c r="U376" s="3"/>
      <c r="V376" s="3"/>
      <c r="W376" s="3">
        <f t="shared" si="5"/>
        <v>5781584.79</v>
      </c>
      <c r="X376" s="44" t="s">
        <v>200</v>
      </c>
      <c r="Y376" s="32"/>
      <c r="AA376"/>
      <c r="AC376" s="3">
        <v>5184436.42</v>
      </c>
      <c r="AE376" s="31">
        <v>5184436.42</v>
      </c>
      <c r="AG376" s="31">
        <v>5781584.79</v>
      </c>
      <c r="AJ376" s="31"/>
    </row>
    <row r="377" spans="3:36">
      <c r="C377" s="326">
        <v>5360</v>
      </c>
      <c r="D377" s="326"/>
      <c r="E377" s="326">
        <v>98930000</v>
      </c>
      <c r="F377" s="326"/>
      <c r="G377" s="326"/>
      <c r="H377" s="326" t="s">
        <v>843</v>
      </c>
      <c r="I377" s="326"/>
      <c r="J377" s="326"/>
      <c r="K377" s="327">
        <v>1615341.2</v>
      </c>
      <c r="L377" s="326"/>
      <c r="M377" s="327">
        <v>967736.52</v>
      </c>
      <c r="N377" s="326"/>
      <c r="O377" s="327">
        <v>-647604.68000000005</v>
      </c>
      <c r="Q377">
        <v>-40.1</v>
      </c>
      <c r="S377" s="3"/>
      <c r="T377" s="3"/>
      <c r="U377" s="3"/>
      <c r="V377" s="3"/>
      <c r="W377" s="3">
        <f t="shared" si="5"/>
        <v>1615341.2</v>
      </c>
      <c r="X377" s="44" t="s">
        <v>200</v>
      </c>
      <c r="Y377" s="32"/>
      <c r="AA377"/>
      <c r="AC377" s="327">
        <v>967736.52</v>
      </c>
      <c r="AE377" s="31">
        <v>967736.52</v>
      </c>
      <c r="AG377" s="31">
        <v>1615341.2</v>
      </c>
      <c r="AJ377" s="31"/>
    </row>
    <row r="378" spans="3:36">
      <c r="C378">
        <v>5360</v>
      </c>
      <c r="E378">
        <v>98940000</v>
      </c>
      <c r="H378" t="s">
        <v>765</v>
      </c>
      <c r="K378" s="3">
        <v>974.85</v>
      </c>
      <c r="M378" s="3">
        <v>5609.08</v>
      </c>
      <c r="O378" s="3">
        <v>4634.2299999999996</v>
      </c>
      <c r="Q378">
        <v>475.4</v>
      </c>
      <c r="S378" s="3"/>
      <c r="T378" s="3"/>
      <c r="U378" s="3"/>
      <c r="V378" s="3"/>
      <c r="W378" s="3">
        <f t="shared" si="5"/>
        <v>974.85</v>
      </c>
      <c r="X378" s="619" t="s">
        <v>200</v>
      </c>
      <c r="Y378" s="32" t="s">
        <v>844</v>
      </c>
      <c r="AA378"/>
      <c r="AC378" s="3">
        <v>5609.08</v>
      </c>
      <c r="AE378" s="31">
        <v>5609.08</v>
      </c>
      <c r="AG378">
        <v>974.85</v>
      </c>
      <c r="AJ378" s="31"/>
    </row>
    <row r="379" spans="3:36">
      <c r="E379" t="s">
        <v>845</v>
      </c>
      <c r="K379" s="3">
        <v>12740997.33</v>
      </c>
      <c r="M379" s="3">
        <v>11013018.710000001</v>
      </c>
      <c r="O379" s="3">
        <v>-1727978.62</v>
      </c>
      <c r="Q379">
        <v>-13.6</v>
      </c>
      <c r="R379" t="s">
        <v>650</v>
      </c>
      <c r="S379" s="3">
        <f>SUM(S347:S378)</f>
        <v>0</v>
      </c>
      <c r="T379" s="3">
        <f>SUM(T347:T378)</f>
        <v>0</v>
      </c>
      <c r="U379" s="3">
        <f>SUM(U347:U378)</f>
        <v>0</v>
      </c>
      <c r="V379" s="3">
        <f>SUM(V347:V378)</f>
        <v>0</v>
      </c>
      <c r="W379" s="3">
        <f t="shared" si="5"/>
        <v>12740997.33</v>
      </c>
      <c r="X379" s="619"/>
      <c r="Y379" s="145">
        <f>SUMIF(X:X,"D",W:W)</f>
        <v>28852527.469999995</v>
      </c>
      <c r="Z379" t="s">
        <v>96</v>
      </c>
      <c r="AA379"/>
      <c r="AC379" s="3">
        <v>11013018.710000001</v>
      </c>
      <c r="AE379" s="31">
        <v>11013018.710000001</v>
      </c>
      <c r="AG379" s="31">
        <v>12740997.33</v>
      </c>
      <c r="AJ379" s="31"/>
    </row>
    <row r="380" spans="3:36">
      <c r="E380" t="s">
        <v>846</v>
      </c>
      <c r="K380" s="3">
        <v>36108011.5</v>
      </c>
      <c r="M380" s="3">
        <v>35029388.32</v>
      </c>
      <c r="O380" s="3">
        <v>-1078623.18</v>
      </c>
      <c r="Q380">
        <v>-3</v>
      </c>
      <c r="R380" t="s">
        <v>658</v>
      </c>
      <c r="S380" s="3">
        <f>S292+S346+S379</f>
        <v>45644</v>
      </c>
      <c r="T380" s="3">
        <f>T292+T346+T379</f>
        <v>0</v>
      </c>
      <c r="U380" s="3">
        <f>U292+U346+U379</f>
        <v>0</v>
      </c>
      <c r="V380" s="3">
        <f>V292+V346+V379</f>
        <v>0</v>
      </c>
      <c r="W380" s="3">
        <f t="shared" si="5"/>
        <v>36153655.5</v>
      </c>
      <c r="X380" s="44"/>
      <c r="AA380"/>
      <c r="AC380" s="3">
        <v>35029388.32</v>
      </c>
      <c r="AE380" s="31">
        <v>35029388.32</v>
      </c>
      <c r="AG380" s="31">
        <v>36108011.5</v>
      </c>
      <c r="AJ380" s="31"/>
    </row>
    <row r="381" spans="3:36">
      <c r="C381">
        <v>5360</v>
      </c>
      <c r="E381">
        <v>99010000</v>
      </c>
      <c r="H381" t="s">
        <v>847</v>
      </c>
      <c r="K381" s="3">
        <v>333518.5</v>
      </c>
      <c r="M381" s="3">
        <v>308774.71999999997</v>
      </c>
      <c r="O381" s="3">
        <v>-24743.78</v>
      </c>
      <c r="Q381">
        <v>-7.4</v>
      </c>
      <c r="S381" s="3"/>
      <c r="T381" s="3"/>
      <c r="U381" s="3"/>
      <c r="V381" s="3">
        <v>-1</v>
      </c>
      <c r="W381" s="3">
        <f t="shared" si="5"/>
        <v>333517.5</v>
      </c>
      <c r="X381" s="44" t="s">
        <v>201</v>
      </c>
      <c r="AA381"/>
      <c r="AC381" s="3">
        <v>308774.71999999997</v>
      </c>
      <c r="AE381" s="31">
        <v>308774.71999999997</v>
      </c>
      <c r="AG381" s="31">
        <v>333518.5</v>
      </c>
      <c r="AJ381" s="31"/>
    </row>
    <row r="382" spans="3:36">
      <c r="C382">
        <v>5360</v>
      </c>
      <c r="E382">
        <v>99020000</v>
      </c>
      <c r="H382" t="s">
        <v>848</v>
      </c>
      <c r="K382" s="3">
        <v>768736.48</v>
      </c>
      <c r="M382" s="3">
        <v>793780.56</v>
      </c>
      <c r="O382" s="3">
        <v>25044.080000000002</v>
      </c>
      <c r="Q382">
        <v>3.3</v>
      </c>
      <c r="S382" s="3"/>
      <c r="T382" s="3"/>
      <c r="U382" s="3"/>
      <c r="V382" s="3">
        <v>-1</v>
      </c>
      <c r="W382" s="3">
        <f t="shared" si="5"/>
        <v>768735.48</v>
      </c>
      <c r="X382" s="44" t="s">
        <v>201</v>
      </c>
      <c r="AA382"/>
      <c r="AC382" s="3">
        <v>793780.56</v>
      </c>
      <c r="AE382" s="31">
        <v>793780.56</v>
      </c>
      <c r="AG382" s="31">
        <v>768736.48</v>
      </c>
      <c r="AJ382" s="31"/>
    </row>
    <row r="383" spans="3:36">
      <c r="C383">
        <v>5360</v>
      </c>
      <c r="E383">
        <v>99030000</v>
      </c>
      <c r="H383" t="s">
        <v>849</v>
      </c>
      <c r="K383" s="3">
        <v>5902960.3099999996</v>
      </c>
      <c r="M383" s="3">
        <v>5471235.29</v>
      </c>
      <c r="O383" s="3">
        <v>-431725.02</v>
      </c>
      <c r="Q383">
        <v>-7.3</v>
      </c>
      <c r="S383" s="3"/>
      <c r="T383" s="3"/>
      <c r="U383" s="3"/>
      <c r="V383" s="3"/>
      <c r="W383" s="3">
        <f t="shared" si="5"/>
        <v>5902960.3099999996</v>
      </c>
      <c r="X383" s="44" t="s">
        <v>201</v>
      </c>
      <c r="AA383"/>
      <c r="AC383" s="3">
        <v>5471235.29</v>
      </c>
      <c r="AE383" s="31">
        <v>5471235.29</v>
      </c>
      <c r="AG383" s="31">
        <v>5902960.3099999996</v>
      </c>
      <c r="AJ383" s="31"/>
    </row>
    <row r="384" spans="3:36">
      <c r="C384" s="326">
        <v>5360</v>
      </c>
      <c r="D384" s="326"/>
      <c r="E384" s="326">
        <v>99040000</v>
      </c>
      <c r="F384" s="326"/>
      <c r="G384" s="326"/>
      <c r="H384" s="326" t="s">
        <v>850</v>
      </c>
      <c r="I384" s="326"/>
      <c r="J384" s="326"/>
      <c r="K384" s="327">
        <v>4978756.12</v>
      </c>
      <c r="L384" s="326"/>
      <c r="M384" s="327">
        <v>18537656.899999999</v>
      </c>
      <c r="N384" s="326"/>
      <c r="O384" s="327">
        <v>13558900.779999999</v>
      </c>
      <c r="Q384">
        <v>272.3</v>
      </c>
      <c r="S384" s="3"/>
      <c r="T384" s="3"/>
      <c r="U384" s="3"/>
      <c r="V384" s="3"/>
      <c r="W384" s="9">
        <f t="shared" si="5"/>
        <v>4978756.12</v>
      </c>
      <c r="X384" s="44" t="s">
        <v>201</v>
      </c>
      <c r="AA384"/>
      <c r="AC384" s="327">
        <v>18537656.899999999</v>
      </c>
      <c r="AE384" s="31">
        <v>18537656.899999999</v>
      </c>
      <c r="AG384" s="31">
        <v>4978756.12</v>
      </c>
      <c r="AJ384" s="31"/>
    </row>
    <row r="385" spans="3:36">
      <c r="C385">
        <v>5360</v>
      </c>
      <c r="E385">
        <v>99050000</v>
      </c>
      <c r="H385" t="s">
        <v>851</v>
      </c>
      <c r="K385" s="3">
        <v>426954.42</v>
      </c>
      <c r="M385" s="3">
        <v>416363.37</v>
      </c>
      <c r="O385" s="3">
        <v>-10591.05</v>
      </c>
      <c r="Q385">
        <v>-2.5</v>
      </c>
      <c r="S385" s="3"/>
      <c r="T385" s="3"/>
      <c r="U385" s="3"/>
      <c r="V385" s="3"/>
      <c r="W385" s="3">
        <f t="shared" si="5"/>
        <v>426954.42</v>
      </c>
      <c r="X385" s="619" t="s">
        <v>201</v>
      </c>
      <c r="AA385"/>
      <c r="AC385" s="3">
        <v>416363.37</v>
      </c>
      <c r="AE385" s="31">
        <v>416363.37</v>
      </c>
      <c r="AG385" s="31">
        <v>426954.42</v>
      </c>
      <c r="AJ385" s="31"/>
    </row>
    <row r="386" spans="3:36">
      <c r="E386" t="s">
        <v>852</v>
      </c>
      <c r="K386" s="3">
        <v>12410925.83</v>
      </c>
      <c r="M386" s="3">
        <v>25527810.84</v>
      </c>
      <c r="O386" s="3">
        <v>13116885.01</v>
      </c>
      <c r="Q386">
        <v>105.7</v>
      </c>
      <c r="R386" t="s">
        <v>650</v>
      </c>
      <c r="S386" s="3">
        <f>SUM(S381:S385)</f>
        <v>0</v>
      </c>
      <c r="T386" s="3">
        <f>SUM(T381:T385)</f>
        <v>0</v>
      </c>
      <c r="U386" s="3">
        <f>SUM(U381:U385)</f>
        <v>0</v>
      </c>
      <c r="V386" s="3">
        <f>SUM(V381:V385)</f>
        <v>-2</v>
      </c>
      <c r="W386" s="3">
        <f t="shared" si="5"/>
        <v>12410923.83</v>
      </c>
      <c r="X386" s="44"/>
      <c r="AA386"/>
      <c r="AC386" s="3">
        <v>25527810.84</v>
      </c>
      <c r="AE386" s="31">
        <v>25527810.84</v>
      </c>
      <c r="AG386" s="31">
        <v>12410925.83</v>
      </c>
      <c r="AJ386" s="31"/>
    </row>
    <row r="387" spans="3:36">
      <c r="C387">
        <v>5360</v>
      </c>
      <c r="D387" t="s">
        <v>537</v>
      </c>
      <c r="E387">
        <v>99060000</v>
      </c>
      <c r="H387" t="s">
        <v>853</v>
      </c>
      <c r="K387" s="3">
        <v>0</v>
      </c>
      <c r="M387" s="3">
        <v>0</v>
      </c>
      <c r="O387" s="3">
        <v>0</v>
      </c>
      <c r="S387" s="3"/>
      <c r="T387" s="3"/>
      <c r="U387" s="3"/>
      <c r="V387" s="3"/>
      <c r="W387" s="3">
        <f t="shared" si="5"/>
        <v>0</v>
      </c>
      <c r="X387" s="44" t="s">
        <v>201</v>
      </c>
      <c r="AA387"/>
      <c r="AC387" s="3">
        <v>0</v>
      </c>
      <c r="AE387">
        <v>0</v>
      </c>
      <c r="AG387">
        <v>0</v>
      </c>
    </row>
    <row r="388" spans="3:36">
      <c r="C388">
        <v>5360</v>
      </c>
      <c r="E388">
        <v>99070000</v>
      </c>
      <c r="H388" t="s">
        <v>854</v>
      </c>
      <c r="K388" s="3">
        <v>55.41</v>
      </c>
      <c r="M388" s="3">
        <v>3729.42</v>
      </c>
      <c r="O388" s="3">
        <v>3674.01</v>
      </c>
      <c r="Q388">
        <v>6630.6</v>
      </c>
      <c r="S388" s="3"/>
      <c r="T388" s="3"/>
      <c r="U388" s="3"/>
      <c r="V388" s="3"/>
      <c r="W388" s="3">
        <f t="shared" si="5"/>
        <v>55.41</v>
      </c>
      <c r="X388" s="44" t="s">
        <v>201</v>
      </c>
      <c r="AA388"/>
      <c r="AC388" s="3">
        <v>3729.42</v>
      </c>
      <c r="AE388" s="31">
        <v>3729.42</v>
      </c>
      <c r="AG388">
        <v>55.41</v>
      </c>
      <c r="AJ388" s="31"/>
    </row>
    <row r="389" spans="3:36">
      <c r="C389">
        <v>5360</v>
      </c>
      <c r="E389">
        <v>99080000</v>
      </c>
      <c r="H389" t="s">
        <v>855</v>
      </c>
      <c r="K389" s="3">
        <v>34729493.869999997</v>
      </c>
      <c r="M389" s="3">
        <v>23639375.93</v>
      </c>
      <c r="O389" s="3">
        <v>-11090117.939999999</v>
      </c>
      <c r="Q389">
        <v>-31.9</v>
      </c>
      <c r="S389" s="3"/>
      <c r="T389" s="3"/>
      <c r="U389" s="3"/>
      <c r="V389" s="3"/>
      <c r="W389" s="3">
        <f t="shared" si="5"/>
        <v>34729493.869999997</v>
      </c>
      <c r="X389" s="44" t="s">
        <v>201</v>
      </c>
      <c r="AA389"/>
      <c r="AC389" s="3">
        <v>23639375.93</v>
      </c>
      <c r="AE389" s="31">
        <v>23639375.93</v>
      </c>
      <c r="AG389" s="31">
        <v>34729493.869999997</v>
      </c>
      <c r="AJ389" s="31"/>
    </row>
    <row r="390" spans="3:36">
      <c r="C390">
        <v>5360</v>
      </c>
      <c r="E390">
        <v>99090000</v>
      </c>
      <c r="H390" t="s">
        <v>856</v>
      </c>
      <c r="K390" s="3">
        <v>831108.32</v>
      </c>
      <c r="M390" s="3">
        <v>1133899.3500000001</v>
      </c>
      <c r="O390" s="3">
        <v>302791.03000000003</v>
      </c>
      <c r="Q390">
        <v>36.4</v>
      </c>
      <c r="S390" s="3"/>
      <c r="T390" s="3"/>
      <c r="U390" s="3"/>
      <c r="V390" s="3"/>
      <c r="W390" s="3">
        <f t="shared" si="5"/>
        <v>831108.32</v>
      </c>
      <c r="X390" s="44" t="s">
        <v>201</v>
      </c>
      <c r="AA390"/>
      <c r="AC390" s="3">
        <v>1133899.3500000001</v>
      </c>
      <c r="AE390" s="31">
        <v>1133899.3500000001</v>
      </c>
      <c r="AG390" s="31">
        <v>831108.32</v>
      </c>
      <c r="AJ390" s="31"/>
    </row>
    <row r="391" spans="3:36">
      <c r="C391">
        <v>5360</v>
      </c>
      <c r="E391">
        <v>99100000</v>
      </c>
      <c r="H391" t="s">
        <v>857</v>
      </c>
      <c r="K391" s="3">
        <v>785789.46</v>
      </c>
      <c r="M391" s="3">
        <v>895576.07</v>
      </c>
      <c r="O391" s="3">
        <v>109786.61</v>
      </c>
      <c r="Q391">
        <v>14</v>
      </c>
      <c r="S391" s="3"/>
      <c r="T391" s="3"/>
      <c r="U391" s="3"/>
      <c r="V391" s="3"/>
      <c r="W391" s="3">
        <f t="shared" si="5"/>
        <v>785789.46</v>
      </c>
      <c r="X391" s="44" t="s">
        <v>201</v>
      </c>
      <c r="Y391" t="s">
        <v>858</v>
      </c>
      <c r="AA391"/>
      <c r="AC391" s="3">
        <v>895576.07</v>
      </c>
      <c r="AE391" s="31">
        <v>895576.07</v>
      </c>
      <c r="AG391" s="31">
        <v>785789.46</v>
      </c>
      <c r="AJ391" s="31"/>
    </row>
    <row r="392" spans="3:36">
      <c r="C392">
        <v>5360</v>
      </c>
      <c r="E392">
        <v>99110000</v>
      </c>
      <c r="H392" t="s">
        <v>859</v>
      </c>
      <c r="K392" s="3">
        <v>25198.25</v>
      </c>
      <c r="M392" s="3">
        <v>17407.900000000001</v>
      </c>
      <c r="O392" s="3">
        <v>-7790.35</v>
      </c>
      <c r="Q392">
        <v>-30.9</v>
      </c>
      <c r="S392" s="3"/>
      <c r="T392" s="3"/>
      <c r="U392" s="3"/>
      <c r="V392" s="3"/>
      <c r="W392" s="3">
        <f t="shared" si="5"/>
        <v>25198.25</v>
      </c>
      <c r="X392" s="44" t="s">
        <v>204</v>
      </c>
      <c r="Y392" s="145">
        <f>SUMIF(X:X,"F",W:W)</f>
        <v>48757370.890000001</v>
      </c>
      <c r="Z392" t="s">
        <v>97</v>
      </c>
      <c r="AA392"/>
      <c r="AC392" s="3">
        <v>17407.900000000001</v>
      </c>
      <c r="AE392" s="31">
        <v>17407.900000000001</v>
      </c>
      <c r="AG392" s="31">
        <v>25198.25</v>
      </c>
      <c r="AJ392" s="31"/>
    </row>
    <row r="393" spans="3:36">
      <c r="C393">
        <v>5360</v>
      </c>
      <c r="E393">
        <v>99120000</v>
      </c>
      <c r="H393" t="s">
        <v>860</v>
      </c>
      <c r="K393" s="3">
        <v>141508.85999999999</v>
      </c>
      <c r="M393" s="3">
        <v>138552.71</v>
      </c>
      <c r="O393" s="3">
        <v>-2956.15</v>
      </c>
      <c r="Q393">
        <v>-2.1</v>
      </c>
      <c r="S393" s="3"/>
      <c r="T393" s="3"/>
      <c r="U393" s="3"/>
      <c r="V393" s="3"/>
      <c r="W393" s="3">
        <f t="shared" ref="W393:W456" si="6">SUM(K393,S393:V393)</f>
        <v>141508.85999999999</v>
      </c>
      <c r="X393" s="44" t="s">
        <v>204</v>
      </c>
      <c r="Y393" s="32"/>
      <c r="AA393"/>
      <c r="AC393" s="3">
        <v>138552.71</v>
      </c>
      <c r="AE393" s="31">
        <v>138552.71</v>
      </c>
      <c r="AG393" s="31">
        <v>141508.85999999999</v>
      </c>
      <c r="AJ393" s="31"/>
    </row>
    <row r="394" spans="3:36">
      <c r="C394">
        <v>5360</v>
      </c>
      <c r="E394">
        <v>99130000</v>
      </c>
      <c r="H394" t="s">
        <v>861</v>
      </c>
      <c r="K394" s="3">
        <v>77663.350000000006</v>
      </c>
      <c r="M394" s="3">
        <v>93202.85</v>
      </c>
      <c r="O394" s="3">
        <v>15539.5</v>
      </c>
      <c r="Q394">
        <v>20</v>
      </c>
      <c r="S394" s="3"/>
      <c r="T394" s="3"/>
      <c r="U394" s="3"/>
      <c r="V394" s="3">
        <v>-1</v>
      </c>
      <c r="W394" s="3">
        <f t="shared" si="6"/>
        <v>77662.350000000006</v>
      </c>
      <c r="X394" s="44" t="s">
        <v>204</v>
      </c>
      <c r="Y394" s="32"/>
      <c r="AA394"/>
      <c r="AC394" s="3">
        <v>93202.85</v>
      </c>
      <c r="AE394" s="31">
        <v>93202.85</v>
      </c>
      <c r="AG394" s="31">
        <v>77663.350000000006</v>
      </c>
      <c r="AJ394" s="31"/>
    </row>
    <row r="395" spans="3:36">
      <c r="C395">
        <v>5360</v>
      </c>
      <c r="E395">
        <v>99160000</v>
      </c>
      <c r="H395" t="s">
        <v>862</v>
      </c>
      <c r="K395" s="3">
        <v>3477.23</v>
      </c>
      <c r="M395" s="3">
        <v>5232.1000000000004</v>
      </c>
      <c r="O395" s="3">
        <v>1754.87</v>
      </c>
      <c r="Q395">
        <v>50.5</v>
      </c>
      <c r="S395" s="3"/>
      <c r="T395" s="3"/>
      <c r="U395" s="3"/>
      <c r="V395" s="3"/>
      <c r="W395" s="3">
        <f t="shared" si="6"/>
        <v>3477.23</v>
      </c>
      <c r="X395" s="44" t="s">
        <v>204</v>
      </c>
      <c r="Y395" s="32"/>
      <c r="AA395"/>
      <c r="AC395" s="3">
        <v>5232.1000000000004</v>
      </c>
      <c r="AE395" s="31">
        <v>5232.1000000000004</v>
      </c>
      <c r="AG395" s="31">
        <v>3477.23</v>
      </c>
      <c r="AJ395" s="31"/>
    </row>
    <row r="396" spans="3:36">
      <c r="C396">
        <v>5360</v>
      </c>
      <c r="D396" t="s">
        <v>537</v>
      </c>
      <c r="E396">
        <v>99170000</v>
      </c>
      <c r="H396" t="s">
        <v>863</v>
      </c>
      <c r="K396" s="3">
        <v>0</v>
      </c>
      <c r="M396" s="3">
        <v>0</v>
      </c>
      <c r="O396" s="3">
        <v>0</v>
      </c>
      <c r="S396" s="3"/>
      <c r="T396" s="3"/>
      <c r="U396" s="3"/>
      <c r="V396" s="3"/>
      <c r="W396" s="3">
        <f t="shared" si="6"/>
        <v>0</v>
      </c>
      <c r="X396" s="619" t="s">
        <v>204</v>
      </c>
      <c r="Y396" s="32" t="s">
        <v>864</v>
      </c>
      <c r="AA396"/>
      <c r="AC396" s="3">
        <v>0</v>
      </c>
      <c r="AE396">
        <v>0</v>
      </c>
      <c r="AG396">
        <v>0</v>
      </c>
    </row>
    <row r="397" spans="3:36">
      <c r="E397" t="s">
        <v>865</v>
      </c>
      <c r="K397" s="3">
        <v>36594294.75</v>
      </c>
      <c r="M397" s="3">
        <v>25926976.329999998</v>
      </c>
      <c r="O397" s="3">
        <v>-10667318.42</v>
      </c>
      <c r="Q397">
        <v>-29.2</v>
      </c>
      <c r="R397" t="s">
        <v>650</v>
      </c>
      <c r="S397" s="3">
        <f>SUM(S387:S396)</f>
        <v>0</v>
      </c>
      <c r="T397" s="3">
        <f>SUM(T387:T396)</f>
        <v>0</v>
      </c>
      <c r="U397" s="3">
        <f>SUM(U387:U396)</f>
        <v>0</v>
      </c>
      <c r="V397" s="3">
        <f>SUM(V387:V396)</f>
        <v>-1</v>
      </c>
      <c r="W397" s="3">
        <f t="shared" si="6"/>
        <v>36594293.75</v>
      </c>
      <c r="X397" s="619"/>
      <c r="Y397" s="145">
        <f>SUMIF(X:X,"E",W:W)</f>
        <v>247846.69</v>
      </c>
      <c r="Z397" t="s">
        <v>98</v>
      </c>
      <c r="AA397"/>
      <c r="AC397" s="3">
        <v>25926976.329999998</v>
      </c>
      <c r="AE397" s="31">
        <v>25926976.329999998</v>
      </c>
      <c r="AG397" s="31">
        <v>36594294.75</v>
      </c>
      <c r="AJ397" s="31"/>
    </row>
    <row r="398" spans="3:36">
      <c r="E398" t="s">
        <v>866</v>
      </c>
      <c r="K398" s="3">
        <v>49005220.579999998</v>
      </c>
      <c r="M398" s="3">
        <v>51454787.170000002</v>
      </c>
      <c r="O398" s="3">
        <v>2449566.59</v>
      </c>
      <c r="Q398">
        <v>5</v>
      </c>
      <c r="R398" t="s">
        <v>658</v>
      </c>
      <c r="S398" s="3">
        <f>S386+S397</f>
        <v>0</v>
      </c>
      <c r="T398" s="3">
        <f>T386+T397</f>
        <v>0</v>
      </c>
      <c r="U398" s="3">
        <f>U386+U397</f>
        <v>0</v>
      </c>
      <c r="V398" s="3">
        <f>V386+V397</f>
        <v>-3</v>
      </c>
      <c r="W398" s="3">
        <f t="shared" si="6"/>
        <v>49005217.579999998</v>
      </c>
      <c r="X398" s="44"/>
      <c r="AA398"/>
      <c r="AC398" s="3">
        <v>51454787.170000002</v>
      </c>
      <c r="AE398" s="31">
        <v>51454787.170000002</v>
      </c>
      <c r="AG398" s="31">
        <v>49005220.579999998</v>
      </c>
      <c r="AJ398" s="31"/>
    </row>
    <row r="399" spans="3:36">
      <c r="C399">
        <v>5360</v>
      </c>
      <c r="D399" t="s">
        <v>537</v>
      </c>
      <c r="E399">
        <v>94010000</v>
      </c>
      <c r="H399" t="s">
        <v>867</v>
      </c>
      <c r="K399" s="3">
        <v>0</v>
      </c>
      <c r="M399" s="3">
        <v>0</v>
      </c>
      <c r="O399" s="3">
        <v>0</v>
      </c>
      <c r="S399" s="3"/>
      <c r="T399" s="3"/>
      <c r="U399" s="3"/>
      <c r="V399" s="3"/>
      <c r="W399" s="3">
        <f t="shared" si="6"/>
        <v>0</v>
      </c>
      <c r="X399" s="44" t="s">
        <v>580</v>
      </c>
      <c r="AA399"/>
      <c r="AC399" s="3">
        <v>0</v>
      </c>
      <c r="AE399">
        <v>0</v>
      </c>
      <c r="AG399">
        <v>0</v>
      </c>
    </row>
    <row r="400" spans="3:36">
      <c r="C400" s="326">
        <v>5360</v>
      </c>
      <c r="D400" s="326"/>
      <c r="E400" s="326">
        <v>99200000</v>
      </c>
      <c r="F400" s="326"/>
      <c r="G400" s="326"/>
      <c r="H400" s="326" t="s">
        <v>868</v>
      </c>
      <c r="I400" s="326"/>
      <c r="J400" s="326"/>
      <c r="K400" s="327">
        <v>11814809.75</v>
      </c>
      <c r="L400" s="326"/>
      <c r="M400" s="327">
        <v>11486430.85</v>
      </c>
      <c r="N400" s="326"/>
      <c r="O400" s="327">
        <v>-328378.90000000002</v>
      </c>
      <c r="Q400">
        <v>-2.8</v>
      </c>
      <c r="S400" s="3"/>
      <c r="T400" s="3"/>
      <c r="U400" s="3"/>
      <c r="V400" s="3"/>
      <c r="W400" s="3">
        <f t="shared" si="6"/>
        <v>11814809.75</v>
      </c>
      <c r="X400" s="44" t="s">
        <v>205</v>
      </c>
      <c r="AA400"/>
      <c r="AC400" s="327">
        <v>11486430.85</v>
      </c>
      <c r="AE400" s="31">
        <v>11486430.85</v>
      </c>
      <c r="AG400" s="31">
        <v>11814809.75</v>
      </c>
      <c r="AJ400" s="31"/>
    </row>
    <row r="401" spans="3:36">
      <c r="C401" s="326">
        <v>5360</v>
      </c>
      <c r="D401" s="326"/>
      <c r="E401" s="326">
        <v>99210000</v>
      </c>
      <c r="F401" s="326"/>
      <c r="G401" s="326"/>
      <c r="H401" s="326" t="s">
        <v>869</v>
      </c>
      <c r="I401" s="326"/>
      <c r="J401" s="326"/>
      <c r="K401" s="327">
        <v>10115105.93</v>
      </c>
      <c r="L401" s="326"/>
      <c r="M401" s="327">
        <v>9161474.0899999999</v>
      </c>
      <c r="N401" s="326"/>
      <c r="O401" s="327">
        <v>-953631.84</v>
      </c>
      <c r="Q401">
        <v>-9.4</v>
      </c>
      <c r="S401" s="3"/>
      <c r="T401" s="3"/>
      <c r="U401" s="3"/>
      <c r="V401" s="3"/>
      <c r="W401" s="3">
        <f t="shared" si="6"/>
        <v>10115105.93</v>
      </c>
      <c r="X401" s="44" t="s">
        <v>205</v>
      </c>
      <c r="AA401"/>
      <c r="AC401" s="327">
        <v>9161474.0899999999</v>
      </c>
      <c r="AE401" s="31">
        <v>9161474.0899999999</v>
      </c>
      <c r="AG401" s="31">
        <v>10115105.93</v>
      </c>
      <c r="AJ401" s="31"/>
    </row>
    <row r="402" spans="3:36">
      <c r="C402">
        <v>5360</v>
      </c>
      <c r="E402">
        <v>99220000</v>
      </c>
      <c r="H402" t="s">
        <v>870</v>
      </c>
      <c r="K402" s="3">
        <v>-2514968.48</v>
      </c>
      <c r="M402" s="3">
        <v>-2192154.7799999998</v>
      </c>
      <c r="O402" s="3">
        <v>322813.7</v>
      </c>
      <c r="Q402">
        <v>12.8</v>
      </c>
      <c r="S402" s="3"/>
      <c r="T402" s="3"/>
      <c r="U402" s="3"/>
      <c r="V402" s="3"/>
      <c r="W402" s="3">
        <f t="shared" si="6"/>
        <v>-2514968.48</v>
      </c>
      <c r="X402" s="44" t="s">
        <v>205</v>
      </c>
      <c r="AA402"/>
      <c r="AC402" s="3">
        <v>-2192154.7799999998</v>
      </c>
      <c r="AE402" s="31">
        <v>-2192154.7799999998</v>
      </c>
      <c r="AG402" s="31">
        <v>-2514968.48</v>
      </c>
      <c r="AJ402" s="31"/>
    </row>
    <row r="403" spans="3:36">
      <c r="C403" s="326">
        <v>5360</v>
      </c>
      <c r="D403" s="326"/>
      <c r="E403" s="326">
        <v>99230000</v>
      </c>
      <c r="F403" s="326"/>
      <c r="G403" s="326"/>
      <c r="H403" s="326" t="s">
        <v>871</v>
      </c>
      <c r="I403" s="326"/>
      <c r="J403" s="326"/>
      <c r="K403" s="327">
        <v>2262559.94</v>
      </c>
      <c r="L403" s="326"/>
      <c r="M403" s="327">
        <v>8303281.46</v>
      </c>
      <c r="N403" s="326"/>
      <c r="O403" s="327">
        <v>6040721.5199999996</v>
      </c>
      <c r="Q403">
        <v>267</v>
      </c>
      <c r="S403" s="3"/>
      <c r="T403" s="3"/>
      <c r="U403" s="3"/>
      <c r="V403" s="3">
        <v>1</v>
      </c>
      <c r="W403" s="3">
        <f t="shared" si="6"/>
        <v>2262560.94</v>
      </c>
      <c r="X403" s="44" t="s">
        <v>205</v>
      </c>
      <c r="AA403"/>
      <c r="AC403" s="327">
        <v>8303281.46</v>
      </c>
      <c r="AE403" s="31">
        <v>8303281.46</v>
      </c>
      <c r="AG403" s="31">
        <v>2262559.94</v>
      </c>
      <c r="AJ403" s="31"/>
    </row>
    <row r="404" spans="3:36">
      <c r="C404">
        <v>5360</v>
      </c>
      <c r="E404">
        <v>99240000</v>
      </c>
      <c r="H404" t="s">
        <v>872</v>
      </c>
      <c r="K404" s="3">
        <v>127675.46</v>
      </c>
      <c r="M404" s="3">
        <v>148778.49</v>
      </c>
      <c r="O404" s="3">
        <v>21103.03</v>
      </c>
      <c r="Q404">
        <v>16.5</v>
      </c>
      <c r="S404" s="3"/>
      <c r="T404" s="3"/>
      <c r="U404" s="3"/>
      <c r="V404" s="3">
        <v>1</v>
      </c>
      <c r="W404" s="3">
        <f t="shared" si="6"/>
        <v>127676.46</v>
      </c>
      <c r="X404" s="44" t="s">
        <v>205</v>
      </c>
      <c r="AA404"/>
      <c r="AC404" s="3">
        <v>148778.49</v>
      </c>
      <c r="AE404" s="31">
        <v>148778.49</v>
      </c>
      <c r="AG404" s="31">
        <v>127675.46</v>
      </c>
      <c r="AJ404" s="31"/>
    </row>
    <row r="405" spans="3:36">
      <c r="C405">
        <v>5360</v>
      </c>
      <c r="E405">
        <v>99250000</v>
      </c>
      <c r="H405" t="s">
        <v>873</v>
      </c>
      <c r="K405" s="3">
        <v>823519.2</v>
      </c>
      <c r="M405" s="3">
        <v>1620057.24</v>
      </c>
      <c r="O405" s="3">
        <v>796538.04</v>
      </c>
      <c r="Q405">
        <v>96.7</v>
      </c>
      <c r="S405" s="3"/>
      <c r="T405" s="3"/>
      <c r="U405" s="3"/>
      <c r="V405" s="3">
        <v>1</v>
      </c>
      <c r="W405" s="3">
        <f t="shared" si="6"/>
        <v>823520.2</v>
      </c>
      <c r="X405" s="44" t="s">
        <v>205</v>
      </c>
      <c r="AA405"/>
      <c r="AC405" s="3">
        <v>1620057.24</v>
      </c>
      <c r="AE405" s="31">
        <v>1620057.24</v>
      </c>
      <c r="AG405" s="31">
        <v>823519.2</v>
      </c>
      <c r="AJ405" s="31"/>
    </row>
    <row r="406" spans="3:36">
      <c r="C406" s="326">
        <v>5360</v>
      </c>
      <c r="D406" s="326"/>
      <c r="E406" s="326">
        <v>99260000</v>
      </c>
      <c r="F406" s="326"/>
      <c r="G406" s="326"/>
      <c r="H406" s="326" t="s">
        <v>874</v>
      </c>
      <c r="I406" s="326"/>
      <c r="J406" s="326"/>
      <c r="K406" s="327">
        <v>10363719.199999999</v>
      </c>
      <c r="L406" s="326"/>
      <c r="M406" s="327">
        <v>7989168.7000000002</v>
      </c>
      <c r="N406" s="326"/>
      <c r="O406" s="327">
        <v>-2374550.5</v>
      </c>
      <c r="Q406">
        <v>-22.9</v>
      </c>
      <c r="S406" s="3"/>
      <c r="T406" s="3"/>
      <c r="U406" s="3"/>
      <c r="V406" s="3"/>
      <c r="W406" s="3">
        <f t="shared" si="6"/>
        <v>10363719.199999999</v>
      </c>
      <c r="X406" s="44" t="s">
        <v>205</v>
      </c>
      <c r="AA406"/>
      <c r="AC406" s="327">
        <v>7989168.7000000002</v>
      </c>
      <c r="AE406" s="31">
        <v>7989168.7000000002</v>
      </c>
      <c r="AG406" s="31">
        <v>10363719.199999999</v>
      </c>
      <c r="AJ406" s="31"/>
    </row>
    <row r="407" spans="3:36">
      <c r="C407">
        <v>5360</v>
      </c>
      <c r="D407" t="s">
        <v>537</v>
      </c>
      <c r="E407">
        <v>99270000</v>
      </c>
      <c r="H407" t="s">
        <v>875</v>
      </c>
      <c r="K407" s="3">
        <v>0</v>
      </c>
      <c r="M407" s="3">
        <v>0</v>
      </c>
      <c r="O407" s="3">
        <v>0</v>
      </c>
      <c r="S407" s="3"/>
      <c r="T407" s="3"/>
      <c r="U407" s="3"/>
      <c r="V407" s="3"/>
      <c r="W407" s="3">
        <f t="shared" si="6"/>
        <v>0</v>
      </c>
      <c r="X407" s="44" t="s">
        <v>205</v>
      </c>
      <c r="AA407"/>
      <c r="AC407" s="3">
        <v>0</v>
      </c>
      <c r="AE407">
        <v>0</v>
      </c>
      <c r="AG407">
        <v>0</v>
      </c>
    </row>
    <row r="408" spans="3:36">
      <c r="C408">
        <v>5360</v>
      </c>
      <c r="E408">
        <v>99280000</v>
      </c>
      <c r="H408" t="s">
        <v>876</v>
      </c>
      <c r="K408" s="3">
        <v>2815331.27</v>
      </c>
      <c r="M408" s="3">
        <v>2618994.2999999998</v>
      </c>
      <c r="O408" s="3">
        <v>-196336.97</v>
      </c>
      <c r="Q408">
        <v>-7</v>
      </c>
      <c r="S408" s="3"/>
      <c r="T408" s="3"/>
      <c r="U408" s="3"/>
      <c r="V408" s="3"/>
      <c r="W408" s="3">
        <f t="shared" si="6"/>
        <v>2815331.27</v>
      </c>
      <c r="X408" s="44" t="s">
        <v>205</v>
      </c>
      <c r="AA408"/>
      <c r="AC408" s="3">
        <v>2618994.2999999998</v>
      </c>
      <c r="AE408" s="31">
        <v>2618994.2999999998</v>
      </c>
      <c r="AG408" s="31">
        <v>2815331.27</v>
      </c>
      <c r="AJ408" s="31"/>
    </row>
    <row r="409" spans="3:36">
      <c r="C409">
        <v>5360</v>
      </c>
      <c r="D409" t="s">
        <v>537</v>
      </c>
      <c r="E409">
        <v>99290000</v>
      </c>
      <c r="H409" t="s">
        <v>877</v>
      </c>
      <c r="K409" s="3">
        <v>0</v>
      </c>
      <c r="M409" s="3">
        <v>0</v>
      </c>
      <c r="O409" s="3">
        <v>0</v>
      </c>
      <c r="S409" s="3"/>
      <c r="T409" s="3"/>
      <c r="U409" s="3"/>
      <c r="V409" s="3"/>
      <c r="W409" s="3">
        <f t="shared" si="6"/>
        <v>0</v>
      </c>
      <c r="X409" s="44" t="s">
        <v>205</v>
      </c>
      <c r="AA409"/>
      <c r="AC409" s="3">
        <v>0</v>
      </c>
      <c r="AE409">
        <v>0</v>
      </c>
      <c r="AG409">
        <v>0</v>
      </c>
    </row>
    <row r="410" spans="3:36">
      <c r="C410">
        <v>5360</v>
      </c>
      <c r="D410" t="s">
        <v>537</v>
      </c>
      <c r="E410">
        <v>99300000</v>
      </c>
      <c r="H410" t="s">
        <v>628</v>
      </c>
      <c r="K410" s="3">
        <v>0</v>
      </c>
      <c r="M410" s="3">
        <v>0</v>
      </c>
      <c r="O410" s="3">
        <v>0</v>
      </c>
      <c r="S410" s="3"/>
      <c r="T410" s="3"/>
      <c r="U410" s="3"/>
      <c r="V410" s="3"/>
      <c r="W410" s="3">
        <f t="shared" si="6"/>
        <v>0</v>
      </c>
      <c r="X410" s="44" t="s">
        <v>580</v>
      </c>
      <c r="AA410"/>
      <c r="AC410" s="3">
        <v>0</v>
      </c>
      <c r="AE410">
        <v>0</v>
      </c>
      <c r="AG410">
        <v>0</v>
      </c>
    </row>
    <row r="411" spans="3:36">
      <c r="C411">
        <v>5360</v>
      </c>
      <c r="E411">
        <v>99301000</v>
      </c>
      <c r="H411" t="s">
        <v>878</v>
      </c>
      <c r="K411" s="3">
        <v>0</v>
      </c>
      <c r="M411" s="3">
        <v>0</v>
      </c>
      <c r="O411" s="3">
        <v>0</v>
      </c>
      <c r="S411" s="3"/>
      <c r="T411" s="3"/>
      <c r="U411" s="3"/>
      <c r="V411" s="3"/>
      <c r="W411" s="3">
        <f t="shared" si="6"/>
        <v>0</v>
      </c>
      <c r="X411" s="44" t="s">
        <v>205</v>
      </c>
      <c r="AA411"/>
      <c r="AC411" s="3">
        <v>0</v>
      </c>
      <c r="AE411">
        <v>0</v>
      </c>
      <c r="AG411">
        <v>0</v>
      </c>
      <c r="AJ411" s="31"/>
    </row>
    <row r="412" spans="3:36">
      <c r="C412" s="326">
        <v>5360</v>
      </c>
      <c r="D412" s="326"/>
      <c r="E412" s="326">
        <v>99302000</v>
      </c>
      <c r="F412" s="326"/>
      <c r="G412" s="326"/>
      <c r="H412" s="326" t="s">
        <v>879</v>
      </c>
      <c r="I412" s="326"/>
      <c r="J412" s="326"/>
      <c r="K412" s="327">
        <v>994052.63</v>
      </c>
      <c r="L412" s="326"/>
      <c r="M412" s="327">
        <v>1181274.3899999999</v>
      </c>
      <c r="N412" s="326"/>
      <c r="O412" s="327">
        <v>187221.76000000001</v>
      </c>
      <c r="Q412">
        <v>18.8</v>
      </c>
      <c r="S412" s="3"/>
      <c r="T412" s="3"/>
      <c r="U412" s="3"/>
      <c r="V412" s="3"/>
      <c r="W412" s="3">
        <f t="shared" si="6"/>
        <v>994052.63</v>
      </c>
      <c r="X412" s="44" t="s">
        <v>205</v>
      </c>
      <c r="AA412"/>
      <c r="AC412" s="327">
        <v>1181274.3899999999</v>
      </c>
      <c r="AE412" s="31">
        <v>1181274.3899999999</v>
      </c>
      <c r="AG412" s="31">
        <v>994052.63</v>
      </c>
      <c r="AJ412" s="31"/>
    </row>
    <row r="413" spans="3:36">
      <c r="C413" s="326">
        <v>5360</v>
      </c>
      <c r="D413" s="326"/>
      <c r="E413" s="326">
        <v>99310000</v>
      </c>
      <c r="F413" s="326"/>
      <c r="G413" s="326"/>
      <c r="H413" s="326" t="s">
        <v>880</v>
      </c>
      <c r="I413" s="326"/>
      <c r="J413" s="326"/>
      <c r="K413" s="327">
        <v>15784760.970000001</v>
      </c>
      <c r="L413" s="326"/>
      <c r="M413" s="327">
        <v>10011244.279999999</v>
      </c>
      <c r="N413" s="326"/>
      <c r="O413" s="327">
        <v>-5773516.6900000004</v>
      </c>
      <c r="Q413">
        <v>-36.6</v>
      </c>
      <c r="S413" s="3"/>
      <c r="T413" s="3"/>
      <c r="U413" s="3"/>
      <c r="V413" s="3">
        <v>1</v>
      </c>
      <c r="W413" s="3">
        <f t="shared" si="6"/>
        <v>15784761.970000001</v>
      </c>
      <c r="X413" s="44" t="s">
        <v>205</v>
      </c>
      <c r="AA413"/>
      <c r="AC413" s="327">
        <v>10011244.279999999</v>
      </c>
      <c r="AE413" s="31">
        <v>10011244.279999999</v>
      </c>
      <c r="AG413" s="31">
        <v>15784760.970000001</v>
      </c>
      <c r="AJ413" s="31"/>
    </row>
    <row r="414" spans="3:36">
      <c r="C414">
        <v>5360</v>
      </c>
      <c r="D414" t="s">
        <v>537</v>
      </c>
      <c r="E414">
        <v>99330000</v>
      </c>
      <c r="H414" t="s">
        <v>881</v>
      </c>
      <c r="K414" s="3">
        <v>0</v>
      </c>
      <c r="M414" s="3">
        <v>0</v>
      </c>
      <c r="O414" s="3">
        <v>0</v>
      </c>
      <c r="S414" s="3"/>
      <c r="T414" s="3"/>
      <c r="U414" s="3"/>
      <c r="V414" s="3"/>
      <c r="W414" s="3">
        <f t="shared" si="6"/>
        <v>0</v>
      </c>
      <c r="X414" s="619" t="s">
        <v>205</v>
      </c>
      <c r="AA414"/>
      <c r="AC414" s="3">
        <v>0</v>
      </c>
      <c r="AE414">
        <v>0</v>
      </c>
      <c r="AG414">
        <v>0</v>
      </c>
    </row>
    <row r="415" spans="3:36">
      <c r="E415" t="s">
        <v>882</v>
      </c>
      <c r="K415" s="3">
        <v>52586565.869999997</v>
      </c>
      <c r="M415" s="3">
        <v>50328549.020000003</v>
      </c>
      <c r="O415" s="3">
        <v>-2258016.85</v>
      </c>
      <c r="Q415">
        <v>-4.3</v>
      </c>
      <c r="R415" t="s">
        <v>650</v>
      </c>
      <c r="S415" s="3">
        <f>SUM(S399:S414)</f>
        <v>0</v>
      </c>
      <c r="T415" s="3">
        <f>SUM(T399:T414)</f>
        <v>0</v>
      </c>
      <c r="U415" s="3">
        <f>SUM(U399:U414)</f>
        <v>0</v>
      </c>
      <c r="V415" s="3">
        <f>SUM(V399:V414)</f>
        <v>4</v>
      </c>
      <c r="W415" s="3">
        <f t="shared" si="6"/>
        <v>52586569.869999997</v>
      </c>
      <c r="X415" s="44"/>
      <c r="AA415"/>
      <c r="AC415" s="3">
        <v>50328549.020000003</v>
      </c>
      <c r="AE415" s="31">
        <v>50328549.020000003</v>
      </c>
      <c r="AG415" s="31">
        <v>52586565.869999997</v>
      </c>
      <c r="AJ415" s="31"/>
    </row>
    <row r="416" spans="3:36">
      <c r="C416">
        <v>5360</v>
      </c>
      <c r="D416" t="s">
        <v>537</v>
      </c>
      <c r="E416">
        <v>94020000</v>
      </c>
      <c r="H416" t="s">
        <v>883</v>
      </c>
      <c r="K416" s="3">
        <v>0</v>
      </c>
      <c r="M416" s="3">
        <v>0</v>
      </c>
      <c r="O416" s="3">
        <v>0</v>
      </c>
      <c r="S416" s="3"/>
      <c r="T416" s="3"/>
      <c r="U416" s="3"/>
      <c r="V416" s="3"/>
      <c r="W416" s="3">
        <f t="shared" si="6"/>
        <v>0</v>
      </c>
      <c r="X416" s="44" t="s">
        <v>580</v>
      </c>
      <c r="AA416"/>
      <c r="AC416" s="3">
        <v>0</v>
      </c>
      <c r="AE416">
        <v>0</v>
      </c>
      <c r="AG416">
        <v>0</v>
      </c>
    </row>
    <row r="417" spans="3:36">
      <c r="C417">
        <v>5360</v>
      </c>
      <c r="E417">
        <v>99320000</v>
      </c>
      <c r="H417" t="s">
        <v>884</v>
      </c>
      <c r="K417" s="3">
        <v>0</v>
      </c>
      <c r="M417" s="3">
        <v>8</v>
      </c>
      <c r="O417" s="3">
        <v>8</v>
      </c>
      <c r="S417" s="3"/>
      <c r="T417" s="3"/>
      <c r="U417" s="3"/>
      <c r="V417" s="3"/>
      <c r="W417" s="3">
        <f t="shared" si="6"/>
        <v>0</v>
      </c>
      <c r="X417" s="44" t="s">
        <v>205</v>
      </c>
      <c r="AA417"/>
      <c r="AC417" s="3">
        <v>8</v>
      </c>
      <c r="AE417">
        <v>8</v>
      </c>
      <c r="AG417">
        <v>0</v>
      </c>
      <c r="AJ417" s="31"/>
    </row>
    <row r="418" spans="3:36">
      <c r="C418">
        <v>5360</v>
      </c>
      <c r="E418">
        <v>99350000</v>
      </c>
      <c r="H418" t="s">
        <v>885</v>
      </c>
      <c r="K418" s="3">
        <v>8746.36</v>
      </c>
      <c r="M418" s="3">
        <v>8580.41</v>
      </c>
      <c r="O418" s="3">
        <v>-165.95</v>
      </c>
      <c r="Q418">
        <v>-1.9</v>
      </c>
      <c r="S418" s="3">
        <v>-8746.36</v>
      </c>
      <c r="T418" s="3"/>
      <c r="U418" s="3"/>
      <c r="V418" s="3"/>
      <c r="W418" s="3">
        <f t="shared" si="6"/>
        <v>0</v>
      </c>
      <c r="X418" s="619" t="s">
        <v>205</v>
      </c>
      <c r="Y418" t="s">
        <v>886</v>
      </c>
      <c r="AA418"/>
      <c r="AC418" s="3">
        <v>8580.41</v>
      </c>
      <c r="AE418" s="31">
        <v>8580.41</v>
      </c>
      <c r="AG418" s="31">
        <v>8746.36</v>
      </c>
      <c r="AJ418" s="31"/>
    </row>
    <row r="419" spans="3:36">
      <c r="E419" t="s">
        <v>887</v>
      </c>
      <c r="K419" s="3">
        <v>8746.36</v>
      </c>
      <c r="M419" s="3">
        <v>8588.41</v>
      </c>
      <c r="O419" s="3">
        <v>-157.94999999999999</v>
      </c>
      <c r="Q419">
        <v>-1.8</v>
      </c>
      <c r="R419" t="s">
        <v>650</v>
      </c>
      <c r="S419" s="3">
        <f>SUM(S416:S418)</f>
        <v>-8746.36</v>
      </c>
      <c r="T419" s="3">
        <f>SUM(T416:T418)</f>
        <v>0</v>
      </c>
      <c r="U419" s="3">
        <f>SUM(U416:U418)</f>
        <v>0</v>
      </c>
      <c r="V419" s="3">
        <f>SUM(V416:V418)</f>
        <v>0</v>
      </c>
      <c r="W419" s="3">
        <f t="shared" si="6"/>
        <v>0</v>
      </c>
      <c r="X419" s="619"/>
      <c r="Y419" s="145">
        <f>SUMIF(X:X,"M",W:W)</f>
        <v>52586569.870000005</v>
      </c>
      <c r="Z419" t="s">
        <v>888</v>
      </c>
      <c r="AA419"/>
      <c r="AC419" s="3">
        <v>8588.41</v>
      </c>
      <c r="AE419" s="31">
        <v>8588.41</v>
      </c>
      <c r="AG419" s="31">
        <v>8746.36</v>
      </c>
      <c r="AJ419" s="31"/>
    </row>
    <row r="420" spans="3:36">
      <c r="E420" t="s">
        <v>889</v>
      </c>
      <c r="K420" s="3">
        <v>52595312.229999997</v>
      </c>
      <c r="M420" s="3">
        <v>50337137.43</v>
      </c>
      <c r="O420" s="3">
        <v>-2258174.7999999998</v>
      </c>
      <c r="Q420">
        <v>-4.3</v>
      </c>
      <c r="R420" t="s">
        <v>658</v>
      </c>
      <c r="S420" s="3">
        <f>S415+S419</f>
        <v>-8746.36</v>
      </c>
      <c r="T420" s="3">
        <f>T415+T419</f>
        <v>0</v>
      </c>
      <c r="U420" s="3">
        <f>U415+U419</f>
        <v>0</v>
      </c>
      <c r="V420" s="3">
        <f>V415+V419</f>
        <v>4</v>
      </c>
      <c r="W420" s="3">
        <f t="shared" si="6"/>
        <v>52586569.869999997</v>
      </c>
      <c r="X420" s="619"/>
      <c r="Y420" s="32"/>
      <c r="AA420"/>
      <c r="AC420" s="3">
        <v>50337137.43</v>
      </c>
      <c r="AE420" s="31">
        <v>50337137.43</v>
      </c>
      <c r="AG420" s="31">
        <v>52595312.229999997</v>
      </c>
      <c r="AJ420" s="31"/>
    </row>
    <row r="421" spans="3:36">
      <c r="E421" t="s">
        <v>890</v>
      </c>
      <c r="K421" s="3">
        <v>137710864.93000001</v>
      </c>
      <c r="M421" s="3">
        <v>136824007.34999999</v>
      </c>
      <c r="O421" s="3">
        <v>-886857.58</v>
      </c>
      <c r="Q421">
        <v>-0.6</v>
      </c>
      <c r="R421" t="s">
        <v>569</v>
      </c>
      <c r="S421" s="3">
        <f>S107+S148+S195+S220+S380+S398+S420</f>
        <v>34577.019999999997</v>
      </c>
      <c r="T421" s="3">
        <f>T107+T148+T195+T220+T380+T398+T420</f>
        <v>0</v>
      </c>
      <c r="U421" s="3">
        <f>U107+U148+U195+U220+U380+U398+U420</f>
        <v>0</v>
      </c>
      <c r="V421" s="3">
        <f>V107+V148+V195+V220+V380+V398+V420</f>
        <v>1</v>
      </c>
      <c r="W421" s="3">
        <f t="shared" si="6"/>
        <v>137745442.95000002</v>
      </c>
      <c r="X421" s="44"/>
      <c r="Y421" s="32"/>
      <c r="AA421"/>
      <c r="AC421" s="3">
        <v>136824007.34999999</v>
      </c>
      <c r="AE421" s="31">
        <v>136824007.34999999</v>
      </c>
      <c r="AG421" s="31">
        <v>137710864.93000001</v>
      </c>
      <c r="AJ421" s="31"/>
    </row>
    <row r="422" spans="3:36">
      <c r="C422" s="326">
        <v>5360</v>
      </c>
      <c r="D422" s="326"/>
      <c r="E422" s="326">
        <v>94030000</v>
      </c>
      <c r="F422" s="326"/>
      <c r="G422" s="326"/>
      <c r="H422" s="326" t="s">
        <v>891</v>
      </c>
      <c r="I422" s="326"/>
      <c r="J422" s="326"/>
      <c r="K422" s="327">
        <v>49984595.950000003</v>
      </c>
      <c r="L422" s="326"/>
      <c r="M422" s="327">
        <v>44196599.340000004</v>
      </c>
      <c r="N422" s="326"/>
      <c r="O422" s="327">
        <v>-5787996.6100000003</v>
      </c>
      <c r="Q422">
        <v>-11.6</v>
      </c>
      <c r="S422" s="3"/>
      <c r="T422" s="3"/>
      <c r="U422" s="3"/>
      <c r="V422" s="3"/>
      <c r="W422" s="3">
        <f t="shared" si="6"/>
        <v>49984595.950000003</v>
      </c>
      <c r="X422" s="44" t="s">
        <v>206</v>
      </c>
      <c r="Y422" s="32"/>
      <c r="AA422"/>
      <c r="AC422" s="327">
        <v>44196599.340000004</v>
      </c>
      <c r="AE422" s="31">
        <v>44196599.340000004</v>
      </c>
      <c r="AG422" s="31">
        <v>49984595.950000003</v>
      </c>
      <c r="AJ422" s="31"/>
    </row>
    <row r="423" spans="3:36">
      <c r="C423">
        <v>5360</v>
      </c>
      <c r="E423">
        <v>94031000</v>
      </c>
      <c r="H423" t="s">
        <v>892</v>
      </c>
      <c r="K423" s="3">
        <v>0</v>
      </c>
      <c r="M423" s="3">
        <v>0</v>
      </c>
      <c r="O423" s="3">
        <v>0</v>
      </c>
      <c r="S423" s="3"/>
      <c r="T423" s="3"/>
      <c r="U423" s="3"/>
      <c r="V423" s="3"/>
      <c r="W423" s="3">
        <f t="shared" si="6"/>
        <v>0</v>
      </c>
      <c r="X423" s="619" t="s">
        <v>206</v>
      </c>
      <c r="Y423" s="32"/>
      <c r="AA423"/>
      <c r="AC423" s="3">
        <v>0</v>
      </c>
      <c r="AE423">
        <v>0</v>
      </c>
      <c r="AG423">
        <v>0</v>
      </c>
    </row>
    <row r="424" spans="3:36">
      <c r="E424" t="s">
        <v>893</v>
      </c>
      <c r="K424" s="3">
        <v>49984595.950000003</v>
      </c>
      <c r="M424" s="3">
        <v>44196599.340000004</v>
      </c>
      <c r="O424" s="3">
        <v>-5787996.6100000003</v>
      </c>
      <c r="Q424">
        <v>-11.6</v>
      </c>
      <c r="R424" t="s">
        <v>658</v>
      </c>
      <c r="S424" s="3">
        <f>SUM(S422:S423)</f>
        <v>0</v>
      </c>
      <c r="T424" s="3">
        <f>SUM(T422:T423)</f>
        <v>0</v>
      </c>
      <c r="U424" s="3">
        <f>SUM(U422:U423)</f>
        <v>0</v>
      </c>
      <c r="V424" s="3">
        <f>SUM(V422:V423)</f>
        <v>0</v>
      </c>
      <c r="W424" s="3">
        <f t="shared" si="6"/>
        <v>49984595.950000003</v>
      </c>
      <c r="X424" s="44"/>
      <c r="Y424" s="32"/>
      <c r="AA424"/>
      <c r="AC424" s="3">
        <v>44196599.340000004</v>
      </c>
      <c r="AE424" s="31">
        <v>44196599.340000004</v>
      </c>
      <c r="AG424" s="31">
        <v>49984595.950000003</v>
      </c>
      <c r="AJ424" s="31"/>
    </row>
    <row r="425" spans="3:36">
      <c r="C425">
        <v>5360</v>
      </c>
      <c r="D425" t="s">
        <v>537</v>
      </c>
      <c r="E425">
        <v>94040000</v>
      </c>
      <c r="H425" t="s">
        <v>894</v>
      </c>
      <c r="K425" s="3">
        <v>0</v>
      </c>
      <c r="M425" s="3">
        <v>0</v>
      </c>
      <c r="O425" s="3">
        <v>0</v>
      </c>
      <c r="S425" s="3"/>
      <c r="T425" s="3"/>
      <c r="U425" s="3"/>
      <c r="V425" s="3"/>
      <c r="W425" s="3">
        <f t="shared" si="6"/>
        <v>0</v>
      </c>
      <c r="X425" s="44" t="s">
        <v>206</v>
      </c>
      <c r="Y425" s="32"/>
      <c r="AA425"/>
      <c r="AC425" s="3">
        <v>0</v>
      </c>
      <c r="AE425">
        <v>0</v>
      </c>
      <c r="AG425">
        <v>0</v>
      </c>
    </row>
    <row r="426" spans="3:36">
      <c r="C426">
        <v>5360</v>
      </c>
      <c r="E426">
        <v>94050000</v>
      </c>
      <c r="H426" t="s">
        <v>895</v>
      </c>
      <c r="K426" s="3">
        <v>0</v>
      </c>
      <c r="M426" s="3">
        <v>0</v>
      </c>
      <c r="O426" s="3">
        <v>0</v>
      </c>
      <c r="S426" s="3"/>
      <c r="T426" s="3"/>
      <c r="U426" s="3"/>
      <c r="V426" s="3"/>
      <c r="W426" s="3">
        <f t="shared" si="6"/>
        <v>0</v>
      </c>
      <c r="X426" s="44" t="s">
        <v>206</v>
      </c>
      <c r="Y426" s="32"/>
      <c r="AA426"/>
      <c r="AC426" s="3">
        <v>0</v>
      </c>
      <c r="AE426">
        <v>0</v>
      </c>
      <c r="AG426">
        <v>0</v>
      </c>
      <c r="AJ426" s="31"/>
    </row>
    <row r="427" spans="3:36">
      <c r="C427">
        <v>5360</v>
      </c>
      <c r="D427" t="s">
        <v>537</v>
      </c>
      <c r="E427">
        <v>94060000</v>
      </c>
      <c r="H427" t="s">
        <v>896</v>
      </c>
      <c r="K427" s="3">
        <v>0</v>
      </c>
      <c r="M427" s="3">
        <v>0</v>
      </c>
      <c r="O427" s="3">
        <v>0</v>
      </c>
      <c r="S427" s="3"/>
      <c r="T427" s="3"/>
      <c r="U427" s="3"/>
      <c r="V427" s="3"/>
      <c r="W427" s="3">
        <f t="shared" si="6"/>
        <v>0</v>
      </c>
      <c r="X427" s="44" t="s">
        <v>206</v>
      </c>
      <c r="Y427" s="32"/>
      <c r="AA427"/>
      <c r="AC427" s="3">
        <v>0</v>
      </c>
      <c r="AE427">
        <v>0</v>
      </c>
      <c r="AG427">
        <v>0</v>
      </c>
    </row>
    <row r="428" spans="3:36">
      <c r="C428">
        <v>5360</v>
      </c>
      <c r="D428" t="s">
        <v>537</v>
      </c>
      <c r="E428">
        <v>94070000</v>
      </c>
      <c r="H428" t="s">
        <v>897</v>
      </c>
      <c r="K428" s="3">
        <v>0</v>
      </c>
      <c r="M428" s="3">
        <v>0</v>
      </c>
      <c r="O428" s="3">
        <v>0</v>
      </c>
      <c r="S428" s="3"/>
      <c r="T428" s="3"/>
      <c r="U428" s="3"/>
      <c r="V428" s="3"/>
      <c r="W428" s="3">
        <f t="shared" si="6"/>
        <v>0</v>
      </c>
      <c r="X428" s="44" t="s">
        <v>206</v>
      </c>
      <c r="Y428" s="32"/>
      <c r="AA428"/>
      <c r="AC428" s="3">
        <v>0</v>
      </c>
      <c r="AE428">
        <v>0</v>
      </c>
      <c r="AG428">
        <v>0</v>
      </c>
    </row>
    <row r="429" spans="3:36">
      <c r="C429">
        <v>5360</v>
      </c>
      <c r="E429">
        <v>94073000</v>
      </c>
      <c r="H429" t="s">
        <v>898</v>
      </c>
      <c r="K429" s="3">
        <v>426180</v>
      </c>
      <c r="M429" s="3">
        <v>426180</v>
      </c>
      <c r="O429" s="3">
        <v>0</v>
      </c>
      <c r="S429" s="3"/>
      <c r="T429" s="3"/>
      <c r="U429" s="3"/>
      <c r="V429" s="3"/>
      <c r="W429" s="3">
        <f t="shared" si="6"/>
        <v>426180</v>
      </c>
      <c r="X429" s="44" t="s">
        <v>206</v>
      </c>
      <c r="Y429" s="32"/>
      <c r="AA429"/>
      <c r="AC429" s="3">
        <v>426180</v>
      </c>
      <c r="AE429" s="31">
        <v>426180</v>
      </c>
      <c r="AG429" s="31">
        <v>426180</v>
      </c>
      <c r="AJ429" s="31"/>
    </row>
    <row r="430" spans="3:36">
      <c r="C430">
        <v>5360</v>
      </c>
      <c r="D430" t="s">
        <v>537</v>
      </c>
      <c r="E430">
        <v>94074000</v>
      </c>
      <c r="H430" t="s">
        <v>899</v>
      </c>
      <c r="K430" s="3">
        <v>0</v>
      </c>
      <c r="M430" s="3">
        <v>0</v>
      </c>
      <c r="O430" s="3">
        <v>0</v>
      </c>
      <c r="S430" s="3"/>
      <c r="T430" s="3"/>
      <c r="U430" s="3"/>
      <c r="V430" s="3"/>
      <c r="W430" s="3">
        <f t="shared" si="6"/>
        <v>0</v>
      </c>
      <c r="X430" s="619" t="s">
        <v>206</v>
      </c>
      <c r="Y430" s="32" t="s">
        <v>900</v>
      </c>
      <c r="AA430"/>
      <c r="AC430" s="3">
        <v>0</v>
      </c>
      <c r="AE430">
        <v>0</v>
      </c>
      <c r="AG430">
        <v>0</v>
      </c>
    </row>
    <row r="431" spans="3:36">
      <c r="E431" t="s">
        <v>901</v>
      </c>
      <c r="K431" s="3">
        <v>426180</v>
      </c>
      <c r="M431" s="3">
        <v>426180</v>
      </c>
      <c r="O431" s="3">
        <v>0</v>
      </c>
      <c r="R431" t="s">
        <v>658</v>
      </c>
      <c r="S431" s="3">
        <f>SUM(S425:S430)</f>
        <v>0</v>
      </c>
      <c r="T431" s="3">
        <f>SUM(T425:T430)</f>
        <v>0</v>
      </c>
      <c r="U431" s="3">
        <f>SUM(U425:U430)</f>
        <v>0</v>
      </c>
      <c r="V431" s="3">
        <f>SUM(V425:V430)</f>
        <v>0</v>
      </c>
      <c r="W431" s="3">
        <f t="shared" si="6"/>
        <v>426180</v>
      </c>
      <c r="X431" s="619"/>
      <c r="Y431" s="145">
        <f>SUMIF(X:X,"G",W:W)</f>
        <v>50410775.950000003</v>
      </c>
      <c r="Z431" t="s">
        <v>427</v>
      </c>
      <c r="AA431"/>
      <c r="AC431" s="3">
        <v>426180</v>
      </c>
      <c r="AE431" s="31">
        <v>426180</v>
      </c>
      <c r="AG431" s="31">
        <v>426180</v>
      </c>
      <c r="AJ431" s="31"/>
    </row>
    <row r="432" spans="3:36">
      <c r="E432" t="s">
        <v>427</v>
      </c>
      <c r="K432" s="3">
        <v>50410775.950000003</v>
      </c>
      <c r="M432" s="3">
        <v>44622779.340000004</v>
      </c>
      <c r="O432" s="3">
        <v>-5787996.6100000003</v>
      </c>
      <c r="Q432">
        <v>-11.5</v>
      </c>
      <c r="R432" t="s">
        <v>569</v>
      </c>
      <c r="S432" s="3">
        <f>S424+S431</f>
        <v>0</v>
      </c>
      <c r="T432" s="3">
        <f>T424+T431</f>
        <v>0</v>
      </c>
      <c r="U432" s="3">
        <f>U424+U431</f>
        <v>0</v>
      </c>
      <c r="V432" s="3">
        <f>V424+V431</f>
        <v>0</v>
      </c>
      <c r="W432" s="3">
        <f t="shared" si="6"/>
        <v>50410775.950000003</v>
      </c>
      <c r="X432" s="44"/>
      <c r="AA432"/>
      <c r="AC432" s="3">
        <v>44622779.340000004</v>
      </c>
      <c r="AE432" s="31">
        <v>44622779.340000004</v>
      </c>
      <c r="AG432" s="31">
        <v>50410775.950000003</v>
      </c>
      <c r="AJ432" s="31"/>
    </row>
    <row r="433" spans="3:36">
      <c r="C433">
        <v>5360</v>
      </c>
      <c r="D433" t="s">
        <v>537</v>
      </c>
      <c r="E433">
        <v>94080000</v>
      </c>
      <c r="H433" t="s">
        <v>336</v>
      </c>
      <c r="K433" s="3">
        <v>0</v>
      </c>
      <c r="M433" s="3">
        <v>0</v>
      </c>
      <c r="O433" s="3">
        <v>0</v>
      </c>
      <c r="S433" s="3"/>
      <c r="T433" s="3"/>
      <c r="U433" s="3"/>
      <c r="V433" s="3"/>
      <c r="W433" s="3">
        <f t="shared" si="6"/>
        <v>0</v>
      </c>
      <c r="X433" s="44" t="s">
        <v>580</v>
      </c>
      <c r="AA433"/>
      <c r="AC433" s="3">
        <v>0</v>
      </c>
      <c r="AE433">
        <v>0</v>
      </c>
      <c r="AG433">
        <v>0</v>
      </c>
    </row>
    <row r="434" spans="3:36">
      <c r="C434" s="326">
        <v>5360</v>
      </c>
      <c r="D434" s="326"/>
      <c r="E434" s="326">
        <v>94081000</v>
      </c>
      <c r="F434" s="326"/>
      <c r="G434" s="326"/>
      <c r="H434" s="326" t="s">
        <v>902</v>
      </c>
      <c r="I434" s="326"/>
      <c r="J434" s="326"/>
      <c r="K434" s="327">
        <v>48902850.359999999</v>
      </c>
      <c r="L434" s="326"/>
      <c r="M434" s="327">
        <v>43801583.289999999</v>
      </c>
      <c r="N434" s="326"/>
      <c r="O434" s="327">
        <v>-5101267.07</v>
      </c>
      <c r="Q434">
        <v>-10.4</v>
      </c>
      <c r="S434" s="3"/>
      <c r="T434" s="3"/>
      <c r="U434" s="3"/>
      <c r="V434" s="3">
        <v>-1</v>
      </c>
      <c r="W434" s="3">
        <f t="shared" si="6"/>
        <v>48902849.359999999</v>
      </c>
      <c r="X434" s="44" t="s">
        <v>207</v>
      </c>
      <c r="Y434" t="s">
        <v>903</v>
      </c>
      <c r="AA434"/>
      <c r="AC434" s="327">
        <v>43801583.289999999</v>
      </c>
      <c r="AE434" s="31">
        <v>43801583.289999999</v>
      </c>
      <c r="AG434" s="31">
        <v>48902850.359999999</v>
      </c>
      <c r="AJ434" s="31"/>
    </row>
    <row r="435" spans="3:36">
      <c r="C435">
        <v>5360</v>
      </c>
      <c r="D435" t="s">
        <v>537</v>
      </c>
      <c r="E435">
        <v>94082000</v>
      </c>
      <c r="H435" t="s">
        <v>340</v>
      </c>
      <c r="K435" s="3">
        <v>0</v>
      </c>
      <c r="M435" s="3">
        <v>0</v>
      </c>
      <c r="O435" s="3">
        <v>0</v>
      </c>
      <c r="S435" s="3"/>
      <c r="T435" s="3"/>
      <c r="U435" s="3"/>
      <c r="V435" s="3"/>
      <c r="W435" s="3">
        <f t="shared" si="6"/>
        <v>0</v>
      </c>
      <c r="X435" s="44" t="s">
        <v>209</v>
      </c>
      <c r="Y435" s="145">
        <f>SUMIF(X:X,"H",W:W)</f>
        <v>48902849.359999999</v>
      </c>
      <c r="Z435" t="s">
        <v>904</v>
      </c>
      <c r="AA435"/>
      <c r="AC435" s="3">
        <v>0</v>
      </c>
      <c r="AE435">
        <v>0</v>
      </c>
      <c r="AG435">
        <v>0</v>
      </c>
    </row>
    <row r="436" spans="3:36">
      <c r="C436">
        <v>5360</v>
      </c>
      <c r="D436" t="s">
        <v>537</v>
      </c>
      <c r="E436">
        <v>94090000</v>
      </c>
      <c r="H436" t="s">
        <v>336</v>
      </c>
      <c r="K436" s="3">
        <v>0</v>
      </c>
      <c r="M436" s="3">
        <v>0</v>
      </c>
      <c r="O436" s="3">
        <v>0</v>
      </c>
      <c r="S436" s="3"/>
      <c r="T436" s="3"/>
      <c r="U436" s="3"/>
      <c r="V436" s="3"/>
      <c r="W436" s="3">
        <f t="shared" si="6"/>
        <v>0</v>
      </c>
      <c r="X436" s="44" t="s">
        <v>580</v>
      </c>
      <c r="AA436"/>
      <c r="AC436" s="3">
        <v>0</v>
      </c>
      <c r="AE436">
        <v>0</v>
      </c>
      <c r="AG436">
        <v>0</v>
      </c>
    </row>
    <row r="437" spans="3:36">
      <c r="C437">
        <v>5360</v>
      </c>
      <c r="D437" t="s">
        <v>537</v>
      </c>
      <c r="E437">
        <v>94100000</v>
      </c>
      <c r="H437" t="s">
        <v>336</v>
      </c>
      <c r="K437" s="3">
        <v>0</v>
      </c>
      <c r="M437" s="3">
        <v>0</v>
      </c>
      <c r="O437" s="3">
        <v>0</v>
      </c>
      <c r="S437" s="3"/>
      <c r="T437" s="3"/>
      <c r="U437" s="3"/>
      <c r="V437" s="3"/>
      <c r="W437" s="3">
        <f t="shared" si="6"/>
        <v>0</v>
      </c>
      <c r="X437" s="619" t="s">
        <v>580</v>
      </c>
      <c r="Y437" t="s">
        <v>905</v>
      </c>
      <c r="AA437"/>
      <c r="AC437" s="3">
        <v>0</v>
      </c>
      <c r="AE437">
        <v>0</v>
      </c>
      <c r="AG437">
        <v>0</v>
      </c>
    </row>
    <row r="438" spans="3:36">
      <c r="E438" t="s">
        <v>906</v>
      </c>
      <c r="K438" s="3">
        <v>48902850.359999999</v>
      </c>
      <c r="M438" s="3">
        <v>43801583.289999999</v>
      </c>
      <c r="O438" s="3">
        <v>-5101267.07</v>
      </c>
      <c r="Q438">
        <v>-10.4</v>
      </c>
      <c r="R438" t="s">
        <v>569</v>
      </c>
      <c r="S438" s="3">
        <f>SUM(S433:S437)</f>
        <v>0</v>
      </c>
      <c r="T438" s="3">
        <f>SUM(T433:T437)</f>
        <v>0</v>
      </c>
      <c r="U438" s="3">
        <f>SUM(U433:U437)</f>
        <v>0</v>
      </c>
      <c r="V438" s="3">
        <f>SUM(V433:V437)</f>
        <v>-1</v>
      </c>
      <c r="W438" s="3">
        <f t="shared" si="6"/>
        <v>48902849.359999999</v>
      </c>
      <c r="X438" s="44"/>
      <c r="Y438" t="s">
        <v>907</v>
      </c>
      <c r="Z438" s="32">
        <f>'94081000'!B6</f>
        <v>13653106.619999999</v>
      </c>
      <c r="AA438"/>
      <c r="AC438" s="3">
        <v>43801583.289999999</v>
      </c>
      <c r="AE438" s="31">
        <v>43801583.289999999</v>
      </c>
      <c r="AG438" s="31">
        <v>48902850.359999999</v>
      </c>
      <c r="AJ438" s="31"/>
    </row>
    <row r="439" spans="3:36">
      <c r="C439">
        <v>5360</v>
      </c>
      <c r="D439" t="s">
        <v>537</v>
      </c>
      <c r="E439">
        <v>94101000</v>
      </c>
      <c r="H439" t="s">
        <v>908</v>
      </c>
      <c r="K439" s="3">
        <v>0</v>
      </c>
      <c r="M439" s="3">
        <v>0</v>
      </c>
      <c r="O439" s="3">
        <v>0</v>
      </c>
      <c r="S439" s="3"/>
      <c r="T439" s="3">
        <v>44360411</v>
      </c>
      <c r="U439" s="32"/>
      <c r="V439" s="3"/>
      <c r="W439" s="3">
        <f t="shared" si="6"/>
        <v>44360411</v>
      </c>
      <c r="X439" s="619" t="s">
        <v>208</v>
      </c>
      <c r="Y439" t="s">
        <v>909</v>
      </c>
      <c r="Z439" s="32">
        <f>'94081000'!B7</f>
        <v>5332.27</v>
      </c>
      <c r="AC439" s="3">
        <v>0</v>
      </c>
      <c r="AE439">
        <v>0</v>
      </c>
      <c r="AG439">
        <v>0</v>
      </c>
    </row>
    <row r="440" spans="3:36">
      <c r="E440" t="s">
        <v>910</v>
      </c>
      <c r="K440" s="3">
        <v>0</v>
      </c>
      <c r="M440" s="3">
        <v>0</v>
      </c>
      <c r="O440" s="3">
        <v>0</v>
      </c>
      <c r="R440" t="s">
        <v>569</v>
      </c>
      <c r="S440" s="3">
        <f>SUM(S439)</f>
        <v>0</v>
      </c>
      <c r="T440" s="3">
        <f>SUM(T439)</f>
        <v>44360411</v>
      </c>
      <c r="U440" s="3">
        <f>SUM(U439)</f>
        <v>0</v>
      </c>
      <c r="V440" s="3">
        <f>SUM(V439)</f>
        <v>0</v>
      </c>
      <c r="W440" s="3">
        <f t="shared" si="6"/>
        <v>44360411</v>
      </c>
      <c r="X440" s="44"/>
      <c r="Y440" t="s">
        <v>911</v>
      </c>
      <c r="Z440" s="32">
        <f>'94081000'!B8</f>
        <v>2963727.11</v>
      </c>
      <c r="AA440"/>
      <c r="AC440" s="3">
        <v>0</v>
      </c>
      <c r="AE440">
        <v>0</v>
      </c>
      <c r="AG440">
        <v>0</v>
      </c>
    </row>
    <row r="441" spans="3:36">
      <c r="C441">
        <v>5360</v>
      </c>
      <c r="D441" t="s">
        <v>537</v>
      </c>
      <c r="E441">
        <v>94110000</v>
      </c>
      <c r="H441" t="s">
        <v>336</v>
      </c>
      <c r="K441" s="3">
        <v>0</v>
      </c>
      <c r="M441" s="3">
        <v>0</v>
      </c>
      <c r="O441" s="3">
        <v>0</v>
      </c>
      <c r="S441" s="3"/>
      <c r="T441" s="3"/>
      <c r="U441" s="3"/>
      <c r="V441" s="3"/>
      <c r="W441" s="3">
        <f t="shared" si="6"/>
        <v>0</v>
      </c>
      <c r="X441" s="44" t="s">
        <v>580</v>
      </c>
      <c r="Y441" t="s">
        <v>912</v>
      </c>
      <c r="Z441" s="32">
        <f>'94081000'!B9</f>
        <v>36994662.75</v>
      </c>
      <c r="AA441"/>
      <c r="AC441" s="3">
        <v>0</v>
      </c>
      <c r="AE441">
        <v>0</v>
      </c>
      <c r="AG441">
        <v>0</v>
      </c>
    </row>
    <row r="442" spans="3:36">
      <c r="C442">
        <v>5360</v>
      </c>
      <c r="D442" t="s">
        <v>537</v>
      </c>
      <c r="E442">
        <v>94111000</v>
      </c>
      <c r="H442" t="s">
        <v>913</v>
      </c>
      <c r="K442" s="3">
        <v>0</v>
      </c>
      <c r="M442" s="3">
        <v>0</v>
      </c>
      <c r="O442" s="3">
        <v>0</v>
      </c>
      <c r="S442" s="3"/>
      <c r="T442" s="3">
        <v>-14797107</v>
      </c>
      <c r="U442" s="3"/>
      <c r="V442" s="3"/>
      <c r="W442" s="3">
        <f t="shared" si="6"/>
        <v>-14797107</v>
      </c>
      <c r="X442" s="44" t="s">
        <v>208</v>
      </c>
      <c r="AA442"/>
      <c r="AC442" s="3">
        <v>0</v>
      </c>
      <c r="AE442">
        <v>0</v>
      </c>
      <c r="AG442">
        <v>0</v>
      </c>
    </row>
    <row r="443" spans="3:36">
      <c r="C443">
        <v>5360</v>
      </c>
      <c r="E443">
        <v>94111010</v>
      </c>
      <c r="H443" t="s">
        <v>914</v>
      </c>
      <c r="K443" s="3">
        <v>0</v>
      </c>
      <c r="M443" s="3">
        <v>0</v>
      </c>
      <c r="O443" s="3">
        <v>0</v>
      </c>
      <c r="S443" s="3"/>
      <c r="T443" s="3"/>
      <c r="U443" s="3"/>
      <c r="V443" s="3"/>
      <c r="W443" s="3">
        <f t="shared" si="6"/>
        <v>0</v>
      </c>
      <c r="X443" s="44" t="s">
        <v>208</v>
      </c>
      <c r="AA443"/>
      <c r="AC443" s="3">
        <v>0</v>
      </c>
      <c r="AE443">
        <v>0</v>
      </c>
      <c r="AG443">
        <v>0</v>
      </c>
    </row>
    <row r="444" spans="3:36">
      <c r="C444">
        <v>5360</v>
      </c>
      <c r="D444" t="s">
        <v>537</v>
      </c>
      <c r="E444">
        <v>94112000</v>
      </c>
      <c r="H444" t="s">
        <v>342</v>
      </c>
      <c r="K444" s="3">
        <v>0</v>
      </c>
      <c r="M444" s="3">
        <v>0</v>
      </c>
      <c r="O444" s="3">
        <v>0</v>
      </c>
      <c r="S444" s="3"/>
      <c r="T444" s="3"/>
      <c r="U444" s="3"/>
      <c r="V444" s="3"/>
      <c r="W444" s="3">
        <f t="shared" si="6"/>
        <v>0</v>
      </c>
      <c r="X444" s="619" t="s">
        <v>209</v>
      </c>
      <c r="AA444"/>
      <c r="AC444" s="3">
        <v>0</v>
      </c>
      <c r="AE444">
        <v>0</v>
      </c>
      <c r="AG444">
        <v>0</v>
      </c>
    </row>
    <row r="445" spans="3:36">
      <c r="E445" t="s">
        <v>915</v>
      </c>
      <c r="K445" s="3">
        <v>0</v>
      </c>
      <c r="M445" s="3">
        <v>0</v>
      </c>
      <c r="O445" s="3">
        <v>0</v>
      </c>
      <c r="R445" t="s">
        <v>569</v>
      </c>
      <c r="S445" s="3">
        <f>SUM(S441:S444)</f>
        <v>0</v>
      </c>
      <c r="T445" s="3">
        <f>SUM(T441:T444)</f>
        <v>-14797107</v>
      </c>
      <c r="U445" s="3">
        <f>SUM(U441:U444)</f>
        <v>0</v>
      </c>
      <c r="V445" s="3">
        <f>SUM(V441:V444)</f>
        <v>0</v>
      </c>
      <c r="W445" s="3">
        <f t="shared" si="6"/>
        <v>-14797107</v>
      </c>
      <c r="X445" s="44"/>
      <c r="AA445"/>
      <c r="AC445" s="3">
        <v>0</v>
      </c>
      <c r="AE445">
        <v>0</v>
      </c>
      <c r="AG445">
        <v>0</v>
      </c>
    </row>
    <row r="446" spans="3:36">
      <c r="C446">
        <v>5360</v>
      </c>
      <c r="D446" t="s">
        <v>537</v>
      </c>
      <c r="E446">
        <v>94113000</v>
      </c>
      <c r="H446" t="s">
        <v>336</v>
      </c>
      <c r="K446" s="3">
        <v>0</v>
      </c>
      <c r="M446" s="3">
        <v>0</v>
      </c>
      <c r="O446" s="3">
        <v>0</v>
      </c>
      <c r="S446" s="3"/>
      <c r="T446" s="3"/>
      <c r="U446" s="3"/>
      <c r="V446" s="3"/>
      <c r="W446" s="3">
        <f t="shared" si="6"/>
        <v>0</v>
      </c>
      <c r="X446" s="44" t="s">
        <v>580</v>
      </c>
      <c r="AA446"/>
      <c r="AC446" s="3">
        <v>0</v>
      </c>
      <c r="AE446">
        <v>0</v>
      </c>
      <c r="AG446">
        <v>0</v>
      </c>
    </row>
    <row r="447" spans="3:36">
      <c r="C447">
        <v>5360</v>
      </c>
      <c r="D447" t="s">
        <v>537</v>
      </c>
      <c r="E447">
        <v>94114000</v>
      </c>
      <c r="H447" t="s">
        <v>916</v>
      </c>
      <c r="K447" s="3">
        <v>0</v>
      </c>
      <c r="M447" s="3">
        <v>0</v>
      </c>
      <c r="O447" s="3">
        <v>0</v>
      </c>
      <c r="S447" s="3"/>
      <c r="T447" s="3"/>
      <c r="U447" s="3"/>
      <c r="V447" s="3"/>
      <c r="W447" s="3">
        <f t="shared" si="6"/>
        <v>0</v>
      </c>
      <c r="X447" s="44" t="s">
        <v>917</v>
      </c>
      <c r="AA447"/>
      <c r="AC447" s="3">
        <v>0</v>
      </c>
      <c r="AE447">
        <v>0</v>
      </c>
      <c r="AG447">
        <v>0</v>
      </c>
    </row>
    <row r="448" spans="3:36">
      <c r="C448">
        <v>5360</v>
      </c>
      <c r="D448" t="s">
        <v>537</v>
      </c>
      <c r="E448">
        <v>94115000</v>
      </c>
      <c r="H448" t="s">
        <v>343</v>
      </c>
      <c r="K448" s="3">
        <v>0</v>
      </c>
      <c r="M448" s="3">
        <v>0</v>
      </c>
      <c r="O448" s="3">
        <v>0</v>
      </c>
      <c r="S448" s="3"/>
      <c r="T448" s="3"/>
      <c r="U448" s="3"/>
      <c r="V448" s="3"/>
      <c r="W448" s="3">
        <f t="shared" si="6"/>
        <v>0</v>
      </c>
      <c r="X448" s="44" t="s">
        <v>209</v>
      </c>
      <c r="AA448"/>
      <c r="AC448" s="3">
        <v>0</v>
      </c>
      <c r="AE448">
        <v>0</v>
      </c>
      <c r="AG448">
        <v>0</v>
      </c>
    </row>
    <row r="449" spans="3:36">
      <c r="C449">
        <v>5360</v>
      </c>
      <c r="D449" t="s">
        <v>537</v>
      </c>
      <c r="E449">
        <v>94200000</v>
      </c>
      <c r="H449" t="s">
        <v>344</v>
      </c>
      <c r="K449" s="3">
        <v>0</v>
      </c>
      <c r="M449" s="3">
        <v>0</v>
      </c>
      <c r="O449" s="3">
        <v>0</v>
      </c>
      <c r="S449" s="3"/>
      <c r="T449" s="3"/>
      <c r="U449" s="3"/>
      <c r="V449" s="3"/>
      <c r="W449" s="3">
        <f t="shared" si="6"/>
        <v>0</v>
      </c>
      <c r="X449" s="619" t="s">
        <v>209</v>
      </c>
      <c r="AA449"/>
      <c r="AC449" s="3">
        <v>0</v>
      </c>
      <c r="AE449">
        <v>0</v>
      </c>
      <c r="AG449">
        <v>0</v>
      </c>
    </row>
    <row r="450" spans="3:36">
      <c r="E450" t="s">
        <v>918</v>
      </c>
      <c r="K450" s="3">
        <v>0</v>
      </c>
      <c r="M450" s="3">
        <v>0</v>
      </c>
      <c r="O450" s="3">
        <v>0</v>
      </c>
      <c r="R450" t="s">
        <v>569</v>
      </c>
      <c r="S450" s="3">
        <f>SUM(S446:S449)</f>
        <v>0</v>
      </c>
      <c r="T450" s="3">
        <f>SUM(T446:T449)</f>
        <v>0</v>
      </c>
      <c r="U450" s="3">
        <f>SUM(U446:U449)</f>
        <v>0</v>
      </c>
      <c r="V450" s="3">
        <f>SUM(V446:V449)</f>
        <v>0</v>
      </c>
      <c r="W450" s="3">
        <f t="shared" si="6"/>
        <v>0</v>
      </c>
      <c r="X450" s="44"/>
      <c r="AA450"/>
      <c r="AC450" s="3">
        <v>0</v>
      </c>
      <c r="AE450">
        <v>0</v>
      </c>
      <c r="AG450">
        <v>0</v>
      </c>
    </row>
    <row r="451" spans="3:36">
      <c r="C451">
        <v>5360</v>
      </c>
      <c r="D451" t="s">
        <v>537</v>
      </c>
      <c r="E451">
        <v>94091000</v>
      </c>
      <c r="H451" t="s">
        <v>919</v>
      </c>
      <c r="K451" s="3">
        <v>0</v>
      </c>
      <c r="M451" s="3">
        <v>0</v>
      </c>
      <c r="O451" s="3">
        <v>0</v>
      </c>
      <c r="S451" s="3"/>
      <c r="T451" s="3">
        <v>-19558821</v>
      </c>
      <c r="U451" s="3"/>
      <c r="V451" s="3"/>
      <c r="W451" s="3">
        <f t="shared" si="6"/>
        <v>-19558821</v>
      </c>
      <c r="X451" s="619" t="s">
        <v>208</v>
      </c>
      <c r="AC451" s="3">
        <v>0</v>
      </c>
      <c r="AE451">
        <v>0</v>
      </c>
      <c r="AG451">
        <v>0</v>
      </c>
    </row>
    <row r="452" spans="3:36">
      <c r="C452">
        <v>5360</v>
      </c>
      <c r="D452" t="s">
        <v>537</v>
      </c>
      <c r="E452">
        <v>94091300</v>
      </c>
      <c r="H452" t="s">
        <v>920</v>
      </c>
      <c r="K452" s="3">
        <v>0</v>
      </c>
      <c r="M452" s="3">
        <v>0</v>
      </c>
      <c r="O452" s="3">
        <v>0</v>
      </c>
      <c r="T452" s="3"/>
      <c r="W452" s="3">
        <f t="shared" si="6"/>
        <v>0</v>
      </c>
      <c r="X452" s="619" t="s">
        <v>208</v>
      </c>
      <c r="AA452"/>
      <c r="AC452" s="3">
        <v>0</v>
      </c>
      <c r="AE452">
        <v>0</v>
      </c>
      <c r="AG452">
        <v>0</v>
      </c>
    </row>
    <row r="453" spans="3:36">
      <c r="E453" t="s">
        <v>921</v>
      </c>
      <c r="K453" s="3">
        <v>0</v>
      </c>
      <c r="M453" s="3">
        <v>0</v>
      </c>
      <c r="O453" s="3">
        <v>0</v>
      </c>
      <c r="R453" t="s">
        <v>569</v>
      </c>
      <c r="S453" s="3">
        <f>SUM(S451:S452)</f>
        <v>0</v>
      </c>
      <c r="T453" s="3">
        <f>SUM(T451:T452)</f>
        <v>-19558821</v>
      </c>
      <c r="U453" s="3">
        <f>SUM(U451:U452)</f>
        <v>0</v>
      </c>
      <c r="V453" s="3">
        <f>SUM(V451:V452)</f>
        <v>0</v>
      </c>
      <c r="W453" s="3">
        <f t="shared" si="6"/>
        <v>-19558821</v>
      </c>
      <c r="X453" s="44"/>
      <c r="AA453"/>
      <c r="AC453" s="3">
        <v>0</v>
      </c>
      <c r="AE453">
        <v>0</v>
      </c>
      <c r="AG453">
        <v>0</v>
      </c>
    </row>
    <row r="454" spans="3:36">
      <c r="C454">
        <v>5360</v>
      </c>
      <c r="D454" t="s">
        <v>537</v>
      </c>
      <c r="E454">
        <v>94116000</v>
      </c>
      <c r="H454" t="s">
        <v>922</v>
      </c>
      <c r="K454" s="3">
        <v>-624006.30000000005</v>
      </c>
      <c r="M454" s="3">
        <v>0</v>
      </c>
      <c r="O454" s="3">
        <v>624006.30000000005</v>
      </c>
      <c r="Q454">
        <v>100</v>
      </c>
      <c r="S454" s="3"/>
      <c r="T454" s="3"/>
      <c r="U454" s="3"/>
      <c r="V454" s="3"/>
      <c r="W454" s="3">
        <f t="shared" si="6"/>
        <v>-624006.30000000005</v>
      </c>
      <c r="X454" s="44" t="s">
        <v>208</v>
      </c>
      <c r="AA454"/>
      <c r="AC454" s="3">
        <v>0</v>
      </c>
      <c r="AE454">
        <v>0</v>
      </c>
      <c r="AG454" s="31">
        <v>-624006.30000000005</v>
      </c>
    </row>
    <row r="455" spans="3:36">
      <c r="C455">
        <v>5360</v>
      </c>
      <c r="D455" t="s">
        <v>537</v>
      </c>
      <c r="E455">
        <v>94117000</v>
      </c>
      <c r="H455" t="s">
        <v>923</v>
      </c>
      <c r="K455" s="3">
        <v>0</v>
      </c>
      <c r="M455" s="3">
        <v>0</v>
      </c>
      <c r="O455" s="3">
        <v>0</v>
      </c>
      <c r="S455" s="3"/>
      <c r="T455" s="3"/>
      <c r="U455" s="3"/>
      <c r="V455" s="3"/>
      <c r="W455" s="3">
        <f t="shared" si="6"/>
        <v>0</v>
      </c>
      <c r="X455" s="44" t="s">
        <v>208</v>
      </c>
      <c r="AA455"/>
      <c r="AC455" s="3">
        <v>0</v>
      </c>
      <c r="AE455">
        <v>0</v>
      </c>
      <c r="AG455">
        <v>0</v>
      </c>
    </row>
    <row r="456" spans="3:36">
      <c r="C456">
        <v>5360</v>
      </c>
      <c r="D456" t="s">
        <v>537</v>
      </c>
      <c r="E456">
        <v>94118000</v>
      </c>
      <c r="H456" t="s">
        <v>924</v>
      </c>
      <c r="K456" s="3">
        <v>0</v>
      </c>
      <c r="M456" s="3">
        <v>0</v>
      </c>
      <c r="O456" s="3">
        <v>0</v>
      </c>
      <c r="S456" s="3"/>
      <c r="T456" s="3"/>
      <c r="U456" s="3"/>
      <c r="V456" s="3"/>
      <c r="W456" s="3">
        <f t="shared" si="6"/>
        <v>0</v>
      </c>
      <c r="X456" s="44" t="s">
        <v>208</v>
      </c>
      <c r="AA456"/>
      <c r="AC456" s="3">
        <v>0</v>
      </c>
      <c r="AE456">
        <v>0</v>
      </c>
      <c r="AG456">
        <v>0</v>
      </c>
    </row>
    <row r="457" spans="3:36">
      <c r="C457">
        <v>5360</v>
      </c>
      <c r="D457" t="s">
        <v>537</v>
      </c>
      <c r="E457">
        <v>94119000</v>
      </c>
      <c r="H457" t="s">
        <v>925</v>
      </c>
      <c r="K457" s="3">
        <v>0</v>
      </c>
      <c r="M457" s="3">
        <v>0</v>
      </c>
      <c r="O457" s="3">
        <v>0</v>
      </c>
      <c r="S457" s="3"/>
      <c r="T457" s="3"/>
      <c r="U457" s="3"/>
      <c r="V457" s="3"/>
      <c r="W457" s="3">
        <f t="shared" ref="W457:W520" si="7">SUM(K457,S457:V457)</f>
        <v>0</v>
      </c>
      <c r="X457" s="619" t="s">
        <v>208</v>
      </c>
      <c r="AA457"/>
      <c r="AC457" s="3">
        <v>0</v>
      </c>
      <c r="AE457">
        <v>0</v>
      </c>
      <c r="AG457">
        <v>0</v>
      </c>
    </row>
    <row r="458" spans="3:36">
      <c r="E458" t="s">
        <v>926</v>
      </c>
      <c r="K458" s="3">
        <v>-624006.30000000005</v>
      </c>
      <c r="M458" s="3">
        <v>0</v>
      </c>
      <c r="O458" s="3">
        <v>624006.30000000005</v>
      </c>
      <c r="Q458">
        <v>100</v>
      </c>
      <c r="R458" t="s">
        <v>569</v>
      </c>
      <c r="S458" s="3">
        <f>SUM(S454:S457)</f>
        <v>0</v>
      </c>
      <c r="T458" s="3">
        <f>SUM(T454:T457)</f>
        <v>0</v>
      </c>
      <c r="U458" s="3">
        <f>SUM(U454:U457)</f>
        <v>0</v>
      </c>
      <c r="V458" s="3">
        <f>SUM(V454:V457)</f>
        <v>0</v>
      </c>
      <c r="W458" s="3">
        <f t="shared" si="7"/>
        <v>-624006.30000000005</v>
      </c>
      <c r="X458" s="619"/>
      <c r="Y458" t="s">
        <v>927</v>
      </c>
      <c r="AA458"/>
      <c r="AC458" s="3">
        <v>0</v>
      </c>
      <c r="AE458">
        <v>0</v>
      </c>
      <c r="AG458" s="31">
        <v>-624006.30000000005</v>
      </c>
    </row>
    <row r="459" spans="3:36">
      <c r="E459" t="s">
        <v>92</v>
      </c>
      <c r="K459" s="3">
        <v>399128787</v>
      </c>
      <c r="M459" s="3">
        <v>380870239.94999999</v>
      </c>
      <c r="O459" s="3">
        <v>-18258547.050000001</v>
      </c>
      <c r="Q459">
        <v>-4.5999999999999996</v>
      </c>
      <c r="R459" t="s">
        <v>611</v>
      </c>
      <c r="S459" s="3">
        <f>S86+S89+S432+S421+S438+S440+S445+S450+S453+S458</f>
        <v>34577.019999999997</v>
      </c>
      <c r="T459" s="3">
        <f>T86+T89+T432+T421+T438+T440+T445+T450+T453+T458</f>
        <v>10004483</v>
      </c>
      <c r="U459" s="3">
        <f>U86+U89+U432+U421+U438+U440+U445+U450+U453+U458</f>
        <v>0</v>
      </c>
      <c r="V459" s="3">
        <f>V86+V89+V432+V421+V438+V440+V445+V450+V453+V458</f>
        <v>0</v>
      </c>
      <c r="W459" s="3">
        <f t="shared" si="7"/>
        <v>409167847.01999998</v>
      </c>
      <c r="X459" s="619"/>
      <c r="Y459" s="145">
        <f>SUMIF(X:X,"O",W:W)</f>
        <v>9380476.6999999993</v>
      </c>
      <c r="Z459" t="s">
        <v>928</v>
      </c>
      <c r="AA459"/>
      <c r="AC459" s="3">
        <v>380870239.94999999</v>
      </c>
      <c r="AE459" s="31">
        <v>380870239.94999999</v>
      </c>
      <c r="AG459" s="31">
        <v>399128787</v>
      </c>
      <c r="AJ459" s="31"/>
    </row>
    <row r="460" spans="3:36">
      <c r="K460" s="3"/>
      <c r="M460" s="3"/>
      <c r="O460" s="3"/>
      <c r="S460" s="3"/>
      <c r="T460" s="3"/>
      <c r="U460" s="3"/>
      <c r="V460" s="3"/>
      <c r="W460" s="3">
        <f t="shared" si="7"/>
        <v>0</v>
      </c>
      <c r="X460" s="619"/>
      <c r="Y460" s="3">
        <f>SUM(Y57:Y459)-W459</f>
        <v>0</v>
      </c>
      <c r="Z460" t="s">
        <v>612</v>
      </c>
      <c r="AA460"/>
      <c r="AC460" s="3"/>
    </row>
    <row r="461" spans="3:36">
      <c r="E461" t="s">
        <v>929</v>
      </c>
      <c r="K461" s="3">
        <v>-78042439.950000003</v>
      </c>
      <c r="M461" s="3">
        <v>-59257215.18</v>
      </c>
      <c r="O461" s="3">
        <v>18785224.77</v>
      </c>
      <c r="Q461">
        <v>24.1</v>
      </c>
      <c r="R461" t="s">
        <v>930</v>
      </c>
      <c r="S461" s="3">
        <f>S459+S56</f>
        <v>-171308.84000000003</v>
      </c>
      <c r="T461" s="3">
        <f>T459+T56</f>
        <v>10004483</v>
      </c>
      <c r="U461" s="3">
        <f>U459+U56</f>
        <v>0</v>
      </c>
      <c r="V461" s="3">
        <f>V459+V56</f>
        <v>0</v>
      </c>
      <c r="W461" s="3">
        <f t="shared" si="7"/>
        <v>-68209265.790000007</v>
      </c>
      <c r="X461" s="619"/>
      <c r="AA461"/>
      <c r="AC461" s="3">
        <v>-59257215.18</v>
      </c>
      <c r="AE461" s="31">
        <v>-59257215.18</v>
      </c>
      <c r="AG461" s="31">
        <v>-78042439.950000003</v>
      </c>
      <c r="AJ461" s="31"/>
    </row>
    <row r="462" spans="3:36">
      <c r="K462" s="3"/>
      <c r="M462" s="3"/>
      <c r="O462" s="3"/>
      <c r="S462" s="3"/>
      <c r="T462" s="3"/>
      <c r="U462" s="3"/>
      <c r="V462" s="3"/>
      <c r="W462" s="3">
        <f t="shared" si="7"/>
        <v>0</v>
      </c>
      <c r="X462" s="44"/>
      <c r="AA462"/>
      <c r="AC462" s="3"/>
    </row>
    <row r="463" spans="3:36">
      <c r="C463">
        <v>5360</v>
      </c>
      <c r="E463">
        <v>94191000</v>
      </c>
      <c r="H463" t="s">
        <v>931</v>
      </c>
      <c r="K463" s="3">
        <v>-1222127.8500000001</v>
      </c>
      <c r="M463" s="3">
        <v>-177271.78</v>
      </c>
      <c r="O463" s="3">
        <v>1044856.07</v>
      </c>
      <c r="Q463">
        <v>85.5</v>
      </c>
      <c r="S463" s="3"/>
      <c r="T463" s="3"/>
      <c r="U463" s="3"/>
      <c r="V463" s="3"/>
      <c r="W463" s="3">
        <f t="shared" si="7"/>
        <v>-1222127.8500000001</v>
      </c>
      <c r="X463" s="619" t="s">
        <v>212</v>
      </c>
      <c r="AA463"/>
      <c r="AC463" s="3">
        <v>-177271.78</v>
      </c>
      <c r="AE463" s="31">
        <v>-177271.78</v>
      </c>
      <c r="AG463" s="31">
        <v>-1222127.8500000001</v>
      </c>
      <c r="AJ463" s="31"/>
    </row>
    <row r="464" spans="3:36">
      <c r="E464" t="s">
        <v>932</v>
      </c>
      <c r="K464" s="3">
        <v>-1222127.8500000001</v>
      </c>
      <c r="M464" s="3">
        <v>-177271.78</v>
      </c>
      <c r="O464" s="3">
        <v>1044856.07</v>
      </c>
      <c r="Q464">
        <v>85.5</v>
      </c>
      <c r="R464" t="s">
        <v>611</v>
      </c>
      <c r="S464" s="3">
        <f>SUM(S463)</f>
        <v>0</v>
      </c>
      <c r="T464" s="3">
        <f>SUM(T463)</f>
        <v>0</v>
      </c>
      <c r="U464" s="3">
        <f>SUM(U463)</f>
        <v>0</v>
      </c>
      <c r="V464" s="3">
        <f>SUM(V463)</f>
        <v>0</v>
      </c>
      <c r="W464" s="3">
        <f t="shared" si="7"/>
        <v>-1222127.8500000001</v>
      </c>
      <c r="X464" s="619"/>
      <c r="AA464"/>
      <c r="AC464" s="3">
        <v>-177271.78</v>
      </c>
      <c r="AE464" s="31">
        <v>-177271.78</v>
      </c>
      <c r="AG464" s="31">
        <v>-1222127.8500000001</v>
      </c>
      <c r="AJ464" s="31"/>
    </row>
    <row r="465" spans="3:36">
      <c r="K465" s="3"/>
      <c r="M465" s="3"/>
      <c r="O465" s="3"/>
      <c r="S465" s="3"/>
      <c r="T465" s="3"/>
      <c r="U465" s="3"/>
      <c r="V465" s="3"/>
      <c r="W465" s="3">
        <f t="shared" si="7"/>
        <v>0</v>
      </c>
      <c r="X465" s="44"/>
      <c r="AA465"/>
      <c r="AC465" s="3"/>
    </row>
    <row r="466" spans="3:36">
      <c r="C466">
        <v>5360</v>
      </c>
      <c r="D466" t="s">
        <v>537</v>
      </c>
      <c r="E466">
        <v>94181000</v>
      </c>
      <c r="H466" t="s">
        <v>933</v>
      </c>
      <c r="K466" s="3">
        <v>0</v>
      </c>
      <c r="M466" s="3">
        <v>0</v>
      </c>
      <c r="O466" s="3">
        <v>0</v>
      </c>
      <c r="S466" s="3"/>
      <c r="T466" s="3"/>
      <c r="U466" s="3"/>
      <c r="V466" s="3"/>
      <c r="W466" s="3">
        <f t="shared" si="7"/>
        <v>0</v>
      </c>
      <c r="X466" s="619" t="s">
        <v>209</v>
      </c>
      <c r="AA466"/>
      <c r="AC466" s="3">
        <v>0</v>
      </c>
      <c r="AE466">
        <v>0</v>
      </c>
      <c r="AG466">
        <v>0</v>
      </c>
    </row>
    <row r="467" spans="3:36">
      <c r="E467" t="s">
        <v>934</v>
      </c>
      <c r="K467" s="3">
        <v>0</v>
      </c>
      <c r="M467" s="3">
        <v>0</v>
      </c>
      <c r="O467" s="3">
        <v>0</v>
      </c>
      <c r="R467" t="s">
        <v>611</v>
      </c>
      <c r="S467" s="3">
        <f>SUM(S466)</f>
        <v>0</v>
      </c>
      <c r="T467" s="3">
        <f>SUM(T466)</f>
        <v>0</v>
      </c>
      <c r="U467" s="3">
        <f>SUM(U466)</f>
        <v>0</v>
      </c>
      <c r="V467" s="3">
        <f>SUM(V466)</f>
        <v>0</v>
      </c>
      <c r="W467" s="3">
        <f t="shared" si="7"/>
        <v>0</v>
      </c>
      <c r="X467" s="619"/>
      <c r="AA467"/>
      <c r="AC467" s="3">
        <v>0</v>
      </c>
      <c r="AE467">
        <v>0</v>
      </c>
      <c r="AG467">
        <v>0</v>
      </c>
    </row>
    <row r="468" spans="3:36">
      <c r="K468" s="3"/>
      <c r="M468" s="3"/>
      <c r="O468" s="3"/>
      <c r="S468" s="3"/>
      <c r="T468" s="3"/>
      <c r="U468" s="3"/>
      <c r="V468" s="3"/>
      <c r="W468" s="3">
        <f t="shared" si="7"/>
        <v>0</v>
      </c>
      <c r="X468" s="44"/>
      <c r="AA468"/>
      <c r="AC468" s="3"/>
    </row>
    <row r="469" spans="3:36">
      <c r="C469">
        <v>5360</v>
      </c>
      <c r="D469" t="s">
        <v>537</v>
      </c>
      <c r="E469">
        <v>94092000</v>
      </c>
      <c r="H469" t="s">
        <v>935</v>
      </c>
      <c r="K469" s="3">
        <v>0</v>
      </c>
      <c r="M469" s="3">
        <v>0</v>
      </c>
      <c r="O469" s="3">
        <v>0</v>
      </c>
      <c r="S469" s="3"/>
      <c r="T469" s="3"/>
      <c r="U469" s="3"/>
      <c r="V469" s="3"/>
      <c r="W469" s="3">
        <f t="shared" si="7"/>
        <v>0</v>
      </c>
      <c r="X469" s="44" t="s">
        <v>209</v>
      </c>
      <c r="AC469" s="3">
        <v>0</v>
      </c>
      <c r="AE469">
        <v>0</v>
      </c>
      <c r="AG469">
        <v>0</v>
      </c>
    </row>
    <row r="470" spans="3:36">
      <c r="C470">
        <v>5360</v>
      </c>
      <c r="D470" t="s">
        <v>537</v>
      </c>
      <c r="E470">
        <v>94092300</v>
      </c>
      <c r="H470" t="s">
        <v>937</v>
      </c>
      <c r="K470" s="3">
        <v>0</v>
      </c>
      <c r="M470" s="3">
        <v>0</v>
      </c>
      <c r="O470" s="3">
        <v>0</v>
      </c>
      <c r="W470" s="3">
        <f t="shared" si="7"/>
        <v>0</v>
      </c>
      <c r="X470" s="44" t="s">
        <v>209</v>
      </c>
      <c r="AA470"/>
      <c r="AC470" s="3">
        <v>0</v>
      </c>
      <c r="AE470">
        <v>0</v>
      </c>
      <c r="AG470">
        <v>0</v>
      </c>
    </row>
    <row r="471" spans="3:36">
      <c r="C471">
        <v>5360</v>
      </c>
      <c r="D471" t="s">
        <v>537</v>
      </c>
      <c r="E471">
        <v>94093000</v>
      </c>
      <c r="H471" t="s">
        <v>346</v>
      </c>
      <c r="K471" s="3">
        <v>0</v>
      </c>
      <c r="M471" s="3">
        <v>0</v>
      </c>
      <c r="O471" s="3">
        <v>0</v>
      </c>
      <c r="S471" s="3"/>
      <c r="T471" s="3"/>
      <c r="U471" s="3"/>
      <c r="V471" s="3"/>
      <c r="W471" s="3">
        <f t="shared" si="7"/>
        <v>0</v>
      </c>
      <c r="X471" s="44" t="s">
        <v>209</v>
      </c>
      <c r="AA471"/>
      <c r="AC471" s="3">
        <v>0</v>
      </c>
      <c r="AE471">
        <v>0</v>
      </c>
      <c r="AG471">
        <v>0</v>
      </c>
    </row>
    <row r="472" spans="3:36">
      <c r="C472">
        <v>5360</v>
      </c>
      <c r="D472" t="s">
        <v>537</v>
      </c>
      <c r="E472">
        <v>94094000</v>
      </c>
      <c r="H472" t="s">
        <v>628</v>
      </c>
      <c r="K472" s="3">
        <v>0</v>
      </c>
      <c r="M472" s="3">
        <v>0</v>
      </c>
      <c r="O472" s="3">
        <v>0</v>
      </c>
      <c r="S472" s="3"/>
      <c r="T472" s="3"/>
      <c r="U472" s="3"/>
      <c r="V472" s="3"/>
      <c r="W472" s="3">
        <f t="shared" si="7"/>
        <v>0</v>
      </c>
      <c r="X472" s="144" t="s">
        <v>580</v>
      </c>
      <c r="AA472"/>
      <c r="AC472" s="3">
        <v>0</v>
      </c>
      <c r="AE472">
        <v>0</v>
      </c>
      <c r="AG472">
        <v>0</v>
      </c>
    </row>
    <row r="473" spans="3:36">
      <c r="E473" t="s">
        <v>938</v>
      </c>
      <c r="K473" s="3">
        <v>0</v>
      </c>
      <c r="M473" s="3">
        <v>0</v>
      </c>
      <c r="O473" s="3">
        <v>0</v>
      </c>
      <c r="R473" t="s">
        <v>658</v>
      </c>
      <c r="S473" s="3">
        <f>SUM(S469:S472)</f>
        <v>0</v>
      </c>
      <c r="T473" s="3">
        <f>SUM(T469:T472)</f>
        <v>0</v>
      </c>
      <c r="U473" s="3">
        <f>SUM(U469:U472)</f>
        <v>0</v>
      </c>
      <c r="V473" s="3">
        <f>SUM(V469:V472)</f>
        <v>0</v>
      </c>
      <c r="W473" s="3">
        <f t="shared" si="7"/>
        <v>0</v>
      </c>
      <c r="X473" s="44"/>
      <c r="AA473"/>
      <c r="AC473" s="3">
        <v>0</v>
      </c>
      <c r="AE473">
        <v>0</v>
      </c>
      <c r="AG473">
        <v>0</v>
      </c>
    </row>
    <row r="474" spans="3:36">
      <c r="C474">
        <v>5360</v>
      </c>
      <c r="D474" t="s">
        <v>537</v>
      </c>
      <c r="E474">
        <v>94102000</v>
      </c>
      <c r="H474" t="s">
        <v>341</v>
      </c>
      <c r="K474" s="3">
        <v>0</v>
      </c>
      <c r="M474" s="3">
        <v>0</v>
      </c>
      <c r="O474" s="3">
        <v>0</v>
      </c>
      <c r="S474" s="3"/>
      <c r="T474" s="3"/>
      <c r="U474" s="3"/>
      <c r="V474" s="3"/>
      <c r="W474" s="3">
        <f t="shared" si="7"/>
        <v>0</v>
      </c>
      <c r="X474" s="144" t="s">
        <v>209</v>
      </c>
      <c r="AC474" s="3">
        <v>0</v>
      </c>
      <c r="AE474">
        <v>0</v>
      </c>
      <c r="AG474">
        <v>0</v>
      </c>
    </row>
    <row r="475" spans="3:36">
      <c r="E475" t="s">
        <v>939</v>
      </c>
      <c r="K475" s="3">
        <v>0</v>
      </c>
      <c r="M475" s="3">
        <v>0</v>
      </c>
      <c r="O475" s="3">
        <v>0</v>
      </c>
      <c r="R475" t="s">
        <v>658</v>
      </c>
      <c r="S475" s="3">
        <f>SUM(S474)</f>
        <v>0</v>
      </c>
      <c r="T475" s="3">
        <f>SUM(T474)</f>
        <v>0</v>
      </c>
      <c r="U475" s="3">
        <f>SUM(U474)</f>
        <v>0</v>
      </c>
      <c r="V475" s="3">
        <f>SUM(V474)</f>
        <v>0</v>
      </c>
      <c r="W475" s="3">
        <f t="shared" si="7"/>
        <v>0</v>
      </c>
      <c r="X475" s="619"/>
      <c r="AA475"/>
      <c r="AC475" s="3">
        <v>0</v>
      </c>
      <c r="AE475">
        <v>0</v>
      </c>
      <c r="AG475">
        <v>0</v>
      </c>
    </row>
    <row r="476" spans="3:36">
      <c r="E476" t="s">
        <v>928</v>
      </c>
      <c r="K476" s="3">
        <v>0</v>
      </c>
      <c r="M476" s="3">
        <v>0</v>
      </c>
      <c r="O476" s="3">
        <v>0</v>
      </c>
      <c r="R476" t="s">
        <v>569</v>
      </c>
      <c r="S476" s="3">
        <f>S473+S475</f>
        <v>0</v>
      </c>
      <c r="T476" s="3">
        <f>T473+T475</f>
        <v>0</v>
      </c>
      <c r="U476" s="3">
        <f>U473+U475</f>
        <v>0</v>
      </c>
      <c r="V476" s="3">
        <f>V473+V475</f>
        <v>0</v>
      </c>
      <c r="W476" s="3">
        <f t="shared" si="7"/>
        <v>0</v>
      </c>
      <c r="X476" s="44"/>
      <c r="AA476"/>
      <c r="AC476" s="3">
        <v>0</v>
      </c>
      <c r="AE476">
        <v>0</v>
      </c>
      <c r="AG476">
        <v>0</v>
      </c>
    </row>
    <row r="477" spans="3:36">
      <c r="C477">
        <v>5360</v>
      </c>
      <c r="E477">
        <v>94170000</v>
      </c>
      <c r="H477" t="s">
        <v>329</v>
      </c>
      <c r="K477" s="3">
        <v>-84824.72</v>
      </c>
      <c r="M477" s="3">
        <v>-120229.93</v>
      </c>
      <c r="O477" s="3">
        <v>-35405.21</v>
      </c>
      <c r="Q477">
        <v>-41.7</v>
      </c>
      <c r="S477" s="3"/>
      <c r="T477" s="3"/>
      <c r="U477" s="3"/>
      <c r="V477" s="3"/>
      <c r="W477" s="3">
        <f t="shared" si="7"/>
        <v>-84824.72</v>
      </c>
      <c r="X477" s="44" t="s">
        <v>209</v>
      </c>
      <c r="AA477"/>
      <c r="AC477" s="3">
        <v>-120229.93</v>
      </c>
      <c r="AE477" s="31">
        <v>-120229.93</v>
      </c>
      <c r="AG477" s="31">
        <v>-84824.72</v>
      </c>
      <c r="AJ477" s="31"/>
    </row>
    <row r="478" spans="3:36">
      <c r="C478">
        <v>5360</v>
      </c>
      <c r="E478">
        <v>94171000</v>
      </c>
      <c r="H478" t="s">
        <v>317</v>
      </c>
      <c r="K478" s="3">
        <v>573612.07999999996</v>
      </c>
      <c r="M478" s="3">
        <v>81897</v>
      </c>
      <c r="O478" s="3">
        <v>-491715.08</v>
      </c>
      <c r="Q478">
        <v>-85.7</v>
      </c>
      <c r="S478" s="3"/>
      <c r="T478" s="3"/>
      <c r="U478" s="3"/>
      <c r="V478" s="3"/>
      <c r="W478" s="3">
        <f t="shared" si="7"/>
        <v>573612.07999999996</v>
      </c>
      <c r="X478" s="144" t="s">
        <v>209</v>
      </c>
      <c r="AA478"/>
      <c r="AC478" s="3">
        <v>81897</v>
      </c>
      <c r="AE478" s="31">
        <v>81897</v>
      </c>
      <c r="AG478" s="31">
        <v>573612.07999999996</v>
      </c>
      <c r="AJ478" s="31"/>
    </row>
    <row r="479" spans="3:36">
      <c r="E479" t="s">
        <v>940</v>
      </c>
      <c r="K479" s="3">
        <v>488787.36</v>
      </c>
      <c r="M479" s="3">
        <v>-38332.93</v>
      </c>
      <c r="O479" s="3">
        <v>-527120.29</v>
      </c>
      <c r="Q479">
        <v>-107.8</v>
      </c>
      <c r="R479" t="s">
        <v>569</v>
      </c>
      <c r="S479" s="3">
        <f>SUM(S477:S478)</f>
        <v>0</v>
      </c>
      <c r="T479" s="3">
        <f>SUM(T477:T478)</f>
        <v>0</v>
      </c>
      <c r="U479" s="3">
        <f>SUM(U477:U478)</f>
        <v>0</v>
      </c>
      <c r="V479" s="3">
        <f>SUM(V477:V478)</f>
        <v>0</v>
      </c>
      <c r="W479" s="3">
        <f t="shared" si="7"/>
        <v>488787.36</v>
      </c>
      <c r="X479" s="44"/>
      <c r="AA479"/>
      <c r="AC479" s="3">
        <v>-38332.93</v>
      </c>
      <c r="AE479" s="31">
        <v>-38332.93</v>
      </c>
      <c r="AG479" s="31">
        <v>488787.36</v>
      </c>
      <c r="AJ479" s="31"/>
    </row>
    <row r="480" spans="3:36">
      <c r="C480">
        <v>5360</v>
      </c>
      <c r="E480">
        <v>94180000</v>
      </c>
      <c r="H480" t="s">
        <v>330</v>
      </c>
      <c r="K480" s="3">
        <v>0</v>
      </c>
      <c r="M480" s="3">
        <v>0</v>
      </c>
      <c r="O480" s="3">
        <v>0</v>
      </c>
      <c r="S480" s="3"/>
      <c r="T480" s="3"/>
      <c r="U480" s="3"/>
      <c r="V480" s="3"/>
      <c r="W480" s="3">
        <f t="shared" si="7"/>
        <v>0</v>
      </c>
      <c r="X480" s="144" t="s">
        <v>209</v>
      </c>
      <c r="AA480"/>
      <c r="AC480" s="3">
        <v>0</v>
      </c>
      <c r="AE480">
        <v>0</v>
      </c>
      <c r="AG480">
        <v>0</v>
      </c>
    </row>
    <row r="481" spans="3:36">
      <c r="E481" t="s">
        <v>330</v>
      </c>
      <c r="K481" s="3">
        <v>0</v>
      </c>
      <c r="M481" s="3">
        <v>0</v>
      </c>
      <c r="O481" s="3">
        <v>0</v>
      </c>
      <c r="R481" t="s">
        <v>569</v>
      </c>
      <c r="S481" s="3">
        <f>SUM(S480)</f>
        <v>0</v>
      </c>
      <c r="T481" s="3">
        <f>SUM(T480)</f>
        <v>0</v>
      </c>
      <c r="U481" s="3">
        <f>SUM(U480)</f>
        <v>0</v>
      </c>
      <c r="V481" s="3">
        <f>SUM(V480)</f>
        <v>0</v>
      </c>
      <c r="W481" s="3">
        <f t="shared" si="7"/>
        <v>0</v>
      </c>
      <c r="X481" s="44"/>
      <c r="AA481"/>
      <c r="AC481" s="3">
        <v>0</v>
      </c>
      <c r="AE481">
        <v>0</v>
      </c>
      <c r="AG481">
        <v>0</v>
      </c>
    </row>
    <row r="482" spans="3:36">
      <c r="C482">
        <v>5360</v>
      </c>
      <c r="E482">
        <v>94190000</v>
      </c>
      <c r="H482" t="s">
        <v>331</v>
      </c>
      <c r="K482" s="3">
        <v>-2012633.03</v>
      </c>
      <c r="M482" s="3">
        <v>-464138.85</v>
      </c>
      <c r="O482" s="3">
        <v>1548494.18</v>
      </c>
      <c r="Q482">
        <v>76.900000000000006</v>
      </c>
      <c r="S482" s="3"/>
      <c r="T482" s="3"/>
      <c r="U482" s="3"/>
      <c r="V482" s="3"/>
      <c r="W482" s="3">
        <f t="shared" si="7"/>
        <v>-2012633.03</v>
      </c>
      <c r="X482" s="144" t="s">
        <v>209</v>
      </c>
      <c r="Y482" s="40" t="s">
        <v>941</v>
      </c>
      <c r="Z482" s="32">
        <f>'94190000'!B6</f>
        <v>-46153.14</v>
      </c>
      <c r="AA482"/>
      <c r="AC482" s="3">
        <v>-464138.85</v>
      </c>
      <c r="AE482" s="31">
        <v>-464138.85</v>
      </c>
      <c r="AG482" s="31">
        <v>-2012633.03</v>
      </c>
      <c r="AJ482" s="31"/>
    </row>
    <row r="483" spans="3:36">
      <c r="E483" t="s">
        <v>942</v>
      </c>
      <c r="K483" s="3">
        <v>-2012633.03</v>
      </c>
      <c r="M483" s="3">
        <v>-464138.85</v>
      </c>
      <c r="O483" s="3">
        <v>1548494.18</v>
      </c>
      <c r="Q483">
        <v>76.900000000000006</v>
      </c>
      <c r="R483" t="s">
        <v>569</v>
      </c>
      <c r="S483" s="3">
        <f>SUM(S482)</f>
        <v>0</v>
      </c>
      <c r="T483" s="3">
        <f>SUM(T482)</f>
        <v>0</v>
      </c>
      <c r="U483" s="3">
        <f>SUM(U482)</f>
        <v>0</v>
      </c>
      <c r="V483" s="3">
        <f>SUM(V482)</f>
        <v>0</v>
      </c>
      <c r="W483" s="3">
        <f t="shared" si="7"/>
        <v>-2012633.03</v>
      </c>
      <c r="X483" s="44"/>
      <c r="AA483"/>
      <c r="AC483" s="3">
        <v>-464138.85</v>
      </c>
      <c r="AE483" s="31">
        <v>-464138.85</v>
      </c>
      <c r="AG483" s="31">
        <v>-2012633.03</v>
      </c>
      <c r="AJ483" s="31"/>
    </row>
    <row r="484" spans="3:36">
      <c r="C484">
        <v>5360</v>
      </c>
      <c r="E484">
        <v>94210000</v>
      </c>
      <c r="H484" t="s">
        <v>320</v>
      </c>
      <c r="K484" s="3">
        <v>-173425.71</v>
      </c>
      <c r="M484" s="3">
        <v>-209453.47</v>
      </c>
      <c r="O484" s="3">
        <v>-36027.760000000002</v>
      </c>
      <c r="Q484">
        <v>-20.8</v>
      </c>
      <c r="S484" s="3"/>
      <c r="T484" s="3"/>
      <c r="U484" s="3"/>
      <c r="V484" s="3"/>
      <c r="W484" s="3">
        <f t="shared" si="7"/>
        <v>-173425.71</v>
      </c>
      <c r="X484" s="144" t="s">
        <v>209</v>
      </c>
      <c r="AA484"/>
      <c r="AC484" s="3">
        <v>-209453.47</v>
      </c>
      <c r="AE484" s="31">
        <v>-209453.47</v>
      </c>
      <c r="AG484" s="31">
        <v>-173425.71</v>
      </c>
      <c r="AJ484" s="31"/>
    </row>
    <row r="485" spans="3:36">
      <c r="E485" t="s">
        <v>320</v>
      </c>
      <c r="K485" s="3">
        <v>-173425.71</v>
      </c>
      <c r="M485" s="3">
        <v>-209453.47</v>
      </c>
      <c r="O485" s="3">
        <v>-36027.760000000002</v>
      </c>
      <c r="Q485">
        <v>-20.8</v>
      </c>
      <c r="R485" t="s">
        <v>569</v>
      </c>
      <c r="S485" s="3">
        <f>SUM(S484)</f>
        <v>0</v>
      </c>
      <c r="T485" s="3">
        <f>SUM(T484)</f>
        <v>0</v>
      </c>
      <c r="U485" s="3">
        <f>SUM(U484)</f>
        <v>0</v>
      </c>
      <c r="V485" s="3">
        <f>SUM(V484)</f>
        <v>0</v>
      </c>
      <c r="W485" s="3">
        <f t="shared" si="7"/>
        <v>-173425.71</v>
      </c>
      <c r="X485" s="44"/>
      <c r="AA485"/>
      <c r="AC485" s="3">
        <v>-209453.47</v>
      </c>
      <c r="AE485" s="31">
        <v>-209453.47</v>
      </c>
      <c r="AG485" s="31">
        <v>-173425.71</v>
      </c>
      <c r="AJ485" s="31"/>
    </row>
    <row r="486" spans="3:36">
      <c r="C486">
        <v>5360</v>
      </c>
      <c r="D486" t="s">
        <v>537</v>
      </c>
      <c r="E486">
        <v>94211000</v>
      </c>
      <c r="H486" t="s">
        <v>332</v>
      </c>
      <c r="K486" s="3">
        <v>0</v>
      </c>
      <c r="M486" s="3">
        <v>0</v>
      </c>
      <c r="O486" s="3">
        <v>0</v>
      </c>
      <c r="S486" s="3"/>
      <c r="T486" s="3"/>
      <c r="U486" s="3"/>
      <c r="V486" s="3"/>
      <c r="W486" s="3">
        <f t="shared" si="7"/>
        <v>0</v>
      </c>
      <c r="X486" s="144" t="s">
        <v>209</v>
      </c>
      <c r="AA486"/>
      <c r="AC486" s="3">
        <v>0</v>
      </c>
      <c r="AE486">
        <v>0</v>
      </c>
      <c r="AG486">
        <v>0</v>
      </c>
    </row>
    <row r="487" spans="3:36">
      <c r="E487" t="s">
        <v>943</v>
      </c>
      <c r="K487" s="3">
        <v>0</v>
      </c>
      <c r="M487" s="3">
        <v>0</v>
      </c>
      <c r="O487" s="3">
        <v>0</v>
      </c>
      <c r="R487" t="s">
        <v>569</v>
      </c>
      <c r="S487" s="3">
        <f>SUM(S486)</f>
        <v>0</v>
      </c>
      <c r="T487" s="3">
        <f>SUM(T486)</f>
        <v>0</v>
      </c>
      <c r="U487" s="3">
        <f>SUM(U486)</f>
        <v>0</v>
      </c>
      <c r="V487" s="3">
        <f>SUM(V486)</f>
        <v>0</v>
      </c>
      <c r="W487" s="3">
        <f t="shared" si="7"/>
        <v>0</v>
      </c>
      <c r="X487" s="44"/>
      <c r="AA487"/>
      <c r="AC487" s="3">
        <v>0</v>
      </c>
      <c r="AE487">
        <v>0</v>
      </c>
      <c r="AG487">
        <v>0</v>
      </c>
    </row>
    <row r="488" spans="3:36">
      <c r="C488">
        <v>5360</v>
      </c>
      <c r="D488" t="s">
        <v>537</v>
      </c>
      <c r="E488">
        <v>94250000</v>
      </c>
      <c r="H488" t="s">
        <v>335</v>
      </c>
      <c r="K488" s="3">
        <v>0</v>
      </c>
      <c r="M488" s="3">
        <v>0</v>
      </c>
      <c r="O488" s="3">
        <v>0</v>
      </c>
      <c r="S488" s="3"/>
      <c r="T488" s="3"/>
      <c r="U488" s="3"/>
      <c r="V488" s="3"/>
      <c r="W488" s="3">
        <f t="shared" si="7"/>
        <v>0</v>
      </c>
      <c r="X488" s="619" t="s">
        <v>209</v>
      </c>
      <c r="AA488"/>
      <c r="AC488" s="3">
        <v>0</v>
      </c>
      <c r="AE488">
        <v>0</v>
      </c>
      <c r="AG488">
        <v>0</v>
      </c>
    </row>
    <row r="489" spans="3:36">
      <c r="E489" t="s">
        <v>944</v>
      </c>
      <c r="K489" s="3">
        <v>0</v>
      </c>
      <c r="M489" s="3">
        <v>0</v>
      </c>
      <c r="O489" s="3">
        <v>0</v>
      </c>
      <c r="R489" t="s">
        <v>569</v>
      </c>
      <c r="S489" s="3">
        <f>SUM(S488)</f>
        <v>0</v>
      </c>
      <c r="T489" s="3">
        <f>SUM(T488)</f>
        <v>0</v>
      </c>
      <c r="U489" s="3">
        <f>SUM(U488)</f>
        <v>0</v>
      </c>
      <c r="V489" s="3">
        <f>SUM(V488)</f>
        <v>0</v>
      </c>
      <c r="W489" s="3">
        <f t="shared" si="7"/>
        <v>0</v>
      </c>
      <c r="X489" s="44"/>
      <c r="AA489"/>
      <c r="AC489" s="3">
        <v>0</v>
      </c>
      <c r="AE489">
        <v>0</v>
      </c>
      <c r="AG489">
        <v>0</v>
      </c>
    </row>
    <row r="490" spans="3:36">
      <c r="C490">
        <v>5360</v>
      </c>
      <c r="E490">
        <v>94212000</v>
      </c>
      <c r="H490" t="s">
        <v>334</v>
      </c>
      <c r="K490" s="3">
        <v>0</v>
      </c>
      <c r="M490" s="3">
        <v>0</v>
      </c>
      <c r="O490" s="3">
        <v>0</v>
      </c>
      <c r="S490" s="3"/>
      <c r="T490" s="3"/>
      <c r="U490" s="3"/>
      <c r="V490" s="3"/>
      <c r="W490" s="3">
        <f t="shared" si="7"/>
        <v>0</v>
      </c>
      <c r="X490" s="144" t="s">
        <v>209</v>
      </c>
      <c r="AA490"/>
      <c r="AC490" s="3">
        <v>0</v>
      </c>
      <c r="AE490">
        <v>0</v>
      </c>
      <c r="AG490">
        <v>0</v>
      </c>
    </row>
    <row r="491" spans="3:36">
      <c r="E491" t="s">
        <v>945</v>
      </c>
      <c r="K491" s="3">
        <v>0</v>
      </c>
      <c r="M491" s="3">
        <v>0</v>
      </c>
      <c r="O491" s="3">
        <v>0</v>
      </c>
      <c r="R491" t="s">
        <v>658</v>
      </c>
      <c r="S491" s="3">
        <f>SUM(S490)</f>
        <v>0</v>
      </c>
      <c r="T491" s="3">
        <f>SUM(T490)</f>
        <v>0</v>
      </c>
      <c r="U491" s="3">
        <f>SUM(U490)</f>
        <v>0</v>
      </c>
      <c r="V491" s="3">
        <f>SUM(V490)</f>
        <v>0</v>
      </c>
      <c r="W491" s="3">
        <f t="shared" si="7"/>
        <v>0</v>
      </c>
      <c r="X491" s="44"/>
      <c r="AA491"/>
      <c r="AC491" s="3">
        <v>0</v>
      </c>
      <c r="AE491">
        <v>0</v>
      </c>
      <c r="AG491">
        <v>0</v>
      </c>
    </row>
    <row r="492" spans="3:36">
      <c r="C492">
        <v>5360</v>
      </c>
      <c r="E492">
        <v>94261000</v>
      </c>
      <c r="H492" t="s">
        <v>310</v>
      </c>
      <c r="K492" s="3">
        <v>334976.55</v>
      </c>
      <c r="M492" s="3">
        <v>279495.69</v>
      </c>
      <c r="O492" s="3">
        <v>-55480.86</v>
      </c>
      <c r="Q492">
        <v>-16.600000000000001</v>
      </c>
      <c r="S492" s="9"/>
      <c r="T492" s="3"/>
      <c r="U492" s="3"/>
      <c r="V492" s="3"/>
      <c r="W492" s="3">
        <f t="shared" si="7"/>
        <v>334976.55</v>
      </c>
      <c r="X492" s="144" t="s">
        <v>209</v>
      </c>
      <c r="AA492"/>
      <c r="AC492" s="3">
        <v>279495.69</v>
      </c>
      <c r="AE492" s="31">
        <v>279495.69</v>
      </c>
      <c r="AG492" s="31">
        <v>334976.55</v>
      </c>
      <c r="AJ492" s="31"/>
    </row>
    <row r="493" spans="3:36">
      <c r="E493" t="s">
        <v>310</v>
      </c>
      <c r="K493" s="3">
        <v>334976.55</v>
      </c>
      <c r="M493" s="3">
        <v>279495.69</v>
      </c>
      <c r="O493" s="3">
        <v>-55480.86</v>
      </c>
      <c r="Q493">
        <v>-16.600000000000001</v>
      </c>
      <c r="R493" t="s">
        <v>658</v>
      </c>
      <c r="S493" s="3">
        <f>SUM(S492)</f>
        <v>0</v>
      </c>
      <c r="T493" s="3">
        <f>SUM(T492)</f>
        <v>0</v>
      </c>
      <c r="U493" s="3">
        <f>SUM(U492)</f>
        <v>0</v>
      </c>
      <c r="V493" s="3">
        <f>SUM(V492)</f>
        <v>0</v>
      </c>
      <c r="W493" s="3">
        <f t="shared" si="7"/>
        <v>334976.55</v>
      </c>
      <c r="X493" s="44"/>
      <c r="AA493"/>
      <c r="AC493" s="3">
        <v>279495.69</v>
      </c>
      <c r="AE493" s="31">
        <v>279495.69</v>
      </c>
      <c r="AG493" s="31">
        <v>334976.55</v>
      </c>
      <c r="AJ493" s="31"/>
    </row>
    <row r="494" spans="3:36">
      <c r="C494">
        <v>5360</v>
      </c>
      <c r="D494" t="s">
        <v>537</v>
      </c>
      <c r="E494">
        <v>94260000</v>
      </c>
      <c r="H494" t="s">
        <v>336</v>
      </c>
      <c r="K494" s="3">
        <v>0</v>
      </c>
      <c r="M494" s="3">
        <v>0</v>
      </c>
      <c r="O494" s="3">
        <v>0</v>
      </c>
      <c r="S494" s="3"/>
      <c r="T494" s="3"/>
      <c r="U494" s="3"/>
      <c r="V494" s="3"/>
      <c r="W494" s="3">
        <f t="shared" si="7"/>
        <v>0</v>
      </c>
      <c r="X494" s="44" t="s">
        <v>209</v>
      </c>
      <c r="AA494"/>
      <c r="AC494" s="3">
        <v>0</v>
      </c>
      <c r="AE494">
        <v>0</v>
      </c>
      <c r="AG494">
        <v>0</v>
      </c>
    </row>
    <row r="495" spans="3:36">
      <c r="C495">
        <v>5360</v>
      </c>
      <c r="E495">
        <v>94262000</v>
      </c>
      <c r="H495" t="s">
        <v>337</v>
      </c>
      <c r="K495" s="3">
        <v>490.43</v>
      </c>
      <c r="M495" s="3">
        <v>581.1</v>
      </c>
      <c r="O495" s="3">
        <v>90.67</v>
      </c>
      <c r="Q495">
        <v>18.5</v>
      </c>
      <c r="S495" s="3"/>
      <c r="T495" s="3"/>
      <c r="U495" s="3"/>
      <c r="V495" s="3"/>
      <c r="W495" s="3">
        <f t="shared" si="7"/>
        <v>490.43</v>
      </c>
      <c r="X495" s="44" t="s">
        <v>209</v>
      </c>
      <c r="AA495"/>
      <c r="AC495" s="3">
        <v>581.1</v>
      </c>
      <c r="AE495">
        <v>581.1</v>
      </c>
      <c r="AG495">
        <v>490.43</v>
      </c>
      <c r="AJ495" s="31"/>
    </row>
    <row r="496" spans="3:36">
      <c r="C496">
        <v>5360</v>
      </c>
      <c r="E496">
        <v>94263000</v>
      </c>
      <c r="H496" t="s">
        <v>312</v>
      </c>
      <c r="K496" s="3">
        <v>-219966.99</v>
      </c>
      <c r="M496" s="3">
        <v>486836.53</v>
      </c>
      <c r="O496" s="3">
        <v>706803.52</v>
      </c>
      <c r="Q496">
        <v>321.3</v>
      </c>
      <c r="S496" s="3"/>
      <c r="T496" s="3"/>
      <c r="U496" s="3"/>
      <c r="V496" s="3"/>
      <c r="W496" s="3">
        <f t="shared" si="7"/>
        <v>-219966.99</v>
      </c>
      <c r="X496" s="44" t="s">
        <v>209</v>
      </c>
      <c r="AA496"/>
      <c r="AC496" s="3">
        <v>486836.53</v>
      </c>
      <c r="AE496" s="31">
        <v>486836.53</v>
      </c>
      <c r="AG496" s="31">
        <v>-219966.99</v>
      </c>
      <c r="AJ496" s="31"/>
    </row>
    <row r="497" spans="3:36">
      <c r="C497">
        <v>5360</v>
      </c>
      <c r="E497">
        <v>94264000</v>
      </c>
      <c r="H497" t="s">
        <v>338</v>
      </c>
      <c r="K497" s="3">
        <v>137953.71</v>
      </c>
      <c r="M497" s="3">
        <v>199485.91</v>
      </c>
      <c r="O497" s="3">
        <v>61532.2</v>
      </c>
      <c r="Q497">
        <v>44.6</v>
      </c>
      <c r="S497" s="153"/>
      <c r="T497" s="3"/>
      <c r="U497" s="3"/>
      <c r="V497" s="3"/>
      <c r="W497" s="3">
        <f t="shared" si="7"/>
        <v>137953.71</v>
      </c>
      <c r="X497" s="44" t="s">
        <v>209</v>
      </c>
      <c r="AA497"/>
      <c r="AC497" s="3">
        <v>199485.91</v>
      </c>
      <c r="AE497" s="31">
        <v>199485.91</v>
      </c>
      <c r="AG497" s="31">
        <v>137953.71</v>
      </c>
      <c r="AJ497" s="31"/>
    </row>
    <row r="498" spans="3:36">
      <c r="C498" s="326">
        <v>5360</v>
      </c>
      <c r="D498" s="326"/>
      <c r="E498" s="326">
        <v>94265000</v>
      </c>
      <c r="F498" s="326"/>
      <c r="G498" s="326"/>
      <c r="H498" s="326" t="s">
        <v>339</v>
      </c>
      <c r="I498" s="326"/>
      <c r="J498" s="326"/>
      <c r="K498" s="327">
        <v>2089091.3</v>
      </c>
      <c r="L498" s="326"/>
      <c r="M498" s="327">
        <v>-1498466.85</v>
      </c>
      <c r="N498" s="326"/>
      <c r="O498" s="327">
        <v>-3587558.15</v>
      </c>
      <c r="Q498">
        <v>-171.7</v>
      </c>
      <c r="S498" s="9"/>
      <c r="T498" s="3"/>
      <c r="U498" s="3"/>
      <c r="V498" s="3"/>
      <c r="W498" s="3">
        <f t="shared" si="7"/>
        <v>2089091.3</v>
      </c>
      <c r="X498" s="144" t="s">
        <v>209</v>
      </c>
      <c r="Y498" t="s">
        <v>946</v>
      </c>
      <c r="AA498"/>
      <c r="AC498" s="327">
        <v>-1498466.85</v>
      </c>
      <c r="AE498" s="31">
        <v>-1498466.85</v>
      </c>
      <c r="AG498" s="31">
        <v>2089091.3</v>
      </c>
      <c r="AJ498" s="31"/>
    </row>
    <row r="499" spans="3:36">
      <c r="E499" t="s">
        <v>322</v>
      </c>
      <c r="K499" s="3">
        <v>2007568.45</v>
      </c>
      <c r="M499" s="3">
        <v>-811563.31</v>
      </c>
      <c r="O499" s="3">
        <v>-2819131.76</v>
      </c>
      <c r="Q499">
        <v>-140.4</v>
      </c>
      <c r="R499" t="s">
        <v>658</v>
      </c>
      <c r="S499" s="3">
        <f>SUM(S494:S498)</f>
        <v>0</v>
      </c>
      <c r="T499" s="3">
        <f>SUM(T494:T498)</f>
        <v>0</v>
      </c>
      <c r="U499" s="3">
        <f>SUM(U494:U498)</f>
        <v>0</v>
      </c>
      <c r="V499" s="3">
        <f>SUM(V494:V498)</f>
        <v>0</v>
      </c>
      <c r="W499" s="3">
        <f t="shared" si="7"/>
        <v>2007568.45</v>
      </c>
      <c r="X499" s="619"/>
      <c r="Y499" s="145">
        <f>SUMIF(X:X,"N",W:W)</f>
        <v>645273.62000000011</v>
      </c>
      <c r="Z499" t="s">
        <v>947</v>
      </c>
      <c r="AA499"/>
      <c r="AC499" s="3">
        <v>-811563.31</v>
      </c>
      <c r="AE499" s="31">
        <v>-811563.31</v>
      </c>
      <c r="AG499" s="31">
        <v>2007568.45</v>
      </c>
      <c r="AJ499" s="31"/>
    </row>
    <row r="500" spans="3:36">
      <c r="E500" t="s">
        <v>333</v>
      </c>
      <c r="K500" s="3">
        <v>2342545</v>
      </c>
      <c r="M500" s="3">
        <v>-532067.62</v>
      </c>
      <c r="O500" s="3">
        <v>-2874612.62</v>
      </c>
      <c r="Q500">
        <v>-122.7</v>
      </c>
      <c r="R500" t="s">
        <v>569</v>
      </c>
      <c r="S500" s="3">
        <f>S491+S493+S499</f>
        <v>0</v>
      </c>
      <c r="T500" s="3">
        <f>T491+T493+T499</f>
        <v>0</v>
      </c>
      <c r="U500" s="3">
        <f>U491+U493+U499</f>
        <v>0</v>
      </c>
      <c r="V500" s="3">
        <f>V491+V493+V499</f>
        <v>0</v>
      </c>
      <c r="W500" s="3">
        <f t="shared" si="7"/>
        <v>2342545</v>
      </c>
      <c r="X500" s="619"/>
      <c r="Y500" s="32"/>
      <c r="AA500"/>
      <c r="AC500" s="3">
        <v>-532067.62</v>
      </c>
      <c r="AE500" s="31">
        <v>-532067.62</v>
      </c>
      <c r="AG500" s="31">
        <v>2342545</v>
      </c>
      <c r="AJ500" s="31"/>
    </row>
    <row r="501" spans="3:36">
      <c r="E501" t="s">
        <v>948</v>
      </c>
      <c r="K501" s="3">
        <v>645273.62</v>
      </c>
      <c r="M501" s="3">
        <v>-1243992.8700000001</v>
      </c>
      <c r="O501" s="3">
        <v>-1889266.49</v>
      </c>
      <c r="Q501">
        <v>-292.8</v>
      </c>
      <c r="R501" t="s">
        <v>611</v>
      </c>
      <c r="S501" s="3">
        <f>S476+S479+S481+S483+S485+S487+S489+S500</f>
        <v>0</v>
      </c>
      <c r="T501" s="3">
        <f>T476+T479+T481+T483+T485+T487+T489+T500</f>
        <v>0</v>
      </c>
      <c r="U501" s="3">
        <f>U476+U479+U481+U483+U485+U487+U489+U500</f>
        <v>0</v>
      </c>
      <c r="V501" s="3">
        <f>V476+V479+V481+V483+V485+V487+V489+V500</f>
        <v>0</v>
      </c>
      <c r="W501" s="3">
        <f t="shared" si="7"/>
        <v>645273.62</v>
      </c>
      <c r="X501" s="619"/>
      <c r="Y501" s="32"/>
      <c r="AA501"/>
      <c r="AC501" s="3">
        <v>-1243992.8700000001</v>
      </c>
      <c r="AE501" s="31">
        <v>-1243992.8700000001</v>
      </c>
      <c r="AG501" s="31">
        <v>645273.62</v>
      </c>
      <c r="AJ501" s="31"/>
    </row>
    <row r="502" spans="3:36">
      <c r="K502" s="3"/>
      <c r="M502" s="3"/>
      <c r="O502" s="3"/>
      <c r="S502" s="3"/>
      <c r="T502" s="3"/>
      <c r="U502" s="3"/>
      <c r="V502" s="3"/>
      <c r="W502" s="3">
        <f t="shared" si="7"/>
        <v>0</v>
      </c>
      <c r="X502" s="619"/>
      <c r="Y502" s="32"/>
      <c r="AA502"/>
      <c r="AC502" s="3"/>
    </row>
    <row r="503" spans="3:36">
      <c r="E503" t="s">
        <v>949</v>
      </c>
      <c r="K503" s="3">
        <v>-576854.23</v>
      </c>
      <c r="M503" s="3">
        <v>-1421264.65</v>
      </c>
      <c r="O503" s="3">
        <v>-844410.42</v>
      </c>
      <c r="Q503">
        <v>-146.4</v>
      </c>
      <c r="R503" t="s">
        <v>930</v>
      </c>
      <c r="S503" s="3">
        <f>S501+S464+S467</f>
        <v>0</v>
      </c>
      <c r="T503" s="3">
        <f>T501+T464+T467</f>
        <v>0</v>
      </c>
      <c r="U503" s="3">
        <f>U501+U464+U467</f>
        <v>0</v>
      </c>
      <c r="V503" s="3">
        <f>V501+V464+V467</f>
        <v>0</v>
      </c>
      <c r="W503" s="3">
        <f t="shared" si="7"/>
        <v>-576854.23</v>
      </c>
      <c r="X503" s="619"/>
      <c r="Y503" s="32"/>
      <c r="AA503"/>
      <c r="AC503" s="3">
        <v>-1421264.65</v>
      </c>
      <c r="AE503" s="31">
        <v>-1421264.65</v>
      </c>
      <c r="AG503" s="31">
        <v>-576854.23</v>
      </c>
      <c r="AJ503" s="31"/>
    </row>
    <row r="504" spans="3:36">
      <c r="K504" s="3"/>
      <c r="M504" s="3"/>
      <c r="O504" s="3"/>
      <c r="S504" s="3"/>
      <c r="T504" s="3"/>
      <c r="U504" s="3"/>
      <c r="V504" s="3"/>
      <c r="W504" s="3">
        <f t="shared" si="7"/>
        <v>0</v>
      </c>
      <c r="X504" s="44"/>
      <c r="Y504" s="32"/>
      <c r="AA504"/>
      <c r="AC504" s="3"/>
    </row>
    <row r="505" spans="3:36">
      <c r="C505">
        <v>5360</v>
      </c>
      <c r="E505">
        <v>94270000</v>
      </c>
      <c r="H505" t="s">
        <v>950</v>
      </c>
      <c r="K505" s="3">
        <v>1424734.38</v>
      </c>
      <c r="M505" s="3">
        <v>1932796.87</v>
      </c>
      <c r="O505" s="3">
        <v>508062.49</v>
      </c>
      <c r="Q505">
        <v>35.700000000000003</v>
      </c>
      <c r="S505" s="3"/>
      <c r="T505" s="3"/>
      <c r="U505" s="3"/>
      <c r="V505" s="3"/>
      <c r="W505" s="3">
        <f t="shared" si="7"/>
        <v>1424734.38</v>
      </c>
      <c r="X505" s="619" t="s">
        <v>210</v>
      </c>
      <c r="Y505" s="32"/>
      <c r="AA505"/>
      <c r="AC505" s="3">
        <v>1932796.87</v>
      </c>
      <c r="AE505" s="31">
        <v>1932796.87</v>
      </c>
      <c r="AG505" s="31">
        <v>1424734.38</v>
      </c>
      <c r="AJ505" s="31"/>
    </row>
    <row r="506" spans="3:36">
      <c r="E506" t="s">
        <v>950</v>
      </c>
      <c r="K506" s="3">
        <v>1424734.38</v>
      </c>
      <c r="M506" s="3">
        <v>1932796.87</v>
      </c>
      <c r="O506" s="3">
        <v>508062.49</v>
      </c>
      <c r="Q506">
        <v>35.700000000000003</v>
      </c>
      <c r="R506" t="s">
        <v>569</v>
      </c>
      <c r="S506" s="3">
        <f>SUM(S505)</f>
        <v>0</v>
      </c>
      <c r="T506" s="3">
        <f>SUM(T505)</f>
        <v>0</v>
      </c>
      <c r="U506" s="3">
        <f>SUM(U505)</f>
        <v>0</v>
      </c>
      <c r="V506" s="3">
        <f>SUM(V505)</f>
        <v>0</v>
      </c>
      <c r="W506" s="3">
        <f t="shared" si="7"/>
        <v>1424734.38</v>
      </c>
      <c r="X506" s="44"/>
      <c r="Y506" s="32"/>
      <c r="AA506"/>
      <c r="AC506" s="3">
        <v>1932796.87</v>
      </c>
      <c r="AE506" s="31">
        <v>1932796.87</v>
      </c>
      <c r="AG506" s="31">
        <v>1424734.38</v>
      </c>
      <c r="AJ506" s="31"/>
    </row>
    <row r="507" spans="3:36">
      <c r="C507">
        <v>5360</v>
      </c>
      <c r="E507">
        <v>94280000</v>
      </c>
      <c r="H507" t="s">
        <v>951</v>
      </c>
      <c r="K507" s="3">
        <v>11830.89</v>
      </c>
      <c r="M507" s="3">
        <v>13543.11</v>
      </c>
      <c r="O507" s="3">
        <v>1712.22</v>
      </c>
      <c r="Q507">
        <v>14.5</v>
      </c>
      <c r="S507" s="3"/>
      <c r="T507" s="3"/>
      <c r="U507" s="3"/>
      <c r="V507" s="3"/>
      <c r="W507" s="3">
        <f t="shared" si="7"/>
        <v>11830.89</v>
      </c>
      <c r="X507" s="44" t="s">
        <v>210</v>
      </c>
      <c r="Y507" s="32" t="s">
        <v>952</v>
      </c>
      <c r="AA507"/>
      <c r="AC507" s="3">
        <v>13543.11</v>
      </c>
      <c r="AE507" s="31">
        <v>13543.11</v>
      </c>
      <c r="AG507" s="31">
        <v>11830.89</v>
      </c>
      <c r="AJ507" s="31"/>
    </row>
    <row r="508" spans="3:36">
      <c r="C508">
        <v>5360</v>
      </c>
      <c r="D508" t="s">
        <v>537</v>
      </c>
      <c r="E508">
        <v>94290000</v>
      </c>
      <c r="H508" t="s">
        <v>953</v>
      </c>
      <c r="K508" s="3">
        <v>0</v>
      </c>
      <c r="M508" s="3">
        <v>0</v>
      </c>
      <c r="O508" s="3">
        <v>0</v>
      </c>
      <c r="S508" s="3"/>
      <c r="T508" s="3"/>
      <c r="U508" s="3"/>
      <c r="V508" s="3"/>
      <c r="W508" s="3">
        <f t="shared" si="7"/>
        <v>0</v>
      </c>
      <c r="X508" s="619" t="s">
        <v>211</v>
      </c>
      <c r="Y508" s="145">
        <f>SUMIF(X:X,"P",W:W)</f>
        <v>1436565.2699999998</v>
      </c>
      <c r="Z508" t="s">
        <v>506</v>
      </c>
      <c r="AA508"/>
      <c r="AC508" s="3">
        <v>0</v>
      </c>
      <c r="AE508">
        <v>0</v>
      </c>
      <c r="AG508">
        <v>0</v>
      </c>
    </row>
    <row r="509" spans="3:36">
      <c r="E509" t="s">
        <v>954</v>
      </c>
      <c r="K509" s="3">
        <v>11830.89</v>
      </c>
      <c r="M509" s="3">
        <v>13543.11</v>
      </c>
      <c r="O509" s="3">
        <v>1712.22</v>
      </c>
      <c r="Q509">
        <v>14.5</v>
      </c>
      <c r="R509" t="s">
        <v>569</v>
      </c>
      <c r="S509" s="3">
        <f>SUM(S507:S508)</f>
        <v>0</v>
      </c>
      <c r="T509" s="3">
        <f>SUM(T507:T508)</f>
        <v>0</v>
      </c>
      <c r="U509" s="3">
        <f>SUM(U507:U508)</f>
        <v>0</v>
      </c>
      <c r="V509" s="3">
        <f>SUM(V507:V508)</f>
        <v>0</v>
      </c>
      <c r="W509" s="3">
        <f t="shared" si="7"/>
        <v>11830.89</v>
      </c>
      <c r="X509" s="44"/>
      <c r="Y509" s="32"/>
      <c r="AA509"/>
      <c r="AC509" s="3">
        <v>13543.11</v>
      </c>
      <c r="AE509" s="31">
        <v>13543.11</v>
      </c>
      <c r="AG509" s="31">
        <v>11830.89</v>
      </c>
      <c r="AJ509" s="31"/>
    </row>
    <row r="510" spans="3:36">
      <c r="C510">
        <v>5360</v>
      </c>
      <c r="D510" t="s">
        <v>537</v>
      </c>
      <c r="E510">
        <v>94281000</v>
      </c>
      <c r="H510" t="s">
        <v>955</v>
      </c>
      <c r="K510" s="3">
        <v>0</v>
      </c>
      <c r="M510" s="3">
        <v>0</v>
      </c>
      <c r="O510" s="3">
        <v>0</v>
      </c>
      <c r="S510" s="3"/>
      <c r="T510" s="3"/>
      <c r="U510" s="3"/>
      <c r="V510" s="3"/>
      <c r="W510" s="3">
        <f t="shared" si="7"/>
        <v>0</v>
      </c>
      <c r="X510" s="44" t="s">
        <v>211</v>
      </c>
      <c r="AA510"/>
      <c r="AC510" s="3">
        <v>0</v>
      </c>
      <c r="AE510">
        <v>0</v>
      </c>
      <c r="AG510">
        <v>0</v>
      </c>
    </row>
    <row r="511" spans="3:36">
      <c r="C511">
        <v>5360</v>
      </c>
      <c r="D511" t="s">
        <v>537</v>
      </c>
      <c r="E511">
        <v>94291000</v>
      </c>
      <c r="H511" t="s">
        <v>956</v>
      </c>
      <c r="K511" s="3">
        <v>0</v>
      </c>
      <c r="M511" s="3">
        <v>0</v>
      </c>
      <c r="O511" s="3">
        <v>0</v>
      </c>
      <c r="S511" s="3"/>
      <c r="T511" s="3"/>
      <c r="U511" s="3"/>
      <c r="V511" s="3"/>
      <c r="W511" s="3">
        <f t="shared" si="7"/>
        <v>0</v>
      </c>
      <c r="X511" s="619" t="s">
        <v>211</v>
      </c>
      <c r="AA511"/>
      <c r="AC511" s="3">
        <v>0</v>
      </c>
      <c r="AE511">
        <v>0</v>
      </c>
      <c r="AG511">
        <v>0</v>
      </c>
    </row>
    <row r="512" spans="3:36">
      <c r="E512" t="s">
        <v>957</v>
      </c>
      <c r="K512" s="3">
        <v>0</v>
      </c>
      <c r="M512" s="3">
        <v>0</v>
      </c>
      <c r="O512" s="3">
        <v>0</v>
      </c>
      <c r="R512" t="s">
        <v>569</v>
      </c>
      <c r="S512" s="3">
        <f>SUM(S510:S511)</f>
        <v>0</v>
      </c>
      <c r="T512" s="3">
        <f>SUM(T510:T511)</f>
        <v>0</v>
      </c>
      <c r="U512" s="3">
        <f>SUM(U510:U511)</f>
        <v>0</v>
      </c>
      <c r="V512" s="3">
        <f>SUM(V510:V511)</f>
        <v>0</v>
      </c>
      <c r="W512" s="3">
        <f t="shared" si="7"/>
        <v>0</v>
      </c>
      <c r="X512" s="44"/>
      <c r="AA512"/>
      <c r="AC512" s="3">
        <v>0</v>
      </c>
      <c r="AE512">
        <v>0</v>
      </c>
      <c r="AG512">
        <v>0</v>
      </c>
    </row>
    <row r="513" spans="3:36">
      <c r="C513">
        <v>5360</v>
      </c>
      <c r="D513" t="s">
        <v>537</v>
      </c>
      <c r="E513">
        <v>94300000</v>
      </c>
      <c r="H513" t="s">
        <v>958</v>
      </c>
      <c r="K513" s="3">
        <v>0</v>
      </c>
      <c r="M513" s="3">
        <v>0</v>
      </c>
      <c r="O513" s="3">
        <v>0</v>
      </c>
      <c r="S513" s="3"/>
      <c r="T513" s="3"/>
      <c r="U513" s="3"/>
      <c r="V513" s="3"/>
      <c r="W513" s="3">
        <f t="shared" si="7"/>
        <v>0</v>
      </c>
      <c r="X513" s="619" t="s">
        <v>211</v>
      </c>
      <c r="AA513"/>
      <c r="AC513" s="3">
        <v>0</v>
      </c>
      <c r="AE513">
        <v>0</v>
      </c>
      <c r="AG513">
        <v>0</v>
      </c>
    </row>
    <row r="514" spans="3:36">
      <c r="E514" t="s">
        <v>959</v>
      </c>
      <c r="K514" s="3">
        <v>0</v>
      </c>
      <c r="M514" s="3">
        <v>0</v>
      </c>
      <c r="O514" s="3">
        <v>0</v>
      </c>
      <c r="R514" t="s">
        <v>569</v>
      </c>
      <c r="S514" s="3">
        <f>SUM(S513)</f>
        <v>0</v>
      </c>
      <c r="T514" s="3">
        <f>SUM(T513)</f>
        <v>0</v>
      </c>
      <c r="U514" s="3">
        <f>SUM(U513)</f>
        <v>0</v>
      </c>
      <c r="V514" s="3">
        <f>SUM(V513)</f>
        <v>0</v>
      </c>
      <c r="W514" s="3">
        <f t="shared" si="7"/>
        <v>0</v>
      </c>
      <c r="X514" s="44"/>
      <c r="AA514"/>
      <c r="AC514" s="3">
        <v>0</v>
      </c>
      <c r="AE514">
        <v>0</v>
      </c>
      <c r="AG514">
        <v>0</v>
      </c>
    </row>
    <row r="515" spans="3:36">
      <c r="C515">
        <v>5360</v>
      </c>
      <c r="E515">
        <v>94310000</v>
      </c>
      <c r="H515" t="s">
        <v>120</v>
      </c>
      <c r="K515" s="3">
        <v>327897.03000000003</v>
      </c>
      <c r="M515" s="3">
        <v>393934.38</v>
      </c>
      <c r="O515" s="3">
        <v>66037.350000000006</v>
      </c>
      <c r="Q515">
        <v>20.100000000000001</v>
      </c>
      <c r="S515" s="3"/>
      <c r="T515" s="3"/>
      <c r="U515" s="3"/>
      <c r="V515" s="3"/>
      <c r="W515" s="3">
        <f t="shared" si="7"/>
        <v>327897.03000000003</v>
      </c>
      <c r="X515" s="619" t="s">
        <v>211</v>
      </c>
      <c r="Y515" t="s">
        <v>960</v>
      </c>
      <c r="AA515"/>
      <c r="AC515" s="3">
        <v>393934.38</v>
      </c>
      <c r="AE515" s="31">
        <v>393934.38</v>
      </c>
      <c r="AG515" s="31">
        <v>327897.03000000003</v>
      </c>
      <c r="AJ515" s="31"/>
    </row>
    <row r="516" spans="3:36">
      <c r="E516" t="s">
        <v>961</v>
      </c>
      <c r="K516" s="3">
        <v>327897.03000000003</v>
      </c>
      <c r="M516" s="3">
        <v>393934.38</v>
      </c>
      <c r="O516" s="3">
        <v>66037.350000000006</v>
      </c>
      <c r="Q516">
        <v>20.100000000000001</v>
      </c>
      <c r="R516" t="s">
        <v>569</v>
      </c>
      <c r="S516" s="3">
        <f>SUM(S515)</f>
        <v>0</v>
      </c>
      <c r="T516" s="3">
        <f>SUM(T515)</f>
        <v>0</v>
      </c>
      <c r="U516" s="3">
        <f>SUM(U515)</f>
        <v>0</v>
      </c>
      <c r="V516" s="3">
        <f>SUM(V515)</f>
        <v>0</v>
      </c>
      <c r="W516" s="3">
        <f t="shared" si="7"/>
        <v>327897.03000000003</v>
      </c>
      <c r="X516" s="44"/>
      <c r="Y516" s="145">
        <f>SUMIF(X:X,"Q",W:W)</f>
        <v>327897.03000000003</v>
      </c>
      <c r="AA516"/>
      <c r="AC516" s="3">
        <v>393934.38</v>
      </c>
      <c r="AE516" s="31">
        <v>393934.38</v>
      </c>
      <c r="AG516" s="31">
        <v>327897.03000000003</v>
      </c>
      <c r="AJ516" s="31"/>
    </row>
    <row r="517" spans="3:36">
      <c r="C517">
        <v>5360</v>
      </c>
      <c r="E517">
        <v>94320000</v>
      </c>
      <c r="H517" t="s">
        <v>962</v>
      </c>
      <c r="K517" s="3">
        <v>-499587.09</v>
      </c>
      <c r="M517" s="3">
        <v>-92910.68</v>
      </c>
      <c r="O517" s="3">
        <v>406676.41</v>
      </c>
      <c r="Q517">
        <v>81.400000000000006</v>
      </c>
      <c r="S517" s="3"/>
      <c r="T517" s="3"/>
      <c r="U517" s="3"/>
      <c r="V517" s="3"/>
      <c r="W517" s="3">
        <f t="shared" si="7"/>
        <v>-499587.09</v>
      </c>
      <c r="X517" s="619" t="s">
        <v>212</v>
      </c>
      <c r="Y517" s="32" t="s">
        <v>963</v>
      </c>
      <c r="AA517"/>
      <c r="AC517" s="3">
        <v>-92910.68</v>
      </c>
      <c r="AE517" s="31">
        <v>-92910.68</v>
      </c>
      <c r="AG517" s="31">
        <v>-499587.09</v>
      </c>
      <c r="AJ517" s="31"/>
    </row>
    <row r="518" spans="3:36">
      <c r="E518" t="s">
        <v>964</v>
      </c>
      <c r="K518" s="3">
        <v>-499587.09</v>
      </c>
      <c r="M518" s="3">
        <v>-92910.68</v>
      </c>
      <c r="O518" s="3">
        <v>406676.41</v>
      </c>
      <c r="Q518">
        <v>81.400000000000006</v>
      </c>
      <c r="R518" t="s">
        <v>569</v>
      </c>
      <c r="S518" s="3">
        <f>SUM(S517)</f>
        <v>0</v>
      </c>
      <c r="T518" s="3">
        <f>SUM(T517)</f>
        <v>0</v>
      </c>
      <c r="U518" s="3">
        <f>SUM(U517)</f>
        <v>0</v>
      </c>
      <c r="V518" s="3">
        <f>SUM(V517)</f>
        <v>0</v>
      </c>
      <c r="W518" s="3">
        <f t="shared" si="7"/>
        <v>-499587.09</v>
      </c>
      <c r="X518" s="619"/>
      <c r="Y518" s="145">
        <f>SUMIF(X:X,"R",W:W)</f>
        <v>-1721714.9400000002</v>
      </c>
      <c r="Z518" t="s">
        <v>122</v>
      </c>
      <c r="AA518"/>
      <c r="AC518" s="3">
        <v>-92910.68</v>
      </c>
      <c r="AE518" s="31">
        <v>-92910.68</v>
      </c>
      <c r="AG518" s="31">
        <v>-499587.09</v>
      </c>
      <c r="AJ518" s="31"/>
    </row>
    <row r="519" spans="3:36">
      <c r="E519" t="s">
        <v>965</v>
      </c>
      <c r="K519" s="3">
        <v>1264875.21</v>
      </c>
      <c r="M519" s="3">
        <v>2247363.6800000002</v>
      </c>
      <c r="O519" s="3">
        <v>982488.47</v>
      </c>
      <c r="Q519">
        <v>77.7</v>
      </c>
      <c r="R519" t="s">
        <v>611</v>
      </c>
      <c r="S519" s="3">
        <f>S506+S509+S512+S514+S516+S518</f>
        <v>0</v>
      </c>
      <c r="T519" s="3">
        <f>T506+T509+T512+T514+T516+T518</f>
        <v>0</v>
      </c>
      <c r="U519" s="3">
        <f>U506+U509+U512+U514+U516+U518</f>
        <v>0</v>
      </c>
      <c r="V519" s="3">
        <f>V506+V509+V512+V514+V516+V518</f>
        <v>0</v>
      </c>
      <c r="W519" s="3">
        <f t="shared" si="7"/>
        <v>1264875.21</v>
      </c>
      <c r="X519" s="619"/>
      <c r="AA519"/>
      <c r="AC519" s="3">
        <v>2247363.6800000002</v>
      </c>
      <c r="AE519" s="31">
        <v>2247363.6800000002</v>
      </c>
      <c r="AG519" s="31">
        <v>1264875.21</v>
      </c>
      <c r="AJ519" s="31"/>
    </row>
    <row r="520" spans="3:36">
      <c r="K520" s="3"/>
      <c r="M520" s="3"/>
      <c r="O520" s="3"/>
      <c r="S520" s="3"/>
      <c r="T520" s="3"/>
      <c r="U520" s="3"/>
      <c r="V520" s="3"/>
      <c r="W520" s="3">
        <f t="shared" si="7"/>
        <v>0</v>
      </c>
      <c r="X520" s="619"/>
      <c r="AA520"/>
      <c r="AC520" s="3"/>
    </row>
    <row r="521" spans="3:36">
      <c r="E521" t="s">
        <v>966</v>
      </c>
      <c r="K521" s="3">
        <v>1264875.21</v>
      </c>
      <c r="M521" s="3">
        <v>2247363.6800000002</v>
      </c>
      <c r="O521" s="3">
        <v>982488.47</v>
      </c>
      <c r="Q521">
        <v>77.7</v>
      </c>
      <c r="R521" t="s">
        <v>930</v>
      </c>
      <c r="S521" s="3">
        <f>S519</f>
        <v>0</v>
      </c>
      <c r="T521" s="3">
        <f>T519</f>
        <v>0</v>
      </c>
      <c r="U521" s="3">
        <f>U519</f>
        <v>0</v>
      </c>
      <c r="V521" s="3">
        <f>V519</f>
        <v>0</v>
      </c>
      <c r="W521" s="3">
        <f t="shared" ref="W521:W531" si="8">SUM(K521,S521:V521)</f>
        <v>1264875.21</v>
      </c>
      <c r="X521" s="619"/>
      <c r="AA521"/>
      <c r="AC521" s="3">
        <v>2247363.6800000002</v>
      </c>
      <c r="AE521" s="31">
        <v>2247363.6800000002</v>
      </c>
      <c r="AG521" s="31">
        <v>1264875.21</v>
      </c>
      <c r="AJ521" s="31"/>
    </row>
    <row r="522" spans="3:36">
      <c r="K522" s="3"/>
      <c r="M522" s="3"/>
      <c r="O522" s="3"/>
      <c r="S522" s="3"/>
      <c r="T522" s="3"/>
      <c r="U522" s="3"/>
      <c r="V522" s="3"/>
      <c r="W522" s="3">
        <f t="shared" si="8"/>
        <v>0</v>
      </c>
      <c r="X522" s="44"/>
      <c r="AA522"/>
      <c r="AC522" s="3"/>
    </row>
    <row r="523" spans="3:36">
      <c r="C523">
        <v>5360</v>
      </c>
      <c r="D523" t="s">
        <v>537</v>
      </c>
      <c r="E523">
        <v>94370000</v>
      </c>
      <c r="H523" t="s">
        <v>967</v>
      </c>
      <c r="K523" s="3">
        <v>0</v>
      </c>
      <c r="M523" s="3">
        <v>0</v>
      </c>
      <c r="O523" s="3">
        <v>0</v>
      </c>
      <c r="S523" s="3"/>
      <c r="T523" s="3"/>
      <c r="U523" s="3"/>
      <c r="V523" s="3"/>
      <c r="W523" s="3">
        <f t="shared" si="8"/>
        <v>0</v>
      </c>
      <c r="X523" s="619" t="s">
        <v>580</v>
      </c>
      <c r="AA523"/>
      <c r="AC523" s="3">
        <v>0</v>
      </c>
      <c r="AE523">
        <v>0</v>
      </c>
      <c r="AG523">
        <v>0</v>
      </c>
    </row>
    <row r="524" spans="3:36">
      <c r="E524" t="s">
        <v>125</v>
      </c>
      <c r="K524" s="3">
        <v>0</v>
      </c>
      <c r="M524" s="3">
        <v>0</v>
      </c>
      <c r="O524" s="3">
        <v>0</v>
      </c>
      <c r="R524" t="s">
        <v>930</v>
      </c>
      <c r="S524" s="3">
        <f>SUM(S523)</f>
        <v>0</v>
      </c>
      <c r="T524" s="3">
        <f>SUM(T523)</f>
        <v>0</v>
      </c>
      <c r="U524" s="3">
        <f>SUM(U523)</f>
        <v>0</v>
      </c>
      <c r="V524" s="3">
        <f>SUM(V523)</f>
        <v>0</v>
      </c>
      <c r="W524" s="3">
        <f t="shared" si="8"/>
        <v>0</v>
      </c>
      <c r="X524" s="619"/>
      <c r="AA524"/>
      <c r="AC524" s="3">
        <v>0</v>
      </c>
      <c r="AE524">
        <v>0</v>
      </c>
      <c r="AG524">
        <v>0</v>
      </c>
    </row>
    <row r="525" spans="3:36">
      <c r="K525" s="3"/>
      <c r="M525" s="3"/>
      <c r="O525" s="3"/>
      <c r="S525" s="3"/>
      <c r="T525" s="3"/>
      <c r="U525" s="3"/>
      <c r="V525" s="3"/>
      <c r="W525" s="3">
        <f t="shared" si="8"/>
        <v>0</v>
      </c>
      <c r="X525" s="44"/>
      <c r="AA525"/>
      <c r="AC525" s="3"/>
    </row>
    <row r="526" spans="3:36">
      <c r="C526">
        <v>5360</v>
      </c>
      <c r="D526" t="s">
        <v>537</v>
      </c>
      <c r="E526">
        <v>94340000</v>
      </c>
      <c r="H526" t="s">
        <v>968</v>
      </c>
      <c r="K526" s="3">
        <v>0</v>
      </c>
      <c r="M526" s="3">
        <v>0</v>
      </c>
      <c r="O526" s="3">
        <v>0</v>
      </c>
      <c r="S526" s="3"/>
      <c r="T526" s="3"/>
      <c r="U526" s="3"/>
      <c r="V526" s="3"/>
      <c r="W526" s="3">
        <f t="shared" si="8"/>
        <v>0</v>
      </c>
      <c r="X526" s="44" t="s">
        <v>580</v>
      </c>
      <c r="AA526"/>
      <c r="AC526" s="3">
        <v>0</v>
      </c>
      <c r="AE526">
        <v>0</v>
      </c>
      <c r="AG526">
        <v>0</v>
      </c>
    </row>
    <row r="527" spans="3:36">
      <c r="C527">
        <v>5360</v>
      </c>
      <c r="D527" t="s">
        <v>537</v>
      </c>
      <c r="E527">
        <v>94350000</v>
      </c>
      <c r="H527" t="s">
        <v>127</v>
      </c>
      <c r="K527" s="3">
        <v>0</v>
      </c>
      <c r="M527" s="3">
        <v>0</v>
      </c>
      <c r="O527" s="3">
        <v>0</v>
      </c>
      <c r="S527" s="3"/>
      <c r="T527" s="3"/>
      <c r="U527" s="3"/>
      <c r="V527" s="3"/>
      <c r="W527" s="3">
        <f t="shared" si="8"/>
        <v>0</v>
      </c>
      <c r="X527" s="44" t="s">
        <v>580</v>
      </c>
      <c r="AA527"/>
      <c r="AC527" s="3">
        <v>0</v>
      </c>
      <c r="AE527">
        <v>0</v>
      </c>
      <c r="AG527">
        <v>0</v>
      </c>
    </row>
    <row r="528" spans="3:36">
      <c r="C528">
        <v>5360</v>
      </c>
      <c r="D528" t="s">
        <v>537</v>
      </c>
      <c r="E528">
        <v>94390000</v>
      </c>
      <c r="H528" t="s">
        <v>191</v>
      </c>
      <c r="K528" s="3">
        <v>0</v>
      </c>
      <c r="M528" s="3">
        <v>0</v>
      </c>
      <c r="O528" s="3">
        <v>0</v>
      </c>
      <c r="S528" s="3"/>
      <c r="T528" s="3"/>
      <c r="U528" s="3"/>
      <c r="V528" s="3"/>
      <c r="W528" s="3">
        <f t="shared" si="8"/>
        <v>0</v>
      </c>
      <c r="X528" s="619" t="s">
        <v>580</v>
      </c>
      <c r="AA528"/>
      <c r="AC528" s="3">
        <v>0</v>
      </c>
      <c r="AE528">
        <v>0</v>
      </c>
      <c r="AG528">
        <v>0</v>
      </c>
    </row>
    <row r="529" spans="1:36">
      <c r="E529" t="s">
        <v>345</v>
      </c>
      <c r="K529" s="3">
        <v>0</v>
      </c>
      <c r="M529" s="3">
        <v>0</v>
      </c>
      <c r="O529" s="3">
        <v>0</v>
      </c>
      <c r="R529" t="s">
        <v>930</v>
      </c>
      <c r="S529" s="3">
        <f>SUM(S526:S528)</f>
        <v>0</v>
      </c>
      <c r="T529" s="3">
        <f>SUM(T526:T528)</f>
        <v>0</v>
      </c>
      <c r="U529" s="3">
        <f>SUM(U526:U528)</f>
        <v>0</v>
      </c>
      <c r="V529" s="3">
        <f>SUM(V526:V528)</f>
        <v>0</v>
      </c>
      <c r="W529" s="3">
        <f t="shared" si="8"/>
        <v>0</v>
      </c>
      <c r="X529" s="619"/>
      <c r="AA529"/>
      <c r="AC529" s="3">
        <v>0</v>
      </c>
      <c r="AE529">
        <v>0</v>
      </c>
      <c r="AG529">
        <v>0</v>
      </c>
    </row>
    <row r="530" spans="1:36">
      <c r="K530" s="3"/>
      <c r="M530" s="3"/>
      <c r="O530" s="3"/>
      <c r="S530" s="3"/>
      <c r="T530" s="3"/>
      <c r="U530" s="3"/>
      <c r="V530" s="3"/>
      <c r="W530" s="3">
        <f t="shared" si="8"/>
        <v>0</v>
      </c>
      <c r="AA530"/>
      <c r="AC530" s="3"/>
    </row>
    <row r="531" spans="1:36">
      <c r="E531" t="s">
        <v>969</v>
      </c>
      <c r="K531" s="3">
        <v>-77354418.969999999</v>
      </c>
      <c r="M531" s="3">
        <v>-58431116.149999999</v>
      </c>
      <c r="O531" s="3">
        <v>18923302.82</v>
      </c>
      <c r="Q531">
        <v>24.5</v>
      </c>
      <c r="R531" t="s">
        <v>970</v>
      </c>
      <c r="S531" s="3">
        <f>S461+S503+S521+S524+S529</f>
        <v>-171308.84000000003</v>
      </c>
      <c r="T531" s="3">
        <f>T461+T503+T521+T524+T529</f>
        <v>10004483</v>
      </c>
      <c r="U531" s="3">
        <f>U461+U503+U521+U524+U529</f>
        <v>0</v>
      </c>
      <c r="V531" s="3">
        <f>V461+V503+V521+V524+V529</f>
        <v>0</v>
      </c>
      <c r="W531" s="3">
        <f t="shared" si="8"/>
        <v>-67521244.810000002</v>
      </c>
      <c r="X531" s="44"/>
      <c r="Y531" s="32">
        <f>SUM(Y24:Y530)-W531</f>
        <v>0</v>
      </c>
      <c r="Z531" t="s">
        <v>612</v>
      </c>
      <c r="AA531"/>
      <c r="AC531" s="3">
        <v>-58431116.149999999</v>
      </c>
      <c r="AE531" s="31">
        <v>-58431116.149999999</v>
      </c>
      <c r="AG531" s="31">
        <v>-77354418.969999999</v>
      </c>
      <c r="AJ531" s="31"/>
    </row>
    <row r="532" spans="1:36">
      <c r="A532" s="3"/>
      <c r="B532" s="3"/>
      <c r="C532" s="46"/>
      <c r="D532" s="3"/>
      <c r="E532" s="46"/>
      <c r="F532" s="3"/>
      <c r="G532" s="3"/>
      <c r="H532" s="3"/>
      <c r="I532" s="3"/>
      <c r="J532" s="3"/>
      <c r="K532" s="3"/>
      <c r="L532" s="44"/>
      <c r="M532" s="3"/>
      <c r="N532" s="3"/>
      <c r="O532" s="3"/>
      <c r="P532" s="3"/>
      <c r="Q532" s="3"/>
      <c r="R532" s="3"/>
      <c r="S532" s="3"/>
      <c r="T532" s="3"/>
      <c r="U532" s="3"/>
      <c r="V532" s="3"/>
      <c r="W532" s="3"/>
      <c r="X532" s="44"/>
      <c r="Y532" s="44"/>
      <c r="Z532" s="44"/>
      <c r="AA532" s="154"/>
      <c r="AB532" s="44"/>
      <c r="AC532" s="3"/>
      <c r="AD532" s="44"/>
    </row>
    <row r="533" spans="1:36">
      <c r="A533" s="3"/>
      <c r="B533" s="3"/>
      <c r="C533" s="46"/>
      <c r="D533" s="3"/>
      <c r="E533" s="46"/>
      <c r="F533" s="3"/>
      <c r="G533" s="3"/>
      <c r="H533" s="3"/>
      <c r="I533" s="3"/>
      <c r="J533" s="3"/>
      <c r="K533" s="3"/>
      <c r="L533" s="3"/>
      <c r="M533" s="3"/>
      <c r="N533" s="3"/>
      <c r="O533" s="3"/>
      <c r="P533" s="3"/>
      <c r="Q533" s="3"/>
      <c r="R533" s="3"/>
      <c r="S533" s="733" t="s">
        <v>251</v>
      </c>
      <c r="T533" s="733" t="s">
        <v>251</v>
      </c>
      <c r="U533" s="3"/>
      <c r="V533" s="3"/>
      <c r="W533" s="3"/>
      <c r="X533" s="44"/>
      <c r="Y533" s="44"/>
      <c r="Z533" s="44"/>
      <c r="AA533" s="154"/>
      <c r="AB533" s="44"/>
      <c r="AC533" s="3"/>
      <c r="AD533" s="44"/>
    </row>
    <row r="534" spans="1:36">
      <c r="A534" s="3"/>
      <c r="B534" s="3"/>
      <c r="C534" s="46"/>
      <c r="D534" s="3"/>
      <c r="E534" s="46"/>
      <c r="F534" s="3"/>
      <c r="G534" s="3"/>
      <c r="H534" s="3"/>
      <c r="I534" s="3"/>
      <c r="J534" s="3"/>
      <c r="K534" s="3"/>
      <c r="L534" s="3"/>
      <c r="M534" s="3"/>
      <c r="N534" s="3"/>
      <c r="O534" s="3"/>
      <c r="P534" s="3"/>
      <c r="Q534" s="3"/>
      <c r="R534" s="3"/>
      <c r="S534" s="3"/>
      <c r="T534" s="3"/>
      <c r="U534" s="3"/>
      <c r="V534" s="3"/>
      <c r="W534" s="3"/>
      <c r="X534" s="44"/>
      <c r="Y534" s="44"/>
      <c r="Z534" s="44"/>
      <c r="AA534" s="154"/>
      <c r="AB534" s="44"/>
      <c r="AC534" s="3"/>
      <c r="AD534" s="44"/>
    </row>
    <row r="535" spans="1:36">
      <c r="A535" s="3"/>
      <c r="B535" s="3"/>
      <c r="C535" s="46"/>
      <c r="D535" s="3"/>
      <c r="E535" s="46"/>
      <c r="F535" s="3"/>
      <c r="G535" s="3"/>
      <c r="H535" s="3"/>
      <c r="I535" s="3"/>
      <c r="J535" s="3"/>
      <c r="K535" s="3"/>
      <c r="L535" s="3"/>
      <c r="M535" s="3"/>
      <c r="N535" s="3"/>
      <c r="O535" s="3"/>
      <c r="P535" s="3"/>
      <c r="Q535" s="3"/>
      <c r="R535" s="3"/>
      <c r="S535" s="3"/>
      <c r="T535" s="3"/>
      <c r="U535" s="3"/>
      <c r="V535" s="3"/>
      <c r="W535" s="3"/>
      <c r="X535" s="44"/>
      <c r="Y535" s="44"/>
      <c r="Z535" s="44"/>
      <c r="AA535" s="154"/>
      <c r="AB535" s="44"/>
      <c r="AC535" s="3"/>
      <c r="AD535" s="44"/>
    </row>
    <row r="536" spans="1:36">
      <c r="A536" s="3"/>
      <c r="B536" s="3"/>
      <c r="C536" s="46"/>
      <c r="D536" s="3"/>
      <c r="E536" s="46"/>
      <c r="F536" s="3"/>
      <c r="G536" s="3"/>
      <c r="H536" s="3"/>
      <c r="I536" s="3"/>
      <c r="J536" s="3"/>
      <c r="K536" s="3"/>
      <c r="L536" s="3"/>
      <c r="M536" s="3"/>
      <c r="N536" s="3"/>
      <c r="O536" s="3"/>
      <c r="P536" s="3"/>
      <c r="Q536" s="3"/>
      <c r="R536" s="3"/>
      <c r="S536" s="3"/>
      <c r="T536" s="3"/>
      <c r="U536" s="3"/>
      <c r="V536" s="3"/>
      <c r="W536" s="3"/>
      <c r="X536" s="44"/>
      <c r="Y536" s="44"/>
      <c r="Z536" s="44"/>
      <c r="AA536" s="154"/>
      <c r="AB536" s="44"/>
      <c r="AC536" s="3"/>
      <c r="AD536" s="44"/>
    </row>
    <row r="537" spans="1:36">
      <c r="A537" s="3"/>
      <c r="B537" s="3"/>
      <c r="C537" s="46"/>
      <c r="D537" s="3"/>
      <c r="E537" s="46"/>
      <c r="F537" s="3"/>
      <c r="G537" s="3"/>
      <c r="H537" s="3"/>
      <c r="I537" s="3"/>
      <c r="J537" s="3"/>
      <c r="K537" s="3"/>
      <c r="L537" s="3"/>
      <c r="M537" s="3"/>
      <c r="N537" s="3"/>
      <c r="O537" s="3"/>
      <c r="P537" s="3"/>
      <c r="Q537" s="3"/>
      <c r="R537" s="3"/>
      <c r="S537" s="3"/>
      <c r="T537" s="3"/>
      <c r="U537" s="3"/>
      <c r="V537" s="3"/>
      <c r="W537" s="3"/>
      <c r="X537" s="44"/>
      <c r="Y537" s="44"/>
      <c r="Z537" s="44"/>
      <c r="AA537" s="154"/>
      <c r="AB537" s="44"/>
      <c r="AC537" s="3"/>
      <c r="AD537" s="44"/>
    </row>
    <row r="538" spans="1:36">
      <c r="A538" s="3"/>
      <c r="B538" s="3"/>
      <c r="C538" s="46"/>
      <c r="D538" s="3"/>
      <c r="E538" s="46"/>
      <c r="F538" s="3"/>
      <c r="G538" s="3"/>
      <c r="H538" s="3"/>
      <c r="I538" s="3"/>
      <c r="J538" s="3"/>
      <c r="K538" s="3"/>
      <c r="L538" s="3"/>
      <c r="M538" s="3"/>
      <c r="N538" s="3"/>
      <c r="O538" s="3"/>
      <c r="P538" s="3"/>
      <c r="Q538" s="3"/>
      <c r="R538" s="3"/>
      <c r="S538" s="3"/>
      <c r="T538" s="3"/>
      <c r="U538" s="3"/>
      <c r="V538" s="3"/>
      <c r="W538" s="3"/>
      <c r="X538" s="44"/>
      <c r="Y538" s="44"/>
      <c r="Z538" s="44"/>
      <c r="AA538" s="154"/>
      <c r="AB538" s="44"/>
      <c r="AC538" s="3"/>
      <c r="AD538" s="44"/>
    </row>
    <row r="539" spans="1:36">
      <c r="A539" s="3"/>
      <c r="B539" s="3"/>
      <c r="C539" s="46"/>
      <c r="D539" s="3"/>
      <c r="E539" s="46"/>
      <c r="F539" s="3"/>
      <c r="G539" s="3"/>
      <c r="H539" s="3"/>
      <c r="I539" s="3"/>
      <c r="J539" s="3"/>
      <c r="K539" s="3"/>
      <c r="L539" s="3"/>
      <c r="M539" s="3"/>
      <c r="N539" s="3"/>
      <c r="O539" s="3"/>
      <c r="P539" s="3"/>
      <c r="Q539" s="3"/>
      <c r="R539" s="3"/>
      <c r="S539" s="3"/>
      <c r="T539" s="3"/>
      <c r="U539" s="3"/>
      <c r="V539" s="3"/>
      <c r="W539" s="3"/>
      <c r="X539" s="44"/>
      <c r="Y539" s="44"/>
      <c r="Z539" s="44"/>
      <c r="AA539" s="154"/>
      <c r="AB539" s="44"/>
      <c r="AC539" s="3"/>
      <c r="AD539" s="44"/>
    </row>
    <row r="540" spans="1:36">
      <c r="A540" s="3"/>
      <c r="B540" s="3"/>
      <c r="C540" s="46"/>
      <c r="D540" s="3"/>
      <c r="E540" s="46"/>
      <c r="F540" s="3"/>
      <c r="G540" s="3"/>
      <c r="H540" s="3"/>
      <c r="I540" s="3"/>
      <c r="J540" s="3"/>
      <c r="K540" s="3"/>
      <c r="L540" s="3"/>
      <c r="M540" s="3"/>
      <c r="N540" s="3"/>
      <c r="O540" s="3"/>
      <c r="P540" s="3"/>
      <c r="Q540" s="3"/>
      <c r="R540" s="3"/>
      <c r="S540" s="3"/>
      <c r="T540" s="3"/>
      <c r="U540" s="3"/>
      <c r="V540" s="3"/>
      <c r="W540" s="3"/>
      <c r="X540" s="44"/>
      <c r="Y540" s="44"/>
      <c r="Z540" s="44"/>
      <c r="AA540" s="154"/>
      <c r="AB540" s="44"/>
      <c r="AC540" s="3"/>
      <c r="AD540" s="44"/>
      <c r="AF540" t="s">
        <v>544</v>
      </c>
    </row>
    <row r="541" spans="1:36">
      <c r="A541" s="3"/>
      <c r="B541" s="3"/>
      <c r="C541" s="46"/>
      <c r="D541" s="3"/>
      <c r="E541" s="46"/>
      <c r="F541" s="3"/>
      <c r="G541" s="3"/>
      <c r="H541" s="3"/>
      <c r="I541" s="3"/>
      <c r="J541" s="3"/>
      <c r="K541" s="3"/>
      <c r="L541" s="3"/>
      <c r="M541" s="3"/>
      <c r="N541" s="3"/>
      <c r="O541" s="3"/>
      <c r="P541" s="3"/>
      <c r="Q541" s="3"/>
      <c r="R541" s="3"/>
      <c r="S541" s="3"/>
      <c r="T541" s="3"/>
      <c r="U541" s="3"/>
      <c r="V541" s="3"/>
      <c r="W541" s="3"/>
      <c r="X541" s="44"/>
      <c r="Y541" s="44"/>
      <c r="Z541" s="44"/>
      <c r="AA541" s="154"/>
      <c r="AB541" s="44"/>
      <c r="AC541" s="3"/>
      <c r="AD541" s="44"/>
      <c r="AF541" t="s">
        <v>550</v>
      </c>
    </row>
    <row r="542" spans="1:36">
      <c r="A542" s="3"/>
      <c r="B542" s="3"/>
      <c r="C542" s="3"/>
      <c r="D542" s="3"/>
      <c r="E542" s="46"/>
      <c r="F542" s="3"/>
      <c r="G542" s="3"/>
      <c r="H542" s="3"/>
      <c r="I542" s="3"/>
      <c r="J542" s="3"/>
      <c r="K542" s="3"/>
      <c r="L542" s="3"/>
      <c r="M542" s="3"/>
      <c r="N542" s="3"/>
      <c r="O542" s="3"/>
      <c r="P542" s="3"/>
      <c r="Q542" s="3"/>
      <c r="R542" s="3"/>
      <c r="S542" s="3"/>
      <c r="T542" s="3"/>
      <c r="U542" s="3"/>
      <c r="V542" s="3"/>
      <c r="W542" s="3"/>
      <c r="X542" s="44"/>
      <c r="Y542" s="44"/>
      <c r="Z542" s="44"/>
      <c r="AA542" s="154"/>
      <c r="AB542" s="44"/>
      <c r="AC542" s="3"/>
      <c r="AD542" s="44"/>
    </row>
    <row r="543" spans="1:36">
      <c r="A543" s="3"/>
      <c r="B543" s="3"/>
      <c r="C543" s="3"/>
      <c r="D543" s="3"/>
      <c r="E543" s="46"/>
      <c r="F543" s="3"/>
      <c r="G543" s="3"/>
      <c r="H543" s="3"/>
      <c r="I543" s="3"/>
      <c r="J543" s="3"/>
      <c r="K543" s="3"/>
      <c r="L543" s="3"/>
      <c r="M543" s="3"/>
      <c r="N543" s="3"/>
      <c r="O543" s="3"/>
      <c r="P543" s="3"/>
      <c r="Q543" s="3"/>
      <c r="R543" s="3"/>
      <c r="S543" s="3"/>
      <c r="T543" s="3"/>
      <c r="U543" s="3"/>
      <c r="V543" s="3"/>
      <c r="W543" s="3"/>
      <c r="X543" s="44"/>
      <c r="Y543" s="44"/>
      <c r="Z543" s="44"/>
      <c r="AA543" s="154"/>
      <c r="AB543" s="44"/>
      <c r="AC543" s="3"/>
      <c r="AD543" s="44"/>
    </row>
    <row r="544" spans="1:36">
      <c r="A544" s="3"/>
      <c r="B544" s="3"/>
      <c r="C544" s="3"/>
      <c r="D544" s="3"/>
      <c r="E544" s="46"/>
      <c r="F544" s="3"/>
      <c r="G544" s="3"/>
      <c r="H544" s="3"/>
      <c r="I544" s="3"/>
      <c r="J544" s="3"/>
      <c r="K544" s="3"/>
      <c r="L544" s="3"/>
      <c r="M544" s="3"/>
      <c r="N544" s="3"/>
      <c r="O544" s="3"/>
      <c r="P544" s="3"/>
      <c r="Q544" s="3"/>
      <c r="R544" s="3"/>
      <c r="S544" s="3"/>
      <c r="T544" s="3"/>
      <c r="U544" s="3"/>
      <c r="V544" s="3"/>
      <c r="W544" s="3"/>
      <c r="X544" s="44"/>
      <c r="Y544" s="44"/>
      <c r="Z544" s="44"/>
      <c r="AA544" s="154"/>
      <c r="AB544" s="44"/>
      <c r="AC544" s="3"/>
      <c r="AD544" s="44"/>
    </row>
    <row r="545" spans="1:33">
      <c r="A545" s="3"/>
      <c r="B545" s="3"/>
      <c r="C545" s="3"/>
      <c r="D545" s="3"/>
      <c r="E545" s="46"/>
      <c r="F545" s="3"/>
      <c r="G545" s="3"/>
      <c r="H545" s="3"/>
      <c r="I545" s="3"/>
      <c r="J545" s="3"/>
      <c r="K545" s="3"/>
      <c r="L545" s="3"/>
      <c r="M545" s="3"/>
      <c r="N545" s="3"/>
      <c r="O545" s="3"/>
      <c r="P545" s="3"/>
      <c r="Q545" s="3"/>
      <c r="R545" s="3"/>
      <c r="S545" s="3"/>
      <c r="T545" s="3"/>
      <c r="U545" s="3"/>
      <c r="V545" s="3"/>
      <c r="W545" s="3"/>
      <c r="X545" s="44"/>
      <c r="Y545" s="44"/>
      <c r="Z545" s="44"/>
      <c r="AA545" s="154"/>
      <c r="AB545" s="44"/>
      <c r="AC545" s="3"/>
      <c r="AD545" s="44"/>
    </row>
    <row r="546" spans="1:33">
      <c r="A546" s="3"/>
      <c r="B546" s="3"/>
      <c r="C546" s="3"/>
      <c r="D546" s="3"/>
      <c r="E546" s="46"/>
      <c r="F546" s="3"/>
      <c r="G546" s="3"/>
      <c r="H546" s="3"/>
      <c r="I546" s="3"/>
      <c r="J546" s="3"/>
      <c r="K546" s="3"/>
      <c r="L546" s="3"/>
      <c r="M546" s="3"/>
      <c r="N546" s="3"/>
      <c r="O546" s="3"/>
      <c r="P546" s="3"/>
      <c r="Q546" s="3"/>
      <c r="R546" s="3"/>
      <c r="S546" s="3"/>
      <c r="T546" s="3"/>
      <c r="U546" s="3"/>
      <c r="V546" s="3"/>
      <c r="W546" s="3"/>
      <c r="X546" s="44"/>
      <c r="Y546" s="44"/>
      <c r="Z546" s="44"/>
      <c r="AA546" s="154"/>
      <c r="AB546" s="44"/>
      <c r="AC546" s="3"/>
      <c r="AD546" s="44"/>
    </row>
    <row r="547" spans="1:33">
      <c r="A547" s="3"/>
      <c r="B547" s="3"/>
      <c r="C547" s="3"/>
      <c r="D547" s="3"/>
      <c r="E547" s="46"/>
      <c r="F547" s="3"/>
      <c r="G547" s="3"/>
      <c r="H547" s="3"/>
      <c r="I547" s="3"/>
      <c r="J547" s="3"/>
      <c r="K547" s="3"/>
      <c r="L547" s="3"/>
      <c r="M547" s="3"/>
      <c r="N547" s="3"/>
      <c r="O547" s="3"/>
      <c r="P547" s="3"/>
      <c r="Q547" s="3"/>
      <c r="R547" s="3"/>
      <c r="S547" s="3"/>
      <c r="T547" s="3"/>
      <c r="U547" s="3"/>
      <c r="V547" s="3"/>
      <c r="W547" s="3"/>
      <c r="X547" s="44"/>
      <c r="Y547" s="44"/>
      <c r="Z547" s="44"/>
      <c r="AA547" s="154"/>
      <c r="AB547" s="44"/>
      <c r="AC547" s="3"/>
      <c r="AD547" s="44"/>
    </row>
    <row r="548" spans="1:33">
      <c r="A548" s="3"/>
      <c r="B548" s="3"/>
      <c r="C548" s="3"/>
      <c r="D548" s="3"/>
      <c r="E548" s="46"/>
      <c r="F548" s="3"/>
      <c r="G548" s="3"/>
      <c r="H548" s="3"/>
      <c r="I548" s="3"/>
      <c r="J548" s="3"/>
      <c r="K548" s="3"/>
      <c r="L548" s="3"/>
      <c r="M548" s="3"/>
      <c r="N548" s="3"/>
      <c r="O548" s="3"/>
      <c r="P548" s="3"/>
      <c r="Q548" s="3"/>
      <c r="R548" s="3"/>
      <c r="S548" s="3"/>
      <c r="T548" s="3"/>
      <c r="U548" s="3"/>
      <c r="V548" s="3"/>
      <c r="W548" s="3"/>
      <c r="X548" s="44"/>
      <c r="Y548" s="44"/>
      <c r="Z548" s="44"/>
      <c r="AA548" s="154"/>
      <c r="AB548" s="44"/>
      <c r="AC548" s="3"/>
      <c r="AD548" s="44"/>
    </row>
    <row r="549" spans="1:33">
      <c r="A549" s="3"/>
      <c r="B549" s="3"/>
      <c r="C549" s="3"/>
      <c r="D549" s="3"/>
      <c r="E549" s="46"/>
      <c r="F549" s="3"/>
      <c r="G549" s="3"/>
      <c r="H549" s="3"/>
      <c r="I549" s="3"/>
      <c r="J549" s="3"/>
      <c r="K549" s="3"/>
      <c r="L549" s="3"/>
      <c r="M549" s="3"/>
      <c r="N549" s="3"/>
      <c r="O549" s="3"/>
      <c r="P549" s="3"/>
      <c r="Q549" s="3"/>
      <c r="R549" s="3"/>
      <c r="S549" s="3"/>
      <c r="T549" s="3"/>
      <c r="U549" s="3"/>
      <c r="V549" s="3"/>
      <c r="W549" s="3"/>
      <c r="X549" s="44"/>
      <c r="Y549" s="44"/>
      <c r="Z549" s="44"/>
      <c r="AA549" s="154"/>
      <c r="AB549" s="44"/>
      <c r="AC549" s="3"/>
      <c r="AD549" s="44"/>
      <c r="AF549" t="s">
        <v>544</v>
      </c>
    </row>
    <row r="550" spans="1:33">
      <c r="A550" s="3"/>
      <c r="B550" s="3"/>
      <c r="C550" s="3"/>
      <c r="D550" s="3"/>
      <c r="E550" s="46"/>
      <c r="F550" s="3"/>
      <c r="G550" s="3"/>
      <c r="H550" s="3"/>
      <c r="I550" s="3"/>
      <c r="J550" s="3"/>
      <c r="K550" s="3"/>
      <c r="L550" s="3"/>
      <c r="M550" s="3"/>
      <c r="N550" s="3"/>
      <c r="O550" s="3"/>
      <c r="P550" s="3"/>
      <c r="Q550" s="3"/>
      <c r="R550" s="3"/>
      <c r="S550" s="3"/>
      <c r="T550" s="3"/>
      <c r="U550" s="3"/>
      <c r="V550" s="3"/>
      <c r="W550" s="3"/>
      <c r="X550" s="44"/>
      <c r="Y550" s="44"/>
      <c r="Z550" s="44"/>
      <c r="AA550" s="154"/>
      <c r="AB550" s="44"/>
      <c r="AC550" s="3"/>
      <c r="AD550" s="44"/>
      <c r="AF550" t="s">
        <v>550</v>
      </c>
    </row>
    <row r="551" spans="1:33">
      <c r="A551" s="3"/>
      <c r="B551" s="3"/>
      <c r="C551" s="3"/>
      <c r="D551" s="3"/>
      <c r="E551" s="46"/>
      <c r="F551" s="3"/>
      <c r="G551" s="3"/>
      <c r="H551" s="3"/>
      <c r="I551" s="3"/>
      <c r="J551" s="3"/>
      <c r="K551" s="3"/>
      <c r="L551" s="3"/>
      <c r="M551" s="3"/>
      <c r="N551" s="3"/>
      <c r="O551" s="3"/>
      <c r="P551" s="3"/>
      <c r="Q551" s="3"/>
      <c r="R551" s="3"/>
      <c r="S551" s="3"/>
      <c r="T551" s="3"/>
      <c r="U551" s="3"/>
      <c r="V551" s="3"/>
      <c r="W551" s="3"/>
      <c r="X551" s="44"/>
      <c r="Y551" s="44"/>
      <c r="Z551" s="44"/>
      <c r="AA551" s="154"/>
      <c r="AB551" s="44"/>
      <c r="AC551" s="3"/>
      <c r="AD551" s="44"/>
    </row>
    <row r="552" spans="1:33">
      <c r="A552" s="3"/>
      <c r="B552" s="3"/>
      <c r="C552" s="3"/>
      <c r="D552" s="3"/>
      <c r="E552" s="46"/>
      <c r="F552" s="3"/>
      <c r="G552" s="3"/>
      <c r="H552" s="3"/>
      <c r="I552" s="3"/>
      <c r="J552" s="3"/>
      <c r="K552" s="3"/>
      <c r="L552" s="3"/>
      <c r="M552" s="3"/>
      <c r="N552" s="3"/>
      <c r="O552" s="3"/>
      <c r="P552" s="3"/>
      <c r="Q552" s="3"/>
      <c r="R552" s="3"/>
      <c r="S552" s="3"/>
      <c r="T552" s="3"/>
      <c r="U552" s="3"/>
      <c r="V552" s="3"/>
      <c r="W552" s="3"/>
      <c r="X552" s="44"/>
      <c r="Y552" s="44"/>
      <c r="Z552" s="44"/>
      <c r="AA552" s="154"/>
      <c r="AB552" s="44"/>
      <c r="AC552" s="3"/>
      <c r="AD552" s="44"/>
    </row>
    <row r="553" spans="1:33">
      <c r="A553" s="3"/>
      <c r="B553" s="3"/>
      <c r="C553" s="3"/>
      <c r="D553" s="3"/>
      <c r="E553" s="46"/>
      <c r="F553" s="3"/>
      <c r="G553" s="3"/>
      <c r="H553" s="3"/>
      <c r="I553" s="3"/>
      <c r="J553" s="3"/>
      <c r="K553" s="3"/>
      <c r="L553" s="3"/>
      <c r="M553" s="3"/>
      <c r="N553" s="3"/>
      <c r="O553" s="3"/>
      <c r="P553" s="3"/>
      <c r="Q553" s="3"/>
      <c r="R553" s="3"/>
      <c r="S553" s="3"/>
      <c r="T553" s="3"/>
      <c r="U553" s="3"/>
      <c r="V553" s="3"/>
      <c r="W553" s="3"/>
      <c r="X553" s="44"/>
      <c r="Y553" s="44"/>
      <c r="Z553" s="44"/>
      <c r="AA553" s="154"/>
      <c r="AB553" s="44"/>
      <c r="AC553" s="3"/>
      <c r="AD553" s="44"/>
      <c r="AE553" s="31">
        <v>1323592675.52</v>
      </c>
      <c r="AG553" s="31">
        <v>1418754996.0799999</v>
      </c>
    </row>
    <row r="554" spans="1:33">
      <c r="A554" s="3"/>
      <c r="B554" s="3"/>
      <c r="C554" s="3"/>
      <c r="D554" s="3"/>
      <c r="E554" s="46"/>
      <c r="F554" s="3"/>
      <c r="G554" s="3"/>
      <c r="H554" s="3"/>
      <c r="I554" s="3"/>
      <c r="J554" s="3"/>
      <c r="K554" s="3"/>
      <c r="L554" s="3"/>
      <c r="M554" s="3"/>
      <c r="N554" s="3"/>
      <c r="O554" s="3"/>
      <c r="P554" s="3"/>
      <c r="Q554" s="3"/>
      <c r="R554" s="3"/>
      <c r="S554" s="3"/>
      <c r="T554" s="3"/>
      <c r="U554" s="3"/>
      <c r="V554" s="3"/>
      <c r="W554" s="3"/>
      <c r="X554" s="44"/>
      <c r="Y554" s="44"/>
      <c r="Z554" s="44"/>
      <c r="AA554" s="154"/>
      <c r="AB554" s="44"/>
      <c r="AC554" s="3"/>
      <c r="AD554" s="44"/>
      <c r="AE554" s="31">
        <v>156221691.72999999</v>
      </c>
      <c r="AG554" s="31">
        <v>157565845.28</v>
      </c>
    </row>
    <row r="555" spans="1:33">
      <c r="A555" s="3"/>
      <c r="B555" s="3"/>
      <c r="C555" s="3"/>
      <c r="D555" s="3"/>
      <c r="E555" s="46"/>
      <c r="F555" s="3"/>
      <c r="G555" s="3"/>
      <c r="H555" s="3"/>
      <c r="I555" s="3"/>
      <c r="J555" s="3"/>
      <c r="K555" s="3"/>
      <c r="L555" s="3"/>
      <c r="M555" s="3"/>
      <c r="N555" s="3"/>
      <c r="O555" s="3"/>
      <c r="P555" s="3"/>
      <c r="Q555" s="3"/>
      <c r="R555" s="3"/>
      <c r="S555" s="3"/>
      <c r="T555" s="3"/>
      <c r="U555" s="3"/>
      <c r="V555" s="3"/>
      <c r="W555" s="3"/>
      <c r="X555" s="44"/>
      <c r="Y555" s="44"/>
      <c r="Z555" s="44"/>
      <c r="AA555" s="154"/>
      <c r="AB555" s="44"/>
      <c r="AC555" s="3"/>
      <c r="AD555" s="44"/>
      <c r="AE555">
        <v>0</v>
      </c>
      <c r="AG555">
        <v>0</v>
      </c>
    </row>
    <row r="556" spans="1:33">
      <c r="A556" s="3"/>
      <c r="B556" s="3"/>
      <c r="C556" s="3"/>
      <c r="D556" s="3"/>
      <c r="E556" s="46"/>
      <c r="F556" s="3"/>
      <c r="G556" s="3"/>
      <c r="H556" s="3"/>
      <c r="I556" s="3"/>
      <c r="J556" s="3"/>
      <c r="K556" s="3"/>
      <c r="L556" s="3"/>
      <c r="M556" s="3"/>
      <c r="N556" s="3"/>
      <c r="O556" s="3"/>
      <c r="P556" s="3"/>
      <c r="Q556" s="3"/>
      <c r="R556" s="3"/>
      <c r="S556" s="3"/>
      <c r="T556" s="3"/>
      <c r="U556" s="3"/>
      <c r="V556" s="3"/>
      <c r="W556" s="3"/>
      <c r="X556" s="44"/>
      <c r="Y556" s="44"/>
      <c r="Z556" s="44"/>
      <c r="AA556" s="154"/>
      <c r="AB556" s="44"/>
      <c r="AC556" s="3"/>
      <c r="AD556" s="44"/>
      <c r="AE556">
        <v>0</v>
      </c>
      <c r="AG556">
        <v>0</v>
      </c>
    </row>
    <row r="557" spans="1:33">
      <c r="A557" s="3"/>
      <c r="B557" s="3"/>
      <c r="C557" s="3"/>
      <c r="D557" s="3"/>
      <c r="E557" s="46"/>
      <c r="F557" s="3"/>
      <c r="G557" s="3"/>
      <c r="H557" s="3"/>
      <c r="I557" s="3"/>
      <c r="J557" s="3"/>
      <c r="K557" s="3"/>
      <c r="L557" s="3"/>
      <c r="M557" s="3"/>
      <c r="N557" s="3"/>
      <c r="O557" s="3"/>
      <c r="P557" s="3"/>
      <c r="Q557" s="3"/>
      <c r="R557" s="3"/>
      <c r="S557" s="3"/>
      <c r="T557" s="3"/>
      <c r="U557" s="3"/>
      <c r="V557" s="3"/>
      <c r="W557" s="3"/>
      <c r="X557" s="44"/>
      <c r="Y557" s="44"/>
      <c r="Z557" s="44"/>
      <c r="AA557" s="154"/>
      <c r="AB557" s="44"/>
      <c r="AC557" s="3"/>
      <c r="AD557" s="44"/>
      <c r="AE557">
        <v>0</v>
      </c>
      <c r="AG557">
        <v>0</v>
      </c>
    </row>
    <row r="558" spans="1:33">
      <c r="A558" s="3"/>
      <c r="B558" s="3"/>
      <c r="C558" s="3"/>
      <c r="D558" s="3"/>
      <c r="E558" s="46"/>
      <c r="F558" s="3"/>
      <c r="G558" s="3"/>
      <c r="H558" s="3"/>
      <c r="I558" s="3"/>
      <c r="J558" s="3"/>
      <c r="K558" s="3"/>
      <c r="L558" s="3"/>
      <c r="M558" s="3"/>
      <c r="N558" s="3"/>
      <c r="O558" s="3"/>
      <c r="P558" s="3"/>
      <c r="Q558" s="3"/>
      <c r="R558" s="3"/>
      <c r="S558" s="3"/>
      <c r="T558" s="3"/>
      <c r="U558" s="3"/>
      <c r="V558" s="3"/>
      <c r="W558" s="3"/>
      <c r="X558" s="44"/>
      <c r="Y558" s="44"/>
      <c r="Z558" s="44"/>
      <c r="AA558" s="154"/>
      <c r="AB558" s="44"/>
      <c r="AC558" s="3"/>
      <c r="AD558" s="44"/>
      <c r="AE558">
        <v>0</v>
      </c>
      <c r="AG558">
        <v>0</v>
      </c>
    </row>
    <row r="559" spans="1:33">
      <c r="A559" s="3"/>
      <c r="B559" s="3"/>
      <c r="C559" s="3"/>
      <c r="D559" s="3"/>
      <c r="E559" s="46"/>
      <c r="F559" s="3"/>
      <c r="G559" s="3"/>
      <c r="H559" s="3"/>
      <c r="I559" s="3"/>
      <c r="J559" s="3"/>
      <c r="K559" s="3"/>
      <c r="L559" s="3"/>
      <c r="M559" s="3"/>
      <c r="N559" s="3"/>
      <c r="O559" s="3"/>
      <c r="P559" s="3"/>
      <c r="Q559" s="3"/>
      <c r="R559" s="3"/>
      <c r="S559" s="3"/>
      <c r="T559" s="3"/>
      <c r="U559" s="3"/>
      <c r="V559" s="3"/>
      <c r="W559" s="3"/>
      <c r="X559" s="44"/>
      <c r="Y559" s="44"/>
      <c r="Z559" s="44"/>
      <c r="AA559" s="154"/>
      <c r="AB559" s="44"/>
      <c r="AC559" s="3"/>
      <c r="AD559" s="44"/>
      <c r="AE559">
        <v>0</v>
      </c>
      <c r="AG559">
        <v>0</v>
      </c>
    </row>
    <row r="560" spans="1:33">
      <c r="A560" s="3"/>
      <c r="B560" s="3"/>
      <c r="C560" s="3"/>
      <c r="D560" s="3"/>
      <c r="E560" s="46"/>
      <c r="F560" s="3"/>
      <c r="G560" s="3"/>
      <c r="H560" s="3"/>
      <c r="I560" s="3"/>
      <c r="J560" s="3"/>
      <c r="K560" s="3"/>
      <c r="L560" s="3"/>
      <c r="M560" s="3"/>
      <c r="N560" s="3"/>
      <c r="O560" s="3"/>
      <c r="P560" s="3"/>
      <c r="Q560" s="3"/>
      <c r="R560" s="3"/>
      <c r="S560" s="3"/>
      <c r="T560" s="3"/>
      <c r="U560" s="3"/>
      <c r="V560" s="3"/>
      <c r="W560" s="3"/>
      <c r="X560" s="44"/>
      <c r="Y560" s="44"/>
      <c r="Z560" s="44"/>
      <c r="AA560" s="154"/>
      <c r="AB560" s="44"/>
      <c r="AC560" s="3"/>
      <c r="AD560" s="44"/>
      <c r="AE560" s="31">
        <v>130963495.15000001</v>
      </c>
      <c r="AG560" s="31">
        <v>221400632.91</v>
      </c>
    </row>
    <row r="561" spans="1:33">
      <c r="A561" s="3"/>
      <c r="B561" s="3"/>
      <c r="C561" s="3"/>
      <c r="D561" s="3"/>
      <c r="E561" s="46"/>
      <c r="F561" s="3"/>
      <c r="G561" s="3"/>
      <c r="H561" s="3"/>
      <c r="I561" s="3"/>
      <c r="J561" s="3"/>
      <c r="K561" s="3"/>
      <c r="L561" s="3"/>
      <c r="M561" s="3"/>
      <c r="N561" s="3"/>
      <c r="O561" s="3"/>
      <c r="P561" s="3"/>
      <c r="Q561" s="3"/>
      <c r="R561" s="3"/>
      <c r="S561" s="3"/>
      <c r="T561" s="3"/>
      <c r="U561" s="3"/>
      <c r="V561" s="3"/>
      <c r="W561" s="3"/>
      <c r="X561" s="44"/>
      <c r="Y561" s="44"/>
      <c r="Z561" s="44"/>
      <c r="AA561" s="154"/>
      <c r="AB561" s="44"/>
      <c r="AC561" s="3"/>
      <c r="AD561" s="44"/>
      <c r="AE561" s="31">
        <v>71067159.010000005</v>
      </c>
      <c r="AG561" s="31">
        <v>48578259.25</v>
      </c>
    </row>
    <row r="562" spans="1:33">
      <c r="A562" s="3"/>
      <c r="B562" s="3"/>
      <c r="C562" s="3"/>
      <c r="D562" s="3"/>
      <c r="E562" s="46"/>
      <c r="F562" s="3"/>
      <c r="G562" s="3"/>
      <c r="H562" s="3"/>
      <c r="I562" s="3"/>
      <c r="J562" s="3"/>
      <c r="K562" s="3"/>
      <c r="L562" s="3"/>
      <c r="M562" s="3"/>
      <c r="N562" s="3"/>
      <c r="O562" s="3"/>
      <c r="P562" s="3"/>
      <c r="Q562" s="3"/>
      <c r="R562" s="3"/>
      <c r="S562" s="3"/>
      <c r="T562" s="3"/>
      <c r="U562" s="3"/>
      <c r="V562" s="3"/>
      <c r="W562" s="3"/>
      <c r="X562" s="44"/>
      <c r="Y562" s="44"/>
      <c r="Z562" s="44"/>
      <c r="AA562" s="154"/>
      <c r="AB562" s="44"/>
      <c r="AC562" s="3"/>
      <c r="AD562" s="44"/>
      <c r="AE562" s="31">
        <v>-437861893.82999998</v>
      </c>
      <c r="AG562" s="31">
        <v>-473242944.69999999</v>
      </c>
    </row>
    <row r="563" spans="1:33">
      <c r="A563" s="3"/>
      <c r="B563" s="3"/>
      <c r="C563" s="3"/>
      <c r="D563" s="3"/>
      <c r="E563" s="46"/>
      <c r="F563" s="3"/>
      <c r="G563" s="3"/>
      <c r="H563" s="3"/>
      <c r="I563" s="3"/>
      <c r="J563" s="3"/>
      <c r="K563" s="3"/>
      <c r="L563" s="3"/>
      <c r="M563" s="3"/>
      <c r="N563" s="3"/>
      <c r="O563" s="3"/>
      <c r="P563" s="3"/>
      <c r="Q563" s="3"/>
      <c r="R563" s="3"/>
      <c r="S563" s="3"/>
      <c r="T563" s="3"/>
      <c r="U563" s="3"/>
      <c r="V563" s="3"/>
      <c r="W563" s="3"/>
      <c r="X563" s="44"/>
      <c r="Y563" s="44"/>
      <c r="Z563" s="44"/>
      <c r="AA563" s="154"/>
      <c r="AB563" s="44"/>
      <c r="AC563" s="3"/>
      <c r="AD563" s="44"/>
      <c r="AE563">
        <v>0</v>
      </c>
      <c r="AG563">
        <v>0</v>
      </c>
    </row>
    <row r="564" spans="1:33">
      <c r="A564" s="3"/>
      <c r="B564" s="3"/>
      <c r="C564" s="3"/>
      <c r="D564" s="3"/>
      <c r="E564" s="46"/>
      <c r="F564" s="3"/>
      <c r="G564" s="3"/>
      <c r="H564" s="3"/>
      <c r="I564" s="3"/>
      <c r="J564" s="3"/>
      <c r="K564" s="3"/>
      <c r="L564" s="3"/>
      <c r="M564" s="3"/>
      <c r="N564" s="3"/>
      <c r="O564" s="3"/>
      <c r="P564" s="3"/>
      <c r="Q564" s="3"/>
      <c r="R564" s="3"/>
      <c r="S564" s="3"/>
      <c r="T564" s="3"/>
      <c r="U564" s="3"/>
      <c r="V564" s="3"/>
      <c r="W564" s="3"/>
      <c r="X564" s="44"/>
      <c r="Y564" s="44"/>
      <c r="Z564" s="44"/>
      <c r="AA564" s="154"/>
      <c r="AB564" s="44"/>
      <c r="AC564" s="3"/>
      <c r="AD564" s="44"/>
      <c r="AE564">
        <v>0</v>
      </c>
      <c r="AG564">
        <v>0</v>
      </c>
    </row>
    <row r="565" spans="1:33">
      <c r="A565" s="3"/>
      <c r="B565" s="3"/>
      <c r="C565" s="3"/>
      <c r="D565" s="3"/>
      <c r="E565" s="46"/>
      <c r="F565" s="3"/>
      <c r="G565" s="3"/>
      <c r="H565" s="3"/>
      <c r="I565" s="3"/>
      <c r="J565" s="3"/>
      <c r="K565" s="3"/>
      <c r="L565" s="3"/>
      <c r="M565" s="3"/>
      <c r="N565" s="3"/>
      <c r="O565" s="3"/>
      <c r="P565" s="3"/>
      <c r="Q565" s="3"/>
      <c r="R565" s="3"/>
      <c r="S565" s="3"/>
      <c r="T565" s="3"/>
      <c r="U565" s="3"/>
      <c r="V565" s="3"/>
      <c r="W565" s="3"/>
      <c r="X565" s="44"/>
      <c r="Y565" s="44"/>
      <c r="Z565" s="44"/>
      <c r="AA565" s="154"/>
      <c r="AB565" s="44"/>
      <c r="AC565" s="3"/>
      <c r="AD565" s="44"/>
      <c r="AE565" s="31">
        <v>-19833570.02</v>
      </c>
      <c r="AG565" s="31">
        <v>-19833570.02</v>
      </c>
    </row>
    <row r="566" spans="1:33">
      <c r="A566" s="3"/>
      <c r="B566" s="3"/>
      <c r="C566" s="3"/>
      <c r="D566" s="3"/>
      <c r="E566" s="46"/>
      <c r="F566" s="3"/>
      <c r="G566" s="3"/>
      <c r="H566" s="3"/>
      <c r="I566" s="3"/>
      <c r="J566" s="3"/>
      <c r="K566" s="3"/>
      <c r="L566" s="3"/>
      <c r="M566" s="3"/>
      <c r="N566" s="3"/>
      <c r="O566" s="3"/>
      <c r="P566" s="3"/>
      <c r="Q566" s="3"/>
      <c r="R566" s="3"/>
      <c r="S566" s="3"/>
      <c r="T566" s="3"/>
      <c r="U566" s="3"/>
      <c r="V566" s="3"/>
      <c r="W566" s="3"/>
      <c r="X566" s="44"/>
      <c r="Y566" s="44"/>
      <c r="Z566" s="44"/>
      <c r="AA566" s="154"/>
      <c r="AB566" s="44"/>
      <c r="AC566" s="3"/>
      <c r="AD566" s="44"/>
      <c r="AE566" s="31">
        <v>235058056.38999999</v>
      </c>
      <c r="AG566" s="31">
        <v>235058056.38999999</v>
      </c>
    </row>
    <row r="567" spans="1:33">
      <c r="A567" s="3"/>
      <c r="B567" s="3"/>
      <c r="C567" s="3"/>
      <c r="D567" s="3"/>
      <c r="E567" s="46"/>
      <c r="F567" s="3"/>
      <c r="G567" s="3"/>
      <c r="H567" s="3"/>
      <c r="I567" s="3"/>
      <c r="J567" s="3"/>
      <c r="K567" s="3"/>
      <c r="L567" s="3"/>
      <c r="M567" s="3"/>
      <c r="N567" s="3"/>
      <c r="O567" s="3"/>
      <c r="P567" s="3"/>
      <c r="Q567" s="3"/>
      <c r="R567" s="3"/>
      <c r="S567" s="3"/>
      <c r="T567" s="3"/>
      <c r="U567" s="3"/>
      <c r="V567" s="3"/>
      <c r="W567" s="3"/>
      <c r="X567" s="44"/>
      <c r="Y567" s="44"/>
      <c r="Z567" s="44"/>
      <c r="AA567" s="154"/>
      <c r="AB567" s="44"/>
      <c r="AC567" s="3"/>
      <c r="AD567" s="44"/>
      <c r="AE567">
        <v>0</v>
      </c>
      <c r="AG567">
        <v>0</v>
      </c>
    </row>
    <row r="568" spans="1:33">
      <c r="A568" s="3"/>
      <c r="B568" s="3"/>
      <c r="C568" s="3"/>
      <c r="D568" s="3"/>
      <c r="E568" s="46"/>
      <c r="F568" s="3"/>
      <c r="G568" s="3"/>
      <c r="H568" s="3"/>
      <c r="I568" s="3"/>
      <c r="J568" s="3"/>
      <c r="K568" s="3"/>
      <c r="L568" s="3"/>
      <c r="M568" s="3"/>
      <c r="N568" s="3"/>
      <c r="O568" s="3"/>
      <c r="P568" s="3"/>
      <c r="Q568" s="3"/>
      <c r="R568" s="3"/>
      <c r="S568" s="3"/>
      <c r="T568" s="3"/>
      <c r="U568" s="3"/>
      <c r="V568" s="3"/>
      <c r="W568" s="3"/>
      <c r="X568" s="44"/>
      <c r="Y568" s="44"/>
      <c r="Z568" s="44"/>
      <c r="AA568" s="154"/>
      <c r="AB568" s="44"/>
      <c r="AC568" s="3"/>
      <c r="AD568" s="44"/>
      <c r="AE568">
        <v>0</v>
      </c>
      <c r="AG568">
        <v>0</v>
      </c>
    </row>
    <row r="569" spans="1:33">
      <c r="A569" s="3"/>
      <c r="B569" s="3"/>
      <c r="C569" s="3"/>
      <c r="D569" s="3"/>
      <c r="E569" s="46"/>
      <c r="F569" s="3"/>
      <c r="G569" s="3"/>
      <c r="H569" s="3"/>
      <c r="I569" s="3"/>
      <c r="J569" s="3"/>
      <c r="K569" s="3"/>
      <c r="L569" s="3"/>
      <c r="M569" s="3"/>
      <c r="N569" s="3"/>
      <c r="O569" s="3"/>
      <c r="P569" s="3"/>
      <c r="Q569" s="3"/>
      <c r="R569" s="3"/>
      <c r="S569" s="3"/>
      <c r="T569" s="3"/>
      <c r="U569" s="3"/>
      <c r="V569" s="3"/>
      <c r="W569" s="3"/>
      <c r="X569" s="44"/>
      <c r="Y569" s="44"/>
      <c r="Z569" s="44"/>
      <c r="AA569" s="154"/>
      <c r="AB569" s="44"/>
      <c r="AC569" s="3"/>
      <c r="AD569" s="44"/>
      <c r="AE569">
        <v>0</v>
      </c>
      <c r="AG569">
        <v>0</v>
      </c>
    </row>
    <row r="570" spans="1:33">
      <c r="A570" s="3"/>
      <c r="B570" s="3"/>
      <c r="C570" s="3"/>
      <c r="D570" s="3"/>
      <c r="E570" s="46"/>
      <c r="F570" s="3"/>
      <c r="G570" s="3"/>
      <c r="H570" s="3"/>
      <c r="I570" s="3"/>
      <c r="J570" s="3"/>
      <c r="K570" s="3"/>
      <c r="L570" s="3"/>
      <c r="M570" s="3"/>
      <c r="N570" s="3"/>
      <c r="O570" s="3"/>
      <c r="P570" s="3"/>
      <c r="Q570" s="3"/>
      <c r="R570" s="3"/>
      <c r="S570" s="3"/>
      <c r="T570" s="3"/>
      <c r="U570" s="3"/>
      <c r="V570" s="3"/>
      <c r="W570" s="3"/>
      <c r="X570" s="44"/>
      <c r="Y570" s="44"/>
      <c r="Z570" s="44"/>
      <c r="AA570" s="154"/>
      <c r="AB570" s="44"/>
      <c r="AC570" s="3"/>
      <c r="AD570" s="44"/>
      <c r="AE570">
        <v>0</v>
      </c>
      <c r="AG570">
        <v>0</v>
      </c>
    </row>
    <row r="571" spans="1:33">
      <c r="A571" s="3"/>
      <c r="B571" s="3"/>
      <c r="C571" s="3"/>
      <c r="D571" s="3"/>
      <c r="E571" s="46"/>
      <c r="F571" s="3"/>
      <c r="G571" s="3"/>
      <c r="H571" s="3"/>
      <c r="I571" s="3"/>
      <c r="J571" s="3"/>
      <c r="K571" s="3"/>
      <c r="L571" s="3"/>
      <c r="M571" s="3"/>
      <c r="N571" s="3"/>
      <c r="O571" s="3"/>
      <c r="P571" s="3"/>
      <c r="Q571" s="3"/>
      <c r="R571" s="3"/>
      <c r="S571" s="3"/>
      <c r="T571" s="3"/>
      <c r="U571" s="3"/>
      <c r="V571" s="3"/>
      <c r="W571" s="3"/>
      <c r="X571" s="44"/>
      <c r="Y571" s="44"/>
      <c r="Z571" s="44"/>
      <c r="AA571" s="154"/>
      <c r="AB571" s="44"/>
      <c r="AC571" s="3"/>
      <c r="AD571" s="44"/>
      <c r="AE571">
        <v>0</v>
      </c>
      <c r="AG571">
        <v>0</v>
      </c>
    </row>
    <row r="572" spans="1:33">
      <c r="A572" s="3"/>
      <c r="B572" s="3"/>
      <c r="C572" s="3"/>
      <c r="D572" s="3"/>
      <c r="E572" s="46"/>
      <c r="F572" s="3"/>
      <c r="G572" s="3"/>
      <c r="H572" s="3"/>
      <c r="I572" s="3"/>
      <c r="J572" s="3"/>
      <c r="K572" s="3"/>
      <c r="L572" s="3"/>
      <c r="M572" s="3"/>
      <c r="N572" s="3"/>
      <c r="O572" s="3"/>
      <c r="P572" s="3"/>
      <c r="Q572" s="3"/>
      <c r="R572" s="3"/>
      <c r="S572" s="3"/>
      <c r="T572" s="3"/>
      <c r="U572" s="3"/>
      <c r="V572" s="3"/>
      <c r="W572" s="3"/>
      <c r="X572" s="44"/>
      <c r="Y572" s="44"/>
      <c r="Z572" s="44"/>
      <c r="AA572" s="154"/>
      <c r="AB572" s="44"/>
      <c r="AC572" s="3"/>
      <c r="AD572" s="44"/>
      <c r="AE572">
        <v>0</v>
      </c>
      <c r="AG572">
        <v>0</v>
      </c>
    </row>
    <row r="573" spans="1:33">
      <c r="A573" s="3"/>
      <c r="B573" s="3"/>
      <c r="C573" s="3"/>
      <c r="D573" s="3"/>
      <c r="E573" s="46"/>
      <c r="F573" s="3"/>
      <c r="G573" s="3"/>
      <c r="H573" s="3"/>
      <c r="I573" s="3"/>
      <c r="J573" s="3"/>
      <c r="K573" s="3"/>
      <c r="L573" s="3"/>
      <c r="M573" s="3"/>
      <c r="N573" s="3"/>
      <c r="O573" s="3"/>
      <c r="P573" s="3"/>
      <c r="Q573" s="3"/>
      <c r="R573" s="3"/>
      <c r="S573" s="3"/>
      <c r="T573" s="3"/>
      <c r="U573" s="3"/>
      <c r="V573" s="3"/>
      <c r="W573" s="3"/>
      <c r="X573" s="44"/>
      <c r="Y573" s="44"/>
      <c r="Z573" s="44"/>
      <c r="AA573" s="154"/>
      <c r="AB573" s="44"/>
      <c r="AC573" s="3"/>
      <c r="AD573" s="44"/>
      <c r="AE573">
        <v>0</v>
      </c>
      <c r="AG573">
        <v>0</v>
      </c>
    </row>
    <row r="574" spans="1:33">
      <c r="A574" s="3"/>
      <c r="B574" s="3"/>
      <c r="C574" s="3"/>
      <c r="D574" s="3"/>
      <c r="E574" s="46"/>
      <c r="F574" s="3"/>
      <c r="G574" s="3"/>
      <c r="H574" s="3"/>
      <c r="I574" s="3"/>
      <c r="J574" s="3"/>
      <c r="K574" s="3"/>
      <c r="L574" s="3"/>
      <c r="M574" s="3"/>
      <c r="N574" s="3"/>
      <c r="O574" s="3"/>
      <c r="P574" s="3"/>
      <c r="Q574" s="3"/>
      <c r="R574" s="3"/>
      <c r="S574" s="3"/>
      <c r="T574" s="3"/>
      <c r="U574" s="3"/>
      <c r="V574" s="3"/>
      <c r="W574" s="3"/>
      <c r="X574" s="44"/>
      <c r="Y574" s="44"/>
      <c r="Z574" s="44"/>
      <c r="AA574" s="154"/>
      <c r="AB574" s="44"/>
      <c r="AC574" s="3"/>
      <c r="AD574" s="44"/>
      <c r="AE574">
        <v>0</v>
      </c>
      <c r="AG574">
        <v>0</v>
      </c>
    </row>
    <row r="575" spans="1:33">
      <c r="A575" s="3"/>
      <c r="B575" s="3"/>
      <c r="C575" s="3"/>
      <c r="D575" s="3"/>
      <c r="E575" s="46"/>
      <c r="F575" s="3"/>
      <c r="G575" s="3"/>
      <c r="H575" s="3"/>
      <c r="I575" s="3"/>
      <c r="J575" s="3"/>
      <c r="K575" s="3"/>
      <c r="L575" s="3"/>
      <c r="M575" s="3"/>
      <c r="N575" s="3"/>
      <c r="O575" s="3"/>
      <c r="P575" s="3"/>
      <c r="Q575" s="3"/>
      <c r="R575" s="3"/>
      <c r="S575" s="3"/>
      <c r="T575" s="3"/>
      <c r="U575" s="3"/>
      <c r="V575" s="3"/>
      <c r="W575" s="3"/>
      <c r="X575" s="44"/>
      <c r="Y575" s="44"/>
      <c r="Z575" s="44"/>
      <c r="AA575" s="154"/>
      <c r="AB575" s="44"/>
      <c r="AC575" s="3"/>
      <c r="AD575" s="44"/>
      <c r="AE575">
        <v>0</v>
      </c>
      <c r="AG575">
        <v>0</v>
      </c>
    </row>
    <row r="576" spans="1:33">
      <c r="A576" s="3"/>
      <c r="B576" s="3"/>
      <c r="C576" s="3"/>
      <c r="D576" s="3"/>
      <c r="E576" s="46"/>
      <c r="F576" s="3"/>
      <c r="G576" s="3"/>
      <c r="H576" s="3"/>
      <c r="I576" s="3"/>
      <c r="J576" s="3"/>
      <c r="K576" s="3"/>
      <c r="L576" s="3"/>
      <c r="M576" s="3"/>
      <c r="N576" s="3"/>
      <c r="O576" s="3"/>
      <c r="P576" s="3"/>
      <c r="Q576" s="3"/>
      <c r="R576" s="3"/>
      <c r="S576" s="3"/>
      <c r="T576" s="3"/>
      <c r="U576" s="3"/>
      <c r="V576" s="3"/>
      <c r="W576" s="3"/>
      <c r="X576" s="44"/>
      <c r="Y576" s="44"/>
      <c r="Z576" s="44"/>
      <c r="AA576" s="154"/>
      <c r="AB576" s="44"/>
      <c r="AC576" s="3"/>
      <c r="AD576" s="44"/>
      <c r="AE576">
        <v>0</v>
      </c>
      <c r="AG576">
        <v>0</v>
      </c>
    </row>
    <row r="577" spans="1:33">
      <c r="A577" s="3"/>
      <c r="B577" s="3"/>
      <c r="C577" s="3"/>
      <c r="D577" s="3"/>
      <c r="E577" s="46"/>
      <c r="F577" s="3"/>
      <c r="G577" s="3"/>
      <c r="H577" s="3"/>
      <c r="I577" s="3"/>
      <c r="J577" s="3"/>
      <c r="K577" s="3"/>
      <c r="L577" s="3"/>
      <c r="M577" s="3"/>
      <c r="N577" s="3"/>
      <c r="O577" s="3"/>
      <c r="P577" s="3"/>
      <c r="Q577" s="3"/>
      <c r="R577" s="3"/>
      <c r="S577" s="3"/>
      <c r="T577" s="3"/>
      <c r="U577" s="3"/>
      <c r="V577" s="3"/>
      <c r="W577" s="3"/>
      <c r="X577" s="44"/>
      <c r="Y577" s="44"/>
      <c r="Z577" s="44"/>
      <c r="AA577" s="154"/>
      <c r="AB577" s="44"/>
      <c r="AC577" s="3"/>
      <c r="AD577" s="44"/>
      <c r="AE577">
        <v>0</v>
      </c>
      <c r="AG577">
        <v>0</v>
      </c>
    </row>
    <row r="578" spans="1:33">
      <c r="A578" s="3"/>
      <c r="B578" s="3"/>
      <c r="C578" s="3"/>
      <c r="D578" s="3"/>
      <c r="E578" s="46"/>
      <c r="F578" s="3"/>
      <c r="G578" s="3"/>
      <c r="H578" s="3"/>
      <c r="I578" s="3"/>
      <c r="J578" s="3"/>
      <c r="K578" s="3"/>
      <c r="L578" s="3"/>
      <c r="M578" s="3"/>
      <c r="N578" s="3"/>
      <c r="O578" s="3"/>
      <c r="P578" s="3"/>
      <c r="Q578" s="3"/>
      <c r="R578" s="3"/>
      <c r="S578" s="3"/>
      <c r="T578" s="3"/>
      <c r="U578" s="3"/>
      <c r="V578" s="3"/>
      <c r="W578" s="3"/>
      <c r="X578" s="44"/>
      <c r="Y578" s="44"/>
      <c r="Z578" s="44"/>
      <c r="AA578" s="154"/>
      <c r="AB578" s="44"/>
      <c r="AC578" s="3"/>
      <c r="AD578" s="44"/>
      <c r="AE578" s="31">
        <v>4041036.52</v>
      </c>
      <c r="AG578" s="31">
        <v>4041036.52</v>
      </c>
    </row>
    <row r="579" spans="1:33">
      <c r="A579" s="3"/>
      <c r="B579" s="3"/>
      <c r="C579" s="3"/>
      <c r="D579" s="3"/>
      <c r="E579" s="44"/>
      <c r="F579" s="3"/>
      <c r="G579" s="3"/>
      <c r="H579" s="3"/>
      <c r="I579" s="3"/>
      <c r="J579" s="3"/>
      <c r="K579" s="3"/>
      <c r="L579" s="3"/>
      <c r="M579" s="3"/>
      <c r="N579" s="3"/>
      <c r="O579" s="3"/>
      <c r="P579" s="3"/>
      <c r="Q579" s="3"/>
      <c r="R579" s="3"/>
      <c r="S579" s="3"/>
      <c r="T579" s="3"/>
      <c r="U579" s="3"/>
      <c r="V579" s="3"/>
      <c r="W579" s="3"/>
      <c r="X579" s="44"/>
      <c r="Y579" s="44"/>
      <c r="Z579" s="44"/>
      <c r="AA579" s="154"/>
      <c r="AB579" s="44"/>
      <c r="AC579" s="3"/>
      <c r="AD579" s="44"/>
      <c r="AE579">
        <v>0</v>
      </c>
      <c r="AG579">
        <v>0</v>
      </c>
    </row>
    <row r="580" spans="1:33">
      <c r="A580" s="3"/>
      <c r="B580" s="3"/>
      <c r="C580" s="3"/>
      <c r="D580" s="3"/>
      <c r="E580" s="44"/>
      <c r="F580" s="3"/>
      <c r="G580" s="3"/>
      <c r="H580" s="3"/>
      <c r="I580" s="3"/>
      <c r="J580" s="3"/>
      <c r="K580" s="3"/>
      <c r="L580" s="3"/>
      <c r="M580" s="3"/>
      <c r="N580" s="3"/>
      <c r="O580" s="3"/>
      <c r="P580" s="3"/>
      <c r="Q580" s="3"/>
      <c r="R580" s="3"/>
      <c r="S580" s="3"/>
      <c r="T580" s="3"/>
      <c r="U580" s="3"/>
      <c r="V580" s="3"/>
      <c r="W580" s="3"/>
      <c r="X580" s="44"/>
      <c r="Y580" s="44"/>
      <c r="Z580" s="44"/>
      <c r="AA580" s="154"/>
      <c r="AB580" s="44"/>
      <c r="AC580" s="3"/>
      <c r="AD580" s="44"/>
      <c r="AE580">
        <v>0</v>
      </c>
      <c r="AG580">
        <v>0</v>
      </c>
    </row>
    <row r="581" spans="1:33">
      <c r="A581" s="3"/>
      <c r="B581" s="3"/>
      <c r="C581" s="3"/>
      <c r="D581" s="3"/>
      <c r="E581" s="44"/>
      <c r="F581" s="3"/>
      <c r="G581" s="3"/>
      <c r="H581" s="3"/>
      <c r="I581" s="3"/>
      <c r="J581" s="3"/>
      <c r="K581" s="3"/>
      <c r="L581" s="3"/>
      <c r="M581" s="3"/>
      <c r="N581" s="3"/>
      <c r="O581" s="3"/>
      <c r="P581" s="3"/>
      <c r="Q581" s="3"/>
      <c r="R581" s="3"/>
      <c r="S581" s="3"/>
      <c r="T581" s="3"/>
      <c r="U581" s="3"/>
      <c r="V581" s="3"/>
      <c r="W581" s="3"/>
      <c r="X581" s="44"/>
      <c r="Y581" s="44"/>
      <c r="Z581" s="44"/>
      <c r="AA581" s="154"/>
      <c r="AB581" s="44"/>
      <c r="AC581" s="3"/>
      <c r="AD581" s="44"/>
      <c r="AE581" s="31">
        <v>-170988.32</v>
      </c>
      <c r="AG581" s="31">
        <v>-170988.32</v>
      </c>
    </row>
    <row r="582" spans="1:33">
      <c r="A582" s="3"/>
      <c r="B582" s="3"/>
      <c r="C582" s="3"/>
      <c r="D582" s="3"/>
      <c r="E582" s="44"/>
      <c r="F582" s="3"/>
      <c r="G582" s="3"/>
      <c r="H582" s="3"/>
      <c r="I582" s="3"/>
      <c r="J582" s="3"/>
      <c r="K582" s="3"/>
      <c r="L582" s="3"/>
      <c r="M582" s="3"/>
      <c r="N582" s="3"/>
      <c r="O582" s="3"/>
      <c r="P582" s="3"/>
      <c r="Q582" s="3"/>
      <c r="R582" s="3"/>
      <c r="S582" s="3"/>
      <c r="T582" s="3"/>
      <c r="U582" s="3"/>
      <c r="V582" s="3"/>
      <c r="W582" s="3"/>
      <c r="X582" s="44"/>
      <c r="Y582" s="44"/>
      <c r="Z582" s="44"/>
      <c r="AA582" s="154"/>
      <c r="AB582" s="44"/>
      <c r="AC582" s="3"/>
      <c r="AD582" s="44"/>
      <c r="AE582" s="31">
        <v>57495</v>
      </c>
      <c r="AG582" s="31">
        <v>57495</v>
      </c>
    </row>
    <row r="583" spans="1:33">
      <c r="A583" s="3"/>
      <c r="B583" s="3"/>
      <c r="C583" s="3"/>
      <c r="D583" s="3"/>
      <c r="E583" s="44"/>
      <c r="F583" s="3"/>
      <c r="G583" s="3"/>
      <c r="H583" s="3"/>
      <c r="I583" s="3"/>
      <c r="J583" s="3"/>
      <c r="K583" s="3"/>
      <c r="L583" s="3"/>
      <c r="M583" s="3"/>
      <c r="N583" s="3"/>
      <c r="O583" s="3"/>
      <c r="P583" s="3"/>
      <c r="Q583" s="3"/>
      <c r="R583" s="3"/>
      <c r="S583" s="3"/>
      <c r="T583" s="3"/>
      <c r="U583" s="3"/>
      <c r="V583" s="3"/>
      <c r="W583" s="3"/>
      <c r="X583" s="44"/>
      <c r="Y583" s="44"/>
      <c r="Z583" s="44"/>
      <c r="AA583" s="154"/>
      <c r="AB583" s="44"/>
      <c r="AC583" s="3"/>
      <c r="AD583" s="44"/>
      <c r="AE583">
        <v>0</v>
      </c>
      <c r="AG583">
        <v>0</v>
      </c>
    </row>
    <row r="584" spans="1:33">
      <c r="A584" s="3"/>
      <c r="B584" s="3"/>
      <c r="C584" s="3"/>
      <c r="D584" s="3"/>
      <c r="E584" s="44"/>
      <c r="F584" s="3"/>
      <c r="G584" s="3"/>
      <c r="H584" s="3"/>
      <c r="I584" s="3"/>
      <c r="J584" s="3"/>
      <c r="K584" s="3"/>
      <c r="L584" s="3"/>
      <c r="M584" s="3"/>
      <c r="N584" s="3"/>
      <c r="O584" s="3"/>
      <c r="P584" s="3"/>
      <c r="Q584" s="3"/>
      <c r="R584" s="3"/>
      <c r="S584" s="3"/>
      <c r="T584" s="3"/>
      <c r="U584" s="3"/>
      <c r="V584" s="3"/>
      <c r="W584" s="3"/>
      <c r="X584" s="44"/>
      <c r="Y584" s="44"/>
      <c r="Z584" s="44"/>
      <c r="AA584" s="154"/>
      <c r="AB584" s="44"/>
      <c r="AC584" s="3"/>
      <c r="AD584" s="44"/>
      <c r="AE584">
        <v>0</v>
      </c>
      <c r="AG584">
        <v>0</v>
      </c>
    </row>
    <row r="585" spans="1:33">
      <c r="A585" s="3"/>
      <c r="B585" s="3"/>
      <c r="C585" s="3"/>
      <c r="D585" s="3"/>
      <c r="E585" s="44"/>
      <c r="F585" s="3"/>
      <c r="G585" s="3"/>
      <c r="H585" s="3"/>
      <c r="I585" s="3"/>
      <c r="J585" s="3"/>
      <c r="K585" s="3"/>
      <c r="L585" s="3"/>
      <c r="M585" s="3"/>
      <c r="N585" s="3"/>
      <c r="O585" s="3"/>
      <c r="P585" s="3"/>
      <c r="Q585" s="3"/>
      <c r="R585" s="3"/>
      <c r="S585" s="3"/>
      <c r="T585" s="3"/>
      <c r="U585" s="3"/>
      <c r="V585" s="3"/>
      <c r="W585" s="3"/>
      <c r="X585" s="44"/>
      <c r="Y585" s="44"/>
      <c r="Z585" s="44"/>
      <c r="AA585" s="154"/>
      <c r="AB585" s="44"/>
      <c r="AC585" s="3"/>
      <c r="AD585" s="44"/>
      <c r="AE585">
        <v>0</v>
      </c>
      <c r="AG585">
        <v>0</v>
      </c>
    </row>
    <row r="586" spans="1:33">
      <c r="A586" s="3"/>
      <c r="B586" s="3"/>
      <c r="C586" s="3"/>
      <c r="D586" s="3"/>
      <c r="E586" s="44"/>
      <c r="F586" s="3"/>
      <c r="G586" s="3"/>
      <c r="H586" s="3"/>
      <c r="I586" s="3"/>
      <c r="J586" s="3"/>
      <c r="K586" s="3"/>
      <c r="L586" s="3"/>
      <c r="M586" s="3"/>
      <c r="N586" s="3"/>
      <c r="O586" s="3"/>
      <c r="P586" s="3"/>
      <c r="Q586" s="3"/>
      <c r="R586" s="3"/>
      <c r="S586" s="3"/>
      <c r="T586" s="3"/>
      <c r="U586" s="3"/>
      <c r="V586" s="3"/>
      <c r="W586" s="3"/>
      <c r="X586" s="44"/>
      <c r="Y586" s="44"/>
      <c r="Z586" s="44"/>
      <c r="AA586" s="154"/>
      <c r="AB586" s="44"/>
      <c r="AC586" s="3"/>
      <c r="AD586" s="44"/>
      <c r="AE586" s="31">
        <v>312201.3</v>
      </c>
      <c r="AG586" s="31">
        <v>312201.3</v>
      </c>
    </row>
    <row r="587" spans="1:33">
      <c r="A587" s="3"/>
      <c r="B587" s="3"/>
      <c r="C587" s="3"/>
      <c r="D587" s="3"/>
      <c r="E587" s="44"/>
      <c r="F587" s="3"/>
      <c r="G587" s="3"/>
      <c r="H587" s="3"/>
      <c r="I587" s="3"/>
      <c r="J587" s="3"/>
      <c r="K587" s="3"/>
      <c r="L587" s="3"/>
      <c r="M587" s="3"/>
      <c r="N587" s="3"/>
      <c r="O587" s="3"/>
      <c r="P587" s="3"/>
      <c r="Q587" s="3"/>
      <c r="R587" s="3"/>
      <c r="S587" s="3"/>
      <c r="T587" s="3"/>
      <c r="U587" s="3"/>
      <c r="V587" s="3"/>
      <c r="W587" s="3"/>
      <c r="X587" s="44"/>
      <c r="Y587" s="44"/>
      <c r="Z587" s="44"/>
      <c r="AA587" s="154"/>
      <c r="AB587" s="44"/>
      <c r="AC587" s="3"/>
      <c r="AD587" s="44"/>
      <c r="AE587">
        <v>0</v>
      </c>
      <c r="AG587">
        <v>0</v>
      </c>
    </row>
    <row r="588" spans="1:33">
      <c r="A588" s="3"/>
      <c r="B588" s="3"/>
      <c r="C588" s="3"/>
      <c r="D588" s="3"/>
      <c r="E588" s="44"/>
      <c r="F588" s="3"/>
      <c r="G588" s="3"/>
      <c r="H588" s="3"/>
      <c r="I588" s="3"/>
      <c r="J588" s="3"/>
      <c r="K588" s="3"/>
      <c r="L588" s="3"/>
      <c r="M588" s="3"/>
      <c r="N588" s="3"/>
      <c r="O588" s="3"/>
      <c r="P588" s="3"/>
      <c r="Q588" s="3"/>
      <c r="R588" s="3"/>
      <c r="S588" s="3"/>
      <c r="T588" s="3"/>
      <c r="U588" s="3"/>
      <c r="V588" s="3"/>
      <c r="W588" s="3"/>
      <c r="X588" s="44"/>
      <c r="Y588" s="44"/>
      <c r="Z588" s="44"/>
      <c r="AA588" s="154"/>
      <c r="AB588" s="44"/>
      <c r="AC588" s="3"/>
      <c r="AD588" s="44"/>
      <c r="AE588">
        <v>0</v>
      </c>
      <c r="AG588">
        <v>0</v>
      </c>
    </row>
    <row r="589" spans="1:33">
      <c r="A589" s="3"/>
      <c r="B589" s="3"/>
      <c r="C589" s="3"/>
      <c r="D589" s="3"/>
      <c r="E589" s="44"/>
      <c r="F589" s="3"/>
      <c r="G589" s="3"/>
      <c r="H589" s="3"/>
      <c r="I589" s="3"/>
      <c r="J589" s="3"/>
      <c r="K589" s="3"/>
      <c r="L589" s="3"/>
      <c r="M589" s="3"/>
      <c r="N589" s="3"/>
      <c r="O589" s="3"/>
      <c r="P589" s="3"/>
      <c r="Q589" s="3"/>
      <c r="R589" s="3"/>
      <c r="S589" s="3"/>
      <c r="T589" s="3"/>
      <c r="U589" s="3"/>
      <c r="V589" s="3"/>
      <c r="W589" s="3"/>
      <c r="X589" s="44"/>
      <c r="Y589" s="44"/>
      <c r="Z589" s="44"/>
      <c r="AA589" s="154"/>
      <c r="AB589" s="44"/>
      <c r="AC589" s="3"/>
      <c r="AD589" s="44"/>
      <c r="AE589">
        <v>0</v>
      </c>
      <c r="AG589">
        <v>0</v>
      </c>
    </row>
    <row r="590" spans="1:33">
      <c r="A590" s="3"/>
      <c r="B590" s="3"/>
      <c r="C590" s="3"/>
      <c r="D590" s="3"/>
      <c r="E590" s="44"/>
      <c r="F590" s="3"/>
      <c r="G590" s="3"/>
      <c r="H590" s="3"/>
      <c r="I590" s="3"/>
      <c r="J590" s="3"/>
      <c r="K590" s="3"/>
      <c r="L590" s="3"/>
      <c r="M590" s="3"/>
      <c r="N590" s="3"/>
      <c r="O590" s="3"/>
      <c r="P590" s="3"/>
      <c r="Q590" s="3"/>
      <c r="R590" s="3"/>
      <c r="S590" s="3"/>
      <c r="T590" s="3"/>
      <c r="U590" s="3"/>
      <c r="V590" s="3"/>
      <c r="W590" s="3"/>
      <c r="X590" s="44"/>
      <c r="Y590" s="44"/>
      <c r="Z590" s="44"/>
      <c r="AA590" s="154"/>
      <c r="AB590" s="44"/>
      <c r="AC590" s="3"/>
      <c r="AD590" s="44"/>
      <c r="AE590">
        <v>0</v>
      </c>
      <c r="AG590">
        <v>0</v>
      </c>
    </row>
    <row r="591" spans="1:33">
      <c r="A591" s="3"/>
      <c r="B591" s="3"/>
      <c r="C591" s="3"/>
      <c r="D591" s="3"/>
      <c r="E591" s="44"/>
      <c r="F591" s="3"/>
      <c r="G591" s="3"/>
      <c r="H591" s="3"/>
      <c r="I591" s="3"/>
      <c r="J591" s="3"/>
      <c r="K591" s="3"/>
      <c r="L591" s="3"/>
      <c r="M591" s="3"/>
      <c r="N591" s="3"/>
      <c r="O591" s="3"/>
      <c r="P591" s="3"/>
      <c r="Q591" s="3"/>
      <c r="R591" s="3"/>
      <c r="S591" s="3"/>
      <c r="T591" s="3"/>
      <c r="U591" s="3"/>
      <c r="V591" s="3"/>
      <c r="W591" s="3"/>
      <c r="X591" s="44"/>
      <c r="Y591" s="44"/>
      <c r="Z591" s="44"/>
      <c r="AA591" s="154"/>
      <c r="AB591" s="44"/>
      <c r="AC591" s="3"/>
      <c r="AD591" s="44"/>
      <c r="AE591">
        <v>0</v>
      </c>
      <c r="AG591">
        <v>0</v>
      </c>
    </row>
    <row r="592" spans="1:33">
      <c r="A592" s="3"/>
      <c r="B592" s="3"/>
      <c r="C592" s="3"/>
      <c r="D592" s="3"/>
      <c r="E592" s="44"/>
      <c r="F592" s="3"/>
      <c r="G592" s="3"/>
      <c r="H592" s="3"/>
      <c r="I592" s="3"/>
      <c r="J592" s="3"/>
      <c r="K592" s="3"/>
      <c r="L592" s="3"/>
      <c r="M592" s="3"/>
      <c r="N592" s="3"/>
      <c r="O592" s="3"/>
      <c r="P592" s="3"/>
      <c r="Q592" s="3"/>
      <c r="R592" s="3"/>
      <c r="S592" s="3"/>
      <c r="T592" s="3"/>
      <c r="U592" s="3"/>
      <c r="V592" s="3"/>
      <c r="W592" s="3"/>
      <c r="X592" s="44"/>
      <c r="Y592" s="44"/>
      <c r="Z592" s="44"/>
      <c r="AA592" s="154"/>
      <c r="AB592" s="44"/>
      <c r="AC592" s="3"/>
      <c r="AD592" s="44"/>
      <c r="AE592" s="31">
        <v>364811.07</v>
      </c>
      <c r="AG592" s="31">
        <v>-64750423.579999998</v>
      </c>
    </row>
    <row r="593" spans="1:33">
      <c r="A593" s="3"/>
      <c r="B593" s="3"/>
      <c r="C593" s="3"/>
      <c r="D593" s="3"/>
      <c r="E593" s="44"/>
      <c r="F593" s="3"/>
      <c r="G593" s="3"/>
      <c r="H593" s="3"/>
      <c r="I593" s="3"/>
      <c r="J593" s="3"/>
      <c r="K593" s="3"/>
      <c r="L593" s="3"/>
      <c r="M593" s="3"/>
      <c r="N593" s="3"/>
      <c r="O593" s="3"/>
      <c r="P593" s="3"/>
      <c r="Q593" s="3"/>
      <c r="R593" s="3"/>
      <c r="S593" s="3"/>
      <c r="T593" s="3"/>
      <c r="U593" s="3"/>
      <c r="V593" s="3"/>
      <c r="W593" s="3"/>
      <c r="X593" s="44"/>
      <c r="Y593" s="44"/>
      <c r="Z593" s="44"/>
      <c r="AA593" s="154"/>
      <c r="AB593" s="44"/>
      <c r="AC593" s="3"/>
      <c r="AD593" s="44"/>
      <c r="AE593">
        <v>0</v>
      </c>
      <c r="AG593">
        <v>0</v>
      </c>
    </row>
    <row r="594" spans="1:33">
      <c r="A594" s="3"/>
      <c r="B594" s="3"/>
      <c r="C594" s="3"/>
      <c r="D594" s="3"/>
      <c r="E594" s="44"/>
      <c r="F594" s="3"/>
      <c r="G594" s="3"/>
      <c r="H594" s="3"/>
      <c r="I594" s="3"/>
      <c r="J594" s="3"/>
      <c r="K594" s="3"/>
      <c r="L594" s="3"/>
      <c r="M594" s="3"/>
      <c r="N594" s="3"/>
      <c r="O594" s="3"/>
      <c r="P594" s="3"/>
      <c r="Q594" s="3"/>
      <c r="R594" s="3"/>
      <c r="S594" s="3"/>
      <c r="T594" s="3"/>
      <c r="U594" s="3"/>
      <c r="V594" s="3"/>
      <c r="W594" s="3"/>
      <c r="X594" s="44"/>
      <c r="Y594" s="44"/>
      <c r="Z594" s="44"/>
      <c r="AA594" s="154"/>
      <c r="AB594" s="44"/>
      <c r="AC594" s="3"/>
      <c r="AD594" s="44"/>
      <c r="AE594">
        <v>0</v>
      </c>
      <c r="AG594">
        <v>0</v>
      </c>
    </row>
    <row r="595" spans="1:33">
      <c r="A595" s="3"/>
      <c r="B595" s="3"/>
      <c r="C595" s="3"/>
      <c r="D595" s="3"/>
      <c r="E595" s="44"/>
      <c r="F595" s="3"/>
      <c r="G595" s="3"/>
      <c r="H595" s="3"/>
      <c r="I595" s="3"/>
      <c r="J595" s="3"/>
      <c r="K595" s="3"/>
      <c r="L595" s="3"/>
      <c r="M595" s="3"/>
      <c r="N595" s="3"/>
      <c r="O595" s="3"/>
      <c r="P595" s="3"/>
      <c r="Q595" s="3"/>
      <c r="R595" s="3"/>
      <c r="S595" s="3"/>
      <c r="T595" s="3"/>
      <c r="U595" s="3"/>
      <c r="V595" s="3"/>
      <c r="W595" s="3"/>
      <c r="X595" s="44"/>
      <c r="Y595" s="44"/>
      <c r="Z595" s="44"/>
      <c r="AA595" s="154"/>
      <c r="AB595" s="44"/>
      <c r="AC595" s="3"/>
      <c r="AD595" s="44"/>
      <c r="AE595">
        <v>0</v>
      </c>
      <c r="AG595">
        <v>0</v>
      </c>
    </row>
    <row r="596" spans="1:33">
      <c r="A596" s="3"/>
      <c r="B596" s="3"/>
      <c r="C596" s="3"/>
      <c r="D596" s="3"/>
      <c r="E596" s="44"/>
      <c r="F596" s="3"/>
      <c r="G596" s="3"/>
      <c r="H596" s="3"/>
      <c r="I596" s="3"/>
      <c r="J596" s="3"/>
      <c r="K596" s="3"/>
      <c r="L596" s="3"/>
      <c r="M596" s="3"/>
      <c r="N596" s="3"/>
      <c r="O596" s="3"/>
      <c r="P596" s="3"/>
      <c r="Q596" s="3"/>
      <c r="R596" s="3"/>
      <c r="S596" s="3"/>
      <c r="T596" s="3"/>
      <c r="U596" s="3"/>
      <c r="V596" s="3"/>
      <c r="W596" s="3"/>
      <c r="X596" s="44"/>
      <c r="Y596" s="44"/>
      <c r="Z596" s="44"/>
      <c r="AA596" s="154"/>
      <c r="AB596" s="44"/>
      <c r="AC596" s="3"/>
      <c r="AD596" s="44"/>
      <c r="AE596" s="31">
        <v>79252055.700000003</v>
      </c>
      <c r="AG596" s="31">
        <v>93653567.129999995</v>
      </c>
    </row>
    <row r="597" spans="1:33">
      <c r="A597" s="3"/>
      <c r="B597" s="3"/>
      <c r="C597" s="3"/>
      <c r="D597" s="3"/>
      <c r="E597" s="44"/>
      <c r="F597" s="3"/>
      <c r="G597" s="3"/>
      <c r="H597" s="3"/>
      <c r="I597" s="3"/>
      <c r="J597" s="3"/>
      <c r="K597" s="3"/>
      <c r="L597" s="3"/>
      <c r="M597" s="3"/>
      <c r="N597" s="3"/>
      <c r="O597" s="3"/>
      <c r="P597" s="3"/>
      <c r="Q597" s="3"/>
      <c r="R597" s="3"/>
      <c r="S597" s="3"/>
      <c r="T597" s="3"/>
      <c r="U597" s="3"/>
      <c r="V597" s="3"/>
      <c r="W597" s="3"/>
      <c r="X597" s="44"/>
      <c r="Y597" s="44"/>
      <c r="Z597" s="44"/>
      <c r="AA597" s="154"/>
      <c r="AB597" s="44"/>
      <c r="AC597" s="3"/>
      <c r="AD597" s="44"/>
      <c r="AE597" s="31">
        <v>9854056.4900000002</v>
      </c>
      <c r="AG597" s="31">
        <v>17755699.609999999</v>
      </c>
    </row>
    <row r="598" spans="1:33">
      <c r="A598" s="3"/>
      <c r="B598" s="3"/>
      <c r="C598" s="46"/>
      <c r="D598" s="46"/>
      <c r="E598" s="46"/>
      <c r="F598" s="46"/>
      <c r="G598" s="46"/>
      <c r="H598" s="46"/>
      <c r="I598" s="46"/>
      <c r="J598" s="46"/>
      <c r="K598" s="46"/>
      <c r="L598" s="49"/>
      <c r="M598" s="46"/>
      <c r="N598" s="46"/>
      <c r="O598" s="46"/>
      <c r="P598" s="46"/>
      <c r="Q598" s="46"/>
      <c r="R598" s="46"/>
      <c r="S598" s="3"/>
      <c r="T598" s="3"/>
      <c r="U598" s="3"/>
      <c r="V598" s="3"/>
      <c r="W598" s="3"/>
      <c r="X598" s="44"/>
      <c r="Y598" s="45"/>
      <c r="Z598" s="44"/>
      <c r="AA598" s="154"/>
      <c r="AB598" s="44"/>
      <c r="AC598" s="46"/>
      <c r="AD598" s="44"/>
      <c r="AE598" s="31">
        <v>-25143057.190000001</v>
      </c>
      <c r="AG598" s="31">
        <v>-23477362.5</v>
      </c>
    </row>
    <row r="599" spans="1:33">
      <c r="A599" s="3"/>
      <c r="B599" s="3"/>
      <c r="C599" s="44"/>
      <c r="D599" s="44"/>
      <c r="E599" s="44"/>
      <c r="F599" s="44"/>
      <c r="G599" s="44"/>
      <c r="H599" s="44"/>
      <c r="I599" s="44"/>
      <c r="J599" s="44"/>
      <c r="K599" s="44"/>
      <c r="L599" s="44"/>
      <c r="M599" s="44"/>
      <c r="N599" s="44"/>
      <c r="O599" s="44"/>
      <c r="P599" s="44"/>
      <c r="Q599" s="44"/>
      <c r="R599" s="44"/>
      <c r="S599" s="44"/>
      <c r="T599" s="44"/>
      <c r="U599" s="44"/>
      <c r="V599" s="44"/>
      <c r="W599" s="44"/>
      <c r="X599" s="44"/>
      <c r="Y599" s="45"/>
      <c r="Z599" s="44"/>
      <c r="AA599" s="154"/>
      <c r="AB599" s="44"/>
      <c r="AC599" s="44"/>
      <c r="AD599" s="44"/>
      <c r="AE599">
        <v>0</v>
      </c>
      <c r="AG599">
        <v>0</v>
      </c>
    </row>
    <row r="600" spans="1:33">
      <c r="A600" s="3"/>
      <c r="B600" s="3"/>
      <c r="C600" s="46"/>
      <c r="D600" s="46"/>
      <c r="E600" s="46"/>
      <c r="F600" s="46"/>
      <c r="G600" s="46"/>
      <c r="H600" s="44"/>
      <c r="I600" s="46"/>
      <c r="J600" s="36"/>
      <c r="K600" s="46"/>
      <c r="L600" s="3"/>
      <c r="M600" s="46"/>
      <c r="N600" s="46"/>
      <c r="O600" s="46"/>
      <c r="P600" s="46"/>
      <c r="Q600" s="46"/>
      <c r="R600" s="46"/>
      <c r="S600" s="3"/>
      <c r="T600" s="3"/>
      <c r="U600" s="3"/>
      <c r="V600" s="3"/>
      <c r="W600" s="3"/>
      <c r="X600" s="44"/>
      <c r="Y600" s="45"/>
      <c r="Z600" s="44"/>
      <c r="AA600" s="154"/>
      <c r="AB600" s="44"/>
      <c r="AC600" s="46"/>
      <c r="AD600" s="44"/>
      <c r="AE600" s="31">
        <v>388109731.69</v>
      </c>
      <c r="AG600" s="31">
        <v>789887583.27999997</v>
      </c>
    </row>
    <row r="601" spans="1:33">
      <c r="A601" s="44"/>
      <c r="B601" s="44"/>
      <c r="C601" s="44"/>
      <c r="D601" s="44"/>
      <c r="E601" s="44"/>
      <c r="F601" s="44"/>
      <c r="G601" s="44"/>
      <c r="H601" s="44"/>
      <c r="I601" s="44"/>
      <c r="J601" s="26"/>
      <c r="K601" s="44"/>
      <c r="L601" s="44"/>
      <c r="M601" s="44"/>
      <c r="N601" s="44"/>
      <c r="O601" s="44"/>
      <c r="P601" s="44"/>
      <c r="Q601" s="44"/>
      <c r="R601" s="44"/>
      <c r="S601" s="44"/>
      <c r="T601" s="44"/>
      <c r="U601" s="44"/>
      <c r="V601" s="44"/>
      <c r="W601" s="44"/>
      <c r="X601" s="44"/>
      <c r="Y601" s="45"/>
      <c r="Z601" s="44"/>
      <c r="AA601" s="154"/>
      <c r="AB601" s="44"/>
      <c r="AC601" s="44"/>
      <c r="AD601" s="44"/>
      <c r="AE601">
        <v>0</v>
      </c>
      <c r="AG601">
        <v>0</v>
      </c>
    </row>
    <row r="602" spans="1:33">
      <c r="A602" s="44"/>
      <c r="B602" s="44"/>
      <c r="C602" s="44"/>
      <c r="D602" s="44"/>
      <c r="E602" s="44"/>
      <c r="F602" s="44"/>
      <c r="G602" s="44"/>
      <c r="H602" s="44"/>
      <c r="I602" s="44"/>
      <c r="J602" s="81"/>
      <c r="K602" s="44"/>
      <c r="L602" s="44"/>
      <c r="M602" s="44"/>
      <c r="N602" s="44"/>
      <c r="O602" s="44"/>
      <c r="P602" s="44"/>
      <c r="Q602" s="44"/>
      <c r="R602" s="44"/>
      <c r="S602" s="44"/>
      <c r="T602" s="44"/>
      <c r="U602" s="44"/>
      <c r="V602" s="82"/>
      <c r="W602" s="44"/>
      <c r="X602" s="44"/>
      <c r="Y602" s="45"/>
      <c r="Z602" s="44"/>
      <c r="AA602" s="154"/>
      <c r="AB602" s="44"/>
      <c r="AC602" s="44"/>
      <c r="AD602" s="44"/>
      <c r="AE602">
        <v>0</v>
      </c>
      <c r="AG602">
        <v>0</v>
      </c>
    </row>
    <row r="603" spans="1:33">
      <c r="A603" s="44"/>
      <c r="B603" s="44"/>
      <c r="C603" s="44"/>
      <c r="D603" s="44"/>
      <c r="E603" s="44"/>
      <c r="F603" s="44"/>
      <c r="G603" s="44"/>
      <c r="H603" s="44"/>
      <c r="I603" s="44"/>
      <c r="J603" s="81"/>
      <c r="K603" s="44"/>
      <c r="L603" s="44"/>
      <c r="M603" s="44"/>
      <c r="N603" s="44"/>
      <c r="O603" s="44"/>
      <c r="P603" s="44"/>
      <c r="Q603" s="44"/>
      <c r="R603" s="44"/>
      <c r="S603" s="44"/>
      <c r="T603" s="44"/>
      <c r="U603" s="44"/>
      <c r="V603" s="44"/>
      <c r="W603" s="44"/>
      <c r="X603" s="44"/>
      <c r="Y603" s="45"/>
      <c r="Z603" s="44"/>
      <c r="AA603" s="154"/>
      <c r="AB603" s="44"/>
      <c r="AC603" s="44"/>
      <c r="AD603" s="44"/>
      <c r="AE603">
        <v>0</v>
      </c>
      <c r="AG603">
        <v>0</v>
      </c>
    </row>
    <row r="604" spans="1:33">
      <c r="A604" s="44"/>
      <c r="B604" s="44"/>
      <c r="C604" s="44"/>
      <c r="D604" s="44"/>
      <c r="E604" s="44"/>
      <c r="F604" s="44"/>
      <c r="G604" s="44"/>
      <c r="H604" s="44"/>
      <c r="I604" s="44"/>
      <c r="J604" s="44"/>
      <c r="K604" s="44"/>
      <c r="L604" s="44"/>
      <c r="M604" s="44"/>
      <c r="N604" s="44"/>
      <c r="O604" s="44"/>
      <c r="P604" s="44"/>
      <c r="Q604" s="44"/>
      <c r="R604" s="44"/>
      <c r="S604" s="44"/>
      <c r="T604" s="44"/>
      <c r="U604" s="44"/>
      <c r="V604" s="44"/>
      <c r="W604" s="83"/>
      <c r="X604" s="44"/>
      <c r="Y604" s="45"/>
      <c r="Z604" s="44"/>
      <c r="AA604" s="154"/>
      <c r="AB604" s="44"/>
      <c r="AC604" s="44"/>
      <c r="AD604" s="44"/>
      <c r="AE604" s="31">
        <v>4227699.2</v>
      </c>
      <c r="AG604" s="31">
        <v>5269629.96</v>
      </c>
    </row>
    <row r="605" spans="1:33">
      <c r="A605" s="44"/>
      <c r="B605" s="44"/>
      <c r="C605" s="44"/>
      <c r="D605" s="44"/>
      <c r="E605" s="44"/>
      <c r="F605" s="44"/>
      <c r="G605" s="44"/>
      <c r="H605" s="44"/>
      <c r="I605" s="44"/>
      <c r="J605" s="44"/>
      <c r="K605" s="44"/>
      <c r="L605" s="44"/>
      <c r="M605" s="44"/>
      <c r="N605" s="44"/>
      <c r="O605" s="44"/>
      <c r="P605" s="44"/>
      <c r="Q605" s="44"/>
      <c r="R605" s="44"/>
      <c r="S605" s="44"/>
      <c r="T605" s="44"/>
      <c r="U605" s="44"/>
      <c r="V605" s="44"/>
      <c r="W605" s="83"/>
      <c r="X605" s="44"/>
      <c r="Y605" s="45"/>
      <c r="Z605" s="84"/>
      <c r="AA605" s="154"/>
      <c r="AB605" s="44"/>
      <c r="AC605" s="44"/>
      <c r="AD605" s="44"/>
      <c r="AE605">
        <v>0</v>
      </c>
      <c r="AG605">
        <v>0</v>
      </c>
    </row>
    <row r="606" spans="1:33">
      <c r="A606" s="44"/>
      <c r="B606" s="44"/>
      <c r="C606" s="44"/>
      <c r="D606" s="44"/>
      <c r="E606" s="44"/>
      <c r="F606" s="44"/>
      <c r="G606" s="44"/>
      <c r="H606" s="44"/>
      <c r="I606" s="44"/>
      <c r="J606" s="44"/>
      <c r="K606" s="44"/>
      <c r="L606" s="44"/>
      <c r="M606" s="44"/>
      <c r="N606" s="44"/>
      <c r="O606" s="44"/>
      <c r="P606" s="44"/>
      <c r="Q606" s="44"/>
      <c r="R606" s="44"/>
      <c r="S606" s="44"/>
      <c r="T606" s="44"/>
      <c r="U606" s="44"/>
      <c r="V606" s="82"/>
      <c r="W606" s="46"/>
      <c r="X606" s="44"/>
      <c r="Y606" s="45"/>
      <c r="Z606" s="44"/>
      <c r="AA606" s="154"/>
      <c r="AB606" s="44"/>
      <c r="AC606" s="44"/>
      <c r="AD606" s="44"/>
      <c r="AE606">
        <v>0</v>
      </c>
      <c r="AG606">
        <v>0</v>
      </c>
    </row>
    <row r="607" spans="1:33">
      <c r="A607" s="44"/>
      <c r="B607" s="44"/>
      <c r="C607" s="44"/>
      <c r="D607" s="44"/>
      <c r="E607" s="44"/>
      <c r="F607" s="44"/>
      <c r="G607" s="44"/>
      <c r="H607" s="44"/>
      <c r="I607" s="44"/>
      <c r="J607" s="44"/>
      <c r="K607" s="44"/>
      <c r="L607" s="44"/>
      <c r="M607" s="44"/>
      <c r="N607" s="44"/>
      <c r="O607" s="44"/>
      <c r="P607" s="44"/>
      <c r="Q607" s="44"/>
      <c r="R607" s="44"/>
      <c r="S607" s="44"/>
      <c r="T607" s="44"/>
      <c r="U607" s="44"/>
      <c r="V607" s="44"/>
      <c r="W607" s="44"/>
      <c r="X607" s="44"/>
      <c r="Y607" s="45"/>
      <c r="Z607" s="44"/>
      <c r="AA607" s="154"/>
      <c r="AB607" s="44"/>
      <c r="AC607" s="44"/>
      <c r="AD607" s="44"/>
      <c r="AE607">
        <v>0</v>
      </c>
      <c r="AG607">
        <v>0</v>
      </c>
    </row>
    <row r="608" spans="1:33">
      <c r="A608" s="44"/>
      <c r="B608" s="44"/>
      <c r="C608" s="44"/>
      <c r="D608" s="44"/>
      <c r="E608" s="44"/>
      <c r="F608" s="44"/>
      <c r="G608" s="44"/>
      <c r="H608" s="44"/>
      <c r="I608" s="44"/>
      <c r="J608" s="44"/>
      <c r="K608" s="44"/>
      <c r="L608" s="44"/>
      <c r="M608" s="44"/>
      <c r="N608" s="44"/>
      <c r="O608" s="44"/>
      <c r="P608" s="44"/>
      <c r="Q608" s="44"/>
      <c r="R608" s="44"/>
      <c r="S608" s="44"/>
      <c r="T608" s="44"/>
      <c r="U608" s="44"/>
      <c r="V608" s="44"/>
      <c r="W608" s="44"/>
      <c r="X608" s="44"/>
      <c r="Y608" s="45"/>
      <c r="Z608" s="44"/>
      <c r="AA608" s="154"/>
      <c r="AB608" s="44"/>
      <c r="AC608" s="44"/>
      <c r="AD608" s="44"/>
      <c r="AE608">
        <v>0</v>
      </c>
      <c r="AG608">
        <v>0</v>
      </c>
    </row>
    <row r="609" spans="1:33">
      <c r="A609" s="44"/>
      <c r="B609" s="44"/>
      <c r="C609" s="44"/>
      <c r="D609" s="44"/>
      <c r="E609" s="44"/>
      <c r="F609" s="44"/>
      <c r="G609" s="44"/>
      <c r="H609" s="44"/>
      <c r="I609" s="44"/>
      <c r="J609" s="44"/>
      <c r="K609" s="44"/>
      <c r="L609" s="44"/>
      <c r="M609" s="44"/>
      <c r="N609" s="44"/>
      <c r="O609" s="44"/>
      <c r="P609" s="44"/>
      <c r="Q609" s="44"/>
      <c r="R609" s="44"/>
      <c r="S609" s="44"/>
      <c r="T609" s="44"/>
      <c r="U609" s="44"/>
      <c r="V609" s="44"/>
      <c r="W609" s="44"/>
      <c r="X609" s="44"/>
      <c r="Y609" s="45"/>
      <c r="Z609" s="44"/>
      <c r="AA609" s="154"/>
      <c r="AB609" s="44"/>
      <c r="AC609" s="44"/>
      <c r="AD609" s="44"/>
      <c r="AE609">
        <v>0</v>
      </c>
      <c r="AG609">
        <v>0</v>
      </c>
    </row>
    <row r="610" spans="1:33">
      <c r="AE610">
        <v>0</v>
      </c>
      <c r="AG610">
        <v>0</v>
      </c>
    </row>
    <row r="611" spans="1:33">
      <c r="AE611">
        <v>0</v>
      </c>
      <c r="AG611">
        <v>0</v>
      </c>
    </row>
    <row r="612" spans="1:33">
      <c r="AE612" s="31">
        <v>3898345.15</v>
      </c>
      <c r="AG612" s="31">
        <v>5426877.6399999997</v>
      </c>
    </row>
    <row r="613" spans="1:33">
      <c r="AE613" s="31">
        <v>8042722.4699999997</v>
      </c>
      <c r="AG613" s="31">
        <v>11028594.550000001</v>
      </c>
    </row>
    <row r="614" spans="1:33">
      <c r="AE614" s="31">
        <v>3297775.84</v>
      </c>
      <c r="AG614" s="31">
        <v>3605444.39</v>
      </c>
    </row>
    <row r="615" spans="1:33">
      <c r="AE615">
        <v>0</v>
      </c>
      <c r="AG615">
        <v>0</v>
      </c>
    </row>
    <row r="616" spans="1:33">
      <c r="AE616" s="31">
        <v>1224446.3600000001</v>
      </c>
      <c r="AG616" s="31">
        <v>1067660.18</v>
      </c>
    </row>
    <row r="617" spans="1:33">
      <c r="AE617">
        <v>0</v>
      </c>
      <c r="AG617">
        <v>0</v>
      </c>
    </row>
    <row r="618" spans="1:33">
      <c r="AE618">
        <v>0</v>
      </c>
      <c r="AG618">
        <v>0</v>
      </c>
    </row>
    <row r="619" spans="1:33">
      <c r="AE619">
        <v>0</v>
      </c>
      <c r="AG619">
        <v>0</v>
      </c>
    </row>
    <row r="620" spans="1:33">
      <c r="AE620">
        <v>0</v>
      </c>
      <c r="AG620" s="31">
        <v>-11666.32</v>
      </c>
    </row>
    <row r="621" spans="1:33">
      <c r="AE621" s="31">
        <v>34444421.890000001</v>
      </c>
      <c r="AG621" s="31">
        <v>33497216.510000002</v>
      </c>
    </row>
    <row r="622" spans="1:33">
      <c r="AE622" s="31">
        <v>10349.35</v>
      </c>
      <c r="AG622" s="31">
        <v>11858.37</v>
      </c>
    </row>
    <row r="623" spans="1:33">
      <c r="AE623" s="31">
        <v>2683512.64</v>
      </c>
      <c r="AG623" s="31">
        <v>29012595.149999999</v>
      </c>
    </row>
    <row r="624" spans="1:33">
      <c r="AE624">
        <v>0</v>
      </c>
      <c r="AG624">
        <v>0</v>
      </c>
    </row>
    <row r="625" spans="31:33">
      <c r="AE625" s="31">
        <v>1858827.15</v>
      </c>
      <c r="AG625" s="31">
        <v>8076178.2599999998</v>
      </c>
    </row>
    <row r="626" spans="31:33">
      <c r="AE626">
        <v>0</v>
      </c>
      <c r="AG626">
        <v>0</v>
      </c>
    </row>
    <row r="627" spans="31:33">
      <c r="AE627">
        <v>0</v>
      </c>
      <c r="AG627">
        <v>0</v>
      </c>
    </row>
    <row r="628" spans="31:33">
      <c r="AE628">
        <v>0</v>
      </c>
      <c r="AG628">
        <v>0</v>
      </c>
    </row>
    <row r="629" spans="31:33">
      <c r="AE629">
        <v>0</v>
      </c>
      <c r="AG629">
        <v>0</v>
      </c>
    </row>
    <row r="630" spans="31:33">
      <c r="AE630" s="31">
        <v>36452.269999999997</v>
      </c>
      <c r="AG630" s="31">
        <v>24621.38</v>
      </c>
    </row>
    <row r="631" spans="31:33">
      <c r="AE631">
        <v>0</v>
      </c>
      <c r="AG631">
        <v>0</v>
      </c>
    </row>
    <row r="632" spans="31:33">
      <c r="AE632">
        <v>0</v>
      </c>
      <c r="AG632">
        <v>0</v>
      </c>
    </row>
    <row r="633" spans="31:33">
      <c r="AE633" s="31">
        <v>197989608.59999999</v>
      </c>
      <c r="AG633" s="31">
        <v>169778291.62</v>
      </c>
    </row>
    <row r="634" spans="31:33">
      <c r="AE634" s="31">
        <v>7365.16</v>
      </c>
      <c r="AG634" s="31">
        <v>7365.16</v>
      </c>
    </row>
    <row r="635" spans="31:33">
      <c r="AE635">
        <v>0</v>
      </c>
      <c r="AG635">
        <v>0</v>
      </c>
    </row>
    <row r="636" spans="31:33">
      <c r="AE636">
        <v>0</v>
      </c>
      <c r="AG636">
        <v>0</v>
      </c>
    </row>
    <row r="637" spans="31:33">
      <c r="AE637" s="31">
        <v>195203541.53999999</v>
      </c>
      <c r="AG637" s="31">
        <v>223451355.68000001</v>
      </c>
    </row>
    <row r="638" spans="31:33">
      <c r="AE638">
        <v>0</v>
      </c>
      <c r="AG638">
        <v>0</v>
      </c>
    </row>
    <row r="639" spans="31:33">
      <c r="AE639" s="31">
        <v>672155553.67999995</v>
      </c>
      <c r="AG639" s="31">
        <v>236180276.75999999</v>
      </c>
    </row>
    <row r="640" spans="31:33">
      <c r="AE640">
        <v>0</v>
      </c>
      <c r="AG640">
        <v>0</v>
      </c>
    </row>
    <row r="641" spans="31:33">
      <c r="AE641" s="31">
        <v>-2669384.15</v>
      </c>
      <c r="AG641" s="31">
        <v>-2669384.15</v>
      </c>
    </row>
    <row r="642" spans="31:33">
      <c r="AE642">
        <v>0</v>
      </c>
      <c r="AG642">
        <v>0</v>
      </c>
    </row>
    <row r="643" spans="31:33">
      <c r="AE643">
        <v>0</v>
      </c>
      <c r="AG643">
        <v>0</v>
      </c>
    </row>
    <row r="644" spans="31:33">
      <c r="AE644">
        <v>0</v>
      </c>
      <c r="AG644">
        <v>0</v>
      </c>
    </row>
    <row r="645" spans="31:33">
      <c r="AE645" s="31">
        <v>41419124.130000003</v>
      </c>
      <c r="AG645" s="31">
        <v>41419124.130000003</v>
      </c>
    </row>
    <row r="646" spans="31:33">
      <c r="AE646">
        <v>0</v>
      </c>
      <c r="AG646">
        <v>0</v>
      </c>
    </row>
    <row r="647" spans="31:33">
      <c r="AE647">
        <v>0</v>
      </c>
      <c r="AG647">
        <v>0</v>
      </c>
    </row>
    <row r="648" spans="31:33">
      <c r="AE648">
        <v>0</v>
      </c>
      <c r="AG648">
        <v>0</v>
      </c>
    </row>
    <row r="649" spans="31:33">
      <c r="AE649">
        <v>0</v>
      </c>
      <c r="AG649">
        <v>0</v>
      </c>
    </row>
    <row r="650" spans="31:33">
      <c r="AE650">
        <v>0</v>
      </c>
      <c r="AG650">
        <v>0</v>
      </c>
    </row>
    <row r="651" spans="31:33">
      <c r="AE651">
        <v>0</v>
      </c>
      <c r="AG651">
        <v>0</v>
      </c>
    </row>
    <row r="652" spans="31:33">
      <c r="AE652">
        <v>0</v>
      </c>
      <c r="AG652">
        <v>0</v>
      </c>
    </row>
    <row r="653" spans="31:33">
      <c r="AE653">
        <v>0</v>
      </c>
      <c r="AG653">
        <v>0</v>
      </c>
    </row>
    <row r="654" spans="31:33">
      <c r="AE654">
        <v>0</v>
      </c>
      <c r="AG654">
        <v>0</v>
      </c>
    </row>
    <row r="655" spans="31:33">
      <c r="AE655">
        <v>0</v>
      </c>
      <c r="AG655">
        <v>0</v>
      </c>
    </row>
    <row r="656" spans="31:33">
      <c r="AE656" s="31">
        <v>-24493.34</v>
      </c>
      <c r="AG656" s="31">
        <v>-24493.34</v>
      </c>
    </row>
    <row r="657" spans="31:33">
      <c r="AE657">
        <v>0</v>
      </c>
      <c r="AG657">
        <v>0</v>
      </c>
    </row>
    <row r="658" spans="31:33">
      <c r="AE658">
        <v>0</v>
      </c>
      <c r="AG658">
        <v>0</v>
      </c>
    </row>
    <row r="659" spans="31:33">
      <c r="AE659">
        <v>0</v>
      </c>
      <c r="AG659">
        <v>0</v>
      </c>
    </row>
    <row r="660" spans="31:33">
      <c r="AE660">
        <v>0</v>
      </c>
      <c r="AG660">
        <v>0</v>
      </c>
    </row>
    <row r="661" spans="31:33">
      <c r="AE661">
        <v>804.51</v>
      </c>
      <c r="AG661">
        <v>804.51</v>
      </c>
    </row>
    <row r="662" spans="31:33">
      <c r="AE662">
        <v>0</v>
      </c>
      <c r="AG662">
        <v>0</v>
      </c>
    </row>
    <row r="663" spans="31:33">
      <c r="AE663" s="31">
        <v>-2173050037.21</v>
      </c>
      <c r="AG663" s="31">
        <v>-2251980752.8099999</v>
      </c>
    </row>
    <row r="664" spans="31:33">
      <c r="AE664">
        <v>0</v>
      </c>
      <c r="AG664">
        <v>0</v>
      </c>
    </row>
    <row r="665" spans="31:33">
      <c r="AE665">
        <v>0</v>
      </c>
      <c r="AG665">
        <v>0</v>
      </c>
    </row>
    <row r="666" spans="31:33">
      <c r="AE666">
        <v>0</v>
      </c>
      <c r="AG666">
        <v>0</v>
      </c>
    </row>
    <row r="667" spans="31:33">
      <c r="AE667" s="31">
        <v>-2447790.85</v>
      </c>
      <c r="AG667" s="31">
        <v>-2447790.85</v>
      </c>
    </row>
    <row r="668" spans="31:33">
      <c r="AE668" s="31">
        <v>-49464000</v>
      </c>
      <c r="AG668" s="31">
        <v>-49464000</v>
      </c>
    </row>
    <row r="669" spans="31:33">
      <c r="AE669">
        <v>0</v>
      </c>
      <c r="AG669">
        <v>0</v>
      </c>
    </row>
    <row r="670" spans="31:33">
      <c r="AE670">
        <v>0</v>
      </c>
      <c r="AG670">
        <v>0</v>
      </c>
    </row>
    <row r="671" spans="31:33">
      <c r="AE671">
        <v>0</v>
      </c>
      <c r="AG671">
        <v>0</v>
      </c>
    </row>
    <row r="672" spans="31:33">
      <c r="AE672">
        <v>0</v>
      </c>
      <c r="AG672">
        <v>0</v>
      </c>
    </row>
    <row r="673" spans="31:33">
      <c r="AE673">
        <v>0</v>
      </c>
      <c r="AG673">
        <v>0</v>
      </c>
    </row>
    <row r="674" spans="31:33">
      <c r="AE674" s="31">
        <v>-4634955.38</v>
      </c>
      <c r="AG674" s="31">
        <v>-3758050.59</v>
      </c>
    </row>
    <row r="675" spans="31:33">
      <c r="AE675" s="31">
        <v>-104077.03</v>
      </c>
      <c r="AG675" s="31">
        <v>-104077.03</v>
      </c>
    </row>
    <row r="676" spans="31:33">
      <c r="AE676" s="31">
        <v>-3414266.76</v>
      </c>
      <c r="AG676" s="31">
        <v>-3718899.34</v>
      </c>
    </row>
    <row r="677" spans="31:33">
      <c r="AE677">
        <v>0</v>
      </c>
      <c r="AG677">
        <v>0</v>
      </c>
    </row>
    <row r="678" spans="31:33">
      <c r="AE678" s="31">
        <v>-33372555.73</v>
      </c>
      <c r="AG678" s="31">
        <v>-33709553.979999997</v>
      </c>
    </row>
    <row r="679" spans="31:33">
      <c r="AE679">
        <v>0</v>
      </c>
      <c r="AG679">
        <v>0</v>
      </c>
    </row>
    <row r="680" spans="31:33">
      <c r="AE680" s="31">
        <v>-8416429.6899999995</v>
      </c>
      <c r="AG680" s="31">
        <v>-8601415.3699999992</v>
      </c>
    </row>
    <row r="681" spans="31:33">
      <c r="AE681">
        <v>0</v>
      </c>
      <c r="AG681">
        <v>0</v>
      </c>
    </row>
    <row r="682" spans="31:33">
      <c r="AE682" s="31">
        <v>-63555808.5</v>
      </c>
      <c r="AG682" s="31">
        <v>-76152227.439999998</v>
      </c>
    </row>
    <row r="683" spans="31:33">
      <c r="AE683">
        <v>0</v>
      </c>
      <c r="AG683">
        <v>0</v>
      </c>
    </row>
    <row r="684" spans="31:33">
      <c r="AE684" s="31">
        <v>-493138390</v>
      </c>
      <c r="AG684" s="31">
        <v>-493138390</v>
      </c>
    </row>
    <row r="685" spans="31:33">
      <c r="AE685" s="31">
        <v>-16418656.560000001</v>
      </c>
      <c r="AG685" s="31">
        <v>-18256537.920000002</v>
      </c>
    </row>
    <row r="686" spans="31:33">
      <c r="AE686" s="31">
        <v>-1884503.16</v>
      </c>
      <c r="AG686" s="31">
        <v>-1829591.11</v>
      </c>
    </row>
    <row r="687" spans="31:33">
      <c r="AE687" s="31">
        <v>180661957.69999999</v>
      </c>
      <c r="AG687" s="31">
        <v>167747840.00999999</v>
      </c>
    </row>
    <row r="688" spans="31:33">
      <c r="AE688" s="31">
        <v>-24088588.059999999</v>
      </c>
      <c r="AG688" s="31">
        <v>-25514031.640000001</v>
      </c>
    </row>
    <row r="689" spans="31:33">
      <c r="AE689">
        <v>0</v>
      </c>
      <c r="AG689">
        <v>0</v>
      </c>
    </row>
    <row r="690" spans="31:33">
      <c r="AE690">
        <v>0</v>
      </c>
      <c r="AG690">
        <v>0</v>
      </c>
    </row>
    <row r="691" spans="31:33">
      <c r="AE691">
        <v>0</v>
      </c>
      <c r="AG691">
        <v>0</v>
      </c>
    </row>
    <row r="692" spans="31:33">
      <c r="AE692" s="31">
        <v>81379159.209999993</v>
      </c>
      <c r="AG692" s="31">
        <v>95278178.989999995</v>
      </c>
    </row>
    <row r="693" spans="31:33">
      <c r="AE693" s="31">
        <v>-84376710.959999993</v>
      </c>
      <c r="AG693" s="31">
        <v>-80746374.629999995</v>
      </c>
    </row>
    <row r="694" spans="31:33">
      <c r="AE694" s="31">
        <v>-2862148.66</v>
      </c>
      <c r="AG694" s="31">
        <v>-2177844.29</v>
      </c>
    </row>
    <row r="695" spans="31:33">
      <c r="AE695" s="31">
        <v>-12595639.710000001</v>
      </c>
      <c r="AG695" s="31">
        <v>-4626274.3600000003</v>
      </c>
    </row>
    <row r="696" spans="31:33">
      <c r="AE696" s="31">
        <v>-8409747.1999999993</v>
      </c>
      <c r="AG696" s="31">
        <v>-4880013.49</v>
      </c>
    </row>
    <row r="697" spans="31:33">
      <c r="AE697">
        <v>0</v>
      </c>
      <c r="AG697">
        <v>0</v>
      </c>
    </row>
    <row r="698" spans="31:33">
      <c r="AE698">
        <v>0</v>
      </c>
      <c r="AG698">
        <v>0</v>
      </c>
    </row>
    <row r="699" spans="31:33">
      <c r="AE699">
        <v>0</v>
      </c>
      <c r="AG699">
        <v>0</v>
      </c>
    </row>
    <row r="700" spans="31:33">
      <c r="AE700">
        <v>0</v>
      </c>
      <c r="AG700">
        <v>0</v>
      </c>
    </row>
    <row r="701" spans="31:33">
      <c r="AE701" s="31">
        <v>-2783.23</v>
      </c>
      <c r="AG701" s="31">
        <v>-2783.23</v>
      </c>
    </row>
    <row r="702" spans="31:33">
      <c r="AE702" s="31">
        <v>-61488948.880000003</v>
      </c>
      <c r="AG702" s="31">
        <v>-24159665.57</v>
      </c>
    </row>
    <row r="703" spans="31:33">
      <c r="AE703" s="31">
        <v>-37507967.549999997</v>
      </c>
      <c r="AG703" s="31">
        <v>-67633817.849999994</v>
      </c>
    </row>
    <row r="704" spans="31:33">
      <c r="AE704">
        <v>0</v>
      </c>
      <c r="AG704">
        <v>0</v>
      </c>
    </row>
    <row r="705" spans="31:33">
      <c r="AE705">
        <v>0</v>
      </c>
      <c r="AG705">
        <v>0</v>
      </c>
    </row>
    <row r="706" spans="31:33">
      <c r="AE706">
        <v>0</v>
      </c>
      <c r="AG706">
        <v>0</v>
      </c>
    </row>
    <row r="707" spans="31:33">
      <c r="AE707">
        <v>0</v>
      </c>
      <c r="AG707">
        <v>0</v>
      </c>
    </row>
    <row r="708" spans="31:33">
      <c r="AE708">
        <v>0</v>
      </c>
      <c r="AG708">
        <v>0</v>
      </c>
    </row>
    <row r="709" spans="31:33">
      <c r="AE709" s="31">
        <v>-102448296.81</v>
      </c>
      <c r="AG709" s="31">
        <v>-104738128.27</v>
      </c>
    </row>
    <row r="710" spans="31:33">
      <c r="AE710" s="31">
        <v>-53163635.210000001</v>
      </c>
      <c r="AG710" s="31">
        <v>-53772324.590000004</v>
      </c>
    </row>
    <row r="711" spans="31:33">
      <c r="AE711">
        <v>0</v>
      </c>
      <c r="AG711">
        <v>0</v>
      </c>
    </row>
    <row r="712" spans="31:33">
      <c r="AE712">
        <v>0</v>
      </c>
      <c r="AG712">
        <v>0</v>
      </c>
    </row>
    <row r="713" spans="31:33">
      <c r="AE713">
        <v>0</v>
      </c>
      <c r="AG713">
        <v>0</v>
      </c>
    </row>
    <row r="714" spans="31:33">
      <c r="AE714">
        <v>0</v>
      </c>
      <c r="AG714">
        <v>0</v>
      </c>
    </row>
    <row r="715" spans="31:33">
      <c r="AE715">
        <v>0</v>
      </c>
      <c r="AG715">
        <v>0</v>
      </c>
    </row>
    <row r="716" spans="31:33">
      <c r="AE716">
        <v>0</v>
      </c>
      <c r="AG716">
        <v>0</v>
      </c>
    </row>
    <row r="717" spans="31:33">
      <c r="AE717" s="31">
        <v>70021159.409999996</v>
      </c>
      <c r="AG717" s="31">
        <v>71457654.469999999</v>
      </c>
    </row>
    <row r="718" spans="31:33">
      <c r="AE718">
        <v>0</v>
      </c>
      <c r="AG718">
        <v>0</v>
      </c>
    </row>
    <row r="719" spans="31:33">
      <c r="AE719">
        <v>0</v>
      </c>
      <c r="AG719">
        <v>0</v>
      </c>
    </row>
    <row r="720" spans="31:33">
      <c r="AE720">
        <v>0</v>
      </c>
      <c r="AG720">
        <v>0</v>
      </c>
    </row>
    <row r="721" spans="31:33">
      <c r="AE721">
        <v>0</v>
      </c>
      <c r="AG721">
        <v>0</v>
      </c>
    </row>
    <row r="722" spans="31:33">
      <c r="AE722" s="31">
        <v>-98958779.75</v>
      </c>
      <c r="AG722" s="31">
        <v>-103089986.39</v>
      </c>
    </row>
    <row r="723" spans="31:33">
      <c r="AE723">
        <v>0</v>
      </c>
      <c r="AG723" s="31">
        <v>10885.39</v>
      </c>
    </row>
    <row r="724" spans="31:33">
      <c r="AE724">
        <v>0</v>
      </c>
      <c r="AG724">
        <v>0</v>
      </c>
    </row>
    <row r="725" spans="31:33">
      <c r="AE725">
        <v>0</v>
      </c>
      <c r="AG725">
        <v>0</v>
      </c>
    </row>
    <row r="726" spans="31:33">
      <c r="AE726">
        <v>0</v>
      </c>
      <c r="AG726">
        <v>0</v>
      </c>
    </row>
    <row r="727" spans="31:33">
      <c r="AE727">
        <v>0</v>
      </c>
      <c r="AG727">
        <v>0</v>
      </c>
    </row>
    <row r="728" spans="31:33">
      <c r="AE728">
        <v>0</v>
      </c>
      <c r="AG728">
        <v>0</v>
      </c>
    </row>
    <row r="729" spans="31:33">
      <c r="AE729">
        <v>0</v>
      </c>
      <c r="AG729">
        <v>0</v>
      </c>
    </row>
    <row r="730" spans="31:33">
      <c r="AE730">
        <v>0</v>
      </c>
      <c r="AG730">
        <v>0</v>
      </c>
    </row>
    <row r="731" spans="31:33">
      <c r="AE731">
        <v>0</v>
      </c>
      <c r="AG731">
        <v>0</v>
      </c>
    </row>
    <row r="732" spans="31:33">
      <c r="AE732">
        <v>0</v>
      </c>
      <c r="AG732">
        <v>0</v>
      </c>
    </row>
    <row r="733" spans="31:33">
      <c r="AE733">
        <v>0</v>
      </c>
      <c r="AG733">
        <v>0</v>
      </c>
    </row>
    <row r="734" spans="31:33">
      <c r="AE734">
        <v>0</v>
      </c>
      <c r="AG734">
        <v>0</v>
      </c>
    </row>
    <row r="735" spans="31:33">
      <c r="AE735">
        <v>0</v>
      </c>
      <c r="AG735">
        <v>0</v>
      </c>
    </row>
    <row r="736" spans="31:33">
      <c r="AE736">
        <v>0</v>
      </c>
      <c r="AG736">
        <v>0</v>
      </c>
    </row>
    <row r="737" spans="31:33">
      <c r="AE737">
        <v>0</v>
      </c>
      <c r="AG737">
        <v>0</v>
      </c>
    </row>
    <row r="738" spans="31:33">
      <c r="AE738">
        <v>0</v>
      </c>
      <c r="AG738">
        <v>0</v>
      </c>
    </row>
    <row r="739" spans="31:33">
      <c r="AE739">
        <v>0</v>
      </c>
      <c r="AG739">
        <v>0</v>
      </c>
    </row>
    <row r="740" spans="31:33">
      <c r="AE740">
        <v>0</v>
      </c>
      <c r="AG740">
        <v>0</v>
      </c>
    </row>
    <row r="741" spans="31:33">
      <c r="AE741">
        <v>0</v>
      </c>
      <c r="AG741">
        <v>0</v>
      </c>
    </row>
    <row r="742" spans="31:33">
      <c r="AE742">
        <v>0</v>
      </c>
      <c r="AG742">
        <v>0</v>
      </c>
    </row>
    <row r="743" spans="31:33">
      <c r="AE743">
        <v>0</v>
      </c>
      <c r="AG743">
        <v>0</v>
      </c>
    </row>
    <row r="744" spans="31:33">
      <c r="AE744">
        <v>0</v>
      </c>
      <c r="AG744">
        <v>0</v>
      </c>
    </row>
    <row r="745" spans="31:33">
      <c r="AE745">
        <v>0</v>
      </c>
      <c r="AG745">
        <v>0</v>
      </c>
    </row>
    <row r="746" spans="31:33">
      <c r="AE746">
        <v>0</v>
      </c>
      <c r="AG746">
        <v>0</v>
      </c>
    </row>
    <row r="747" spans="31:33">
      <c r="AE747">
        <v>0</v>
      </c>
      <c r="AG747">
        <v>0</v>
      </c>
    </row>
    <row r="748" spans="31:33">
      <c r="AE748">
        <v>0</v>
      </c>
      <c r="AG748">
        <v>0</v>
      </c>
    </row>
    <row r="749" spans="31:33">
      <c r="AE749">
        <v>0</v>
      </c>
      <c r="AG749">
        <v>0</v>
      </c>
    </row>
    <row r="750" spans="31:33">
      <c r="AE750">
        <v>0</v>
      </c>
      <c r="AG750">
        <v>0</v>
      </c>
    </row>
    <row r="751" spans="31:33">
      <c r="AE751">
        <v>0</v>
      </c>
      <c r="AG751">
        <v>0</v>
      </c>
    </row>
    <row r="752" spans="31:33">
      <c r="AE752">
        <v>0</v>
      </c>
      <c r="AG752">
        <v>0</v>
      </c>
    </row>
    <row r="753" spans="31:33">
      <c r="AE753">
        <v>0</v>
      </c>
      <c r="AG753">
        <v>0</v>
      </c>
    </row>
    <row r="754" spans="31:33">
      <c r="AE754">
        <v>0</v>
      </c>
      <c r="AG754">
        <v>0</v>
      </c>
    </row>
    <row r="755" spans="31:33">
      <c r="AE755">
        <v>0</v>
      </c>
      <c r="AG755">
        <v>0</v>
      </c>
    </row>
    <row r="756" spans="31:33">
      <c r="AE756">
        <v>0</v>
      </c>
      <c r="AG756">
        <v>0</v>
      </c>
    </row>
    <row r="757" spans="31:33">
      <c r="AE757">
        <v>0</v>
      </c>
      <c r="AG757">
        <v>0</v>
      </c>
    </row>
    <row r="758" spans="31:33">
      <c r="AE758">
        <v>0</v>
      </c>
      <c r="AG758">
        <v>0</v>
      </c>
    </row>
    <row r="759" spans="31:33">
      <c r="AE759">
        <v>0</v>
      </c>
      <c r="AG759">
        <v>0</v>
      </c>
    </row>
    <row r="760" spans="31:33">
      <c r="AE760">
        <v>0</v>
      </c>
      <c r="AG760">
        <v>0</v>
      </c>
    </row>
    <row r="761" spans="31:33">
      <c r="AE761">
        <v>0</v>
      </c>
      <c r="AG761">
        <v>0</v>
      </c>
    </row>
    <row r="762" spans="31:33">
      <c r="AE762">
        <v>0</v>
      </c>
      <c r="AG762">
        <v>0</v>
      </c>
    </row>
    <row r="763" spans="31:33">
      <c r="AE763">
        <v>0</v>
      </c>
      <c r="AG763">
        <v>0</v>
      </c>
    </row>
    <row r="764" spans="31:33">
      <c r="AE764">
        <v>0</v>
      </c>
      <c r="AG764">
        <v>0</v>
      </c>
    </row>
    <row r="765" spans="31:33">
      <c r="AE765">
        <v>0</v>
      </c>
      <c r="AG765">
        <v>0</v>
      </c>
    </row>
    <row r="766" spans="31:33">
      <c r="AE766">
        <v>0</v>
      </c>
      <c r="AG766">
        <v>0</v>
      </c>
    </row>
    <row r="767" spans="31:33">
      <c r="AE767">
        <v>0</v>
      </c>
      <c r="AG767">
        <v>0</v>
      </c>
    </row>
    <row r="768" spans="31:33">
      <c r="AE768">
        <v>0</v>
      </c>
      <c r="AG768">
        <v>0</v>
      </c>
    </row>
    <row r="769" spans="31:33">
      <c r="AE769">
        <v>0</v>
      </c>
      <c r="AG769">
        <v>0</v>
      </c>
    </row>
    <row r="770" spans="31:33">
      <c r="AE770">
        <v>0</v>
      </c>
      <c r="AG770">
        <v>0</v>
      </c>
    </row>
    <row r="771" spans="31:33">
      <c r="AE771">
        <v>0</v>
      </c>
      <c r="AG771">
        <v>0</v>
      </c>
    </row>
    <row r="772" spans="31:33">
      <c r="AE772">
        <v>0</v>
      </c>
      <c r="AG772">
        <v>0</v>
      </c>
    </row>
    <row r="773" spans="31:33">
      <c r="AE773">
        <v>0</v>
      </c>
      <c r="AG773">
        <v>0</v>
      </c>
    </row>
    <row r="774" spans="31:33">
      <c r="AE774">
        <v>0</v>
      </c>
      <c r="AG774">
        <v>0</v>
      </c>
    </row>
    <row r="775" spans="31:33">
      <c r="AE775">
        <v>0</v>
      </c>
      <c r="AG775">
        <v>0</v>
      </c>
    </row>
    <row r="776" spans="31:33">
      <c r="AE776">
        <v>0</v>
      </c>
      <c r="AG776">
        <v>0</v>
      </c>
    </row>
    <row r="777" spans="31:33">
      <c r="AE777">
        <v>0</v>
      </c>
      <c r="AG777">
        <v>0</v>
      </c>
    </row>
    <row r="778" spans="31:33">
      <c r="AE778">
        <v>0</v>
      </c>
      <c r="AG778">
        <v>0</v>
      </c>
    </row>
    <row r="779" spans="31:33">
      <c r="AE779">
        <v>0</v>
      </c>
      <c r="AG779">
        <v>0</v>
      </c>
    </row>
    <row r="780" spans="31:33">
      <c r="AE780" s="31">
        <v>-1288247.95</v>
      </c>
      <c r="AG780" s="31">
        <v>-1826546.34</v>
      </c>
    </row>
    <row r="781" spans="31:33">
      <c r="AE781" s="31">
        <v>7564683.4900000002</v>
      </c>
      <c r="AG781" s="31">
        <v>7811043.79</v>
      </c>
    </row>
    <row r="782" spans="31:33">
      <c r="AE782">
        <v>0</v>
      </c>
      <c r="AG782">
        <v>0</v>
      </c>
    </row>
    <row r="783" spans="31:33">
      <c r="AE783" s="31">
        <v>2467699.2999999998</v>
      </c>
      <c r="AG783" s="31">
        <v>2421877.77</v>
      </c>
    </row>
    <row r="784" spans="31:33">
      <c r="AE784">
        <v>0</v>
      </c>
      <c r="AG784">
        <v>0</v>
      </c>
    </row>
    <row r="785" spans="31:33">
      <c r="AE785" s="31">
        <v>274050.34000000003</v>
      </c>
      <c r="AG785" s="31">
        <v>242229.91</v>
      </c>
    </row>
    <row r="786" spans="31:33">
      <c r="AE786" s="31">
        <v>6843802.3499999996</v>
      </c>
      <c r="AG786" s="31">
        <v>6422702.6500000004</v>
      </c>
    </row>
    <row r="787" spans="31:33">
      <c r="AE787" s="31">
        <v>10013939.890000001</v>
      </c>
      <c r="AG787" s="31">
        <v>12346028.630000001</v>
      </c>
    </row>
    <row r="788" spans="31:33">
      <c r="AE788" s="31">
        <v>1468341.66</v>
      </c>
      <c r="AG788" s="31">
        <v>1371552.62</v>
      </c>
    </row>
    <row r="789" spans="31:33">
      <c r="AE789" s="31">
        <v>4068608.51</v>
      </c>
      <c r="AG789" s="31">
        <v>4296799.8499999996</v>
      </c>
    </row>
    <row r="790" spans="31:33">
      <c r="AE790" s="31">
        <v>1683939.54</v>
      </c>
      <c r="AG790" s="31">
        <v>1907311.99</v>
      </c>
    </row>
    <row r="791" spans="31:33">
      <c r="AE791" s="31">
        <v>1945547.2</v>
      </c>
      <c r="AG791" s="31">
        <v>2036364.52</v>
      </c>
    </row>
    <row r="792" spans="31:33">
      <c r="AE792" s="31">
        <v>12817915.99</v>
      </c>
      <c r="AG792" s="31">
        <v>14146567.92</v>
      </c>
    </row>
    <row r="793" spans="31:33">
      <c r="AE793" s="31">
        <v>1492734.7</v>
      </c>
      <c r="AG793" s="31">
        <v>488426.52</v>
      </c>
    </row>
    <row r="794" spans="31:33">
      <c r="AE794">
        <v>0</v>
      </c>
      <c r="AG794">
        <v>0</v>
      </c>
    </row>
    <row r="795" spans="31:33">
      <c r="AE795">
        <v>0</v>
      </c>
      <c r="AG795">
        <v>0</v>
      </c>
    </row>
    <row r="796" spans="31:33">
      <c r="AE796">
        <v>0</v>
      </c>
      <c r="AG796">
        <v>0</v>
      </c>
    </row>
    <row r="797" spans="31:33">
      <c r="AE797" s="31">
        <v>469922250.68000001</v>
      </c>
      <c r="AG797" s="31">
        <v>607964117.44000006</v>
      </c>
    </row>
    <row r="798" spans="31:33">
      <c r="AE798" s="31">
        <v>5178232.1500000004</v>
      </c>
      <c r="AG798" s="31">
        <v>5829183.9400000004</v>
      </c>
    </row>
    <row r="799" spans="31:33">
      <c r="AE799" s="31">
        <v>7516515.6299999999</v>
      </c>
      <c r="AG799" s="31">
        <v>7817224.0599999996</v>
      </c>
    </row>
    <row r="800" spans="31:33">
      <c r="AE800" s="31">
        <v>48133.5</v>
      </c>
      <c r="AG800" s="31">
        <v>14554.23</v>
      </c>
    </row>
    <row r="801" spans="31:33">
      <c r="AE801">
        <v>0</v>
      </c>
      <c r="AG801">
        <v>0</v>
      </c>
    </row>
    <row r="802" spans="31:33">
      <c r="AE802">
        <v>0</v>
      </c>
      <c r="AG802">
        <v>0</v>
      </c>
    </row>
    <row r="803" spans="31:33">
      <c r="AE803" s="31">
        <v>-7562951.6500000004</v>
      </c>
      <c r="AG803" s="31">
        <v>-7626749.4299999997</v>
      </c>
    </row>
    <row r="804" spans="31:33">
      <c r="AE804">
        <v>0</v>
      </c>
      <c r="AG804">
        <v>0</v>
      </c>
    </row>
    <row r="805" spans="31:33">
      <c r="AE805" s="31">
        <v>-10088809.91</v>
      </c>
      <c r="AG805" s="31">
        <v>-10088809.91</v>
      </c>
    </row>
    <row r="806" spans="31:33">
      <c r="AE806">
        <v>0</v>
      </c>
      <c r="AG806">
        <v>0</v>
      </c>
    </row>
    <row r="807" spans="31:33">
      <c r="AE807">
        <v>0</v>
      </c>
      <c r="AG807">
        <v>0</v>
      </c>
    </row>
    <row r="808" spans="31:33">
      <c r="AE808">
        <v>0</v>
      </c>
      <c r="AG808">
        <v>0</v>
      </c>
    </row>
    <row r="809" spans="31:33">
      <c r="AE809">
        <v>0</v>
      </c>
      <c r="AG809">
        <v>0</v>
      </c>
    </row>
    <row r="810" spans="31:33">
      <c r="AE810">
        <v>0</v>
      </c>
      <c r="AG810">
        <v>0</v>
      </c>
    </row>
    <row r="811" spans="31:33">
      <c r="AE811">
        <v>0</v>
      </c>
      <c r="AG811">
        <v>0</v>
      </c>
    </row>
    <row r="812" spans="31:33">
      <c r="AE812">
        <v>0</v>
      </c>
      <c r="AG812">
        <v>0</v>
      </c>
    </row>
    <row r="813" spans="31:33">
      <c r="AE813">
        <v>0</v>
      </c>
      <c r="AG813">
        <v>0</v>
      </c>
    </row>
    <row r="814" spans="31:33">
      <c r="AE814">
        <v>0</v>
      </c>
      <c r="AG814">
        <v>0</v>
      </c>
    </row>
    <row r="815" spans="31:33">
      <c r="AE815">
        <v>0</v>
      </c>
      <c r="AG815">
        <v>0</v>
      </c>
    </row>
    <row r="816" spans="31:33">
      <c r="AE816">
        <v>0</v>
      </c>
      <c r="AG816">
        <v>0</v>
      </c>
    </row>
    <row r="817" spans="31:33">
      <c r="AE817">
        <v>0</v>
      </c>
      <c r="AG817">
        <v>0</v>
      </c>
    </row>
    <row r="818" spans="31:33">
      <c r="AE818">
        <v>0</v>
      </c>
      <c r="AG818">
        <v>0</v>
      </c>
    </row>
    <row r="819" spans="31:33">
      <c r="AE819">
        <v>0</v>
      </c>
      <c r="AG819">
        <v>0</v>
      </c>
    </row>
    <row r="820" spans="31:33">
      <c r="AE820">
        <v>0</v>
      </c>
      <c r="AG820">
        <v>0</v>
      </c>
    </row>
    <row r="821" spans="31:33">
      <c r="AE821">
        <v>0</v>
      </c>
      <c r="AG821">
        <v>0</v>
      </c>
    </row>
    <row r="822" spans="31:33">
      <c r="AE822">
        <v>0</v>
      </c>
      <c r="AG822">
        <v>0</v>
      </c>
    </row>
    <row r="823" spans="31:33">
      <c r="AE823">
        <v>0</v>
      </c>
      <c r="AG823">
        <v>0</v>
      </c>
    </row>
    <row r="824" spans="31:33">
      <c r="AE824">
        <v>0</v>
      </c>
      <c r="AG824">
        <v>0</v>
      </c>
    </row>
    <row r="825" spans="31:33">
      <c r="AE825">
        <v>0</v>
      </c>
      <c r="AG825">
        <v>0</v>
      </c>
    </row>
    <row r="826" spans="31:33">
      <c r="AE826">
        <v>0</v>
      </c>
      <c r="AG826">
        <v>0</v>
      </c>
    </row>
    <row r="827" spans="31:33">
      <c r="AE827">
        <v>0</v>
      </c>
      <c r="AG827">
        <v>0</v>
      </c>
    </row>
    <row r="828" spans="31:33">
      <c r="AE828">
        <v>0</v>
      </c>
      <c r="AG828">
        <v>0</v>
      </c>
    </row>
    <row r="829" spans="31:33">
      <c r="AE829">
        <v>0</v>
      </c>
      <c r="AG829">
        <v>0</v>
      </c>
    </row>
    <row r="830" spans="31:33">
      <c r="AE830">
        <v>0</v>
      </c>
      <c r="AG830">
        <v>0</v>
      </c>
    </row>
    <row r="831" spans="31:33">
      <c r="AE831">
        <v>0</v>
      </c>
      <c r="AG831">
        <v>0</v>
      </c>
    </row>
    <row r="832" spans="31:33">
      <c r="AE832">
        <v>0</v>
      </c>
      <c r="AG832">
        <v>0</v>
      </c>
    </row>
    <row r="833" spans="31:33">
      <c r="AE833">
        <v>0</v>
      </c>
      <c r="AG833">
        <v>0</v>
      </c>
    </row>
    <row r="834" spans="31:33">
      <c r="AE834">
        <v>0</v>
      </c>
      <c r="AG834">
        <v>0</v>
      </c>
    </row>
    <row r="835" spans="31:33">
      <c r="AE835">
        <v>0</v>
      </c>
      <c r="AG835">
        <v>0</v>
      </c>
    </row>
    <row r="836" spans="31:33">
      <c r="AE836">
        <v>0</v>
      </c>
      <c r="AG836">
        <v>0</v>
      </c>
    </row>
    <row r="837" spans="31:33">
      <c r="AE837">
        <v>0</v>
      </c>
      <c r="AG837">
        <v>0</v>
      </c>
    </row>
    <row r="838" spans="31:33">
      <c r="AE838">
        <v>0</v>
      </c>
      <c r="AG838">
        <v>0</v>
      </c>
    </row>
    <row r="839" spans="31:33">
      <c r="AE839">
        <v>0</v>
      </c>
      <c r="AG839">
        <v>0</v>
      </c>
    </row>
    <row r="840" spans="31:33">
      <c r="AE840">
        <v>0</v>
      </c>
      <c r="AG840">
        <v>0</v>
      </c>
    </row>
    <row r="841" spans="31:33">
      <c r="AE841">
        <v>0</v>
      </c>
      <c r="AG841">
        <v>0</v>
      </c>
    </row>
    <row r="842" spans="31:33">
      <c r="AE842">
        <v>0</v>
      </c>
      <c r="AG842">
        <v>0</v>
      </c>
    </row>
    <row r="843" spans="31:33">
      <c r="AE843" s="31">
        <v>-2822056.34</v>
      </c>
      <c r="AG843" s="31">
        <v>-2822056.34</v>
      </c>
    </row>
    <row r="844" spans="31:33">
      <c r="AE844">
        <v>0</v>
      </c>
      <c r="AG844">
        <v>0</v>
      </c>
    </row>
    <row r="845" spans="31:33">
      <c r="AE845">
        <v>0</v>
      </c>
      <c r="AG845">
        <v>0</v>
      </c>
    </row>
    <row r="846" spans="31:33">
      <c r="AE846" s="31">
        <v>25563.23</v>
      </c>
      <c r="AG846" s="31">
        <v>25563.23</v>
      </c>
    </row>
    <row r="847" spans="31:33">
      <c r="AE847">
        <v>0</v>
      </c>
      <c r="AG847">
        <v>0</v>
      </c>
    </row>
    <row r="848" spans="31:33">
      <c r="AE848">
        <v>0</v>
      </c>
      <c r="AG848">
        <v>0</v>
      </c>
    </row>
    <row r="849" spans="31:33">
      <c r="AE849">
        <v>0</v>
      </c>
      <c r="AG849">
        <v>0</v>
      </c>
    </row>
    <row r="850" spans="31:33">
      <c r="AE850">
        <v>0</v>
      </c>
      <c r="AG850">
        <v>0</v>
      </c>
    </row>
    <row r="851" spans="31:33">
      <c r="AE851">
        <v>0</v>
      </c>
      <c r="AG851">
        <v>0</v>
      </c>
    </row>
    <row r="852" spans="31:33">
      <c r="AE852">
        <v>0</v>
      </c>
      <c r="AG852">
        <v>0</v>
      </c>
    </row>
    <row r="853" spans="31:33">
      <c r="AE853">
        <v>-353.03</v>
      </c>
      <c r="AG853">
        <v>-353.03</v>
      </c>
    </row>
    <row r="854" spans="31:33">
      <c r="AE854">
        <v>0</v>
      </c>
      <c r="AG854">
        <v>0</v>
      </c>
    </row>
    <row r="855" spans="31:33">
      <c r="AE855">
        <v>0</v>
      </c>
      <c r="AG855">
        <v>0</v>
      </c>
    </row>
    <row r="856" spans="31:33">
      <c r="AE856">
        <v>0</v>
      </c>
      <c r="AG856">
        <v>0</v>
      </c>
    </row>
    <row r="857" spans="31:33">
      <c r="AE857">
        <v>0</v>
      </c>
      <c r="AG857">
        <v>0</v>
      </c>
    </row>
    <row r="858" spans="31:33">
      <c r="AE858">
        <v>0</v>
      </c>
      <c r="AG858">
        <v>0</v>
      </c>
    </row>
    <row r="859" spans="31:33">
      <c r="AE859">
        <v>0</v>
      </c>
      <c r="AG859">
        <v>0</v>
      </c>
    </row>
    <row r="860" spans="31:33">
      <c r="AE860">
        <v>0</v>
      </c>
      <c r="AG860">
        <v>0</v>
      </c>
    </row>
    <row r="861" spans="31:33">
      <c r="AE861" s="31">
        <v>-1948557.92</v>
      </c>
      <c r="AG861" s="31">
        <v>-2071152.58</v>
      </c>
    </row>
    <row r="862" spans="31:33">
      <c r="AE862" s="31">
        <v>-168219.43</v>
      </c>
      <c r="AG862" s="31">
        <v>-48351.66</v>
      </c>
    </row>
    <row r="863" spans="31:33">
      <c r="AE863" s="31">
        <v>28891.83</v>
      </c>
      <c r="AG863" s="31">
        <v>22858.54</v>
      </c>
    </row>
    <row r="864" spans="31:33">
      <c r="AE864" s="31">
        <v>-14685.56</v>
      </c>
      <c r="AG864">
        <v>0</v>
      </c>
    </row>
    <row r="865" spans="31:33">
      <c r="AE865">
        <v>0</v>
      </c>
      <c r="AG865">
        <v>0</v>
      </c>
    </row>
    <row r="866" spans="31:33">
      <c r="AE866" s="31">
        <v>-115675.1</v>
      </c>
      <c r="AG866" s="31">
        <v>-2032.81</v>
      </c>
    </row>
    <row r="867" spans="31:33">
      <c r="AE867">
        <v>0</v>
      </c>
      <c r="AG867">
        <v>0</v>
      </c>
    </row>
    <row r="868" spans="31:33">
      <c r="AE868">
        <v>0</v>
      </c>
      <c r="AG868">
        <v>0</v>
      </c>
    </row>
    <row r="869" spans="31:33">
      <c r="AE869">
        <v>0</v>
      </c>
      <c r="AG869">
        <v>0</v>
      </c>
    </row>
    <row r="870" spans="31:33">
      <c r="AE870">
        <v>0</v>
      </c>
      <c r="AG870">
        <v>0</v>
      </c>
    </row>
    <row r="871" spans="31:33">
      <c r="AE871">
        <v>0</v>
      </c>
      <c r="AG871">
        <v>0</v>
      </c>
    </row>
    <row r="872" spans="31:33">
      <c r="AE872">
        <v>0</v>
      </c>
      <c r="AG872">
        <v>0</v>
      </c>
    </row>
    <row r="873" spans="31:33">
      <c r="AE873">
        <v>0</v>
      </c>
      <c r="AG873">
        <v>0</v>
      </c>
    </row>
    <row r="874" spans="31:33">
      <c r="AE874">
        <v>0</v>
      </c>
      <c r="AG874">
        <v>0</v>
      </c>
    </row>
    <row r="875" spans="31:33">
      <c r="AE875">
        <v>0</v>
      </c>
      <c r="AG875">
        <v>0</v>
      </c>
    </row>
    <row r="876" spans="31:33">
      <c r="AE876">
        <v>0</v>
      </c>
      <c r="AG876">
        <v>0</v>
      </c>
    </row>
    <row r="877" spans="31:33">
      <c r="AE877">
        <v>0</v>
      </c>
      <c r="AG877">
        <v>0</v>
      </c>
    </row>
    <row r="878" spans="31:33">
      <c r="AE878">
        <v>0</v>
      </c>
      <c r="AG878">
        <v>0</v>
      </c>
    </row>
    <row r="879" spans="31:33">
      <c r="AE879">
        <v>0</v>
      </c>
      <c r="AG879">
        <v>0</v>
      </c>
    </row>
    <row r="880" spans="31:33">
      <c r="AE880">
        <v>0</v>
      </c>
      <c r="AG880">
        <v>0</v>
      </c>
    </row>
    <row r="881" spans="31:33">
      <c r="AE881">
        <v>0</v>
      </c>
      <c r="AG881">
        <v>0</v>
      </c>
    </row>
    <row r="882" spans="31:33">
      <c r="AE882">
        <v>0</v>
      </c>
      <c r="AG882">
        <v>0</v>
      </c>
    </row>
    <row r="883" spans="31:33">
      <c r="AE883">
        <v>0</v>
      </c>
      <c r="AG883">
        <v>0</v>
      </c>
    </row>
    <row r="884" spans="31:33">
      <c r="AE884">
        <v>0</v>
      </c>
      <c r="AG884">
        <v>0</v>
      </c>
    </row>
    <row r="885" spans="31:33">
      <c r="AE885">
        <v>0</v>
      </c>
      <c r="AG885">
        <v>0</v>
      </c>
    </row>
    <row r="886" spans="31:33">
      <c r="AE886">
        <v>0</v>
      </c>
      <c r="AG886">
        <v>0</v>
      </c>
    </row>
    <row r="887" spans="31:33">
      <c r="AE887">
        <v>0</v>
      </c>
      <c r="AG887">
        <v>0</v>
      </c>
    </row>
    <row r="888" spans="31:33">
      <c r="AE888">
        <v>0</v>
      </c>
      <c r="AG888">
        <v>0</v>
      </c>
    </row>
    <row r="889" spans="31:33">
      <c r="AE889">
        <v>0</v>
      </c>
      <c r="AG889">
        <v>0</v>
      </c>
    </row>
    <row r="890" spans="31:33">
      <c r="AE890">
        <v>0</v>
      </c>
      <c r="AG890">
        <v>0</v>
      </c>
    </row>
    <row r="891" spans="31:33">
      <c r="AE891">
        <v>0</v>
      </c>
      <c r="AG891">
        <v>0</v>
      </c>
    </row>
    <row r="892" spans="31:33">
      <c r="AE892">
        <v>0</v>
      </c>
      <c r="AG892">
        <v>0</v>
      </c>
    </row>
    <row r="893" spans="31:33">
      <c r="AE893" s="31">
        <v>76485002.530000001</v>
      </c>
      <c r="AG893" s="31">
        <v>29729068.920000002</v>
      </c>
    </row>
    <row r="894" spans="31:33">
      <c r="AE894">
        <v>0</v>
      </c>
      <c r="AG894">
        <v>0</v>
      </c>
    </row>
    <row r="895" spans="31:33">
      <c r="AE895" s="31">
        <v>-268999.26</v>
      </c>
      <c r="AG895" s="31">
        <v>2376865.2599999998</v>
      </c>
    </row>
    <row r="896" spans="31:33">
      <c r="AE896">
        <v>0</v>
      </c>
      <c r="AG896">
        <v>0</v>
      </c>
    </row>
    <row r="897" spans="31:33">
      <c r="AE897">
        <v>0</v>
      </c>
      <c r="AG897">
        <v>0</v>
      </c>
    </row>
    <row r="898" spans="31:33">
      <c r="AE898">
        <v>0</v>
      </c>
      <c r="AG898" s="31">
        <v>256672.05</v>
      </c>
    </row>
    <row r="899" spans="31:33">
      <c r="AE899">
        <v>0</v>
      </c>
      <c r="AG899">
        <v>0</v>
      </c>
    </row>
    <row r="900" spans="31:33">
      <c r="AE900">
        <v>0</v>
      </c>
      <c r="AG900">
        <v>0</v>
      </c>
    </row>
    <row r="901" spans="31:33">
      <c r="AE901">
        <v>0</v>
      </c>
      <c r="AG901">
        <v>0</v>
      </c>
    </row>
    <row r="902" spans="31:33">
      <c r="AE902">
        <v>0</v>
      </c>
      <c r="AG902">
        <v>0</v>
      </c>
    </row>
    <row r="903" spans="31:33">
      <c r="AE903">
        <v>0</v>
      </c>
      <c r="AG903">
        <v>0</v>
      </c>
    </row>
    <row r="904" spans="31:33">
      <c r="AE904">
        <v>0</v>
      </c>
      <c r="AG904">
        <v>0</v>
      </c>
    </row>
    <row r="905" spans="31:33">
      <c r="AE905">
        <v>0</v>
      </c>
      <c r="AG905">
        <v>0</v>
      </c>
    </row>
    <row r="906" spans="31:33">
      <c r="AE906">
        <v>0</v>
      </c>
      <c r="AG906">
        <v>0</v>
      </c>
    </row>
    <row r="907" spans="31:33">
      <c r="AE907">
        <v>0</v>
      </c>
      <c r="AG907">
        <v>0</v>
      </c>
    </row>
    <row r="908" spans="31:33">
      <c r="AE908">
        <v>0</v>
      </c>
      <c r="AG908">
        <v>0</v>
      </c>
    </row>
    <row r="909" spans="31:33">
      <c r="AE909">
        <v>0</v>
      </c>
      <c r="AG909">
        <v>0</v>
      </c>
    </row>
    <row r="910" spans="31:33">
      <c r="AE910">
        <v>0</v>
      </c>
      <c r="AG910">
        <v>0</v>
      </c>
    </row>
    <row r="911" spans="31:33">
      <c r="AE911">
        <v>0</v>
      </c>
      <c r="AG911">
        <v>0</v>
      </c>
    </row>
    <row r="912" spans="31:33">
      <c r="AE912">
        <v>0</v>
      </c>
      <c r="AG912">
        <v>0</v>
      </c>
    </row>
    <row r="913" spans="31:33">
      <c r="AE913">
        <v>0</v>
      </c>
      <c r="AG913">
        <v>0</v>
      </c>
    </row>
    <row r="914" spans="31:33">
      <c r="AE914">
        <v>0</v>
      </c>
      <c r="AG914">
        <v>0</v>
      </c>
    </row>
    <row r="915" spans="31:33">
      <c r="AE915">
        <v>0</v>
      </c>
      <c r="AG915">
        <v>0</v>
      </c>
    </row>
    <row r="916" spans="31:33">
      <c r="AE916">
        <v>0</v>
      </c>
      <c r="AG916">
        <v>0</v>
      </c>
    </row>
    <row r="917" spans="31:33">
      <c r="AE917">
        <v>0</v>
      </c>
      <c r="AG917">
        <v>0</v>
      </c>
    </row>
    <row r="918" spans="31:33">
      <c r="AE918">
        <v>0</v>
      </c>
      <c r="AG918">
        <v>0</v>
      </c>
    </row>
    <row r="919" spans="31:33">
      <c r="AE919">
        <v>0</v>
      </c>
      <c r="AG919">
        <v>0</v>
      </c>
    </row>
    <row r="920" spans="31:33">
      <c r="AE920">
        <v>0</v>
      </c>
      <c r="AG920">
        <v>0</v>
      </c>
    </row>
    <row r="921" spans="31:33">
      <c r="AE921">
        <v>0</v>
      </c>
      <c r="AG921">
        <v>0</v>
      </c>
    </row>
    <row r="922" spans="31:33">
      <c r="AE922">
        <v>0</v>
      </c>
      <c r="AG922">
        <v>0</v>
      </c>
    </row>
    <row r="923" spans="31:33">
      <c r="AE923">
        <v>0</v>
      </c>
      <c r="AG923">
        <v>0</v>
      </c>
    </row>
    <row r="924" spans="31:33">
      <c r="AE924">
        <v>0</v>
      </c>
      <c r="AG924">
        <v>0</v>
      </c>
    </row>
    <row r="925" spans="31:33">
      <c r="AE925">
        <v>0</v>
      </c>
      <c r="AG925">
        <v>0</v>
      </c>
    </row>
    <row r="926" spans="31:33">
      <c r="AE926">
        <v>0</v>
      </c>
      <c r="AG926">
        <v>0</v>
      </c>
    </row>
    <row r="927" spans="31:33">
      <c r="AE927">
        <v>0</v>
      </c>
      <c r="AG927">
        <v>0</v>
      </c>
    </row>
    <row r="928" spans="31:33">
      <c r="AE928">
        <v>0</v>
      </c>
      <c r="AG928">
        <v>0</v>
      </c>
    </row>
    <row r="929" spans="31:33">
      <c r="AE929">
        <v>0</v>
      </c>
      <c r="AG929">
        <v>0</v>
      </c>
    </row>
    <row r="930" spans="31:33">
      <c r="AE930">
        <v>0</v>
      </c>
      <c r="AG930">
        <v>0</v>
      </c>
    </row>
    <row r="931" spans="31:33">
      <c r="AE931">
        <v>0</v>
      </c>
      <c r="AG931">
        <v>0</v>
      </c>
    </row>
    <row r="932" spans="31:33">
      <c r="AE932">
        <v>0</v>
      </c>
      <c r="AG932">
        <v>0</v>
      </c>
    </row>
    <row r="933" spans="31:33">
      <c r="AE933">
        <v>0</v>
      </c>
      <c r="AG933">
        <v>0</v>
      </c>
    </row>
    <row r="934" spans="31:33">
      <c r="AE934">
        <v>0</v>
      </c>
      <c r="AG934">
        <v>0</v>
      </c>
    </row>
    <row r="935" spans="31:33">
      <c r="AE935">
        <v>0</v>
      </c>
      <c r="AG935">
        <v>0</v>
      </c>
    </row>
    <row r="936" spans="31:33">
      <c r="AE936">
        <v>0</v>
      </c>
      <c r="AG936">
        <v>0</v>
      </c>
    </row>
    <row r="937" spans="31:33">
      <c r="AE937">
        <v>0</v>
      </c>
      <c r="AG937">
        <v>0</v>
      </c>
    </row>
    <row r="938" spans="31:33">
      <c r="AE938">
        <v>0</v>
      </c>
      <c r="AG938">
        <v>0</v>
      </c>
    </row>
    <row r="939" spans="31:33">
      <c r="AE939">
        <v>0</v>
      </c>
      <c r="AG939">
        <v>0</v>
      </c>
    </row>
    <row r="940" spans="31:33">
      <c r="AE940">
        <v>0</v>
      </c>
      <c r="AG940">
        <v>0</v>
      </c>
    </row>
    <row r="941" spans="31:33">
      <c r="AE941">
        <v>0</v>
      </c>
      <c r="AG941">
        <v>0</v>
      </c>
    </row>
    <row r="942" spans="31:33">
      <c r="AE942">
        <v>0</v>
      </c>
      <c r="AG942">
        <v>0</v>
      </c>
    </row>
    <row r="943" spans="31:33">
      <c r="AE943">
        <v>0</v>
      </c>
      <c r="AG943">
        <v>0</v>
      </c>
    </row>
    <row r="944" spans="31:33">
      <c r="AE944">
        <v>0</v>
      </c>
      <c r="AG944">
        <v>0</v>
      </c>
    </row>
    <row r="945" spans="31:33">
      <c r="AE945">
        <v>0</v>
      </c>
      <c r="AG945">
        <v>0</v>
      </c>
    </row>
    <row r="946" spans="31:33">
      <c r="AE946">
        <v>0</v>
      </c>
      <c r="AG946">
        <v>0</v>
      </c>
    </row>
    <row r="947" spans="31:33">
      <c r="AE947">
        <v>0</v>
      </c>
      <c r="AG947">
        <v>0</v>
      </c>
    </row>
    <row r="948" spans="31:33">
      <c r="AE948">
        <v>0</v>
      </c>
      <c r="AG948">
        <v>0</v>
      </c>
    </row>
    <row r="949" spans="31:33">
      <c r="AE949">
        <v>0</v>
      </c>
      <c r="AG949">
        <v>0</v>
      </c>
    </row>
    <row r="950" spans="31:33">
      <c r="AE950">
        <v>0</v>
      </c>
      <c r="AG950">
        <v>0</v>
      </c>
    </row>
    <row r="951" spans="31:33">
      <c r="AE951">
        <v>0</v>
      </c>
      <c r="AG951">
        <v>0</v>
      </c>
    </row>
    <row r="952" spans="31:33">
      <c r="AE952">
        <v>0</v>
      </c>
      <c r="AG952">
        <v>0</v>
      </c>
    </row>
    <row r="953" spans="31:33">
      <c r="AE953">
        <v>0</v>
      </c>
      <c r="AG953">
        <v>0</v>
      </c>
    </row>
    <row r="954" spans="31:33">
      <c r="AE954">
        <v>0</v>
      </c>
      <c r="AG954">
        <v>0</v>
      </c>
    </row>
    <row r="955" spans="31:33">
      <c r="AE955">
        <v>0</v>
      </c>
      <c r="AG955">
        <v>0</v>
      </c>
    </row>
    <row r="956" spans="31:33">
      <c r="AE956">
        <v>0</v>
      </c>
      <c r="AG956">
        <v>0</v>
      </c>
    </row>
    <row r="957" spans="31:33">
      <c r="AE957">
        <v>0</v>
      </c>
      <c r="AG957">
        <v>0</v>
      </c>
    </row>
    <row r="958" spans="31:33">
      <c r="AE958">
        <v>0</v>
      </c>
      <c r="AG958">
        <v>0</v>
      </c>
    </row>
    <row r="959" spans="31:33">
      <c r="AE959">
        <v>0</v>
      </c>
      <c r="AG959">
        <v>0</v>
      </c>
    </row>
    <row r="960" spans="31:33">
      <c r="AE960">
        <v>0</v>
      </c>
      <c r="AG960">
        <v>0</v>
      </c>
    </row>
    <row r="961" spans="31:33">
      <c r="AE961">
        <v>0</v>
      </c>
      <c r="AG961">
        <v>0</v>
      </c>
    </row>
    <row r="962" spans="31:33">
      <c r="AE962">
        <v>0</v>
      </c>
      <c r="AG962">
        <v>0</v>
      </c>
    </row>
    <row r="963" spans="31:33">
      <c r="AE963">
        <v>0</v>
      </c>
      <c r="AG963">
        <v>0</v>
      </c>
    </row>
    <row r="964" spans="31:33">
      <c r="AE964">
        <v>0</v>
      </c>
      <c r="AG964">
        <v>0</v>
      </c>
    </row>
    <row r="965" spans="31:33">
      <c r="AE965">
        <v>0</v>
      </c>
      <c r="AG965">
        <v>0</v>
      </c>
    </row>
    <row r="966" spans="31:33">
      <c r="AE966">
        <v>0</v>
      </c>
      <c r="AG966">
        <v>0</v>
      </c>
    </row>
    <row r="967" spans="31:33">
      <c r="AE967">
        <v>0</v>
      </c>
      <c r="AG967">
        <v>0</v>
      </c>
    </row>
    <row r="968" spans="31:33">
      <c r="AE968">
        <v>0</v>
      </c>
      <c r="AG968">
        <v>0</v>
      </c>
    </row>
    <row r="969" spans="31:33">
      <c r="AE969">
        <v>0</v>
      </c>
      <c r="AG969">
        <v>0</v>
      </c>
    </row>
    <row r="970" spans="31:33">
      <c r="AE970">
        <v>0</v>
      </c>
      <c r="AG970">
        <v>0</v>
      </c>
    </row>
    <row r="971" spans="31:33">
      <c r="AE971">
        <v>0</v>
      </c>
      <c r="AG971">
        <v>0</v>
      </c>
    </row>
    <row r="972" spans="31:33">
      <c r="AE972">
        <v>0</v>
      </c>
      <c r="AG972">
        <v>0</v>
      </c>
    </row>
    <row r="973" spans="31:33">
      <c r="AE973">
        <v>0</v>
      </c>
      <c r="AG973">
        <v>0</v>
      </c>
    </row>
    <row r="974" spans="31:33">
      <c r="AE974">
        <v>0</v>
      </c>
      <c r="AG974">
        <v>0</v>
      </c>
    </row>
    <row r="975" spans="31:33">
      <c r="AE975">
        <v>0</v>
      </c>
      <c r="AG975">
        <v>0</v>
      </c>
    </row>
    <row r="976" spans="31:33">
      <c r="AE976">
        <v>0</v>
      </c>
      <c r="AG976">
        <v>0</v>
      </c>
    </row>
    <row r="977" spans="31:33">
      <c r="AE977">
        <v>0</v>
      </c>
      <c r="AG977">
        <v>0</v>
      </c>
    </row>
    <row r="978" spans="31:33">
      <c r="AE978">
        <v>0</v>
      </c>
      <c r="AG978">
        <v>0</v>
      </c>
    </row>
    <row r="979" spans="31:33">
      <c r="AE979">
        <v>0</v>
      </c>
      <c r="AG979">
        <v>0</v>
      </c>
    </row>
    <row r="980" spans="31:33">
      <c r="AE980">
        <v>0</v>
      </c>
      <c r="AG980">
        <v>0</v>
      </c>
    </row>
    <row r="981" spans="31:33">
      <c r="AE981" s="31">
        <v>36942889.770000003</v>
      </c>
      <c r="AG981" s="31">
        <v>99112179.010000005</v>
      </c>
    </row>
    <row r="982" spans="31:33">
      <c r="AE982" s="31">
        <v>509544</v>
      </c>
      <c r="AG982" s="31">
        <v>2350881.3199999998</v>
      </c>
    </row>
    <row r="983" spans="31:33">
      <c r="AE983">
        <v>0</v>
      </c>
      <c r="AG983">
        <v>0</v>
      </c>
    </row>
    <row r="984" spans="31:33">
      <c r="AE984">
        <v>0</v>
      </c>
      <c r="AG984">
        <v>0</v>
      </c>
    </row>
    <row r="985" spans="31:33">
      <c r="AE985">
        <v>0</v>
      </c>
      <c r="AG985">
        <v>0</v>
      </c>
    </row>
    <row r="986" spans="31:33">
      <c r="AE986">
        <v>0</v>
      </c>
      <c r="AG986">
        <v>0</v>
      </c>
    </row>
    <row r="987" spans="31:33">
      <c r="AE987">
        <v>0</v>
      </c>
      <c r="AG987">
        <v>0</v>
      </c>
    </row>
    <row r="988" spans="31:33">
      <c r="AE988">
        <v>0</v>
      </c>
      <c r="AG988">
        <v>0</v>
      </c>
    </row>
    <row r="989" spans="31:33">
      <c r="AE989">
        <v>0</v>
      </c>
      <c r="AG989">
        <v>0</v>
      </c>
    </row>
    <row r="990" spans="31:33">
      <c r="AE990">
        <v>0</v>
      </c>
      <c r="AG990">
        <v>0</v>
      </c>
    </row>
    <row r="991" spans="31:33">
      <c r="AE991" s="31">
        <v>-5478911.7999999998</v>
      </c>
      <c r="AG991" s="31">
        <v>-5478911.7999999998</v>
      </c>
    </row>
    <row r="992" spans="31:33">
      <c r="AE992">
        <v>0</v>
      </c>
      <c r="AG992">
        <v>0</v>
      </c>
    </row>
    <row r="993" spans="31:33">
      <c r="AE993" s="31">
        <v>-62075.71</v>
      </c>
      <c r="AG993" s="31">
        <v>-62075.71</v>
      </c>
    </row>
    <row r="994" spans="31:33">
      <c r="AE994">
        <v>0</v>
      </c>
      <c r="AG994">
        <v>0</v>
      </c>
    </row>
    <row r="995" spans="31:33">
      <c r="AE995">
        <v>0</v>
      </c>
      <c r="AG995">
        <v>0</v>
      </c>
    </row>
    <row r="996" spans="31:33">
      <c r="AE996">
        <v>0</v>
      </c>
      <c r="AG996">
        <v>0</v>
      </c>
    </row>
    <row r="997" spans="31:33">
      <c r="AE997">
        <v>0</v>
      </c>
      <c r="AG997">
        <v>0</v>
      </c>
    </row>
    <row r="998" spans="31:33">
      <c r="AE998">
        <v>0</v>
      </c>
      <c r="AG998">
        <v>0</v>
      </c>
    </row>
    <row r="999" spans="31:33">
      <c r="AE999">
        <v>0</v>
      </c>
      <c r="AG999">
        <v>0</v>
      </c>
    </row>
    <row r="1000" spans="31:33">
      <c r="AE1000">
        <v>0</v>
      </c>
      <c r="AG1000">
        <v>0</v>
      </c>
    </row>
    <row r="1001" spans="31:33">
      <c r="AE1001">
        <v>0</v>
      </c>
      <c r="AG1001">
        <v>0</v>
      </c>
    </row>
    <row r="1002" spans="31:33">
      <c r="AE1002">
        <v>0</v>
      </c>
      <c r="AG1002">
        <v>0</v>
      </c>
    </row>
    <row r="1003" spans="31:33">
      <c r="AE1003">
        <v>0</v>
      </c>
      <c r="AG1003">
        <v>0</v>
      </c>
    </row>
    <row r="1004" spans="31:33">
      <c r="AE1004">
        <v>0</v>
      </c>
      <c r="AG1004">
        <v>0</v>
      </c>
    </row>
    <row r="1005" spans="31:33">
      <c r="AE1005">
        <v>0</v>
      </c>
      <c r="AG1005">
        <v>0</v>
      </c>
    </row>
    <row r="1006" spans="31:33">
      <c r="AE1006">
        <v>0</v>
      </c>
      <c r="AG1006">
        <v>0</v>
      </c>
    </row>
    <row r="1007" spans="31:33">
      <c r="AE1007">
        <v>0</v>
      </c>
      <c r="AG1007">
        <v>0</v>
      </c>
    </row>
    <row r="1008" spans="31:33">
      <c r="AE1008">
        <v>0</v>
      </c>
      <c r="AG1008">
        <v>0</v>
      </c>
    </row>
    <row r="1009" spans="31:33">
      <c r="AE1009" s="31">
        <v>39380544.399999999</v>
      </c>
      <c r="AG1009" s="31">
        <v>68036623.079999998</v>
      </c>
    </row>
    <row r="1010" spans="31:33">
      <c r="AE1010">
        <v>0</v>
      </c>
      <c r="AG1010">
        <v>0</v>
      </c>
    </row>
    <row r="1011" spans="31:33">
      <c r="AE1011" s="31">
        <v>88440.42</v>
      </c>
      <c r="AG1011" s="31">
        <v>-2141127.06</v>
      </c>
    </row>
    <row r="1012" spans="31:33">
      <c r="AE1012">
        <v>0</v>
      </c>
      <c r="AG1012">
        <v>0</v>
      </c>
    </row>
    <row r="1013" spans="31:33">
      <c r="AE1013">
        <v>0</v>
      </c>
      <c r="AG1013">
        <v>0</v>
      </c>
    </row>
    <row r="1014" spans="31:33">
      <c r="AE1014">
        <v>0</v>
      </c>
      <c r="AG1014">
        <v>0</v>
      </c>
    </row>
    <row r="1015" spans="31:33">
      <c r="AE1015">
        <v>0</v>
      </c>
      <c r="AG1015">
        <v>0</v>
      </c>
    </row>
    <row r="1016" spans="31:33">
      <c r="AE1016">
        <v>0</v>
      </c>
      <c r="AG1016">
        <v>0</v>
      </c>
    </row>
    <row r="1017" spans="31:33">
      <c r="AE1017">
        <v>0</v>
      </c>
      <c r="AG1017">
        <v>0</v>
      </c>
    </row>
    <row r="1018" spans="31:33">
      <c r="AE1018">
        <v>0</v>
      </c>
      <c r="AG1018">
        <v>0</v>
      </c>
    </row>
    <row r="1019" spans="31:33">
      <c r="AE1019">
        <v>0</v>
      </c>
      <c r="AG1019">
        <v>0</v>
      </c>
    </row>
    <row r="1020" spans="31:33">
      <c r="AE1020">
        <v>0</v>
      </c>
      <c r="AG1020">
        <v>0</v>
      </c>
    </row>
    <row r="1021" spans="31:33">
      <c r="AE1021">
        <v>0</v>
      </c>
      <c r="AG1021">
        <v>0</v>
      </c>
    </row>
    <row r="1022" spans="31:33">
      <c r="AE1022">
        <v>0</v>
      </c>
      <c r="AG1022">
        <v>0</v>
      </c>
    </row>
    <row r="1023" spans="31:33">
      <c r="AE1023">
        <v>0</v>
      </c>
      <c r="AG1023">
        <v>0</v>
      </c>
    </row>
    <row r="1024" spans="31:33">
      <c r="AE1024">
        <v>0</v>
      </c>
      <c r="AG1024">
        <v>0</v>
      </c>
    </row>
    <row r="1025" spans="31:33">
      <c r="AE1025">
        <v>0</v>
      </c>
      <c r="AG1025">
        <v>0</v>
      </c>
    </row>
    <row r="1026" spans="31:33">
      <c r="AE1026">
        <v>-353.03</v>
      </c>
      <c r="AG1026">
        <v>-353.03</v>
      </c>
    </row>
    <row r="1027" spans="31:33">
      <c r="AE1027">
        <v>0</v>
      </c>
      <c r="AG1027">
        <v>0</v>
      </c>
    </row>
    <row r="1028" spans="31:33">
      <c r="AE1028" s="31">
        <v>50901327.310000002</v>
      </c>
      <c r="AG1028" s="31">
        <v>16574009.380000001</v>
      </c>
    </row>
    <row r="1029" spans="31:33">
      <c r="AE1029" s="31">
        <v>565701.66</v>
      </c>
      <c r="AG1029" s="31">
        <v>-131934.84</v>
      </c>
    </row>
    <row r="1030" spans="31:33">
      <c r="AE1030">
        <v>0</v>
      </c>
      <c r="AG1030">
        <v>0</v>
      </c>
    </row>
    <row r="1031" spans="31:33">
      <c r="AE1031">
        <v>0</v>
      </c>
      <c r="AG1031">
        <v>0</v>
      </c>
    </row>
    <row r="1032" spans="31:33">
      <c r="AE1032">
        <v>0</v>
      </c>
      <c r="AG1032">
        <v>0</v>
      </c>
    </row>
    <row r="1033" spans="31:33">
      <c r="AE1033">
        <v>353.03</v>
      </c>
      <c r="AG1033">
        <v>353.03</v>
      </c>
    </row>
    <row r="1034" spans="31:33">
      <c r="AE1034">
        <v>0</v>
      </c>
      <c r="AG1034">
        <v>0</v>
      </c>
    </row>
    <row r="1035" spans="31:33">
      <c r="AE1035">
        <v>0</v>
      </c>
      <c r="AG1035">
        <v>0</v>
      </c>
    </row>
    <row r="1036" spans="31:33">
      <c r="AE1036" s="31">
        <v>72907825.579999998</v>
      </c>
      <c r="AG1036" s="31">
        <v>65847450.310000002</v>
      </c>
    </row>
    <row r="1037" spans="31:33">
      <c r="AE1037" s="31">
        <v>-791350.99</v>
      </c>
      <c r="AG1037" s="31">
        <v>-982024.02</v>
      </c>
    </row>
    <row r="1038" spans="31:33">
      <c r="AE1038">
        <v>0</v>
      </c>
      <c r="AG1038">
        <v>0</v>
      </c>
    </row>
    <row r="1039" spans="31:33">
      <c r="AE1039">
        <v>0</v>
      </c>
      <c r="AG1039">
        <v>0</v>
      </c>
    </row>
    <row r="1040" spans="31:33">
      <c r="AE1040">
        <v>0</v>
      </c>
      <c r="AG1040">
        <v>0</v>
      </c>
    </row>
    <row r="1041" spans="31:33">
      <c r="AE1041">
        <v>0</v>
      </c>
      <c r="AG1041">
        <v>0</v>
      </c>
    </row>
    <row r="1042" spans="31:33">
      <c r="AE1042" s="31">
        <v>1804305.42</v>
      </c>
      <c r="AG1042" s="31">
        <v>3966459.94</v>
      </c>
    </row>
    <row r="1043" spans="31:33">
      <c r="AE1043" s="31">
        <v>-1882553.05</v>
      </c>
      <c r="AG1043" s="31">
        <v>-1681420.45</v>
      </c>
    </row>
    <row r="1044" spans="31:33">
      <c r="AE1044">
        <v>0</v>
      </c>
      <c r="AG1044">
        <v>0</v>
      </c>
    </row>
    <row r="1045" spans="31:33">
      <c r="AE1045">
        <v>0</v>
      </c>
      <c r="AG1045">
        <v>0</v>
      </c>
    </row>
    <row r="1046" spans="31:33">
      <c r="AE1046">
        <v>0</v>
      </c>
      <c r="AG1046">
        <v>0</v>
      </c>
    </row>
    <row r="1047" spans="31:33">
      <c r="AE1047">
        <v>0</v>
      </c>
      <c r="AG1047">
        <v>0</v>
      </c>
    </row>
    <row r="1048" spans="31:33">
      <c r="AE1048">
        <v>0</v>
      </c>
      <c r="AG1048">
        <v>0</v>
      </c>
    </row>
    <row r="1049" spans="31:33">
      <c r="AE1049">
        <v>0</v>
      </c>
      <c r="AG1049">
        <v>0</v>
      </c>
    </row>
    <row r="1050" spans="31:33">
      <c r="AE1050">
        <v>0</v>
      </c>
      <c r="AG1050">
        <v>0</v>
      </c>
    </row>
    <row r="1051" spans="31:33">
      <c r="AE1051">
        <v>0</v>
      </c>
      <c r="AG1051">
        <v>0</v>
      </c>
    </row>
    <row r="1052" spans="31:33">
      <c r="AE1052">
        <v>0</v>
      </c>
      <c r="AG1052">
        <v>0</v>
      </c>
    </row>
    <row r="1053" spans="31:33">
      <c r="AE1053">
        <v>0</v>
      </c>
      <c r="AG1053">
        <v>0</v>
      </c>
    </row>
    <row r="1054" spans="31:33">
      <c r="AE1054">
        <v>0</v>
      </c>
      <c r="AG1054">
        <v>0</v>
      </c>
    </row>
    <row r="1055" spans="31:33">
      <c r="AE1055">
        <v>0</v>
      </c>
      <c r="AG1055">
        <v>0</v>
      </c>
    </row>
    <row r="1056" spans="31:33">
      <c r="AE1056">
        <v>0</v>
      </c>
      <c r="AG1056">
        <v>0</v>
      </c>
    </row>
    <row r="1057" spans="31:33">
      <c r="AE1057">
        <v>0</v>
      </c>
      <c r="AG1057">
        <v>0</v>
      </c>
    </row>
    <row r="1058" spans="31:33">
      <c r="AE1058">
        <v>0</v>
      </c>
      <c r="AG1058">
        <v>0</v>
      </c>
    </row>
    <row r="1059" spans="31:33">
      <c r="AE1059" s="31">
        <v>-115677819.06999999</v>
      </c>
      <c r="AG1059" s="31">
        <v>-98254003.219999999</v>
      </c>
    </row>
    <row r="1060" spans="31:33">
      <c r="AE1060">
        <v>0</v>
      </c>
      <c r="AG1060">
        <v>0</v>
      </c>
    </row>
    <row r="1061" spans="31:33">
      <c r="AE1061">
        <v>0</v>
      </c>
      <c r="AG1061">
        <v>0</v>
      </c>
    </row>
    <row r="1062" spans="31:33">
      <c r="AE1062">
        <v>0</v>
      </c>
      <c r="AG1062">
        <v>0</v>
      </c>
    </row>
    <row r="1063" spans="31:33">
      <c r="AE1063">
        <v>0</v>
      </c>
      <c r="AG1063">
        <v>0</v>
      </c>
    </row>
    <row r="1064" spans="31:33">
      <c r="AE1064">
        <v>0</v>
      </c>
      <c r="AG1064">
        <v>0</v>
      </c>
    </row>
    <row r="1065" spans="31:33">
      <c r="AE1065">
        <v>0</v>
      </c>
      <c r="AG1065">
        <v>0</v>
      </c>
    </row>
    <row r="1066" spans="31:33">
      <c r="AE1066" s="31">
        <v>-84399137.629999995</v>
      </c>
      <c r="AG1066" s="31">
        <v>-115094219.91</v>
      </c>
    </row>
    <row r="1067" spans="31:33">
      <c r="AE1067">
        <v>0</v>
      </c>
      <c r="AG1067">
        <v>0</v>
      </c>
    </row>
    <row r="1068" spans="31:33">
      <c r="AE1068">
        <v>0</v>
      </c>
      <c r="AG1068">
        <v>0</v>
      </c>
    </row>
    <row r="1069" spans="31:33">
      <c r="AE1069">
        <v>0</v>
      </c>
      <c r="AG1069">
        <v>0</v>
      </c>
    </row>
    <row r="1070" spans="31:33">
      <c r="AE1070" s="31">
        <v>43656.34</v>
      </c>
      <c r="AG1070" s="31">
        <v>18321.61</v>
      </c>
    </row>
    <row r="1071" spans="31:33">
      <c r="AE1071" s="31">
        <v>-5217032.5199999996</v>
      </c>
      <c r="AG1071" s="31">
        <v>-5109826.24</v>
      </c>
    </row>
    <row r="1072" spans="31:33">
      <c r="AE1072" s="31">
        <v>-1878815.01</v>
      </c>
      <c r="AG1072" s="31">
        <v>-2419208.41</v>
      </c>
    </row>
    <row r="1073" spans="31:33">
      <c r="AE1073">
        <v>0</v>
      </c>
      <c r="AG1073">
        <v>0</v>
      </c>
    </row>
    <row r="1074" spans="31:33">
      <c r="AE1074">
        <v>0</v>
      </c>
      <c r="AG1074">
        <v>0</v>
      </c>
    </row>
    <row r="1075" spans="31:33">
      <c r="AE1075">
        <v>0</v>
      </c>
      <c r="AG1075">
        <v>0</v>
      </c>
    </row>
    <row r="1076" spans="31:33">
      <c r="AE1076" s="31">
        <v>-39737.919999999998</v>
      </c>
      <c r="AG1076" s="31">
        <v>-6158.65</v>
      </c>
    </row>
    <row r="1077" spans="31:33">
      <c r="AE1077">
        <v>0</v>
      </c>
      <c r="AG1077">
        <v>0</v>
      </c>
    </row>
    <row r="1078" spans="31:33">
      <c r="AE1078">
        <v>0</v>
      </c>
      <c r="AG1078">
        <v>0</v>
      </c>
    </row>
    <row r="1079" spans="31:33">
      <c r="AE1079">
        <v>0</v>
      </c>
      <c r="AG1079">
        <v>0</v>
      </c>
    </row>
    <row r="1080" spans="31:33">
      <c r="AE1080">
        <v>0</v>
      </c>
      <c r="AG1080">
        <v>0</v>
      </c>
    </row>
    <row r="1081" spans="31:33">
      <c r="AE1081" s="31">
        <v>8784317.9399999995</v>
      </c>
      <c r="AG1081" s="31">
        <v>8783879.4399999995</v>
      </c>
    </row>
    <row r="1082" spans="31:33">
      <c r="AE1082">
        <v>0</v>
      </c>
      <c r="AG1082">
        <v>0</v>
      </c>
    </row>
    <row r="1083" spans="31:33">
      <c r="AE1083">
        <v>0</v>
      </c>
      <c r="AG1083">
        <v>0</v>
      </c>
    </row>
    <row r="1084" spans="31:33">
      <c r="AE1084">
        <v>0</v>
      </c>
      <c r="AG1084">
        <v>0</v>
      </c>
    </row>
    <row r="1085" spans="31:33">
      <c r="AE1085">
        <v>0</v>
      </c>
      <c r="AG1085">
        <v>0</v>
      </c>
    </row>
    <row r="1086" spans="31:33">
      <c r="AE1086">
        <v>0</v>
      </c>
      <c r="AG1086">
        <v>0</v>
      </c>
    </row>
    <row r="1087" spans="31:33">
      <c r="AE1087" s="31">
        <v>10556545.91</v>
      </c>
      <c r="AG1087" s="31">
        <v>13064463.390000001</v>
      </c>
    </row>
    <row r="1088" spans="31:33">
      <c r="AE1088">
        <v>0</v>
      </c>
      <c r="AG1088">
        <v>0</v>
      </c>
    </row>
    <row r="1089" spans="31:33">
      <c r="AE1089">
        <v>0</v>
      </c>
      <c r="AG1089">
        <v>0</v>
      </c>
    </row>
    <row r="1090" spans="31:33">
      <c r="AE1090">
        <v>0</v>
      </c>
      <c r="AG1090">
        <v>0</v>
      </c>
    </row>
    <row r="1091" spans="31:33">
      <c r="AE1091">
        <v>0</v>
      </c>
      <c r="AG1091">
        <v>0</v>
      </c>
    </row>
    <row r="1092" spans="31:33">
      <c r="AE1092">
        <v>0</v>
      </c>
      <c r="AG1092">
        <v>0</v>
      </c>
    </row>
    <row r="1093" spans="31:33">
      <c r="AE1093">
        <v>0</v>
      </c>
      <c r="AG1093">
        <v>0</v>
      </c>
    </row>
    <row r="1094" spans="31:33">
      <c r="AE1094" s="31">
        <v>111455.71</v>
      </c>
      <c r="AG1094" s="31">
        <v>111455.71</v>
      </c>
    </row>
    <row r="1095" spans="31:33">
      <c r="AE1095">
        <v>0</v>
      </c>
      <c r="AG1095">
        <v>0</v>
      </c>
    </row>
    <row r="1096" spans="31:33">
      <c r="AE1096">
        <v>0</v>
      </c>
      <c r="AG1096">
        <v>0</v>
      </c>
    </row>
    <row r="1097" spans="31:33">
      <c r="AE1097">
        <v>0</v>
      </c>
      <c r="AG1097">
        <v>0</v>
      </c>
    </row>
    <row r="1098" spans="31:33">
      <c r="AE1098">
        <v>0</v>
      </c>
      <c r="AG1098">
        <v>0</v>
      </c>
    </row>
    <row r="1099" spans="31:33">
      <c r="AE1099">
        <v>0</v>
      </c>
      <c r="AG1099">
        <v>0</v>
      </c>
    </row>
    <row r="1100" spans="31:33">
      <c r="AE1100">
        <v>0</v>
      </c>
      <c r="AG1100">
        <v>0</v>
      </c>
    </row>
    <row r="1101" spans="31:33">
      <c r="AE1101">
        <v>0</v>
      </c>
      <c r="AG1101">
        <v>0</v>
      </c>
    </row>
    <row r="1102" spans="31:33">
      <c r="AE1102">
        <v>0</v>
      </c>
      <c r="AG1102">
        <v>0</v>
      </c>
    </row>
    <row r="1103" spans="31:33">
      <c r="AE1103">
        <v>0</v>
      </c>
      <c r="AG1103">
        <v>0</v>
      </c>
    </row>
    <row r="1104" spans="31:33">
      <c r="AE1104">
        <v>0</v>
      </c>
      <c r="AG1104">
        <v>0</v>
      </c>
    </row>
    <row r="1105" spans="31:33">
      <c r="AE1105">
        <v>0</v>
      </c>
      <c r="AG1105">
        <v>0</v>
      </c>
    </row>
    <row r="1106" spans="31:33">
      <c r="AE1106" s="31">
        <v>-16512589.73</v>
      </c>
      <c r="AG1106" s="31">
        <v>-20839731.149999999</v>
      </c>
    </row>
    <row r="1107" spans="31:33">
      <c r="AE1107">
        <v>0</v>
      </c>
      <c r="AG1107">
        <v>0</v>
      </c>
    </row>
    <row r="1108" spans="31:33">
      <c r="AE1108">
        <v>0</v>
      </c>
      <c r="AG1108">
        <v>0</v>
      </c>
    </row>
    <row r="1109" spans="31:33">
      <c r="AE1109" s="31">
        <v>-47342.85</v>
      </c>
      <c r="AG1109" s="31">
        <v>-35445.72</v>
      </c>
    </row>
    <row r="1110" spans="31:33">
      <c r="AE1110">
        <v>0</v>
      </c>
      <c r="AG1110">
        <v>0</v>
      </c>
    </row>
    <row r="1111" spans="31:33">
      <c r="AE1111" s="31">
        <v>-516126.73</v>
      </c>
      <c r="AG1111" s="31">
        <v>-574192.52</v>
      </c>
    </row>
    <row r="1112" spans="31:33">
      <c r="AE1112">
        <v>0</v>
      </c>
      <c r="AG1112">
        <v>0</v>
      </c>
    </row>
    <row r="1113" spans="31:33">
      <c r="AE1113">
        <v>124.98</v>
      </c>
      <c r="AG1113">
        <v>124.98</v>
      </c>
    </row>
    <row r="1114" spans="31:33">
      <c r="AE1114">
        <v>0</v>
      </c>
      <c r="AG1114">
        <v>0</v>
      </c>
    </row>
    <row r="1115" spans="31:33">
      <c r="AE1115" s="31">
        <v>-48908.7</v>
      </c>
      <c r="AG1115" s="31">
        <v>-63499.03</v>
      </c>
    </row>
    <row r="1116" spans="31:33">
      <c r="AE1116">
        <v>0</v>
      </c>
      <c r="AG1116">
        <v>0</v>
      </c>
    </row>
    <row r="1117" spans="31:33">
      <c r="AE1117">
        <v>0</v>
      </c>
      <c r="AG1117">
        <v>0</v>
      </c>
    </row>
    <row r="1118" spans="31:33">
      <c r="AE1118">
        <v>0</v>
      </c>
      <c r="AG1118">
        <v>0</v>
      </c>
    </row>
    <row r="1119" spans="31:33">
      <c r="AE1119">
        <v>0</v>
      </c>
      <c r="AG1119">
        <v>0</v>
      </c>
    </row>
    <row r="1120" spans="31:33">
      <c r="AE1120">
        <v>0</v>
      </c>
      <c r="AG1120">
        <v>0</v>
      </c>
    </row>
    <row r="1121" spans="31:33">
      <c r="AE1121">
        <v>0</v>
      </c>
      <c r="AG1121">
        <v>0</v>
      </c>
    </row>
    <row r="1122" spans="31:33">
      <c r="AE1122" s="31">
        <v>-52308.55</v>
      </c>
      <c r="AG1122" s="31">
        <v>-18321.599999999999</v>
      </c>
    </row>
    <row r="1123" spans="31:33">
      <c r="AE1123" s="31">
        <v>168799.92</v>
      </c>
      <c r="AG1123" s="31">
        <v>-262794.52</v>
      </c>
    </row>
    <row r="1124" spans="31:33">
      <c r="AE1124">
        <v>0</v>
      </c>
      <c r="AG1124">
        <v>0</v>
      </c>
    </row>
    <row r="1125" spans="31:33">
      <c r="AE1125" s="31">
        <v>5690315.1799999997</v>
      </c>
      <c r="AG1125" s="31">
        <v>6702208.0599999996</v>
      </c>
    </row>
    <row r="1126" spans="31:33">
      <c r="AE1126">
        <v>0</v>
      </c>
      <c r="AG1126">
        <v>0</v>
      </c>
    </row>
    <row r="1127" spans="31:33">
      <c r="AE1127">
        <v>0</v>
      </c>
      <c r="AG1127">
        <v>0</v>
      </c>
    </row>
    <row r="1128" spans="31:33">
      <c r="AE1128">
        <v>0</v>
      </c>
      <c r="AG1128">
        <v>0</v>
      </c>
    </row>
    <row r="1129" spans="31:33">
      <c r="AE1129">
        <v>0</v>
      </c>
      <c r="AG1129">
        <v>0</v>
      </c>
    </row>
    <row r="1130" spans="31:33">
      <c r="AE1130" s="31">
        <v>1948557.92</v>
      </c>
      <c r="AG1130" s="31">
        <v>2071152.58</v>
      </c>
    </row>
    <row r="1131" spans="31:33">
      <c r="AE1131" s="31">
        <v>168219.43</v>
      </c>
      <c r="AG1131" s="31">
        <v>66777.31</v>
      </c>
    </row>
    <row r="1132" spans="31:33">
      <c r="AE1132" s="31">
        <v>-28891.83</v>
      </c>
      <c r="AG1132" s="31">
        <v>-22858.54</v>
      </c>
    </row>
    <row r="1133" spans="31:33">
      <c r="AE1133">
        <v>0</v>
      </c>
      <c r="AG1133">
        <v>0</v>
      </c>
    </row>
    <row r="1134" spans="31:33">
      <c r="AE1134" s="31">
        <v>14685.56</v>
      </c>
      <c r="AG1134">
        <v>0</v>
      </c>
    </row>
    <row r="1135" spans="31:33">
      <c r="AE1135" s="31">
        <v>115675.1</v>
      </c>
      <c r="AG1135" s="31">
        <v>2032.81</v>
      </c>
    </row>
    <row r="1136" spans="31:33">
      <c r="AE1136">
        <v>0</v>
      </c>
      <c r="AG1136">
        <v>0</v>
      </c>
    </row>
    <row r="1137" spans="31:33">
      <c r="AE1137">
        <v>0</v>
      </c>
      <c r="AG1137">
        <v>0</v>
      </c>
    </row>
    <row r="1138" spans="31:33">
      <c r="AE1138">
        <v>0</v>
      </c>
      <c r="AG1138">
        <v>0</v>
      </c>
    </row>
    <row r="1139" spans="31:33">
      <c r="AE1139">
        <v>0</v>
      </c>
      <c r="AG1139">
        <v>0</v>
      </c>
    </row>
    <row r="1140" spans="31:33">
      <c r="AE1140">
        <v>0</v>
      </c>
      <c r="AG1140">
        <v>0</v>
      </c>
    </row>
    <row r="1141" spans="31:33">
      <c r="AE1141">
        <v>0</v>
      </c>
      <c r="AG1141">
        <v>0</v>
      </c>
    </row>
    <row r="1142" spans="31:33">
      <c r="AE1142">
        <v>0</v>
      </c>
      <c r="AG1142">
        <v>0</v>
      </c>
    </row>
    <row r="1143" spans="31:33">
      <c r="AE1143">
        <v>0</v>
      </c>
      <c r="AG1143">
        <v>0</v>
      </c>
    </row>
    <row r="1144" spans="31:33">
      <c r="AE1144">
        <v>0</v>
      </c>
      <c r="AG1144">
        <v>0</v>
      </c>
    </row>
    <row r="1145" spans="31:33">
      <c r="AE1145">
        <v>0</v>
      </c>
      <c r="AG1145">
        <v>0</v>
      </c>
    </row>
    <row r="1146" spans="31:33">
      <c r="AE1146">
        <v>0</v>
      </c>
      <c r="AG1146">
        <v>0</v>
      </c>
    </row>
    <row r="1147" spans="31:33">
      <c r="AE1147">
        <v>0</v>
      </c>
      <c r="AG1147">
        <v>0</v>
      </c>
    </row>
    <row r="1148" spans="31:33">
      <c r="AE1148">
        <v>0</v>
      </c>
      <c r="AG1148">
        <v>0</v>
      </c>
    </row>
    <row r="1149" spans="31:33">
      <c r="AE1149">
        <v>0</v>
      </c>
      <c r="AG1149">
        <v>0</v>
      </c>
    </row>
    <row r="1150" spans="31:33">
      <c r="AE1150">
        <v>0</v>
      </c>
      <c r="AG1150">
        <v>0</v>
      </c>
    </row>
    <row r="1151" spans="31:33">
      <c r="AE1151">
        <v>0</v>
      </c>
      <c r="AG1151">
        <v>0</v>
      </c>
    </row>
    <row r="1152" spans="31:33">
      <c r="AE1152" s="31">
        <v>5136023.82</v>
      </c>
      <c r="AG1152" s="31">
        <v>5380806.8700000001</v>
      </c>
    </row>
    <row r="1153" spans="31:33">
      <c r="AE1153" s="31">
        <v>-5514031.7400000002</v>
      </c>
      <c r="AG1153" s="31">
        <v>-6789553.4500000002</v>
      </c>
    </row>
    <row r="1154" spans="31:33">
      <c r="AE1154">
        <v>0</v>
      </c>
      <c r="AG1154">
        <v>0</v>
      </c>
    </row>
    <row r="1155" spans="31:33">
      <c r="AE1155" s="31">
        <v>378698.93</v>
      </c>
      <c r="AG1155" s="31">
        <v>1409437.59</v>
      </c>
    </row>
    <row r="1156" spans="31:33">
      <c r="AE1156">
        <v>0</v>
      </c>
      <c r="AG1156">
        <v>0</v>
      </c>
    </row>
    <row r="1157" spans="31:33">
      <c r="AE1157">
        <v>0</v>
      </c>
      <c r="AG1157">
        <v>0</v>
      </c>
    </row>
    <row r="1158" spans="31:33">
      <c r="AE1158">
        <v>0</v>
      </c>
      <c r="AG1158">
        <v>0</v>
      </c>
    </row>
    <row r="1159" spans="31:33">
      <c r="AE1159">
        <v>0</v>
      </c>
      <c r="AG1159">
        <v>0</v>
      </c>
    </row>
    <row r="1160" spans="31:33">
      <c r="AE1160">
        <v>0</v>
      </c>
      <c r="AG1160">
        <v>0</v>
      </c>
    </row>
    <row r="1161" spans="31:33">
      <c r="AE1161">
        <v>0</v>
      </c>
      <c r="AG1161">
        <v>0</v>
      </c>
    </row>
    <row r="1162" spans="31:33">
      <c r="AE1162">
        <v>0</v>
      </c>
      <c r="AG1162">
        <v>0</v>
      </c>
    </row>
    <row r="1163" spans="31:33">
      <c r="AE1163">
        <v>0</v>
      </c>
      <c r="AG1163">
        <v>0</v>
      </c>
    </row>
    <row r="1164" spans="31:33">
      <c r="AE1164">
        <v>0</v>
      </c>
      <c r="AG1164">
        <v>0</v>
      </c>
    </row>
    <row r="1165" spans="31:33">
      <c r="AE1165">
        <v>0</v>
      </c>
      <c r="AG1165">
        <v>0</v>
      </c>
    </row>
    <row r="1166" spans="31:33">
      <c r="AE1166">
        <v>0</v>
      </c>
      <c r="AG1166">
        <v>0</v>
      </c>
    </row>
    <row r="1167" spans="31:33">
      <c r="AE1167">
        <v>0</v>
      </c>
      <c r="AG1167">
        <v>0</v>
      </c>
    </row>
    <row r="1168" spans="31:33">
      <c r="AE1168">
        <v>0</v>
      </c>
      <c r="AG1168">
        <v>0</v>
      </c>
    </row>
    <row r="1169" spans="31:33">
      <c r="AE1169">
        <v>0</v>
      </c>
      <c r="AG1169">
        <v>0</v>
      </c>
    </row>
    <row r="1170" spans="31:33">
      <c r="AE1170">
        <v>0</v>
      </c>
      <c r="AG1170">
        <v>0</v>
      </c>
    </row>
    <row r="1171" spans="31:33">
      <c r="AE1171">
        <v>0</v>
      </c>
      <c r="AG1171">
        <v>0</v>
      </c>
    </row>
    <row r="1172" spans="31:33">
      <c r="AE1172">
        <v>0</v>
      </c>
      <c r="AG1172">
        <v>0</v>
      </c>
    </row>
    <row r="1173" spans="31:33">
      <c r="AE1173">
        <v>0</v>
      </c>
      <c r="AG1173">
        <v>0</v>
      </c>
    </row>
    <row r="1174" spans="31:33">
      <c r="AE1174">
        <v>0</v>
      </c>
      <c r="AG1174">
        <v>0</v>
      </c>
    </row>
    <row r="1175" spans="31:33">
      <c r="AE1175">
        <v>0</v>
      </c>
      <c r="AG1175">
        <v>0</v>
      </c>
    </row>
    <row r="1176" spans="31:33">
      <c r="AE1176">
        <v>0</v>
      </c>
      <c r="AG1176">
        <v>0</v>
      </c>
    </row>
    <row r="1177" spans="31:33">
      <c r="AE1177">
        <v>0</v>
      </c>
      <c r="AG1177">
        <v>0</v>
      </c>
    </row>
    <row r="1178" spans="31:33">
      <c r="AE1178">
        <v>0</v>
      </c>
      <c r="AG1178">
        <v>0</v>
      </c>
    </row>
    <row r="1179" spans="31:33">
      <c r="AE1179">
        <v>0</v>
      </c>
      <c r="AG1179">
        <v>0</v>
      </c>
    </row>
    <row r="1180" spans="31:33">
      <c r="AE1180">
        <v>0</v>
      </c>
      <c r="AG1180">
        <v>0</v>
      </c>
    </row>
    <row r="1181" spans="31:33">
      <c r="AE1181">
        <v>0</v>
      </c>
      <c r="AG1181">
        <v>0</v>
      </c>
    </row>
    <row r="1182" spans="31:33">
      <c r="AE1182">
        <v>0</v>
      </c>
      <c r="AG1182">
        <v>0</v>
      </c>
    </row>
    <row r="1183" spans="31:33">
      <c r="AE1183">
        <v>0</v>
      </c>
      <c r="AG1183">
        <v>0</v>
      </c>
    </row>
    <row r="1184" spans="31:33">
      <c r="AE1184">
        <v>0</v>
      </c>
      <c r="AG1184">
        <v>0</v>
      </c>
    </row>
    <row r="1185" spans="31:33">
      <c r="AE1185">
        <v>0</v>
      </c>
      <c r="AG1185">
        <v>0</v>
      </c>
    </row>
    <row r="1186" spans="31:33">
      <c r="AE1186">
        <v>0</v>
      </c>
      <c r="AG1186">
        <v>0</v>
      </c>
    </row>
    <row r="1187" spans="31:33">
      <c r="AE1187">
        <v>0</v>
      </c>
      <c r="AG1187">
        <v>0</v>
      </c>
    </row>
    <row r="1188" spans="31:33">
      <c r="AE1188">
        <v>0</v>
      </c>
      <c r="AG1188">
        <v>0</v>
      </c>
    </row>
    <row r="1189" spans="31:33">
      <c r="AE1189">
        <v>0</v>
      </c>
      <c r="AG1189">
        <v>0</v>
      </c>
    </row>
    <row r="1190" spans="31:33">
      <c r="AE1190">
        <v>0</v>
      </c>
      <c r="AG1190">
        <v>0</v>
      </c>
    </row>
    <row r="1191" spans="31:33">
      <c r="AE1191">
        <v>0</v>
      </c>
      <c r="AG1191">
        <v>0</v>
      </c>
    </row>
    <row r="1192" spans="31:33">
      <c r="AE1192">
        <v>0</v>
      </c>
      <c r="AG1192">
        <v>0</v>
      </c>
    </row>
    <row r="1193" spans="31:33">
      <c r="AE1193">
        <v>0</v>
      </c>
      <c r="AG1193">
        <v>0</v>
      </c>
    </row>
    <row r="1194" spans="31:33">
      <c r="AE1194">
        <v>0</v>
      </c>
      <c r="AG1194">
        <v>0</v>
      </c>
    </row>
    <row r="1195" spans="31:33">
      <c r="AE1195">
        <v>0</v>
      </c>
      <c r="AG1195">
        <v>0</v>
      </c>
    </row>
    <row r="1196" spans="31:33">
      <c r="AE1196" s="31">
        <v>1468991.08</v>
      </c>
      <c r="AG1196" s="31">
        <v>1468991.08</v>
      </c>
    </row>
    <row r="1197" spans="31:33">
      <c r="AE1197">
        <v>0</v>
      </c>
      <c r="AG1197">
        <v>0</v>
      </c>
    </row>
    <row r="1198" spans="31:33">
      <c r="AE1198">
        <v>0</v>
      </c>
      <c r="AG1198">
        <v>0</v>
      </c>
    </row>
    <row r="1199" spans="31:33">
      <c r="AE1199">
        <v>0</v>
      </c>
      <c r="AG1199">
        <v>0</v>
      </c>
    </row>
    <row r="1200" spans="31:33">
      <c r="AE1200">
        <v>0</v>
      </c>
      <c r="AG1200">
        <v>0</v>
      </c>
    </row>
    <row r="1201" spans="31:33">
      <c r="AE1201">
        <v>0</v>
      </c>
      <c r="AG1201">
        <v>0</v>
      </c>
    </row>
    <row r="1202" spans="31:33">
      <c r="AE1202">
        <v>0</v>
      </c>
      <c r="AG1202">
        <v>0</v>
      </c>
    </row>
    <row r="1203" spans="31:33">
      <c r="AE1203" s="31">
        <v>1978483.47</v>
      </c>
      <c r="AG1203" s="31">
        <v>1978483.47</v>
      </c>
    </row>
    <row r="1204" spans="31:33">
      <c r="AE1204">
        <v>0</v>
      </c>
      <c r="AG1204">
        <v>0</v>
      </c>
    </row>
    <row r="1205" spans="31:33">
      <c r="AE1205">
        <v>0</v>
      </c>
      <c r="AG1205">
        <v>0</v>
      </c>
    </row>
    <row r="1206" spans="31:33">
      <c r="AE1206">
        <v>0</v>
      </c>
      <c r="AG1206">
        <v>0</v>
      </c>
    </row>
    <row r="1207" spans="31:33">
      <c r="AE1207">
        <v>0</v>
      </c>
      <c r="AG1207">
        <v>0</v>
      </c>
    </row>
    <row r="1208" spans="31:33">
      <c r="AE1208">
        <v>0</v>
      </c>
      <c r="AG1208">
        <v>0</v>
      </c>
    </row>
    <row r="1209" spans="31:33">
      <c r="AE1209">
        <v>0</v>
      </c>
      <c r="AG1209">
        <v>0</v>
      </c>
    </row>
    <row r="1210" spans="31:33">
      <c r="AE1210">
        <v>0</v>
      </c>
      <c r="AG1210">
        <v>0</v>
      </c>
    </row>
    <row r="1211" spans="31:33">
      <c r="AE1211">
        <v>0</v>
      </c>
      <c r="AG1211">
        <v>0</v>
      </c>
    </row>
    <row r="1212" spans="31:33">
      <c r="AE1212">
        <v>0</v>
      </c>
      <c r="AG1212">
        <v>0</v>
      </c>
    </row>
    <row r="1213" spans="31:33">
      <c r="AE1213">
        <v>0</v>
      </c>
      <c r="AG1213">
        <v>0</v>
      </c>
    </row>
    <row r="1214" spans="31:33">
      <c r="AE1214">
        <v>0</v>
      </c>
      <c r="AG1214">
        <v>0</v>
      </c>
    </row>
    <row r="1215" spans="31:33">
      <c r="AE1215">
        <v>0</v>
      </c>
      <c r="AG1215">
        <v>0</v>
      </c>
    </row>
    <row r="1216" spans="31:33">
      <c r="AE1216">
        <v>0</v>
      </c>
      <c r="AG1216">
        <v>0</v>
      </c>
    </row>
    <row r="1217" spans="31:33">
      <c r="AE1217">
        <v>0</v>
      </c>
      <c r="AG1217">
        <v>0</v>
      </c>
    </row>
    <row r="1218" spans="31:33">
      <c r="AE1218">
        <v>0</v>
      </c>
      <c r="AG1218">
        <v>0</v>
      </c>
    </row>
    <row r="1219" spans="31:33">
      <c r="AE1219">
        <v>0</v>
      </c>
      <c r="AG1219">
        <v>0</v>
      </c>
    </row>
    <row r="1220" spans="31:33">
      <c r="AE1220">
        <v>0</v>
      </c>
      <c r="AG1220">
        <v>0</v>
      </c>
    </row>
    <row r="1221" spans="31:33">
      <c r="AE1221">
        <v>0</v>
      </c>
      <c r="AG1221">
        <v>0</v>
      </c>
    </row>
    <row r="1222" spans="31:33">
      <c r="AE1222">
        <v>0</v>
      </c>
      <c r="AG1222">
        <v>0</v>
      </c>
    </row>
    <row r="1223" spans="31:33">
      <c r="AE1223">
        <v>0</v>
      </c>
      <c r="AG1223">
        <v>0</v>
      </c>
    </row>
    <row r="1224" spans="31:33">
      <c r="AE1224">
        <v>0</v>
      </c>
      <c r="AG1224">
        <v>0</v>
      </c>
    </row>
    <row r="1225" spans="31:33">
      <c r="AE1225">
        <v>0</v>
      </c>
      <c r="AG1225">
        <v>0</v>
      </c>
    </row>
    <row r="1226" spans="31:33">
      <c r="AE1226">
        <v>0</v>
      </c>
      <c r="AG1226">
        <v>0</v>
      </c>
    </row>
    <row r="1227" spans="31:33">
      <c r="AE1227">
        <v>0</v>
      </c>
      <c r="AG1227">
        <v>0</v>
      </c>
    </row>
    <row r="1228" spans="31:33">
      <c r="AE1228">
        <v>0</v>
      </c>
      <c r="AG1228">
        <v>0</v>
      </c>
    </row>
    <row r="1229" spans="31:33">
      <c r="AE1229">
        <v>0</v>
      </c>
      <c r="AG1229">
        <v>0</v>
      </c>
    </row>
    <row r="1230" spans="31:33">
      <c r="AE1230">
        <v>0</v>
      </c>
      <c r="AG1230">
        <v>0</v>
      </c>
    </row>
    <row r="1231" spans="31:33">
      <c r="AE1231">
        <v>0</v>
      </c>
      <c r="AG1231">
        <v>0</v>
      </c>
    </row>
    <row r="1232" spans="31:33">
      <c r="AE1232">
        <v>0</v>
      </c>
      <c r="AG1232">
        <v>0</v>
      </c>
    </row>
    <row r="1233" spans="31:33">
      <c r="AE1233">
        <v>0</v>
      </c>
      <c r="AG1233">
        <v>0</v>
      </c>
    </row>
    <row r="1234" spans="31:33">
      <c r="AE1234">
        <v>0</v>
      </c>
      <c r="AG1234">
        <v>0</v>
      </c>
    </row>
    <row r="1235" spans="31:33">
      <c r="AE1235">
        <v>0</v>
      </c>
      <c r="AG1235">
        <v>0</v>
      </c>
    </row>
    <row r="1236" spans="31:33">
      <c r="AE1236">
        <v>0</v>
      </c>
      <c r="AG1236">
        <v>0</v>
      </c>
    </row>
    <row r="1237" spans="31:33">
      <c r="AE1237">
        <v>0</v>
      </c>
      <c r="AG1237">
        <v>0</v>
      </c>
    </row>
    <row r="1238" spans="31:33">
      <c r="AE1238">
        <v>0</v>
      </c>
      <c r="AG1238">
        <v>0</v>
      </c>
    </row>
    <row r="1239" spans="31:33">
      <c r="AE1239">
        <v>0</v>
      </c>
      <c r="AG1239">
        <v>0</v>
      </c>
    </row>
    <row r="1240" spans="31:33">
      <c r="AE1240">
        <v>0</v>
      </c>
      <c r="AG1240">
        <v>0</v>
      </c>
    </row>
    <row r="1241" spans="31:33">
      <c r="AE1241">
        <v>0</v>
      </c>
      <c r="AG1241">
        <v>0</v>
      </c>
    </row>
    <row r="1242" spans="31:33">
      <c r="AE1242">
        <v>0</v>
      </c>
      <c r="AG1242">
        <v>0</v>
      </c>
    </row>
    <row r="1243" spans="31:33">
      <c r="AE1243">
        <v>0</v>
      </c>
      <c r="AG1243">
        <v>0</v>
      </c>
    </row>
    <row r="1244" spans="31:33">
      <c r="AE1244">
        <v>0</v>
      </c>
      <c r="AG1244">
        <v>0</v>
      </c>
    </row>
    <row r="1245" spans="31:33">
      <c r="AE1245">
        <v>0</v>
      </c>
      <c r="AG1245">
        <v>0</v>
      </c>
    </row>
    <row r="1246" spans="31:33">
      <c r="AE1246">
        <v>0</v>
      </c>
      <c r="AG1246">
        <v>0</v>
      </c>
    </row>
    <row r="1247" spans="31:33">
      <c r="AE1247">
        <v>0</v>
      </c>
      <c r="AG1247">
        <v>0</v>
      </c>
    </row>
    <row r="1248" spans="31:33">
      <c r="AE1248">
        <v>0</v>
      </c>
      <c r="AG1248">
        <v>0</v>
      </c>
    </row>
    <row r="1249" spans="31:33">
      <c r="AE1249">
        <v>0</v>
      </c>
      <c r="AG1249">
        <v>0</v>
      </c>
    </row>
    <row r="1250" spans="31:33">
      <c r="AE1250">
        <v>0</v>
      </c>
      <c r="AG1250">
        <v>0</v>
      </c>
    </row>
    <row r="1251" spans="31:33">
      <c r="AE1251">
        <v>0</v>
      </c>
      <c r="AG1251">
        <v>0</v>
      </c>
    </row>
    <row r="1252" spans="31:33">
      <c r="AE1252">
        <v>0</v>
      </c>
      <c r="AG1252">
        <v>0</v>
      </c>
    </row>
    <row r="1253" spans="31:33">
      <c r="AE1253">
        <v>0</v>
      </c>
      <c r="AG1253">
        <v>0</v>
      </c>
    </row>
    <row r="1254" spans="31:33">
      <c r="AE1254">
        <v>0</v>
      </c>
      <c r="AG1254">
        <v>0</v>
      </c>
    </row>
    <row r="1255" spans="31:33">
      <c r="AE1255">
        <v>0</v>
      </c>
      <c r="AG1255">
        <v>0</v>
      </c>
    </row>
    <row r="1256" spans="31:33">
      <c r="AE1256">
        <v>0</v>
      </c>
      <c r="AG1256">
        <v>0</v>
      </c>
    </row>
    <row r="1257" spans="31:33">
      <c r="AE1257">
        <v>0</v>
      </c>
      <c r="AG1257">
        <v>0</v>
      </c>
    </row>
    <row r="1258" spans="31:33">
      <c r="AE1258">
        <v>0</v>
      </c>
      <c r="AG1258">
        <v>0</v>
      </c>
    </row>
    <row r="1259" spans="31:33">
      <c r="AE1259">
        <v>0</v>
      </c>
      <c r="AG1259">
        <v>0</v>
      </c>
    </row>
    <row r="1260" spans="31:33">
      <c r="AE1260">
        <v>0</v>
      </c>
      <c r="AG1260">
        <v>0</v>
      </c>
    </row>
    <row r="1261" spans="31:33">
      <c r="AE1261">
        <v>0</v>
      </c>
      <c r="AG1261">
        <v>0</v>
      </c>
    </row>
    <row r="1262" spans="31:33">
      <c r="AE1262">
        <v>0</v>
      </c>
      <c r="AG1262">
        <v>0</v>
      </c>
    </row>
    <row r="1263" spans="31:33">
      <c r="AE1263">
        <v>0</v>
      </c>
      <c r="AG1263">
        <v>0</v>
      </c>
    </row>
    <row r="1264" spans="31:33">
      <c r="AE1264">
        <v>0</v>
      </c>
      <c r="AG1264">
        <v>0</v>
      </c>
    </row>
    <row r="1265" spans="31:33">
      <c r="AE1265">
        <v>0</v>
      </c>
      <c r="AG1265">
        <v>0</v>
      </c>
    </row>
    <row r="1266" spans="31:33">
      <c r="AE1266">
        <v>0</v>
      </c>
      <c r="AG1266">
        <v>0</v>
      </c>
    </row>
    <row r="1267" spans="31:33">
      <c r="AE1267">
        <v>0</v>
      </c>
      <c r="AG1267">
        <v>0</v>
      </c>
    </row>
    <row r="1268" spans="31:33">
      <c r="AE1268">
        <v>0</v>
      </c>
      <c r="AG1268">
        <v>0</v>
      </c>
    </row>
    <row r="1269" spans="31:33">
      <c r="AE1269">
        <v>0</v>
      </c>
      <c r="AG1269">
        <v>0</v>
      </c>
    </row>
    <row r="1270" spans="31:33">
      <c r="AE1270">
        <v>0</v>
      </c>
      <c r="AG1270">
        <v>0</v>
      </c>
    </row>
    <row r="1271" spans="31:33">
      <c r="AE1271">
        <v>0</v>
      </c>
      <c r="AG1271">
        <v>0</v>
      </c>
    </row>
    <row r="1272" spans="31:33">
      <c r="AE1272">
        <v>0</v>
      </c>
      <c r="AG1272">
        <v>0</v>
      </c>
    </row>
    <row r="1273" spans="31:33">
      <c r="AE1273">
        <v>0</v>
      </c>
      <c r="AG1273">
        <v>0</v>
      </c>
    </row>
    <row r="1274" spans="31:33">
      <c r="AE1274">
        <v>0</v>
      </c>
      <c r="AG1274">
        <v>0</v>
      </c>
    </row>
    <row r="1275" spans="31:33">
      <c r="AE1275">
        <v>0</v>
      </c>
      <c r="AG1275">
        <v>0</v>
      </c>
    </row>
    <row r="1276" spans="31:33">
      <c r="AE1276">
        <v>0</v>
      </c>
      <c r="AG1276">
        <v>0</v>
      </c>
    </row>
    <row r="1277" spans="31:33">
      <c r="AE1277">
        <v>0</v>
      </c>
      <c r="AG1277">
        <v>0</v>
      </c>
    </row>
    <row r="1278" spans="31:33">
      <c r="AE1278">
        <v>0</v>
      </c>
      <c r="AG1278">
        <v>0</v>
      </c>
    </row>
    <row r="1279" spans="31:33">
      <c r="AE1279">
        <v>0</v>
      </c>
      <c r="AG1279">
        <v>0</v>
      </c>
    </row>
    <row r="1280" spans="31:33">
      <c r="AE1280">
        <v>0</v>
      </c>
      <c r="AG1280">
        <v>0</v>
      </c>
    </row>
    <row r="1281" spans="31:33">
      <c r="AE1281">
        <v>0</v>
      </c>
      <c r="AG1281">
        <v>0</v>
      </c>
    </row>
    <row r="1282" spans="31:33">
      <c r="AE1282">
        <v>0</v>
      </c>
      <c r="AG1282">
        <v>0</v>
      </c>
    </row>
    <row r="1283" spans="31:33">
      <c r="AE1283">
        <v>0</v>
      </c>
      <c r="AG1283">
        <v>0</v>
      </c>
    </row>
    <row r="1284" spans="31:33">
      <c r="AE1284">
        <v>0</v>
      </c>
      <c r="AG1284">
        <v>0</v>
      </c>
    </row>
    <row r="1285" spans="31:33">
      <c r="AE1285">
        <v>0</v>
      </c>
      <c r="AG1285">
        <v>0</v>
      </c>
    </row>
    <row r="1286" spans="31:33">
      <c r="AE1286">
        <v>0</v>
      </c>
      <c r="AG1286">
        <v>0</v>
      </c>
    </row>
    <row r="1287" spans="31:33">
      <c r="AE1287">
        <v>0</v>
      </c>
      <c r="AG1287">
        <v>0</v>
      </c>
    </row>
    <row r="1288" spans="31:33">
      <c r="AE1288">
        <v>0</v>
      </c>
      <c r="AG1288">
        <v>0</v>
      </c>
    </row>
    <row r="1289" spans="31:33">
      <c r="AE1289">
        <v>0</v>
      </c>
      <c r="AG1289">
        <v>0</v>
      </c>
    </row>
    <row r="1290" spans="31:33">
      <c r="AE1290">
        <v>0</v>
      </c>
      <c r="AG1290">
        <v>0</v>
      </c>
    </row>
    <row r="1291" spans="31:33">
      <c r="AE1291">
        <v>0</v>
      </c>
      <c r="AG1291">
        <v>0</v>
      </c>
    </row>
    <row r="1292" spans="31:33">
      <c r="AE1292">
        <v>0</v>
      </c>
      <c r="AG1292">
        <v>0</v>
      </c>
    </row>
    <row r="1293" spans="31:33">
      <c r="AE1293">
        <v>0</v>
      </c>
      <c r="AG1293">
        <v>0</v>
      </c>
    </row>
    <row r="1294" spans="31:33">
      <c r="AE1294">
        <v>0</v>
      </c>
      <c r="AG1294">
        <v>0</v>
      </c>
    </row>
    <row r="1295" spans="31:33">
      <c r="AE1295">
        <v>0</v>
      </c>
      <c r="AG1295">
        <v>0</v>
      </c>
    </row>
    <row r="1296" spans="31:33">
      <c r="AE1296">
        <v>0</v>
      </c>
      <c r="AG1296">
        <v>0</v>
      </c>
    </row>
    <row r="1297" spans="31:33">
      <c r="AE1297">
        <v>0</v>
      </c>
      <c r="AG1297">
        <v>0</v>
      </c>
    </row>
    <row r="1298" spans="31:33">
      <c r="AE1298">
        <v>0</v>
      </c>
      <c r="AG1298">
        <v>0</v>
      </c>
    </row>
    <row r="1299" spans="31:33">
      <c r="AE1299">
        <v>0</v>
      </c>
      <c r="AG1299">
        <v>0</v>
      </c>
    </row>
    <row r="1300" spans="31:33">
      <c r="AE1300">
        <v>0</v>
      </c>
      <c r="AG1300">
        <v>0</v>
      </c>
    </row>
    <row r="1301" spans="31:33">
      <c r="AE1301">
        <v>0</v>
      </c>
      <c r="AG1301">
        <v>0</v>
      </c>
    </row>
    <row r="1302" spans="31:33">
      <c r="AE1302">
        <v>0</v>
      </c>
      <c r="AG1302">
        <v>0</v>
      </c>
    </row>
    <row r="1303" spans="31:33">
      <c r="AE1303">
        <v>0</v>
      </c>
      <c r="AG1303">
        <v>0</v>
      </c>
    </row>
    <row r="1304" spans="31:33">
      <c r="AE1304">
        <v>0</v>
      </c>
      <c r="AG1304">
        <v>0</v>
      </c>
    </row>
    <row r="1305" spans="31:33">
      <c r="AE1305">
        <v>0</v>
      </c>
      <c r="AG1305">
        <v>0</v>
      </c>
    </row>
    <row r="1306" spans="31:33">
      <c r="AE1306">
        <v>0</v>
      </c>
      <c r="AG1306">
        <v>0</v>
      </c>
    </row>
    <row r="1307" spans="31:33">
      <c r="AE1307">
        <v>0</v>
      </c>
      <c r="AG1307">
        <v>0</v>
      </c>
    </row>
    <row r="1308" spans="31:33">
      <c r="AE1308">
        <v>0</v>
      </c>
      <c r="AG1308">
        <v>0</v>
      </c>
    </row>
    <row r="1309" spans="31:33">
      <c r="AE1309">
        <v>0</v>
      </c>
      <c r="AG1309">
        <v>0</v>
      </c>
    </row>
    <row r="1310" spans="31:33">
      <c r="AE1310">
        <v>0</v>
      </c>
      <c r="AG1310">
        <v>0</v>
      </c>
    </row>
    <row r="1311" spans="31:33">
      <c r="AE1311">
        <v>0</v>
      </c>
      <c r="AG1311">
        <v>0</v>
      </c>
    </row>
    <row r="1312" spans="31:33">
      <c r="AE1312">
        <v>0</v>
      </c>
      <c r="AG1312">
        <v>0</v>
      </c>
    </row>
    <row r="1313" spans="31:33">
      <c r="AE1313">
        <v>0</v>
      </c>
      <c r="AG1313">
        <v>0</v>
      </c>
    </row>
    <row r="1314" spans="31:33">
      <c r="AE1314">
        <v>0</v>
      </c>
      <c r="AG1314">
        <v>0</v>
      </c>
    </row>
    <row r="1315" spans="31:33">
      <c r="AE1315">
        <v>0</v>
      </c>
      <c r="AG1315">
        <v>0</v>
      </c>
    </row>
    <row r="1316" spans="31:33">
      <c r="AE1316">
        <v>0</v>
      </c>
      <c r="AG1316">
        <v>0</v>
      </c>
    </row>
    <row r="1317" spans="31:33">
      <c r="AE1317">
        <v>0</v>
      </c>
      <c r="AG1317">
        <v>0</v>
      </c>
    </row>
    <row r="1318" spans="31:33">
      <c r="AE1318">
        <v>0</v>
      </c>
      <c r="AG1318">
        <v>0</v>
      </c>
    </row>
    <row r="1319" spans="31:33">
      <c r="AE1319">
        <v>0</v>
      </c>
      <c r="AG1319">
        <v>0</v>
      </c>
    </row>
    <row r="1320" spans="31:33">
      <c r="AE1320">
        <v>0</v>
      </c>
      <c r="AG1320">
        <v>0</v>
      </c>
    </row>
    <row r="1321" spans="31:33">
      <c r="AE1321">
        <v>0</v>
      </c>
      <c r="AG1321">
        <v>0</v>
      </c>
    </row>
    <row r="1322" spans="31:33">
      <c r="AE1322">
        <v>0</v>
      </c>
      <c r="AG1322">
        <v>0</v>
      </c>
    </row>
    <row r="1323" spans="31:33">
      <c r="AE1323">
        <v>0</v>
      </c>
      <c r="AG1323">
        <v>0</v>
      </c>
    </row>
    <row r="1324" spans="31:33">
      <c r="AE1324">
        <v>0</v>
      </c>
      <c r="AG1324">
        <v>0</v>
      </c>
    </row>
    <row r="1325" spans="31:33">
      <c r="AE1325">
        <v>0</v>
      </c>
      <c r="AG1325">
        <v>0</v>
      </c>
    </row>
    <row r="1326" spans="31:33">
      <c r="AE1326">
        <v>0</v>
      </c>
      <c r="AG1326">
        <v>0</v>
      </c>
    </row>
    <row r="1327" spans="31:33">
      <c r="AE1327">
        <v>0</v>
      </c>
      <c r="AG1327">
        <v>0</v>
      </c>
    </row>
    <row r="1328" spans="31:33">
      <c r="AE1328">
        <v>0</v>
      </c>
      <c r="AG1328">
        <v>0</v>
      </c>
    </row>
    <row r="1329" spans="31:33">
      <c r="AE1329">
        <v>0</v>
      </c>
      <c r="AG1329">
        <v>0</v>
      </c>
    </row>
    <row r="1330" spans="31:33">
      <c r="AE1330">
        <v>0</v>
      </c>
      <c r="AG1330">
        <v>0</v>
      </c>
    </row>
    <row r="1331" spans="31:33">
      <c r="AE1331">
        <v>0</v>
      </c>
      <c r="AG1331">
        <v>0</v>
      </c>
    </row>
    <row r="1332" spans="31:33">
      <c r="AE1332">
        <v>0</v>
      </c>
      <c r="AG1332">
        <v>0</v>
      </c>
    </row>
    <row r="1333" spans="31:33">
      <c r="AE1333">
        <v>0</v>
      </c>
      <c r="AG1333">
        <v>0</v>
      </c>
    </row>
    <row r="1334" spans="31:33">
      <c r="AE1334">
        <v>0</v>
      </c>
      <c r="AG1334">
        <v>0</v>
      </c>
    </row>
    <row r="1335" spans="31:33">
      <c r="AE1335">
        <v>0</v>
      </c>
      <c r="AG1335">
        <v>0</v>
      </c>
    </row>
    <row r="1336" spans="31:33">
      <c r="AE1336">
        <v>0</v>
      </c>
      <c r="AG1336">
        <v>0</v>
      </c>
    </row>
    <row r="1337" spans="31:33">
      <c r="AE1337">
        <v>0</v>
      </c>
      <c r="AG1337">
        <v>0</v>
      </c>
    </row>
    <row r="1338" spans="31:33">
      <c r="AE1338">
        <v>0</v>
      </c>
      <c r="AG1338">
        <v>0</v>
      </c>
    </row>
    <row r="1339" spans="31:33">
      <c r="AE1339">
        <v>0</v>
      </c>
      <c r="AG1339">
        <v>0</v>
      </c>
    </row>
    <row r="1340" spans="31:33">
      <c r="AE1340">
        <v>0</v>
      </c>
      <c r="AG1340">
        <v>0</v>
      </c>
    </row>
    <row r="1341" spans="31:33">
      <c r="AE1341">
        <v>0</v>
      </c>
      <c r="AG1341">
        <v>0</v>
      </c>
    </row>
    <row r="1342" spans="31:33">
      <c r="AE1342">
        <v>0</v>
      </c>
      <c r="AG1342">
        <v>0</v>
      </c>
    </row>
    <row r="1343" spans="31:33">
      <c r="AE1343">
        <v>0</v>
      </c>
      <c r="AG1343">
        <v>0</v>
      </c>
    </row>
    <row r="1344" spans="31:33">
      <c r="AE1344">
        <v>0</v>
      </c>
      <c r="AG1344">
        <v>0</v>
      </c>
    </row>
    <row r="1345" spans="31:33">
      <c r="AE1345">
        <v>0</v>
      </c>
      <c r="AG1345">
        <v>0</v>
      </c>
    </row>
    <row r="1346" spans="31:33">
      <c r="AE1346">
        <v>0</v>
      </c>
      <c r="AG1346">
        <v>0</v>
      </c>
    </row>
    <row r="1347" spans="31:33">
      <c r="AE1347">
        <v>0</v>
      </c>
      <c r="AG1347">
        <v>0</v>
      </c>
    </row>
    <row r="1348" spans="31:33">
      <c r="AE1348">
        <v>0</v>
      </c>
      <c r="AG1348">
        <v>0</v>
      </c>
    </row>
    <row r="1349" spans="31:33">
      <c r="AE1349">
        <v>0</v>
      </c>
      <c r="AG1349">
        <v>0</v>
      </c>
    </row>
    <row r="1350" spans="31:33">
      <c r="AE1350">
        <v>0</v>
      </c>
      <c r="AG1350">
        <v>0</v>
      </c>
    </row>
    <row r="1351" spans="31:33">
      <c r="AE1351">
        <v>0</v>
      </c>
      <c r="AG1351">
        <v>0</v>
      </c>
    </row>
    <row r="1352" spans="31:33">
      <c r="AE1352">
        <v>0</v>
      </c>
      <c r="AG1352">
        <v>0</v>
      </c>
    </row>
    <row r="1353" spans="31:33">
      <c r="AE1353">
        <v>0</v>
      </c>
      <c r="AG1353">
        <v>0</v>
      </c>
    </row>
    <row r="1354" spans="31:33">
      <c r="AE1354">
        <v>0</v>
      </c>
      <c r="AG1354">
        <v>0</v>
      </c>
    </row>
    <row r="1355" spans="31:33">
      <c r="AE1355">
        <v>0</v>
      </c>
      <c r="AG1355">
        <v>0</v>
      </c>
    </row>
    <row r="1356" spans="31:33">
      <c r="AE1356">
        <v>0</v>
      </c>
      <c r="AG1356">
        <v>0</v>
      </c>
    </row>
    <row r="1357" spans="31:33">
      <c r="AE1357">
        <v>0</v>
      </c>
      <c r="AG1357">
        <v>0</v>
      </c>
    </row>
    <row r="1358" spans="31:33">
      <c r="AE1358">
        <v>0</v>
      </c>
      <c r="AG1358">
        <v>0</v>
      </c>
    </row>
    <row r="1359" spans="31:33">
      <c r="AE1359">
        <v>0</v>
      </c>
      <c r="AG1359">
        <v>0</v>
      </c>
    </row>
    <row r="1360" spans="31:33">
      <c r="AE1360">
        <v>0</v>
      </c>
      <c r="AG1360">
        <v>0</v>
      </c>
    </row>
    <row r="1361" spans="31:33">
      <c r="AE1361">
        <v>0</v>
      </c>
      <c r="AG1361">
        <v>0</v>
      </c>
    </row>
    <row r="1362" spans="31:33">
      <c r="AE1362">
        <v>0</v>
      </c>
      <c r="AG1362">
        <v>0</v>
      </c>
    </row>
    <row r="1363" spans="31:33">
      <c r="AE1363">
        <v>0</v>
      </c>
      <c r="AG1363">
        <v>0</v>
      </c>
    </row>
    <row r="1364" spans="31:33">
      <c r="AE1364">
        <v>0</v>
      </c>
      <c r="AG1364">
        <v>0</v>
      </c>
    </row>
    <row r="1365" spans="31:33">
      <c r="AE1365">
        <v>0</v>
      </c>
      <c r="AG1365">
        <v>0</v>
      </c>
    </row>
    <row r="1366" spans="31:33">
      <c r="AE1366">
        <v>0</v>
      </c>
      <c r="AG1366">
        <v>0</v>
      </c>
    </row>
    <row r="1367" spans="31:33">
      <c r="AE1367">
        <v>0</v>
      </c>
      <c r="AG1367">
        <v>0</v>
      </c>
    </row>
    <row r="1368" spans="31:33">
      <c r="AE1368">
        <v>0</v>
      </c>
      <c r="AG1368">
        <v>0</v>
      </c>
    </row>
    <row r="1369" spans="31:33">
      <c r="AE1369">
        <v>0</v>
      </c>
      <c r="AG1369">
        <v>0</v>
      </c>
    </row>
    <row r="1370" spans="31:33">
      <c r="AE1370">
        <v>0</v>
      </c>
      <c r="AG1370">
        <v>0</v>
      </c>
    </row>
    <row r="1371" spans="31:33">
      <c r="AE1371">
        <v>0</v>
      </c>
      <c r="AG1371">
        <v>0</v>
      </c>
    </row>
    <row r="1372" spans="31:33">
      <c r="AE1372">
        <v>0</v>
      </c>
      <c r="AG1372">
        <v>0</v>
      </c>
    </row>
    <row r="1373" spans="31:33">
      <c r="AE1373">
        <v>0</v>
      </c>
      <c r="AG1373">
        <v>0</v>
      </c>
    </row>
    <row r="1374" spans="31:33">
      <c r="AE1374">
        <v>0</v>
      </c>
      <c r="AG1374">
        <v>0</v>
      </c>
    </row>
    <row r="1375" spans="31:33">
      <c r="AE1375">
        <v>0</v>
      </c>
      <c r="AG1375">
        <v>0</v>
      </c>
    </row>
    <row r="1376" spans="31:33">
      <c r="AE1376">
        <v>0</v>
      </c>
      <c r="AG1376">
        <v>0</v>
      </c>
    </row>
    <row r="1377" spans="31:33">
      <c r="AE1377">
        <v>0</v>
      </c>
      <c r="AG1377">
        <v>0</v>
      </c>
    </row>
    <row r="1378" spans="31:33">
      <c r="AE1378">
        <v>0</v>
      </c>
      <c r="AG1378">
        <v>0</v>
      </c>
    </row>
    <row r="1379" spans="31:33">
      <c r="AE1379">
        <v>0</v>
      </c>
      <c r="AG1379">
        <v>0</v>
      </c>
    </row>
    <row r="1380" spans="31:33">
      <c r="AE1380">
        <v>0</v>
      </c>
      <c r="AG1380">
        <v>0</v>
      </c>
    </row>
    <row r="1381" spans="31:33">
      <c r="AE1381">
        <v>0</v>
      </c>
      <c r="AG1381">
        <v>0</v>
      </c>
    </row>
    <row r="1382" spans="31:33">
      <c r="AE1382">
        <v>0</v>
      </c>
      <c r="AG1382">
        <v>0</v>
      </c>
    </row>
    <row r="1383" spans="31:33">
      <c r="AE1383">
        <v>0</v>
      </c>
      <c r="AG1383">
        <v>0</v>
      </c>
    </row>
    <row r="1384" spans="31:33">
      <c r="AE1384">
        <v>0</v>
      </c>
      <c r="AG1384">
        <v>0</v>
      </c>
    </row>
    <row r="1385" spans="31:33">
      <c r="AE1385">
        <v>0</v>
      </c>
      <c r="AG1385">
        <v>0</v>
      </c>
    </row>
    <row r="1386" spans="31:33">
      <c r="AE1386">
        <v>0</v>
      </c>
      <c r="AG1386">
        <v>0</v>
      </c>
    </row>
    <row r="1387" spans="31:33">
      <c r="AE1387">
        <v>0</v>
      </c>
      <c r="AG1387">
        <v>0</v>
      </c>
    </row>
    <row r="1388" spans="31:33">
      <c r="AE1388">
        <v>0</v>
      </c>
      <c r="AG1388">
        <v>0</v>
      </c>
    </row>
    <row r="1389" spans="31:33">
      <c r="AE1389">
        <v>0</v>
      </c>
      <c r="AG1389">
        <v>0</v>
      </c>
    </row>
    <row r="1390" spans="31:33">
      <c r="AE1390">
        <v>0</v>
      </c>
      <c r="AG1390">
        <v>0</v>
      </c>
    </row>
    <row r="1391" spans="31:33">
      <c r="AE1391">
        <v>0</v>
      </c>
      <c r="AG1391">
        <v>0</v>
      </c>
    </row>
    <row r="1392" spans="31:33">
      <c r="AE1392">
        <v>0</v>
      </c>
      <c r="AG1392">
        <v>0</v>
      </c>
    </row>
    <row r="1393" spans="31:33">
      <c r="AE1393">
        <v>0</v>
      </c>
      <c r="AG1393">
        <v>0</v>
      </c>
    </row>
    <row r="1394" spans="31:33">
      <c r="AE1394">
        <v>0</v>
      </c>
      <c r="AG1394">
        <v>0</v>
      </c>
    </row>
    <row r="1395" spans="31:33">
      <c r="AE1395">
        <v>0</v>
      </c>
      <c r="AG1395">
        <v>0</v>
      </c>
    </row>
    <row r="1396" spans="31:33">
      <c r="AE1396">
        <v>0</v>
      </c>
      <c r="AG1396">
        <v>0</v>
      </c>
    </row>
    <row r="1397" spans="31:33">
      <c r="AE1397">
        <v>0</v>
      </c>
      <c r="AG1397">
        <v>0</v>
      </c>
    </row>
    <row r="1398" spans="31:33">
      <c r="AE1398">
        <v>0</v>
      </c>
      <c r="AG1398">
        <v>0</v>
      </c>
    </row>
    <row r="1399" spans="31:33">
      <c r="AE1399">
        <v>0</v>
      </c>
      <c r="AG1399">
        <v>0</v>
      </c>
    </row>
    <row r="1400" spans="31:33">
      <c r="AE1400">
        <v>0</v>
      </c>
      <c r="AG1400">
        <v>0</v>
      </c>
    </row>
    <row r="1401" spans="31:33">
      <c r="AE1401">
        <v>0</v>
      </c>
      <c r="AG1401">
        <v>0</v>
      </c>
    </row>
    <row r="1402" spans="31:33">
      <c r="AE1402">
        <v>0</v>
      </c>
      <c r="AG1402">
        <v>0</v>
      </c>
    </row>
    <row r="1403" spans="31:33">
      <c r="AE1403">
        <v>0</v>
      </c>
      <c r="AG1403">
        <v>0</v>
      </c>
    </row>
    <row r="1404" spans="31:33">
      <c r="AE1404">
        <v>0</v>
      </c>
      <c r="AG1404">
        <v>0</v>
      </c>
    </row>
    <row r="1405" spans="31:33">
      <c r="AE1405">
        <v>0</v>
      </c>
      <c r="AG1405">
        <v>0</v>
      </c>
    </row>
    <row r="1406" spans="31:33">
      <c r="AE1406">
        <v>0</v>
      </c>
      <c r="AG1406">
        <v>0</v>
      </c>
    </row>
    <row r="1407" spans="31:33">
      <c r="AE1407">
        <v>0</v>
      </c>
      <c r="AG1407">
        <v>0</v>
      </c>
    </row>
    <row r="1408" spans="31:33">
      <c r="AE1408">
        <v>0</v>
      </c>
      <c r="AG1408">
        <v>0</v>
      </c>
    </row>
    <row r="1409" spans="31:33">
      <c r="AE1409">
        <v>0</v>
      </c>
      <c r="AG1409">
        <v>0</v>
      </c>
    </row>
    <row r="1410" spans="31:33">
      <c r="AE1410">
        <v>0</v>
      </c>
      <c r="AG1410">
        <v>0</v>
      </c>
    </row>
    <row r="1411" spans="31:33">
      <c r="AE1411">
        <v>0</v>
      </c>
      <c r="AG1411">
        <v>0</v>
      </c>
    </row>
    <row r="1412" spans="31:33">
      <c r="AE1412">
        <v>0</v>
      </c>
      <c r="AG1412">
        <v>0</v>
      </c>
    </row>
    <row r="1413" spans="31:33">
      <c r="AE1413">
        <v>0</v>
      </c>
      <c r="AG1413">
        <v>0</v>
      </c>
    </row>
    <row r="1414" spans="31:33">
      <c r="AE1414">
        <v>0</v>
      </c>
      <c r="AG1414">
        <v>0</v>
      </c>
    </row>
    <row r="1415" spans="31:33">
      <c r="AE1415">
        <v>0</v>
      </c>
      <c r="AG1415">
        <v>0</v>
      </c>
    </row>
    <row r="1416" spans="31:33">
      <c r="AE1416">
        <v>0</v>
      </c>
      <c r="AG1416">
        <v>0</v>
      </c>
    </row>
    <row r="1417" spans="31:33">
      <c r="AE1417">
        <v>0</v>
      </c>
      <c r="AG1417">
        <v>0</v>
      </c>
    </row>
    <row r="1418" spans="31:33">
      <c r="AE1418">
        <v>0</v>
      </c>
      <c r="AG1418">
        <v>0</v>
      </c>
    </row>
    <row r="1419" spans="31:33">
      <c r="AE1419">
        <v>0</v>
      </c>
      <c r="AG1419">
        <v>0</v>
      </c>
    </row>
    <row r="1420" spans="31:33">
      <c r="AE1420">
        <v>0</v>
      </c>
      <c r="AG1420">
        <v>0</v>
      </c>
    </row>
    <row r="1421" spans="31:33">
      <c r="AE1421">
        <v>0</v>
      </c>
      <c r="AG1421">
        <v>0</v>
      </c>
    </row>
    <row r="1422" spans="31:33">
      <c r="AE1422">
        <v>0</v>
      </c>
      <c r="AG1422">
        <v>0</v>
      </c>
    </row>
    <row r="1423" spans="31:33">
      <c r="AE1423">
        <v>0</v>
      </c>
      <c r="AG1423">
        <v>0</v>
      </c>
    </row>
    <row r="1424" spans="31:33">
      <c r="AE1424">
        <v>0</v>
      </c>
      <c r="AG1424">
        <v>0</v>
      </c>
    </row>
    <row r="1425" spans="31:33">
      <c r="AE1425">
        <v>0</v>
      </c>
      <c r="AG1425">
        <v>0</v>
      </c>
    </row>
    <row r="1426" spans="31:33">
      <c r="AE1426">
        <v>0</v>
      </c>
      <c r="AG1426">
        <v>0</v>
      </c>
    </row>
    <row r="1427" spans="31:33">
      <c r="AE1427">
        <v>0</v>
      </c>
      <c r="AG1427">
        <v>0</v>
      </c>
    </row>
    <row r="1428" spans="31:33">
      <c r="AE1428">
        <v>0</v>
      </c>
      <c r="AG1428">
        <v>0</v>
      </c>
    </row>
    <row r="1429" spans="31:33">
      <c r="AE1429">
        <v>0</v>
      </c>
      <c r="AG1429">
        <v>0</v>
      </c>
    </row>
    <row r="1430" spans="31:33">
      <c r="AE1430">
        <v>0</v>
      </c>
      <c r="AG1430">
        <v>0</v>
      </c>
    </row>
    <row r="1431" spans="31:33">
      <c r="AE1431">
        <v>0</v>
      </c>
      <c r="AG1431">
        <v>0</v>
      </c>
    </row>
    <row r="1432" spans="31:33">
      <c r="AE1432">
        <v>0</v>
      </c>
      <c r="AG1432">
        <v>0</v>
      </c>
    </row>
    <row r="1433" spans="31:33">
      <c r="AE1433">
        <v>0</v>
      </c>
      <c r="AG1433">
        <v>0</v>
      </c>
    </row>
    <row r="1434" spans="31:33">
      <c r="AE1434">
        <v>0</v>
      </c>
      <c r="AG1434">
        <v>0</v>
      </c>
    </row>
    <row r="1435" spans="31:33">
      <c r="AE1435">
        <v>0</v>
      </c>
      <c r="AG1435">
        <v>0</v>
      </c>
    </row>
    <row r="1436" spans="31:33">
      <c r="AE1436">
        <v>0</v>
      </c>
      <c r="AG1436">
        <v>0</v>
      </c>
    </row>
    <row r="1437" spans="31:33">
      <c r="AE1437">
        <v>0</v>
      </c>
      <c r="AG1437">
        <v>0</v>
      </c>
    </row>
    <row r="1438" spans="31:33">
      <c r="AE1438">
        <v>0</v>
      </c>
      <c r="AG1438">
        <v>0</v>
      </c>
    </row>
    <row r="1439" spans="31:33">
      <c r="AE1439">
        <v>0</v>
      </c>
      <c r="AG1439">
        <v>0</v>
      </c>
    </row>
    <row r="1440" spans="31:33">
      <c r="AE1440">
        <v>0</v>
      </c>
      <c r="AG1440">
        <v>0</v>
      </c>
    </row>
    <row r="1441" spans="31:33">
      <c r="AE1441">
        <v>0</v>
      </c>
      <c r="AG1441">
        <v>0</v>
      </c>
    </row>
    <row r="1442" spans="31:33">
      <c r="AE1442">
        <v>0</v>
      </c>
      <c r="AG1442">
        <v>0</v>
      </c>
    </row>
    <row r="1443" spans="31:33">
      <c r="AE1443">
        <v>0</v>
      </c>
      <c r="AG1443">
        <v>0</v>
      </c>
    </row>
    <row r="1444" spans="31:33">
      <c r="AE1444">
        <v>0</v>
      </c>
      <c r="AG1444">
        <v>0</v>
      </c>
    </row>
    <row r="1445" spans="31:33">
      <c r="AE1445">
        <v>0</v>
      </c>
      <c r="AG1445">
        <v>0</v>
      </c>
    </row>
    <row r="1446" spans="31:33">
      <c r="AE1446">
        <v>0</v>
      </c>
      <c r="AG1446">
        <v>0</v>
      </c>
    </row>
    <row r="1447" spans="31:33">
      <c r="AE1447">
        <v>0</v>
      </c>
      <c r="AG1447">
        <v>0</v>
      </c>
    </row>
    <row r="1448" spans="31:33">
      <c r="AE1448">
        <v>0</v>
      </c>
      <c r="AG1448">
        <v>0</v>
      </c>
    </row>
    <row r="1449" spans="31:33">
      <c r="AE1449">
        <v>0</v>
      </c>
      <c r="AG1449">
        <v>0</v>
      </c>
    </row>
    <row r="1450" spans="31:33">
      <c r="AE1450">
        <v>0</v>
      </c>
      <c r="AG1450">
        <v>0</v>
      </c>
    </row>
    <row r="1451" spans="31:33">
      <c r="AE1451">
        <v>0</v>
      </c>
      <c r="AG1451">
        <v>0</v>
      </c>
    </row>
    <row r="1452" spans="31:33">
      <c r="AE1452">
        <v>0</v>
      </c>
      <c r="AG1452">
        <v>0</v>
      </c>
    </row>
    <row r="1453" spans="31:33">
      <c r="AE1453">
        <v>0</v>
      </c>
      <c r="AG1453">
        <v>0</v>
      </c>
    </row>
    <row r="1454" spans="31:33">
      <c r="AE1454">
        <v>0</v>
      </c>
      <c r="AG1454">
        <v>0</v>
      </c>
    </row>
    <row r="1455" spans="31:33">
      <c r="AE1455">
        <v>0</v>
      </c>
      <c r="AG1455">
        <v>0</v>
      </c>
    </row>
    <row r="1456" spans="31:33">
      <c r="AE1456">
        <v>0</v>
      </c>
      <c r="AG1456">
        <v>0</v>
      </c>
    </row>
    <row r="1457" spans="31:33">
      <c r="AE1457">
        <v>0</v>
      </c>
      <c r="AG1457">
        <v>0</v>
      </c>
    </row>
    <row r="1458" spans="31:33">
      <c r="AE1458">
        <v>0</v>
      </c>
      <c r="AG1458">
        <v>0</v>
      </c>
    </row>
    <row r="1459" spans="31:33">
      <c r="AE1459">
        <v>0</v>
      </c>
      <c r="AG1459">
        <v>0</v>
      </c>
    </row>
    <row r="1460" spans="31:33">
      <c r="AE1460">
        <v>0</v>
      </c>
      <c r="AG1460">
        <v>0</v>
      </c>
    </row>
    <row r="1461" spans="31:33">
      <c r="AE1461">
        <v>0</v>
      </c>
      <c r="AG1461">
        <v>0</v>
      </c>
    </row>
    <row r="1462" spans="31:33">
      <c r="AE1462">
        <v>0</v>
      </c>
      <c r="AG1462">
        <v>0</v>
      </c>
    </row>
    <row r="1463" spans="31:33">
      <c r="AE1463">
        <v>0</v>
      </c>
      <c r="AG1463">
        <v>0</v>
      </c>
    </row>
    <row r="1464" spans="31:33">
      <c r="AE1464">
        <v>0</v>
      </c>
      <c r="AG1464">
        <v>0</v>
      </c>
    </row>
    <row r="1465" spans="31:33">
      <c r="AE1465">
        <v>0</v>
      </c>
      <c r="AG1465">
        <v>0</v>
      </c>
    </row>
    <row r="1466" spans="31:33">
      <c r="AE1466">
        <v>0</v>
      </c>
      <c r="AG1466">
        <v>0</v>
      </c>
    </row>
    <row r="1467" spans="31:33">
      <c r="AE1467">
        <v>0</v>
      </c>
      <c r="AG1467">
        <v>0</v>
      </c>
    </row>
    <row r="1468" spans="31:33">
      <c r="AE1468">
        <v>0</v>
      </c>
      <c r="AG1468">
        <v>0</v>
      </c>
    </row>
    <row r="1469" spans="31:33">
      <c r="AE1469">
        <v>0</v>
      </c>
      <c r="AG1469">
        <v>0</v>
      </c>
    </row>
    <row r="1470" spans="31:33">
      <c r="AE1470">
        <v>0</v>
      </c>
      <c r="AG1470">
        <v>0</v>
      </c>
    </row>
    <row r="1471" spans="31:33">
      <c r="AE1471">
        <v>0</v>
      </c>
      <c r="AG1471">
        <v>0</v>
      </c>
    </row>
    <row r="1472" spans="31:33">
      <c r="AE1472">
        <v>0</v>
      </c>
      <c r="AG1472">
        <v>0</v>
      </c>
    </row>
    <row r="1473" spans="31:33">
      <c r="AE1473">
        <v>0</v>
      </c>
      <c r="AG1473">
        <v>0</v>
      </c>
    </row>
    <row r="1474" spans="31:33">
      <c r="AE1474">
        <v>0</v>
      </c>
      <c r="AG1474">
        <v>0</v>
      </c>
    </row>
    <row r="1475" spans="31:33">
      <c r="AE1475">
        <v>0</v>
      </c>
      <c r="AG1475">
        <v>0</v>
      </c>
    </row>
    <row r="1476" spans="31:33">
      <c r="AE1476">
        <v>0</v>
      </c>
      <c r="AG1476">
        <v>0</v>
      </c>
    </row>
    <row r="1477" spans="31:33">
      <c r="AE1477">
        <v>0</v>
      </c>
      <c r="AG1477">
        <v>0</v>
      </c>
    </row>
    <row r="1478" spans="31:33">
      <c r="AE1478">
        <v>0</v>
      </c>
      <c r="AG1478">
        <v>0</v>
      </c>
    </row>
    <row r="1479" spans="31:33">
      <c r="AE1479">
        <v>0</v>
      </c>
      <c r="AG1479">
        <v>0</v>
      </c>
    </row>
    <row r="1480" spans="31:33">
      <c r="AE1480">
        <v>0</v>
      </c>
      <c r="AG1480">
        <v>0</v>
      </c>
    </row>
    <row r="1481" spans="31:33">
      <c r="AE1481">
        <v>0</v>
      </c>
      <c r="AG1481">
        <v>0</v>
      </c>
    </row>
    <row r="1482" spans="31:33">
      <c r="AE1482">
        <v>0</v>
      </c>
      <c r="AG1482">
        <v>0</v>
      </c>
    </row>
    <row r="1483" spans="31:33">
      <c r="AE1483">
        <v>0</v>
      </c>
      <c r="AG1483">
        <v>0</v>
      </c>
    </row>
    <row r="1484" spans="31:33">
      <c r="AE1484">
        <v>0</v>
      </c>
      <c r="AG1484">
        <v>0</v>
      </c>
    </row>
    <row r="1485" spans="31:33">
      <c r="AE1485">
        <v>0</v>
      </c>
      <c r="AG1485">
        <v>0</v>
      </c>
    </row>
    <row r="1486" spans="31:33">
      <c r="AE1486">
        <v>0</v>
      </c>
      <c r="AG1486">
        <v>0</v>
      </c>
    </row>
    <row r="1487" spans="31:33">
      <c r="AE1487">
        <v>0</v>
      </c>
      <c r="AG1487">
        <v>0</v>
      </c>
    </row>
    <row r="1488" spans="31:33">
      <c r="AE1488">
        <v>0</v>
      </c>
      <c r="AG1488">
        <v>0</v>
      </c>
    </row>
    <row r="1489" spans="31:33">
      <c r="AE1489">
        <v>0</v>
      </c>
      <c r="AG1489">
        <v>0</v>
      </c>
    </row>
    <row r="1490" spans="31:33">
      <c r="AE1490">
        <v>0</v>
      </c>
      <c r="AG1490">
        <v>0</v>
      </c>
    </row>
    <row r="1491" spans="31:33">
      <c r="AE1491">
        <v>0</v>
      </c>
      <c r="AG1491">
        <v>0</v>
      </c>
    </row>
    <row r="1492" spans="31:33">
      <c r="AE1492">
        <v>0</v>
      </c>
      <c r="AG1492">
        <v>0</v>
      </c>
    </row>
    <row r="1493" spans="31:33">
      <c r="AE1493">
        <v>0</v>
      </c>
      <c r="AG1493">
        <v>0</v>
      </c>
    </row>
    <row r="1494" spans="31:33">
      <c r="AE1494">
        <v>0</v>
      </c>
      <c r="AG1494">
        <v>0</v>
      </c>
    </row>
    <row r="1495" spans="31:33">
      <c r="AE1495">
        <v>0</v>
      </c>
      <c r="AG1495">
        <v>0</v>
      </c>
    </row>
    <row r="1496" spans="31:33">
      <c r="AE1496">
        <v>0</v>
      </c>
      <c r="AG1496">
        <v>0</v>
      </c>
    </row>
    <row r="1497" spans="31:33">
      <c r="AE1497">
        <v>0</v>
      </c>
      <c r="AG1497">
        <v>0</v>
      </c>
    </row>
    <row r="1498" spans="31:33">
      <c r="AE1498" s="31">
        <v>-50039.18</v>
      </c>
      <c r="AG1498" s="31">
        <v>-50039.18</v>
      </c>
    </row>
    <row r="1499" spans="31:33">
      <c r="AE1499">
        <v>0</v>
      </c>
      <c r="AG1499">
        <v>0</v>
      </c>
    </row>
    <row r="1500" spans="31:33">
      <c r="AE1500">
        <v>0</v>
      </c>
      <c r="AG1500">
        <v>0</v>
      </c>
    </row>
    <row r="1501" spans="31:33">
      <c r="AE1501">
        <v>0</v>
      </c>
      <c r="AG1501">
        <v>0</v>
      </c>
    </row>
    <row r="1502" spans="31:33">
      <c r="AE1502">
        <v>0</v>
      </c>
      <c r="AG1502">
        <v>0</v>
      </c>
    </row>
    <row r="1503" spans="31:33">
      <c r="AE1503">
        <v>0</v>
      </c>
      <c r="AG1503">
        <v>0</v>
      </c>
    </row>
    <row r="1504" spans="31:33">
      <c r="AE1504">
        <v>0</v>
      </c>
      <c r="AG1504">
        <v>0</v>
      </c>
    </row>
    <row r="1505" spans="31:33">
      <c r="AE1505">
        <v>0</v>
      </c>
      <c r="AG1505" s="31">
        <v>452657.94</v>
      </c>
    </row>
    <row r="1506" spans="31:33">
      <c r="AE1506">
        <v>0</v>
      </c>
      <c r="AG1506">
        <v>0</v>
      </c>
    </row>
    <row r="1507" spans="31:33">
      <c r="AE1507">
        <v>0</v>
      </c>
      <c r="AG1507" s="31">
        <v>-90417.46</v>
      </c>
    </row>
    <row r="1508" spans="31:33">
      <c r="AE1508">
        <v>0</v>
      </c>
      <c r="AG1508">
        <v>0</v>
      </c>
    </row>
    <row r="1509" spans="31:33">
      <c r="AE1509">
        <v>0</v>
      </c>
      <c r="AG1509">
        <v>0</v>
      </c>
    </row>
    <row r="1510" spans="31:33">
      <c r="AE1510">
        <v>0</v>
      </c>
      <c r="AG1510">
        <v>0</v>
      </c>
    </row>
    <row r="1511" spans="31:33">
      <c r="AE1511">
        <v>0</v>
      </c>
      <c r="AG1511">
        <v>0</v>
      </c>
    </row>
    <row r="1512" spans="31:33">
      <c r="AE1512">
        <v>0</v>
      </c>
      <c r="AG1512">
        <v>0</v>
      </c>
    </row>
    <row r="1513" spans="31:33">
      <c r="AE1513">
        <v>0</v>
      </c>
      <c r="AG1513">
        <v>0</v>
      </c>
    </row>
    <row r="1514" spans="31:33">
      <c r="AE1514">
        <v>0</v>
      </c>
      <c r="AG1514">
        <v>0</v>
      </c>
    </row>
    <row r="1515" spans="31:33">
      <c r="AE1515">
        <v>0</v>
      </c>
      <c r="AG1515">
        <v>0</v>
      </c>
    </row>
    <row r="1516" spans="31:33">
      <c r="AE1516">
        <v>0</v>
      </c>
      <c r="AG1516">
        <v>0</v>
      </c>
    </row>
    <row r="1517" spans="31:33">
      <c r="AE1517">
        <v>0</v>
      </c>
      <c r="AG1517">
        <v>0</v>
      </c>
    </row>
    <row r="1518" spans="31:33">
      <c r="AE1518">
        <v>0</v>
      </c>
      <c r="AG1518">
        <v>0</v>
      </c>
    </row>
    <row r="1519" spans="31:33">
      <c r="AE1519">
        <v>0</v>
      </c>
      <c r="AG1519">
        <v>0</v>
      </c>
    </row>
    <row r="1520" spans="31:33">
      <c r="AE1520" s="31">
        <v>407617.19</v>
      </c>
      <c r="AG1520">
        <v>0</v>
      </c>
    </row>
    <row r="1521" spans="31:33">
      <c r="AE1521">
        <v>0</v>
      </c>
      <c r="AG1521">
        <v>0</v>
      </c>
    </row>
    <row r="1522" spans="31:33">
      <c r="AE1522" s="31">
        <v>368078.99</v>
      </c>
      <c r="AG1522">
        <v>0</v>
      </c>
    </row>
    <row r="1523" spans="31:33">
      <c r="AE1523">
        <v>0</v>
      </c>
      <c r="AG1523">
        <v>0</v>
      </c>
    </row>
    <row r="1524" spans="31:33">
      <c r="AE1524">
        <v>0</v>
      </c>
      <c r="AG1524">
        <v>0</v>
      </c>
    </row>
    <row r="1525" spans="31:33">
      <c r="AE1525" s="31">
        <v>-166694.18</v>
      </c>
      <c r="AG1525">
        <v>0</v>
      </c>
    </row>
    <row r="1526" spans="31:33">
      <c r="AE1526">
        <v>0</v>
      </c>
      <c r="AG1526">
        <v>0</v>
      </c>
    </row>
    <row r="1527" spans="31:33">
      <c r="AE1527" s="31">
        <v>-521637.26</v>
      </c>
      <c r="AG1527">
        <v>0</v>
      </c>
    </row>
    <row r="1528" spans="31:33">
      <c r="AE1528">
        <v>0</v>
      </c>
      <c r="AG1528">
        <v>0</v>
      </c>
    </row>
    <row r="1529" spans="31:33">
      <c r="AE1529">
        <v>0</v>
      </c>
      <c r="AG1529">
        <v>0</v>
      </c>
    </row>
    <row r="1530" spans="31:33">
      <c r="AE1530">
        <v>0</v>
      </c>
      <c r="AG1530">
        <v>0</v>
      </c>
    </row>
    <row r="1531" spans="31:33">
      <c r="AE1531">
        <v>0</v>
      </c>
      <c r="AG1531">
        <v>0</v>
      </c>
    </row>
    <row r="1532" spans="31:33">
      <c r="AE1532">
        <v>0</v>
      </c>
      <c r="AG1532">
        <v>0</v>
      </c>
    </row>
    <row r="1533" spans="31:33">
      <c r="AE1533">
        <v>0</v>
      </c>
      <c r="AG1533">
        <v>0</v>
      </c>
    </row>
    <row r="1534" spans="31:33">
      <c r="AE1534">
        <v>0</v>
      </c>
      <c r="AG1534">
        <v>0</v>
      </c>
    </row>
    <row r="1535" spans="31:33">
      <c r="AE1535">
        <v>0</v>
      </c>
      <c r="AG1535">
        <v>0</v>
      </c>
    </row>
    <row r="1536" spans="31:33">
      <c r="AE1536" s="31">
        <v>-248472.3</v>
      </c>
      <c r="AG1536">
        <v>0</v>
      </c>
    </row>
    <row r="1537" spans="31:33">
      <c r="AE1537">
        <v>0</v>
      </c>
      <c r="AG1537">
        <v>0</v>
      </c>
    </row>
    <row r="1538" spans="31:33">
      <c r="AE1538">
        <v>0</v>
      </c>
      <c r="AG1538">
        <v>0</v>
      </c>
    </row>
    <row r="1539" spans="31:33">
      <c r="AE1539" s="31">
        <v>223937.57</v>
      </c>
      <c r="AG1539">
        <v>0</v>
      </c>
    </row>
    <row r="1540" spans="31:33">
      <c r="AE1540">
        <v>0</v>
      </c>
      <c r="AG1540">
        <v>0</v>
      </c>
    </row>
    <row r="1541" spans="31:33">
      <c r="AE1541">
        <v>0</v>
      </c>
      <c r="AG1541">
        <v>0</v>
      </c>
    </row>
    <row r="1542" spans="31:33">
      <c r="AE1542">
        <v>0</v>
      </c>
      <c r="AG1542">
        <v>0</v>
      </c>
    </row>
    <row r="1543" spans="31:33">
      <c r="AE1543" s="31">
        <v>460207.23</v>
      </c>
      <c r="AG1543">
        <v>0</v>
      </c>
    </row>
    <row r="1544" spans="31:33">
      <c r="AE1544">
        <v>0</v>
      </c>
      <c r="AG1544">
        <v>0</v>
      </c>
    </row>
    <row r="1545" spans="31:33">
      <c r="AE1545" s="31">
        <v>-160796.76</v>
      </c>
      <c r="AG1545">
        <v>0</v>
      </c>
    </row>
    <row r="1546" spans="31:33">
      <c r="AE1546">
        <v>0</v>
      </c>
      <c r="AG1546">
        <v>0</v>
      </c>
    </row>
    <row r="1547" spans="31:33">
      <c r="AE1547">
        <v>0</v>
      </c>
      <c r="AG1547">
        <v>0</v>
      </c>
    </row>
    <row r="1548" spans="31:33">
      <c r="AE1548">
        <v>0</v>
      </c>
      <c r="AG1548">
        <v>0</v>
      </c>
    </row>
    <row r="1549" spans="31:33">
      <c r="AE1549">
        <v>0</v>
      </c>
      <c r="AG1549">
        <v>0</v>
      </c>
    </row>
    <row r="1550" spans="31:33">
      <c r="AE1550">
        <v>0</v>
      </c>
      <c r="AG1550">
        <v>0</v>
      </c>
    </row>
    <row r="1551" spans="31:33">
      <c r="AE1551">
        <v>0</v>
      </c>
      <c r="AG1551">
        <v>0</v>
      </c>
    </row>
    <row r="1552" spans="31:33">
      <c r="AE1552">
        <v>0</v>
      </c>
      <c r="AG1552">
        <v>0</v>
      </c>
    </row>
    <row r="1553" spans="31:33">
      <c r="AE1553">
        <v>0</v>
      </c>
      <c r="AG1553">
        <v>0</v>
      </c>
    </row>
    <row r="1554" spans="31:33">
      <c r="AE1554">
        <v>0</v>
      </c>
      <c r="AG1554">
        <v>0</v>
      </c>
    </row>
    <row r="1555" spans="31:33">
      <c r="AE1555">
        <v>0</v>
      </c>
      <c r="AG1555">
        <v>0</v>
      </c>
    </row>
    <row r="1556" spans="31:33">
      <c r="AE1556">
        <v>0</v>
      </c>
      <c r="AG1556">
        <v>0</v>
      </c>
    </row>
    <row r="1557" spans="31:33">
      <c r="AE1557">
        <v>0</v>
      </c>
      <c r="AG1557">
        <v>0</v>
      </c>
    </row>
    <row r="1558" spans="31:33">
      <c r="AE1558">
        <v>0</v>
      </c>
      <c r="AG1558">
        <v>0</v>
      </c>
    </row>
    <row r="1559" spans="31:33">
      <c r="AE1559">
        <v>0</v>
      </c>
      <c r="AG1559">
        <v>0</v>
      </c>
    </row>
    <row r="1560" spans="31:33">
      <c r="AE1560">
        <v>0</v>
      </c>
      <c r="AG1560">
        <v>0</v>
      </c>
    </row>
    <row r="1561" spans="31:33">
      <c r="AE1561">
        <v>0</v>
      </c>
      <c r="AG1561">
        <v>0</v>
      </c>
    </row>
    <row r="1562" spans="31:33">
      <c r="AE1562">
        <v>0</v>
      </c>
      <c r="AG1562">
        <v>0</v>
      </c>
    </row>
    <row r="1563" spans="31:33">
      <c r="AE1563">
        <v>0</v>
      </c>
      <c r="AG1563">
        <v>0</v>
      </c>
    </row>
    <row r="1564" spans="31:33">
      <c r="AE1564">
        <v>0</v>
      </c>
      <c r="AG1564">
        <v>0</v>
      </c>
    </row>
    <row r="1565" spans="31:33">
      <c r="AE1565">
        <v>0</v>
      </c>
      <c r="AG1565">
        <v>0</v>
      </c>
    </row>
    <row r="1566" spans="31:33">
      <c r="AE1566">
        <v>0</v>
      </c>
      <c r="AG1566">
        <v>0</v>
      </c>
    </row>
    <row r="1567" spans="31:33">
      <c r="AE1567">
        <v>0.03</v>
      </c>
      <c r="AG1567">
        <v>0.03</v>
      </c>
    </row>
    <row r="1568" spans="31:33">
      <c r="AE1568">
        <v>0</v>
      </c>
      <c r="AG1568">
        <v>0</v>
      </c>
    </row>
    <row r="1569" spans="31:33">
      <c r="AE1569">
        <v>0</v>
      </c>
      <c r="AG1569">
        <v>0</v>
      </c>
    </row>
    <row r="1570" spans="31:33">
      <c r="AE1570">
        <v>0</v>
      </c>
      <c r="AG1570">
        <v>0</v>
      </c>
    </row>
    <row r="1571" spans="31:33">
      <c r="AE1571">
        <v>0</v>
      </c>
      <c r="AG1571">
        <v>0</v>
      </c>
    </row>
    <row r="1572" spans="31:33">
      <c r="AE1572">
        <v>0</v>
      </c>
      <c r="AG1572">
        <v>0</v>
      </c>
    </row>
    <row r="1573" spans="31:33">
      <c r="AE1573">
        <v>0</v>
      </c>
      <c r="AG1573">
        <v>0</v>
      </c>
    </row>
    <row r="1574" spans="31:33">
      <c r="AE1574">
        <v>0</v>
      </c>
      <c r="AG1574">
        <v>0</v>
      </c>
    </row>
    <row r="1575" spans="31:33">
      <c r="AE1575">
        <v>0</v>
      </c>
      <c r="AG1575">
        <v>0</v>
      </c>
    </row>
    <row r="1576" spans="31:33">
      <c r="AE1576">
        <v>0</v>
      </c>
      <c r="AG1576">
        <v>0</v>
      </c>
    </row>
    <row r="1577" spans="31:33">
      <c r="AE1577">
        <v>0</v>
      </c>
      <c r="AG1577">
        <v>0</v>
      </c>
    </row>
    <row r="1578" spans="31:33">
      <c r="AE1578">
        <v>0</v>
      </c>
      <c r="AG1578">
        <v>0</v>
      </c>
    </row>
    <row r="1579" spans="31:33">
      <c r="AE1579">
        <v>0</v>
      </c>
      <c r="AG1579">
        <v>0</v>
      </c>
    </row>
    <row r="1580" spans="31:33">
      <c r="AE1580">
        <v>0</v>
      </c>
      <c r="AG1580">
        <v>0</v>
      </c>
    </row>
    <row r="1581" spans="31:33">
      <c r="AE1581">
        <v>0</v>
      </c>
      <c r="AG1581">
        <v>0</v>
      </c>
    </row>
    <row r="1582" spans="31:33">
      <c r="AE1582">
        <v>0</v>
      </c>
      <c r="AG1582">
        <v>0</v>
      </c>
    </row>
    <row r="1583" spans="31:33">
      <c r="AE1583">
        <v>0</v>
      </c>
      <c r="AG1583">
        <v>0</v>
      </c>
    </row>
    <row r="1584" spans="31:33">
      <c r="AE1584">
        <v>0</v>
      </c>
      <c r="AG1584">
        <v>0</v>
      </c>
    </row>
    <row r="1585" spans="31:33">
      <c r="AE1585">
        <v>0</v>
      </c>
      <c r="AG1585">
        <v>0</v>
      </c>
    </row>
    <row r="1586" spans="31:33">
      <c r="AE1586">
        <v>0</v>
      </c>
      <c r="AG1586">
        <v>0</v>
      </c>
    </row>
    <row r="1587" spans="31:33">
      <c r="AE1587">
        <v>0</v>
      </c>
      <c r="AG1587">
        <v>0</v>
      </c>
    </row>
    <row r="1588" spans="31:33">
      <c r="AE1588">
        <v>0</v>
      </c>
      <c r="AG1588">
        <v>0</v>
      </c>
    </row>
    <row r="1589" spans="31:33">
      <c r="AE1589">
        <v>0</v>
      </c>
      <c r="AG1589">
        <v>0</v>
      </c>
    </row>
    <row r="1590" spans="31:33">
      <c r="AE1590">
        <v>0</v>
      </c>
      <c r="AG1590">
        <v>0</v>
      </c>
    </row>
    <row r="1591" spans="31:33">
      <c r="AE1591">
        <v>0</v>
      </c>
      <c r="AG1591">
        <v>0</v>
      </c>
    </row>
    <row r="1592" spans="31:33">
      <c r="AE1592">
        <v>0</v>
      </c>
      <c r="AG1592">
        <v>0</v>
      </c>
    </row>
    <row r="1593" spans="31:33">
      <c r="AE1593">
        <v>0</v>
      </c>
      <c r="AG1593">
        <v>0</v>
      </c>
    </row>
    <row r="1594" spans="31:33">
      <c r="AE1594">
        <v>0</v>
      </c>
      <c r="AG1594">
        <v>0</v>
      </c>
    </row>
    <row r="1595" spans="31:33">
      <c r="AE1595">
        <v>0</v>
      </c>
      <c r="AG1595">
        <v>0</v>
      </c>
    </row>
    <row r="1596" spans="31:33">
      <c r="AE1596">
        <v>0</v>
      </c>
      <c r="AG1596">
        <v>0</v>
      </c>
    </row>
    <row r="1597" spans="31:33">
      <c r="AE1597">
        <v>0</v>
      </c>
      <c r="AG1597">
        <v>0</v>
      </c>
    </row>
    <row r="1598" spans="31:33">
      <c r="AE1598">
        <v>0</v>
      </c>
      <c r="AG1598">
        <v>0</v>
      </c>
    </row>
    <row r="1599" spans="31:33">
      <c r="AE1599">
        <v>0</v>
      </c>
      <c r="AG1599">
        <v>0</v>
      </c>
    </row>
    <row r="1600" spans="31:33">
      <c r="AE1600">
        <v>0</v>
      </c>
      <c r="AG1600">
        <v>0</v>
      </c>
    </row>
    <row r="1601" spans="31:33">
      <c r="AE1601">
        <v>0</v>
      </c>
      <c r="AG1601">
        <v>0</v>
      </c>
    </row>
    <row r="1602" spans="31:33">
      <c r="AE1602">
        <v>0</v>
      </c>
      <c r="AG1602">
        <v>0</v>
      </c>
    </row>
    <row r="1603" spans="31:33">
      <c r="AE1603">
        <v>0</v>
      </c>
      <c r="AG1603">
        <v>0</v>
      </c>
    </row>
    <row r="1604" spans="31:33">
      <c r="AE1604">
        <v>0</v>
      </c>
      <c r="AG1604">
        <v>0</v>
      </c>
    </row>
    <row r="1605" spans="31:33">
      <c r="AE1605">
        <v>0</v>
      </c>
      <c r="AG1605">
        <v>0</v>
      </c>
    </row>
    <row r="1606" spans="31:33">
      <c r="AE1606">
        <v>0</v>
      </c>
      <c r="AG1606">
        <v>0</v>
      </c>
    </row>
    <row r="1607" spans="31:33">
      <c r="AE1607">
        <v>0</v>
      </c>
      <c r="AG1607">
        <v>0</v>
      </c>
    </row>
    <row r="1608" spans="31:33">
      <c r="AE1608">
        <v>0</v>
      </c>
      <c r="AG1608">
        <v>0</v>
      </c>
    </row>
    <row r="1609" spans="31:33">
      <c r="AE1609">
        <v>0</v>
      </c>
      <c r="AG1609">
        <v>0</v>
      </c>
    </row>
    <row r="1610" spans="31:33">
      <c r="AE1610">
        <v>0</v>
      </c>
      <c r="AG1610">
        <v>0</v>
      </c>
    </row>
    <row r="1611" spans="31:33">
      <c r="AE1611">
        <v>0</v>
      </c>
      <c r="AG1611">
        <v>0</v>
      </c>
    </row>
    <row r="1612" spans="31:33">
      <c r="AE1612">
        <v>0</v>
      </c>
      <c r="AG1612">
        <v>0</v>
      </c>
    </row>
    <row r="1613" spans="31:33">
      <c r="AE1613">
        <v>0</v>
      </c>
      <c r="AG1613">
        <v>0</v>
      </c>
    </row>
    <row r="1614" spans="31:33">
      <c r="AE1614">
        <v>0</v>
      </c>
      <c r="AG1614">
        <v>0</v>
      </c>
    </row>
    <row r="1615" spans="31:33">
      <c r="AE1615">
        <v>0</v>
      </c>
      <c r="AG1615">
        <v>0</v>
      </c>
    </row>
    <row r="1616" spans="31:33">
      <c r="AE1616">
        <v>0</v>
      </c>
      <c r="AG1616">
        <v>0</v>
      </c>
    </row>
    <row r="1617" spans="31:33">
      <c r="AE1617">
        <v>0</v>
      </c>
      <c r="AG1617">
        <v>0</v>
      </c>
    </row>
    <row r="1618" spans="31:33">
      <c r="AE1618">
        <v>0</v>
      </c>
      <c r="AG1618">
        <v>0</v>
      </c>
    </row>
    <row r="1619" spans="31:33">
      <c r="AE1619">
        <v>0</v>
      </c>
      <c r="AG1619">
        <v>0</v>
      </c>
    </row>
    <row r="1620" spans="31:33">
      <c r="AE1620">
        <v>0</v>
      </c>
      <c r="AG1620">
        <v>0</v>
      </c>
    </row>
    <row r="1621" spans="31:33">
      <c r="AE1621">
        <v>0</v>
      </c>
      <c r="AG1621">
        <v>0</v>
      </c>
    </row>
    <row r="1622" spans="31:33">
      <c r="AE1622">
        <v>0</v>
      </c>
      <c r="AG1622">
        <v>0</v>
      </c>
    </row>
    <row r="1623" spans="31:33">
      <c r="AE1623">
        <v>0</v>
      </c>
      <c r="AG1623">
        <v>0</v>
      </c>
    </row>
    <row r="1624" spans="31:33">
      <c r="AE1624">
        <v>0</v>
      </c>
      <c r="AG1624">
        <v>0</v>
      </c>
    </row>
    <row r="1625" spans="31:33">
      <c r="AE1625">
        <v>0</v>
      </c>
      <c r="AG1625">
        <v>0</v>
      </c>
    </row>
    <row r="1626" spans="31:33">
      <c r="AE1626">
        <v>0</v>
      </c>
      <c r="AG1626">
        <v>0</v>
      </c>
    </row>
    <row r="1627" spans="31:33">
      <c r="AE1627">
        <v>0</v>
      </c>
      <c r="AG1627">
        <v>0</v>
      </c>
    </row>
    <row r="1628" spans="31:33">
      <c r="AE1628">
        <v>0</v>
      </c>
      <c r="AG1628">
        <v>0</v>
      </c>
    </row>
    <row r="1629" spans="31:33">
      <c r="AE1629">
        <v>0</v>
      </c>
      <c r="AG1629">
        <v>0</v>
      </c>
    </row>
    <row r="1630" spans="31:33">
      <c r="AE1630">
        <v>0</v>
      </c>
      <c r="AG1630">
        <v>0</v>
      </c>
    </row>
    <row r="1631" spans="31:33">
      <c r="AE1631">
        <v>0</v>
      </c>
      <c r="AG1631">
        <v>0</v>
      </c>
    </row>
    <row r="1632" spans="31:33">
      <c r="AE1632">
        <v>0</v>
      </c>
      <c r="AG1632">
        <v>0</v>
      </c>
    </row>
    <row r="1633" spans="31:33">
      <c r="AE1633">
        <v>0</v>
      </c>
      <c r="AG1633">
        <v>0</v>
      </c>
    </row>
    <row r="1634" spans="31:33">
      <c r="AE1634">
        <v>0</v>
      </c>
      <c r="AG1634">
        <v>0</v>
      </c>
    </row>
    <row r="1635" spans="31:33">
      <c r="AE1635">
        <v>0</v>
      </c>
      <c r="AG1635">
        <v>0</v>
      </c>
    </row>
    <row r="1636" spans="31:33">
      <c r="AE1636">
        <v>0</v>
      </c>
      <c r="AG1636">
        <v>0</v>
      </c>
    </row>
    <row r="1637" spans="31:33">
      <c r="AE1637">
        <v>0</v>
      </c>
      <c r="AG1637">
        <v>0</v>
      </c>
    </row>
    <row r="1638" spans="31:33">
      <c r="AE1638">
        <v>0</v>
      </c>
      <c r="AG1638">
        <v>0</v>
      </c>
    </row>
    <row r="1639" spans="31:33">
      <c r="AE1639">
        <v>0</v>
      </c>
      <c r="AG1639">
        <v>0</v>
      </c>
    </row>
    <row r="1640" spans="31:33">
      <c r="AE1640">
        <v>0</v>
      </c>
      <c r="AG1640">
        <v>0</v>
      </c>
    </row>
    <row r="1641" spans="31:33">
      <c r="AE1641">
        <v>0</v>
      </c>
      <c r="AG1641">
        <v>0</v>
      </c>
    </row>
    <row r="1642" spans="31:33">
      <c r="AE1642">
        <v>0</v>
      </c>
      <c r="AG1642">
        <v>0</v>
      </c>
    </row>
    <row r="1643" spans="31:33">
      <c r="AE1643">
        <v>0</v>
      </c>
      <c r="AG1643">
        <v>0</v>
      </c>
    </row>
    <row r="1644" spans="31:33">
      <c r="AE1644">
        <v>0</v>
      </c>
      <c r="AG1644">
        <v>0</v>
      </c>
    </row>
    <row r="1645" spans="31:33">
      <c r="AE1645">
        <v>0</v>
      </c>
      <c r="AG1645">
        <v>0</v>
      </c>
    </row>
    <row r="1646" spans="31:33">
      <c r="AE1646">
        <v>0</v>
      </c>
      <c r="AG1646">
        <v>0</v>
      </c>
    </row>
    <row r="1647" spans="31:33">
      <c r="AE1647">
        <v>0</v>
      </c>
      <c r="AG1647">
        <v>0</v>
      </c>
    </row>
    <row r="1648" spans="31:33">
      <c r="AE1648">
        <v>0</v>
      </c>
      <c r="AG1648">
        <v>0</v>
      </c>
    </row>
    <row r="1649" spans="31:33">
      <c r="AE1649">
        <v>0</v>
      </c>
      <c r="AG1649">
        <v>0</v>
      </c>
    </row>
    <row r="1650" spans="31:33">
      <c r="AE1650">
        <v>0</v>
      </c>
      <c r="AG1650">
        <v>0</v>
      </c>
    </row>
    <row r="1651" spans="31:33">
      <c r="AE1651">
        <v>0</v>
      </c>
      <c r="AG1651">
        <v>0</v>
      </c>
    </row>
    <row r="1652" spans="31:33">
      <c r="AE1652">
        <v>0</v>
      </c>
      <c r="AG1652">
        <v>0</v>
      </c>
    </row>
    <row r="1653" spans="31:33">
      <c r="AE1653">
        <v>0</v>
      </c>
      <c r="AG1653">
        <v>0</v>
      </c>
    </row>
    <row r="1654" spans="31:33">
      <c r="AE1654">
        <v>0</v>
      </c>
      <c r="AG1654">
        <v>0</v>
      </c>
    </row>
    <row r="1655" spans="31:33">
      <c r="AE1655">
        <v>0</v>
      </c>
      <c r="AG1655">
        <v>0</v>
      </c>
    </row>
    <row r="1656" spans="31:33">
      <c r="AE1656">
        <v>0</v>
      </c>
      <c r="AG1656">
        <v>0</v>
      </c>
    </row>
    <row r="1657" spans="31:33">
      <c r="AE1657">
        <v>0</v>
      </c>
      <c r="AG1657">
        <v>0</v>
      </c>
    </row>
    <row r="1658" spans="31:33">
      <c r="AE1658">
        <v>0</v>
      </c>
      <c r="AG1658">
        <v>0</v>
      </c>
    </row>
    <row r="1659" spans="31:33">
      <c r="AE1659">
        <v>0</v>
      </c>
      <c r="AG1659">
        <v>0</v>
      </c>
    </row>
    <row r="1660" spans="31:33">
      <c r="AE1660">
        <v>0</v>
      </c>
      <c r="AG1660">
        <v>0</v>
      </c>
    </row>
    <row r="1661" spans="31:33">
      <c r="AE1661">
        <v>0</v>
      </c>
      <c r="AG1661">
        <v>0</v>
      </c>
    </row>
    <row r="1662" spans="31:33">
      <c r="AE1662">
        <v>0</v>
      </c>
      <c r="AG1662">
        <v>0</v>
      </c>
    </row>
    <row r="1663" spans="31:33">
      <c r="AE1663">
        <v>0</v>
      </c>
      <c r="AG1663">
        <v>0</v>
      </c>
    </row>
    <row r="1664" spans="31:33">
      <c r="AE1664">
        <v>0</v>
      </c>
      <c r="AG1664">
        <v>0</v>
      </c>
    </row>
    <row r="1665" spans="31:33">
      <c r="AE1665">
        <v>0</v>
      </c>
      <c r="AG1665">
        <v>0</v>
      </c>
    </row>
    <row r="1666" spans="31:33">
      <c r="AE1666">
        <v>0</v>
      </c>
      <c r="AG1666">
        <v>0</v>
      </c>
    </row>
    <row r="1667" spans="31:33">
      <c r="AE1667">
        <v>0</v>
      </c>
      <c r="AG1667">
        <v>0</v>
      </c>
    </row>
    <row r="1668" spans="31:33">
      <c r="AE1668">
        <v>0</v>
      </c>
      <c r="AG1668">
        <v>0</v>
      </c>
    </row>
    <row r="1669" spans="31:33">
      <c r="AE1669">
        <v>0</v>
      </c>
      <c r="AG1669">
        <v>0</v>
      </c>
    </row>
    <row r="1670" spans="31:33">
      <c r="AE1670">
        <v>0</v>
      </c>
      <c r="AG1670">
        <v>0</v>
      </c>
    </row>
    <row r="1671" spans="31:33">
      <c r="AE1671">
        <v>0</v>
      </c>
      <c r="AG1671">
        <v>0</v>
      </c>
    </row>
    <row r="1672" spans="31:33">
      <c r="AE1672">
        <v>0</v>
      </c>
      <c r="AG1672">
        <v>0</v>
      </c>
    </row>
    <row r="1673" spans="31:33">
      <c r="AE1673">
        <v>0</v>
      </c>
      <c r="AG1673">
        <v>0</v>
      </c>
    </row>
    <row r="1674" spans="31:33">
      <c r="AE1674">
        <v>0</v>
      </c>
      <c r="AG1674">
        <v>0</v>
      </c>
    </row>
    <row r="1675" spans="31:33">
      <c r="AE1675">
        <v>0</v>
      </c>
      <c r="AG1675">
        <v>0</v>
      </c>
    </row>
    <row r="1676" spans="31:33">
      <c r="AE1676">
        <v>0</v>
      </c>
      <c r="AG1676">
        <v>0</v>
      </c>
    </row>
    <row r="1677" spans="31:33">
      <c r="AE1677">
        <v>0</v>
      </c>
      <c r="AG1677">
        <v>0</v>
      </c>
    </row>
    <row r="1678" spans="31:33">
      <c r="AE1678">
        <v>0</v>
      </c>
      <c r="AG1678">
        <v>0</v>
      </c>
    </row>
    <row r="1679" spans="31:33">
      <c r="AE1679">
        <v>0</v>
      </c>
      <c r="AG1679">
        <v>0</v>
      </c>
    </row>
    <row r="1680" spans="31:33">
      <c r="AE1680">
        <v>0</v>
      </c>
      <c r="AG1680">
        <v>0</v>
      </c>
    </row>
    <row r="1681" spans="31:33">
      <c r="AE1681">
        <v>0</v>
      </c>
      <c r="AG1681">
        <v>0</v>
      </c>
    </row>
    <row r="1682" spans="31:33">
      <c r="AE1682">
        <v>0</v>
      </c>
      <c r="AG1682">
        <v>0</v>
      </c>
    </row>
    <row r="1683" spans="31:33">
      <c r="AE1683">
        <v>0</v>
      </c>
      <c r="AG1683">
        <v>0</v>
      </c>
    </row>
    <row r="1684" spans="31:33">
      <c r="AE1684">
        <v>0</v>
      </c>
      <c r="AG1684">
        <v>0</v>
      </c>
    </row>
    <row r="1685" spans="31:33">
      <c r="AE1685">
        <v>0</v>
      </c>
      <c r="AG1685">
        <v>0</v>
      </c>
    </row>
    <row r="1686" spans="31:33">
      <c r="AE1686">
        <v>0</v>
      </c>
      <c r="AG1686">
        <v>0</v>
      </c>
    </row>
    <row r="1687" spans="31:33">
      <c r="AE1687">
        <v>0</v>
      </c>
      <c r="AG1687">
        <v>0</v>
      </c>
    </row>
    <row r="1688" spans="31:33">
      <c r="AE1688">
        <v>0</v>
      </c>
      <c r="AG1688">
        <v>0</v>
      </c>
    </row>
    <row r="1689" spans="31:33">
      <c r="AE1689">
        <v>0</v>
      </c>
      <c r="AG1689">
        <v>0</v>
      </c>
    </row>
    <row r="1690" spans="31:33">
      <c r="AE1690">
        <v>0</v>
      </c>
      <c r="AG1690">
        <v>0</v>
      </c>
    </row>
    <row r="1691" spans="31:33">
      <c r="AE1691">
        <v>0</v>
      </c>
      <c r="AG1691">
        <v>0</v>
      </c>
    </row>
    <row r="1692" spans="31:33">
      <c r="AE1692">
        <v>0</v>
      </c>
      <c r="AG1692">
        <v>0</v>
      </c>
    </row>
    <row r="1693" spans="31:33">
      <c r="AE1693">
        <v>0</v>
      </c>
      <c r="AG1693">
        <v>0</v>
      </c>
    </row>
    <row r="1694" spans="31:33">
      <c r="AE1694">
        <v>0</v>
      </c>
      <c r="AG1694">
        <v>0</v>
      </c>
    </row>
    <row r="1695" spans="31:33">
      <c r="AE1695">
        <v>0</v>
      </c>
      <c r="AG1695">
        <v>0</v>
      </c>
    </row>
    <row r="1696" spans="31:33">
      <c r="AE1696">
        <v>0</v>
      </c>
      <c r="AG1696">
        <v>0</v>
      </c>
    </row>
    <row r="1697" spans="31:33">
      <c r="AE1697">
        <v>0</v>
      </c>
      <c r="AG1697">
        <v>0</v>
      </c>
    </row>
    <row r="1698" spans="31:33">
      <c r="AE1698">
        <v>0</v>
      </c>
      <c r="AG1698">
        <v>0</v>
      </c>
    </row>
    <row r="1699" spans="31:33">
      <c r="AE1699">
        <v>0</v>
      </c>
      <c r="AG1699">
        <v>0</v>
      </c>
    </row>
    <row r="1700" spans="31:33">
      <c r="AE1700">
        <v>0</v>
      </c>
      <c r="AG1700">
        <v>0</v>
      </c>
    </row>
    <row r="1701" spans="31:33">
      <c r="AE1701">
        <v>0</v>
      </c>
      <c r="AG1701">
        <v>0</v>
      </c>
    </row>
    <row r="1702" spans="31:33">
      <c r="AE1702" s="31">
        <v>15162.76</v>
      </c>
      <c r="AG1702" s="31">
        <v>15162.76</v>
      </c>
    </row>
    <row r="1703" spans="31:33">
      <c r="AE1703">
        <v>0</v>
      </c>
      <c r="AG1703">
        <v>0</v>
      </c>
    </row>
    <row r="1704" spans="31:33">
      <c r="AE1704">
        <v>0</v>
      </c>
      <c r="AG1704">
        <v>0</v>
      </c>
    </row>
    <row r="1705" spans="31:33">
      <c r="AE1705">
        <v>0</v>
      </c>
      <c r="AG1705">
        <v>0</v>
      </c>
    </row>
    <row r="1706" spans="31:33">
      <c r="AE1706">
        <v>0</v>
      </c>
      <c r="AG1706">
        <v>0</v>
      </c>
    </row>
    <row r="1707" spans="31:33">
      <c r="AE1707">
        <v>0</v>
      </c>
      <c r="AG1707">
        <v>0</v>
      </c>
    </row>
    <row r="1708" spans="31:33">
      <c r="AE1708">
        <v>0</v>
      </c>
      <c r="AG1708">
        <v>0</v>
      </c>
    </row>
    <row r="1709" spans="31:33">
      <c r="AE1709">
        <v>0</v>
      </c>
      <c r="AG1709">
        <v>0</v>
      </c>
    </row>
    <row r="1710" spans="31:33">
      <c r="AE1710">
        <v>0</v>
      </c>
      <c r="AG1710">
        <v>0</v>
      </c>
    </row>
    <row r="1711" spans="31:33">
      <c r="AE1711">
        <v>0</v>
      </c>
      <c r="AG1711">
        <v>0</v>
      </c>
    </row>
    <row r="1712" spans="31:33">
      <c r="AE1712">
        <v>0</v>
      </c>
      <c r="AG1712">
        <v>0</v>
      </c>
    </row>
    <row r="1713" spans="31:33">
      <c r="AE1713">
        <v>0</v>
      </c>
      <c r="AG1713">
        <v>0</v>
      </c>
    </row>
    <row r="1714" spans="31:33">
      <c r="AE1714">
        <v>0</v>
      </c>
      <c r="AG1714">
        <v>0</v>
      </c>
    </row>
    <row r="1715" spans="31:33">
      <c r="AE1715">
        <v>0</v>
      </c>
      <c r="AG1715">
        <v>0</v>
      </c>
    </row>
    <row r="1716" spans="31:33">
      <c r="AE1716">
        <v>0</v>
      </c>
      <c r="AG1716">
        <v>0</v>
      </c>
    </row>
    <row r="1717" spans="31:33">
      <c r="AE1717">
        <v>0</v>
      </c>
      <c r="AG1717">
        <v>0</v>
      </c>
    </row>
    <row r="1718" spans="31:33">
      <c r="AE1718">
        <v>0</v>
      </c>
      <c r="AG1718">
        <v>0</v>
      </c>
    </row>
    <row r="1719" spans="31:33">
      <c r="AE1719">
        <v>0</v>
      </c>
      <c r="AG1719">
        <v>0</v>
      </c>
    </row>
    <row r="1720" spans="31:33">
      <c r="AE1720">
        <v>0</v>
      </c>
      <c r="AG1720">
        <v>0</v>
      </c>
    </row>
    <row r="1721" spans="31:33">
      <c r="AE1721">
        <v>0</v>
      </c>
      <c r="AG1721">
        <v>0</v>
      </c>
    </row>
    <row r="1722" spans="31:33">
      <c r="AE1722">
        <v>0</v>
      </c>
      <c r="AG1722">
        <v>0</v>
      </c>
    </row>
    <row r="1723" spans="31:33">
      <c r="AE1723">
        <v>0</v>
      </c>
      <c r="AG1723">
        <v>0</v>
      </c>
    </row>
    <row r="1724" spans="31:33">
      <c r="AE1724">
        <v>0</v>
      </c>
      <c r="AG1724">
        <v>0</v>
      </c>
    </row>
    <row r="1725" spans="31:33">
      <c r="AE1725">
        <v>0</v>
      </c>
      <c r="AG1725">
        <v>0</v>
      </c>
    </row>
    <row r="1726" spans="31:33">
      <c r="AE1726">
        <v>0</v>
      </c>
      <c r="AG1726">
        <v>0</v>
      </c>
    </row>
    <row r="1727" spans="31:33">
      <c r="AE1727">
        <v>0</v>
      </c>
      <c r="AG1727">
        <v>0</v>
      </c>
    </row>
    <row r="1728" spans="31:33">
      <c r="AE1728">
        <v>0</v>
      </c>
      <c r="AG1728">
        <v>0</v>
      </c>
    </row>
    <row r="1729" spans="31:33">
      <c r="AE1729">
        <v>0</v>
      </c>
      <c r="AG1729">
        <v>0</v>
      </c>
    </row>
    <row r="1730" spans="31:33">
      <c r="AE1730">
        <v>0</v>
      </c>
      <c r="AG1730">
        <v>0</v>
      </c>
    </row>
    <row r="1731" spans="31:33">
      <c r="AE1731">
        <v>0</v>
      </c>
      <c r="AG1731">
        <v>0</v>
      </c>
    </row>
    <row r="1732" spans="31:33">
      <c r="AE1732">
        <v>0</v>
      </c>
      <c r="AG1732">
        <v>0</v>
      </c>
    </row>
    <row r="1733" spans="31:33">
      <c r="AE1733">
        <v>0</v>
      </c>
      <c r="AG1733">
        <v>0</v>
      </c>
    </row>
    <row r="1734" spans="31:33">
      <c r="AE1734">
        <v>0</v>
      </c>
      <c r="AG1734">
        <v>0</v>
      </c>
    </row>
    <row r="1735" spans="31:33">
      <c r="AE1735">
        <v>0</v>
      </c>
      <c r="AG1735">
        <v>0</v>
      </c>
    </row>
    <row r="1736" spans="31:33">
      <c r="AE1736">
        <v>0</v>
      </c>
      <c r="AG1736">
        <v>0</v>
      </c>
    </row>
    <row r="1737" spans="31:33">
      <c r="AE1737">
        <v>0</v>
      </c>
      <c r="AG1737">
        <v>0</v>
      </c>
    </row>
    <row r="1738" spans="31:33">
      <c r="AE1738">
        <v>0</v>
      </c>
      <c r="AG1738">
        <v>0</v>
      </c>
    </row>
    <row r="1739" spans="31:33">
      <c r="AE1739">
        <v>0</v>
      </c>
      <c r="AG1739">
        <v>0</v>
      </c>
    </row>
    <row r="1740" spans="31:33">
      <c r="AE1740">
        <v>0</v>
      </c>
      <c r="AG1740">
        <v>0</v>
      </c>
    </row>
    <row r="1741" spans="31:33">
      <c r="AE1741">
        <v>0</v>
      </c>
      <c r="AG1741">
        <v>0</v>
      </c>
    </row>
    <row r="1742" spans="31:33">
      <c r="AE1742">
        <v>0</v>
      </c>
      <c r="AG1742">
        <v>0</v>
      </c>
    </row>
    <row r="1743" spans="31:33">
      <c r="AE1743">
        <v>0</v>
      </c>
      <c r="AG1743">
        <v>0</v>
      </c>
    </row>
    <row r="1744" spans="31:33">
      <c r="AE1744">
        <v>0</v>
      </c>
      <c r="AG1744">
        <v>0</v>
      </c>
    </row>
    <row r="1745" spans="31:33">
      <c r="AE1745">
        <v>0</v>
      </c>
      <c r="AG1745">
        <v>0</v>
      </c>
    </row>
    <row r="1746" spans="31:33">
      <c r="AE1746">
        <v>0</v>
      </c>
      <c r="AG1746">
        <v>0</v>
      </c>
    </row>
    <row r="1747" spans="31:33">
      <c r="AE1747">
        <v>0</v>
      </c>
      <c r="AG1747">
        <v>0</v>
      </c>
    </row>
    <row r="1748" spans="31:33">
      <c r="AE1748">
        <v>0</v>
      </c>
      <c r="AG1748">
        <v>0</v>
      </c>
    </row>
    <row r="1749" spans="31:33">
      <c r="AE1749">
        <v>0</v>
      </c>
      <c r="AG1749">
        <v>0</v>
      </c>
    </row>
    <row r="1750" spans="31:33">
      <c r="AE1750">
        <v>0</v>
      </c>
      <c r="AG1750">
        <v>0</v>
      </c>
    </row>
    <row r="1751" spans="31:33">
      <c r="AE1751">
        <v>0</v>
      </c>
      <c r="AG1751">
        <v>0</v>
      </c>
    </row>
    <row r="1752" spans="31:33">
      <c r="AE1752">
        <v>0</v>
      </c>
      <c r="AG1752">
        <v>0</v>
      </c>
    </row>
    <row r="1753" spans="31:33">
      <c r="AE1753">
        <v>0</v>
      </c>
      <c r="AG1753">
        <v>0</v>
      </c>
    </row>
    <row r="1754" spans="31:33">
      <c r="AE1754">
        <v>0</v>
      </c>
      <c r="AG1754">
        <v>0</v>
      </c>
    </row>
    <row r="1755" spans="31:33">
      <c r="AE1755">
        <v>0</v>
      </c>
      <c r="AG1755">
        <v>0</v>
      </c>
    </row>
    <row r="1756" spans="31:33">
      <c r="AE1756">
        <v>0</v>
      </c>
      <c r="AG1756">
        <v>0</v>
      </c>
    </row>
    <row r="1757" spans="31:33">
      <c r="AE1757">
        <v>0</v>
      </c>
      <c r="AG1757">
        <v>0</v>
      </c>
    </row>
    <row r="1758" spans="31:33">
      <c r="AE1758">
        <v>0</v>
      </c>
      <c r="AG1758">
        <v>0</v>
      </c>
    </row>
    <row r="1759" spans="31:33">
      <c r="AE1759">
        <v>0</v>
      </c>
      <c r="AG1759">
        <v>0</v>
      </c>
    </row>
    <row r="1760" spans="31:33">
      <c r="AE1760">
        <v>0</v>
      </c>
      <c r="AG1760">
        <v>0</v>
      </c>
    </row>
    <row r="1761" spans="31:33">
      <c r="AE1761">
        <v>0</v>
      </c>
      <c r="AG1761">
        <v>0</v>
      </c>
    </row>
    <row r="1762" spans="31:33">
      <c r="AE1762">
        <v>0</v>
      </c>
      <c r="AG1762">
        <v>0</v>
      </c>
    </row>
    <row r="1763" spans="31:33">
      <c r="AE1763">
        <v>0</v>
      </c>
      <c r="AG1763">
        <v>0</v>
      </c>
    </row>
    <row r="1764" spans="31:33">
      <c r="AE1764">
        <v>0</v>
      </c>
      <c r="AG1764">
        <v>0</v>
      </c>
    </row>
    <row r="1765" spans="31:33">
      <c r="AE1765">
        <v>0</v>
      </c>
      <c r="AG1765">
        <v>0</v>
      </c>
    </row>
    <row r="1766" spans="31:33">
      <c r="AE1766">
        <v>0</v>
      </c>
      <c r="AG1766">
        <v>0</v>
      </c>
    </row>
    <row r="1767" spans="31:33">
      <c r="AE1767">
        <v>0</v>
      </c>
      <c r="AG1767">
        <v>0</v>
      </c>
    </row>
    <row r="1768" spans="31:33">
      <c r="AE1768">
        <v>0</v>
      </c>
      <c r="AG1768">
        <v>0</v>
      </c>
    </row>
    <row r="1769" spans="31:33">
      <c r="AE1769">
        <v>0</v>
      </c>
      <c r="AG1769">
        <v>0</v>
      </c>
    </row>
    <row r="1770" spans="31:33">
      <c r="AE1770">
        <v>0</v>
      </c>
      <c r="AG1770">
        <v>0</v>
      </c>
    </row>
    <row r="1771" spans="31:33">
      <c r="AE1771">
        <v>0</v>
      </c>
      <c r="AG1771">
        <v>0</v>
      </c>
    </row>
    <row r="1772" spans="31:33">
      <c r="AE1772">
        <v>0</v>
      </c>
      <c r="AG1772">
        <v>0</v>
      </c>
    </row>
    <row r="1773" spans="31:33">
      <c r="AE1773">
        <v>0</v>
      </c>
      <c r="AG1773">
        <v>0</v>
      </c>
    </row>
    <row r="1774" spans="31:33">
      <c r="AE1774">
        <v>0</v>
      </c>
      <c r="AG1774">
        <v>0</v>
      </c>
    </row>
    <row r="1775" spans="31:33">
      <c r="AE1775">
        <v>0</v>
      </c>
      <c r="AG1775">
        <v>0</v>
      </c>
    </row>
    <row r="1776" spans="31:33">
      <c r="AE1776">
        <v>0</v>
      </c>
      <c r="AG1776">
        <v>0</v>
      </c>
    </row>
    <row r="1777" spans="31:33">
      <c r="AE1777">
        <v>0</v>
      </c>
      <c r="AG1777">
        <v>0</v>
      </c>
    </row>
    <row r="1778" spans="31:33">
      <c r="AE1778">
        <v>0</v>
      </c>
      <c r="AG1778">
        <v>0</v>
      </c>
    </row>
    <row r="1779" spans="31:33">
      <c r="AE1779">
        <v>0</v>
      </c>
      <c r="AG1779">
        <v>0</v>
      </c>
    </row>
    <row r="1780" spans="31:33">
      <c r="AE1780">
        <v>0</v>
      </c>
      <c r="AG1780">
        <v>0</v>
      </c>
    </row>
    <row r="1781" spans="31:33">
      <c r="AE1781">
        <v>0</v>
      </c>
      <c r="AG1781">
        <v>0</v>
      </c>
    </row>
    <row r="1782" spans="31:33">
      <c r="AE1782">
        <v>0</v>
      </c>
      <c r="AG1782">
        <v>0</v>
      </c>
    </row>
    <row r="1783" spans="31:33">
      <c r="AE1783">
        <v>0</v>
      </c>
      <c r="AG1783">
        <v>0</v>
      </c>
    </row>
    <row r="1784" spans="31:33">
      <c r="AE1784">
        <v>0</v>
      </c>
      <c r="AG1784">
        <v>0</v>
      </c>
    </row>
    <row r="1785" spans="31:33">
      <c r="AE1785">
        <v>0</v>
      </c>
      <c r="AG1785">
        <v>0</v>
      </c>
    </row>
    <row r="1786" spans="31:33">
      <c r="AE1786">
        <v>0</v>
      </c>
      <c r="AG1786">
        <v>0</v>
      </c>
    </row>
    <row r="1787" spans="31:33">
      <c r="AE1787">
        <v>0</v>
      </c>
      <c r="AG1787">
        <v>0</v>
      </c>
    </row>
    <row r="1788" spans="31:33">
      <c r="AE1788">
        <v>0</v>
      </c>
      <c r="AG1788">
        <v>0</v>
      </c>
    </row>
    <row r="1789" spans="31:33">
      <c r="AE1789">
        <v>0</v>
      </c>
      <c r="AG1789">
        <v>0</v>
      </c>
    </row>
    <row r="1790" spans="31:33">
      <c r="AE1790">
        <v>0</v>
      </c>
      <c r="AG1790">
        <v>0</v>
      </c>
    </row>
    <row r="1791" spans="31:33">
      <c r="AE1791">
        <v>0</v>
      </c>
      <c r="AG1791">
        <v>0</v>
      </c>
    </row>
    <row r="1792" spans="31:33">
      <c r="AE1792">
        <v>0</v>
      </c>
      <c r="AG1792">
        <v>0</v>
      </c>
    </row>
    <row r="1793" spans="31:33">
      <c r="AE1793">
        <v>0</v>
      </c>
      <c r="AG1793">
        <v>0</v>
      </c>
    </row>
    <row r="1794" spans="31:33">
      <c r="AE1794">
        <v>0</v>
      </c>
      <c r="AG1794">
        <v>0</v>
      </c>
    </row>
    <row r="1795" spans="31:33">
      <c r="AE1795">
        <v>0</v>
      </c>
      <c r="AG1795">
        <v>0</v>
      </c>
    </row>
    <row r="1796" spans="31:33">
      <c r="AE1796">
        <v>0</v>
      </c>
      <c r="AG1796">
        <v>0</v>
      </c>
    </row>
    <row r="1797" spans="31:33">
      <c r="AE1797">
        <v>0</v>
      </c>
      <c r="AG1797">
        <v>0</v>
      </c>
    </row>
    <row r="1798" spans="31:33">
      <c r="AE1798">
        <v>0</v>
      </c>
      <c r="AG1798">
        <v>0</v>
      </c>
    </row>
    <row r="1799" spans="31:33">
      <c r="AE1799">
        <v>0</v>
      </c>
      <c r="AG1799">
        <v>0</v>
      </c>
    </row>
    <row r="1800" spans="31:33">
      <c r="AE1800">
        <v>0</v>
      </c>
      <c r="AG1800">
        <v>0</v>
      </c>
    </row>
    <row r="1801" spans="31:33">
      <c r="AE1801">
        <v>0</v>
      </c>
      <c r="AG1801">
        <v>0</v>
      </c>
    </row>
    <row r="1802" spans="31:33">
      <c r="AE1802">
        <v>0</v>
      </c>
      <c r="AG1802">
        <v>0</v>
      </c>
    </row>
    <row r="1803" spans="31:33">
      <c r="AE1803">
        <v>0</v>
      </c>
      <c r="AG1803">
        <v>0</v>
      </c>
    </row>
    <row r="1804" spans="31:33">
      <c r="AE1804">
        <v>0</v>
      </c>
      <c r="AG1804">
        <v>0</v>
      </c>
    </row>
    <row r="1805" spans="31:33">
      <c r="AE1805">
        <v>0</v>
      </c>
      <c r="AG1805">
        <v>0</v>
      </c>
    </row>
    <row r="1806" spans="31:33">
      <c r="AE1806">
        <v>0</v>
      </c>
      <c r="AG1806">
        <v>0</v>
      </c>
    </row>
    <row r="1807" spans="31:33">
      <c r="AE1807">
        <v>0</v>
      </c>
      <c r="AG1807">
        <v>0</v>
      </c>
    </row>
    <row r="1808" spans="31:33">
      <c r="AE1808">
        <v>0</v>
      </c>
      <c r="AG1808">
        <v>0</v>
      </c>
    </row>
    <row r="1809" spans="31:33">
      <c r="AE1809">
        <v>0</v>
      </c>
      <c r="AG1809">
        <v>0</v>
      </c>
    </row>
    <row r="1810" spans="31:33">
      <c r="AE1810">
        <v>0</v>
      </c>
      <c r="AG1810">
        <v>0</v>
      </c>
    </row>
    <row r="1811" spans="31:33">
      <c r="AE1811">
        <v>0</v>
      </c>
      <c r="AG1811">
        <v>0</v>
      </c>
    </row>
    <row r="1812" spans="31:33">
      <c r="AE1812">
        <v>0</v>
      </c>
      <c r="AG1812">
        <v>0</v>
      </c>
    </row>
    <row r="1813" spans="31:33">
      <c r="AE1813">
        <v>0</v>
      </c>
      <c r="AG1813">
        <v>0</v>
      </c>
    </row>
    <row r="1814" spans="31:33">
      <c r="AE1814">
        <v>0</v>
      </c>
      <c r="AG1814">
        <v>0</v>
      </c>
    </row>
    <row r="1815" spans="31:33">
      <c r="AE1815">
        <v>0</v>
      </c>
      <c r="AG1815">
        <v>0</v>
      </c>
    </row>
    <row r="1816" spans="31:33">
      <c r="AE1816">
        <v>0</v>
      </c>
      <c r="AG1816">
        <v>0</v>
      </c>
    </row>
    <row r="1817" spans="31:33">
      <c r="AE1817">
        <v>0</v>
      </c>
      <c r="AG1817">
        <v>0</v>
      </c>
    </row>
    <row r="1818" spans="31:33">
      <c r="AE1818">
        <v>0</v>
      </c>
      <c r="AG1818">
        <v>0</v>
      </c>
    </row>
    <row r="1819" spans="31:33">
      <c r="AE1819">
        <v>0</v>
      </c>
      <c r="AG1819">
        <v>0</v>
      </c>
    </row>
    <row r="1820" spans="31:33">
      <c r="AE1820">
        <v>0</v>
      </c>
      <c r="AG1820">
        <v>0</v>
      </c>
    </row>
    <row r="1821" spans="31:33">
      <c r="AE1821">
        <v>0</v>
      </c>
      <c r="AG1821">
        <v>0</v>
      </c>
    </row>
    <row r="1822" spans="31:33">
      <c r="AE1822">
        <v>0</v>
      </c>
      <c r="AG1822">
        <v>0</v>
      </c>
    </row>
    <row r="1823" spans="31:33">
      <c r="AE1823">
        <v>0</v>
      </c>
      <c r="AG1823">
        <v>0</v>
      </c>
    </row>
    <row r="1824" spans="31:33">
      <c r="AE1824">
        <v>0</v>
      </c>
      <c r="AG1824">
        <v>0</v>
      </c>
    </row>
    <row r="1825" spans="31:33">
      <c r="AE1825">
        <v>0</v>
      </c>
      <c r="AG1825">
        <v>0</v>
      </c>
    </row>
    <row r="1826" spans="31:33">
      <c r="AE1826">
        <v>0</v>
      </c>
      <c r="AG1826">
        <v>0</v>
      </c>
    </row>
    <row r="1827" spans="31:33">
      <c r="AE1827">
        <v>0</v>
      </c>
      <c r="AG1827">
        <v>0</v>
      </c>
    </row>
    <row r="1828" spans="31:33">
      <c r="AE1828">
        <v>0</v>
      </c>
      <c r="AG1828">
        <v>0</v>
      </c>
    </row>
    <row r="1829" spans="31:33">
      <c r="AE1829">
        <v>0</v>
      </c>
      <c r="AG1829">
        <v>0</v>
      </c>
    </row>
    <row r="1830" spans="31:33">
      <c r="AE1830">
        <v>0</v>
      </c>
      <c r="AG1830">
        <v>0</v>
      </c>
    </row>
    <row r="1831" spans="31:33">
      <c r="AE1831">
        <v>0</v>
      </c>
      <c r="AG1831">
        <v>0</v>
      </c>
    </row>
    <row r="1832" spans="31:33">
      <c r="AE1832">
        <v>0</v>
      </c>
      <c r="AG1832">
        <v>0</v>
      </c>
    </row>
    <row r="1833" spans="31:33">
      <c r="AE1833">
        <v>0</v>
      </c>
      <c r="AG1833">
        <v>0</v>
      </c>
    </row>
    <row r="1834" spans="31:33">
      <c r="AE1834">
        <v>0</v>
      </c>
      <c r="AG1834">
        <v>0</v>
      </c>
    </row>
    <row r="1835" spans="31:33">
      <c r="AE1835">
        <v>0</v>
      </c>
      <c r="AG1835">
        <v>0</v>
      </c>
    </row>
    <row r="1836" spans="31:33">
      <c r="AE1836">
        <v>0</v>
      </c>
      <c r="AG1836">
        <v>0</v>
      </c>
    </row>
    <row r="1837" spans="31:33">
      <c r="AE1837">
        <v>0</v>
      </c>
      <c r="AG1837">
        <v>0</v>
      </c>
    </row>
    <row r="1838" spans="31:33">
      <c r="AE1838">
        <v>0</v>
      </c>
      <c r="AG1838">
        <v>0</v>
      </c>
    </row>
    <row r="1839" spans="31:33">
      <c r="AE1839">
        <v>0</v>
      </c>
      <c r="AG1839">
        <v>0</v>
      </c>
    </row>
    <row r="1840" spans="31:33">
      <c r="AE1840">
        <v>0</v>
      </c>
      <c r="AG1840">
        <v>0</v>
      </c>
    </row>
    <row r="1841" spans="31:33">
      <c r="AE1841">
        <v>0</v>
      </c>
      <c r="AG1841">
        <v>0</v>
      </c>
    </row>
    <row r="1842" spans="31:33">
      <c r="AE1842">
        <v>0</v>
      </c>
      <c r="AG1842">
        <v>0</v>
      </c>
    </row>
    <row r="1843" spans="31:33">
      <c r="AE1843">
        <v>0</v>
      </c>
      <c r="AG1843">
        <v>0</v>
      </c>
    </row>
    <row r="1844" spans="31:33">
      <c r="AE1844">
        <v>0</v>
      </c>
      <c r="AG1844">
        <v>0</v>
      </c>
    </row>
    <row r="1845" spans="31:33">
      <c r="AE1845">
        <v>0</v>
      </c>
      <c r="AG1845">
        <v>0</v>
      </c>
    </row>
    <row r="1846" spans="31:33">
      <c r="AE1846">
        <v>0</v>
      </c>
      <c r="AG1846">
        <v>0</v>
      </c>
    </row>
    <row r="1847" spans="31:33">
      <c r="AE1847">
        <v>0</v>
      </c>
      <c r="AG1847">
        <v>0</v>
      </c>
    </row>
    <row r="1848" spans="31:33">
      <c r="AE1848">
        <v>0</v>
      </c>
      <c r="AG1848">
        <v>0</v>
      </c>
    </row>
    <row r="1849" spans="31:33">
      <c r="AE1849">
        <v>0</v>
      </c>
      <c r="AG1849">
        <v>0</v>
      </c>
    </row>
    <row r="1850" spans="31:33">
      <c r="AE1850">
        <v>0</v>
      </c>
      <c r="AG1850">
        <v>0</v>
      </c>
    </row>
    <row r="1851" spans="31:33">
      <c r="AE1851">
        <v>0</v>
      </c>
      <c r="AG1851">
        <v>0</v>
      </c>
    </row>
    <row r="1852" spans="31:33">
      <c r="AE1852">
        <v>0</v>
      </c>
      <c r="AG1852">
        <v>0</v>
      </c>
    </row>
    <row r="1853" spans="31:33">
      <c r="AE1853">
        <v>0</v>
      </c>
      <c r="AG1853">
        <v>0</v>
      </c>
    </row>
    <row r="1854" spans="31:33">
      <c r="AE1854">
        <v>0</v>
      </c>
      <c r="AG1854">
        <v>0</v>
      </c>
    </row>
    <row r="1855" spans="31:33">
      <c r="AE1855">
        <v>0</v>
      </c>
      <c r="AG1855">
        <v>0</v>
      </c>
    </row>
    <row r="1856" spans="31:33">
      <c r="AE1856">
        <v>0</v>
      </c>
      <c r="AG1856">
        <v>0</v>
      </c>
    </row>
    <row r="1857" spans="31:33">
      <c r="AE1857">
        <v>0</v>
      </c>
      <c r="AG1857">
        <v>0</v>
      </c>
    </row>
    <row r="1858" spans="31:33">
      <c r="AE1858">
        <v>0</v>
      </c>
      <c r="AG1858">
        <v>0</v>
      </c>
    </row>
    <row r="1859" spans="31:33">
      <c r="AE1859">
        <v>0</v>
      </c>
      <c r="AG1859">
        <v>0</v>
      </c>
    </row>
    <row r="1860" spans="31:33">
      <c r="AE1860">
        <v>0</v>
      </c>
      <c r="AG1860">
        <v>0</v>
      </c>
    </row>
    <row r="1861" spans="31:33">
      <c r="AE1861">
        <v>0</v>
      </c>
      <c r="AG1861">
        <v>0</v>
      </c>
    </row>
    <row r="1862" spans="31:33">
      <c r="AE1862">
        <v>0</v>
      </c>
      <c r="AG1862">
        <v>0</v>
      </c>
    </row>
    <row r="1863" spans="31:33">
      <c r="AE1863">
        <v>0</v>
      </c>
      <c r="AG1863">
        <v>0</v>
      </c>
    </row>
    <row r="1864" spans="31:33">
      <c r="AE1864">
        <v>0</v>
      </c>
      <c r="AG1864">
        <v>0</v>
      </c>
    </row>
    <row r="1865" spans="31:33">
      <c r="AE1865">
        <v>0</v>
      </c>
      <c r="AG1865">
        <v>0</v>
      </c>
    </row>
    <row r="1866" spans="31:33">
      <c r="AE1866">
        <v>0</v>
      </c>
      <c r="AG1866">
        <v>0</v>
      </c>
    </row>
    <row r="1867" spans="31:33">
      <c r="AE1867">
        <v>0</v>
      </c>
      <c r="AG1867">
        <v>0</v>
      </c>
    </row>
    <row r="1868" spans="31:33">
      <c r="AE1868">
        <v>0</v>
      </c>
      <c r="AG1868">
        <v>0</v>
      </c>
    </row>
    <row r="1869" spans="31:33">
      <c r="AE1869">
        <v>0</v>
      </c>
      <c r="AG1869">
        <v>0</v>
      </c>
    </row>
    <row r="1870" spans="31:33">
      <c r="AE1870">
        <v>0</v>
      </c>
      <c r="AG1870">
        <v>0</v>
      </c>
    </row>
    <row r="1871" spans="31:33">
      <c r="AE1871">
        <v>0</v>
      </c>
      <c r="AG1871">
        <v>0</v>
      </c>
    </row>
    <row r="1872" spans="31:33">
      <c r="AE1872">
        <v>0</v>
      </c>
      <c r="AG1872">
        <v>0</v>
      </c>
    </row>
    <row r="1873" spans="31:33">
      <c r="AE1873">
        <v>0</v>
      </c>
      <c r="AG1873">
        <v>0</v>
      </c>
    </row>
    <row r="1874" spans="31:33">
      <c r="AE1874">
        <v>0</v>
      </c>
      <c r="AG1874">
        <v>0</v>
      </c>
    </row>
    <row r="1875" spans="31:33">
      <c r="AE1875">
        <v>0</v>
      </c>
      <c r="AG1875">
        <v>0</v>
      </c>
    </row>
    <row r="1876" spans="31:33">
      <c r="AE1876">
        <v>0</v>
      </c>
      <c r="AG1876">
        <v>0</v>
      </c>
    </row>
    <row r="1877" spans="31:33">
      <c r="AE1877">
        <v>0</v>
      </c>
      <c r="AG1877">
        <v>0</v>
      </c>
    </row>
    <row r="1878" spans="31:33">
      <c r="AE1878">
        <v>0</v>
      </c>
      <c r="AG1878">
        <v>0</v>
      </c>
    </row>
    <row r="1879" spans="31:33">
      <c r="AE1879">
        <v>0</v>
      </c>
      <c r="AG1879">
        <v>0</v>
      </c>
    </row>
    <row r="1880" spans="31:33">
      <c r="AE1880">
        <v>0</v>
      </c>
      <c r="AG1880">
        <v>0</v>
      </c>
    </row>
    <row r="1881" spans="31:33">
      <c r="AE1881">
        <v>0</v>
      </c>
      <c r="AG1881">
        <v>0</v>
      </c>
    </row>
    <row r="1882" spans="31:33">
      <c r="AE1882">
        <v>0</v>
      </c>
      <c r="AG1882">
        <v>0</v>
      </c>
    </row>
    <row r="1883" spans="31:33">
      <c r="AE1883">
        <v>0</v>
      </c>
      <c r="AG1883">
        <v>0</v>
      </c>
    </row>
    <row r="1884" spans="31:33">
      <c r="AE1884">
        <v>0</v>
      </c>
      <c r="AG1884">
        <v>0</v>
      </c>
    </row>
    <row r="1885" spans="31:33">
      <c r="AE1885">
        <v>0</v>
      </c>
      <c r="AG1885">
        <v>0</v>
      </c>
    </row>
    <row r="1886" spans="31:33">
      <c r="AE1886">
        <v>0</v>
      </c>
      <c r="AG1886">
        <v>0</v>
      </c>
    </row>
    <row r="1887" spans="31:33">
      <c r="AE1887">
        <v>0</v>
      </c>
      <c r="AG1887">
        <v>0</v>
      </c>
    </row>
    <row r="1888" spans="31:33">
      <c r="AE1888">
        <v>0</v>
      </c>
      <c r="AG1888">
        <v>0</v>
      </c>
    </row>
    <row r="1889" spans="31:33">
      <c r="AE1889">
        <v>0</v>
      </c>
      <c r="AG1889">
        <v>0</v>
      </c>
    </row>
    <row r="1890" spans="31:33">
      <c r="AE1890">
        <v>0</v>
      </c>
      <c r="AG1890">
        <v>0</v>
      </c>
    </row>
    <row r="1891" spans="31:33">
      <c r="AE1891">
        <v>0</v>
      </c>
      <c r="AG1891">
        <v>0</v>
      </c>
    </row>
    <row r="1892" spans="31:33">
      <c r="AE1892">
        <v>0</v>
      </c>
      <c r="AG1892">
        <v>0</v>
      </c>
    </row>
    <row r="1893" spans="31:33">
      <c r="AE1893">
        <v>0</v>
      </c>
      <c r="AG1893">
        <v>0</v>
      </c>
    </row>
    <row r="1894" spans="31:33">
      <c r="AE1894">
        <v>0</v>
      </c>
      <c r="AG1894">
        <v>0</v>
      </c>
    </row>
    <row r="1895" spans="31:33">
      <c r="AE1895">
        <v>0</v>
      </c>
      <c r="AG1895">
        <v>0</v>
      </c>
    </row>
    <row r="1896" spans="31:33">
      <c r="AE1896">
        <v>0</v>
      </c>
      <c r="AG1896">
        <v>0</v>
      </c>
    </row>
    <row r="1897" spans="31:33">
      <c r="AE1897">
        <v>0</v>
      </c>
      <c r="AG1897">
        <v>0</v>
      </c>
    </row>
    <row r="1898" spans="31:33">
      <c r="AE1898">
        <v>0</v>
      </c>
      <c r="AG1898">
        <v>0</v>
      </c>
    </row>
    <row r="1899" spans="31:33">
      <c r="AE1899">
        <v>0</v>
      </c>
      <c r="AG1899">
        <v>0</v>
      </c>
    </row>
    <row r="1900" spans="31:33">
      <c r="AE1900">
        <v>0</v>
      </c>
      <c r="AG1900">
        <v>0</v>
      </c>
    </row>
    <row r="1901" spans="31:33">
      <c r="AE1901">
        <v>0</v>
      </c>
      <c r="AG1901">
        <v>0</v>
      </c>
    </row>
    <row r="1902" spans="31:33">
      <c r="AE1902">
        <v>0</v>
      </c>
      <c r="AG1902">
        <v>0</v>
      </c>
    </row>
    <row r="1903" spans="31:33">
      <c r="AE1903">
        <v>0</v>
      </c>
      <c r="AG1903">
        <v>0</v>
      </c>
    </row>
    <row r="1904" spans="31:33">
      <c r="AE1904">
        <v>0</v>
      </c>
      <c r="AG1904">
        <v>0</v>
      </c>
    </row>
    <row r="1905" spans="31:33">
      <c r="AE1905">
        <v>0</v>
      </c>
      <c r="AG1905">
        <v>0</v>
      </c>
    </row>
    <row r="1906" spans="31:33">
      <c r="AE1906">
        <v>0</v>
      </c>
      <c r="AG1906">
        <v>0</v>
      </c>
    </row>
    <row r="1907" spans="31:33">
      <c r="AE1907">
        <v>0</v>
      </c>
      <c r="AG1907">
        <v>0</v>
      </c>
    </row>
    <row r="1908" spans="31:33">
      <c r="AE1908">
        <v>0</v>
      </c>
      <c r="AG1908">
        <v>0</v>
      </c>
    </row>
    <row r="1909" spans="31:33">
      <c r="AE1909">
        <v>0</v>
      </c>
      <c r="AG1909">
        <v>0</v>
      </c>
    </row>
    <row r="1910" spans="31:33">
      <c r="AE1910">
        <v>0</v>
      </c>
      <c r="AG1910">
        <v>0</v>
      </c>
    </row>
    <row r="1911" spans="31:33">
      <c r="AE1911">
        <v>0</v>
      </c>
      <c r="AG1911">
        <v>0</v>
      </c>
    </row>
    <row r="1912" spans="31:33">
      <c r="AE1912">
        <v>0</v>
      </c>
      <c r="AG1912">
        <v>0</v>
      </c>
    </row>
    <row r="1913" spans="31:33">
      <c r="AE1913">
        <v>0</v>
      </c>
      <c r="AG1913">
        <v>0</v>
      </c>
    </row>
    <row r="1914" spans="31:33">
      <c r="AE1914">
        <v>0</v>
      </c>
      <c r="AG1914">
        <v>0</v>
      </c>
    </row>
    <row r="1915" spans="31:33">
      <c r="AE1915">
        <v>0</v>
      </c>
      <c r="AG1915">
        <v>0</v>
      </c>
    </row>
    <row r="1916" spans="31:33">
      <c r="AE1916">
        <v>0</v>
      </c>
      <c r="AG1916">
        <v>0</v>
      </c>
    </row>
    <row r="1917" spans="31:33">
      <c r="AE1917">
        <v>0</v>
      </c>
      <c r="AG1917">
        <v>0</v>
      </c>
    </row>
    <row r="1918" spans="31:33">
      <c r="AE1918">
        <v>0</v>
      </c>
      <c r="AG1918">
        <v>0</v>
      </c>
    </row>
    <row r="1919" spans="31:33">
      <c r="AE1919">
        <v>0</v>
      </c>
      <c r="AG1919">
        <v>0</v>
      </c>
    </row>
    <row r="1920" spans="31:33">
      <c r="AE1920">
        <v>0</v>
      </c>
      <c r="AG1920">
        <v>0</v>
      </c>
    </row>
    <row r="1921" spans="31:33">
      <c r="AE1921">
        <v>0</v>
      </c>
      <c r="AG1921">
        <v>0</v>
      </c>
    </row>
    <row r="1922" spans="31:33">
      <c r="AE1922">
        <v>0</v>
      </c>
      <c r="AG1922">
        <v>0</v>
      </c>
    </row>
    <row r="1923" spans="31:33">
      <c r="AE1923">
        <v>0</v>
      </c>
      <c r="AG1923">
        <v>0</v>
      </c>
    </row>
    <row r="1924" spans="31:33">
      <c r="AE1924">
        <v>0</v>
      </c>
      <c r="AG1924">
        <v>0</v>
      </c>
    </row>
    <row r="1925" spans="31:33">
      <c r="AE1925">
        <v>0</v>
      </c>
      <c r="AG1925">
        <v>0</v>
      </c>
    </row>
    <row r="1926" spans="31:33">
      <c r="AE1926">
        <v>0</v>
      </c>
      <c r="AG1926">
        <v>0</v>
      </c>
    </row>
    <row r="1927" spans="31:33">
      <c r="AE1927">
        <v>0</v>
      </c>
      <c r="AG1927">
        <v>0</v>
      </c>
    </row>
    <row r="1928" spans="31:33">
      <c r="AE1928">
        <v>0</v>
      </c>
      <c r="AG1928">
        <v>0</v>
      </c>
    </row>
    <row r="1929" spans="31:33">
      <c r="AE1929">
        <v>0</v>
      </c>
      <c r="AG1929">
        <v>0</v>
      </c>
    </row>
    <row r="1930" spans="31:33">
      <c r="AE1930">
        <v>0</v>
      </c>
      <c r="AG1930">
        <v>0</v>
      </c>
    </row>
    <row r="1931" spans="31:33">
      <c r="AE1931">
        <v>0</v>
      </c>
      <c r="AG1931">
        <v>0</v>
      </c>
    </row>
    <row r="1932" spans="31:33">
      <c r="AE1932">
        <v>0</v>
      </c>
      <c r="AG1932">
        <v>0</v>
      </c>
    </row>
    <row r="1933" spans="31:33">
      <c r="AE1933">
        <v>0</v>
      </c>
      <c r="AG1933">
        <v>0</v>
      </c>
    </row>
    <row r="1934" spans="31:33">
      <c r="AE1934">
        <v>0</v>
      </c>
      <c r="AG1934">
        <v>0</v>
      </c>
    </row>
    <row r="1935" spans="31:33">
      <c r="AE1935">
        <v>0</v>
      </c>
      <c r="AG1935">
        <v>0</v>
      </c>
    </row>
    <row r="1936" spans="31:33">
      <c r="AE1936">
        <v>0</v>
      </c>
      <c r="AG1936">
        <v>0</v>
      </c>
    </row>
    <row r="1937" spans="31:33">
      <c r="AE1937">
        <v>0</v>
      </c>
      <c r="AG1937">
        <v>0</v>
      </c>
    </row>
    <row r="1938" spans="31:33">
      <c r="AE1938">
        <v>0</v>
      </c>
      <c r="AG1938">
        <v>0</v>
      </c>
    </row>
    <row r="1939" spans="31:33">
      <c r="AE1939">
        <v>0</v>
      </c>
      <c r="AG1939">
        <v>0</v>
      </c>
    </row>
    <row r="1940" spans="31:33">
      <c r="AE1940">
        <v>0</v>
      </c>
      <c r="AG1940">
        <v>0</v>
      </c>
    </row>
    <row r="1941" spans="31:33">
      <c r="AE1941">
        <v>0</v>
      </c>
      <c r="AG1941">
        <v>0</v>
      </c>
    </row>
    <row r="1942" spans="31:33">
      <c r="AE1942">
        <v>0</v>
      </c>
      <c r="AG1942">
        <v>0</v>
      </c>
    </row>
    <row r="1943" spans="31:33">
      <c r="AE1943">
        <v>0</v>
      </c>
      <c r="AG1943">
        <v>0</v>
      </c>
    </row>
    <row r="1944" spans="31:33">
      <c r="AE1944">
        <v>0</v>
      </c>
      <c r="AG1944">
        <v>0</v>
      </c>
    </row>
    <row r="1945" spans="31:33">
      <c r="AE1945">
        <v>0</v>
      </c>
      <c r="AG1945">
        <v>0</v>
      </c>
    </row>
    <row r="1946" spans="31:33">
      <c r="AE1946">
        <v>0</v>
      </c>
      <c r="AG1946">
        <v>0</v>
      </c>
    </row>
    <row r="1947" spans="31:33">
      <c r="AE1947">
        <v>0</v>
      </c>
      <c r="AG1947">
        <v>0</v>
      </c>
    </row>
    <row r="1948" spans="31:33">
      <c r="AE1948">
        <v>0</v>
      </c>
      <c r="AG1948">
        <v>0</v>
      </c>
    </row>
    <row r="1949" spans="31:33">
      <c r="AE1949">
        <v>0</v>
      </c>
      <c r="AG1949">
        <v>0</v>
      </c>
    </row>
    <row r="1950" spans="31:33">
      <c r="AE1950">
        <v>0</v>
      </c>
      <c r="AG1950">
        <v>0</v>
      </c>
    </row>
    <row r="1951" spans="31:33">
      <c r="AE1951">
        <v>0</v>
      </c>
      <c r="AG1951">
        <v>0</v>
      </c>
    </row>
    <row r="1952" spans="31:33">
      <c r="AE1952">
        <v>0</v>
      </c>
      <c r="AG1952">
        <v>0</v>
      </c>
    </row>
    <row r="1953" spans="31:33">
      <c r="AE1953">
        <v>0</v>
      </c>
      <c r="AG1953">
        <v>0</v>
      </c>
    </row>
    <row r="1954" spans="31:33">
      <c r="AE1954">
        <v>0</v>
      </c>
      <c r="AG1954">
        <v>0</v>
      </c>
    </row>
    <row r="1955" spans="31:33">
      <c r="AE1955">
        <v>0</v>
      </c>
      <c r="AG1955">
        <v>0</v>
      </c>
    </row>
    <row r="1956" spans="31:33">
      <c r="AE1956">
        <v>0</v>
      </c>
      <c r="AG1956">
        <v>0</v>
      </c>
    </row>
    <row r="1957" spans="31:33">
      <c r="AE1957">
        <v>0</v>
      </c>
      <c r="AG1957">
        <v>0</v>
      </c>
    </row>
    <row r="1958" spans="31:33">
      <c r="AE1958">
        <v>0</v>
      </c>
      <c r="AG1958">
        <v>0</v>
      </c>
    </row>
    <row r="1959" spans="31:33">
      <c r="AE1959">
        <v>0</v>
      </c>
      <c r="AG1959">
        <v>0</v>
      </c>
    </row>
    <row r="1960" spans="31:33">
      <c r="AE1960">
        <v>0</v>
      </c>
      <c r="AG1960">
        <v>0</v>
      </c>
    </row>
    <row r="1961" spans="31:33">
      <c r="AE1961">
        <v>0</v>
      </c>
      <c r="AG1961">
        <v>0</v>
      </c>
    </row>
    <row r="1962" spans="31:33">
      <c r="AE1962">
        <v>0</v>
      </c>
      <c r="AG1962">
        <v>0</v>
      </c>
    </row>
    <row r="1963" spans="31:33">
      <c r="AE1963">
        <v>0</v>
      </c>
      <c r="AG1963">
        <v>0</v>
      </c>
    </row>
    <row r="1964" spans="31:33">
      <c r="AE1964">
        <v>0</v>
      </c>
      <c r="AG1964">
        <v>0</v>
      </c>
    </row>
    <row r="1965" spans="31:33">
      <c r="AE1965">
        <v>0</v>
      </c>
      <c r="AG1965">
        <v>0</v>
      </c>
    </row>
    <row r="1966" spans="31:33">
      <c r="AE1966">
        <v>0</v>
      </c>
      <c r="AG1966">
        <v>0</v>
      </c>
    </row>
    <row r="1967" spans="31:33">
      <c r="AE1967">
        <v>0</v>
      </c>
      <c r="AG1967">
        <v>0</v>
      </c>
    </row>
    <row r="1968" spans="31:33">
      <c r="AE1968">
        <v>0</v>
      </c>
      <c r="AG1968">
        <v>0</v>
      </c>
    </row>
    <row r="1969" spans="31:33">
      <c r="AE1969">
        <v>0</v>
      </c>
      <c r="AG1969">
        <v>0</v>
      </c>
    </row>
    <row r="1970" spans="31:33">
      <c r="AE1970">
        <v>0</v>
      </c>
      <c r="AG1970">
        <v>0</v>
      </c>
    </row>
    <row r="1971" spans="31:33">
      <c r="AE1971">
        <v>0</v>
      </c>
      <c r="AG1971">
        <v>0</v>
      </c>
    </row>
    <row r="1972" spans="31:33">
      <c r="AE1972">
        <v>0</v>
      </c>
      <c r="AG1972">
        <v>0</v>
      </c>
    </row>
    <row r="1973" spans="31:33">
      <c r="AE1973">
        <v>0</v>
      </c>
      <c r="AG1973">
        <v>0</v>
      </c>
    </row>
    <row r="1974" spans="31:33">
      <c r="AE1974">
        <v>0</v>
      </c>
      <c r="AG1974">
        <v>0</v>
      </c>
    </row>
    <row r="1975" spans="31:33">
      <c r="AE1975">
        <v>0</v>
      </c>
      <c r="AG1975">
        <v>0</v>
      </c>
    </row>
    <row r="1976" spans="31:33">
      <c r="AE1976">
        <v>0</v>
      </c>
      <c r="AG1976">
        <v>0</v>
      </c>
    </row>
    <row r="1977" spans="31:33">
      <c r="AE1977">
        <v>0</v>
      </c>
      <c r="AG1977">
        <v>0</v>
      </c>
    </row>
    <row r="1978" spans="31:33">
      <c r="AE1978">
        <v>0</v>
      </c>
      <c r="AG1978">
        <v>0</v>
      </c>
    </row>
    <row r="1979" spans="31:33">
      <c r="AE1979">
        <v>0</v>
      </c>
      <c r="AG1979">
        <v>0</v>
      </c>
    </row>
    <row r="1980" spans="31:33">
      <c r="AE1980">
        <v>0</v>
      </c>
      <c r="AG1980">
        <v>0</v>
      </c>
    </row>
    <row r="1981" spans="31:33">
      <c r="AE1981">
        <v>0</v>
      </c>
      <c r="AG1981">
        <v>0</v>
      </c>
    </row>
    <row r="1982" spans="31:33">
      <c r="AE1982">
        <v>0</v>
      </c>
      <c r="AG1982">
        <v>0</v>
      </c>
    </row>
    <row r="1983" spans="31:33">
      <c r="AE1983">
        <v>0</v>
      </c>
      <c r="AG1983">
        <v>0</v>
      </c>
    </row>
    <row r="1984" spans="31:33">
      <c r="AE1984">
        <v>0</v>
      </c>
      <c r="AG1984">
        <v>0</v>
      </c>
    </row>
    <row r="1985" spans="31:33">
      <c r="AE1985">
        <v>0</v>
      </c>
      <c r="AG1985">
        <v>0</v>
      </c>
    </row>
    <row r="1986" spans="31:33">
      <c r="AE1986">
        <v>0</v>
      </c>
      <c r="AG1986">
        <v>0</v>
      </c>
    </row>
    <row r="1987" spans="31:33">
      <c r="AE1987">
        <v>0</v>
      </c>
      <c r="AG1987">
        <v>0</v>
      </c>
    </row>
    <row r="1988" spans="31:33">
      <c r="AE1988">
        <v>0</v>
      </c>
      <c r="AG1988">
        <v>0</v>
      </c>
    </row>
    <row r="1989" spans="31:33">
      <c r="AE1989">
        <v>0</v>
      </c>
      <c r="AG1989">
        <v>0</v>
      </c>
    </row>
    <row r="1990" spans="31:33">
      <c r="AE1990">
        <v>0</v>
      </c>
      <c r="AG1990">
        <v>0</v>
      </c>
    </row>
    <row r="1991" spans="31:33">
      <c r="AE1991">
        <v>0</v>
      </c>
      <c r="AG1991">
        <v>0</v>
      </c>
    </row>
    <row r="1992" spans="31:33">
      <c r="AE1992">
        <v>0</v>
      </c>
      <c r="AG1992">
        <v>0</v>
      </c>
    </row>
    <row r="1993" spans="31:33">
      <c r="AE1993">
        <v>0</v>
      </c>
      <c r="AG1993">
        <v>0</v>
      </c>
    </row>
    <row r="1994" spans="31:33">
      <c r="AE1994">
        <v>0</v>
      </c>
      <c r="AG1994">
        <v>0</v>
      </c>
    </row>
    <row r="1995" spans="31:33">
      <c r="AE1995">
        <v>0</v>
      </c>
      <c r="AG1995">
        <v>0</v>
      </c>
    </row>
    <row r="1996" spans="31:33">
      <c r="AE1996">
        <v>0</v>
      </c>
      <c r="AG1996">
        <v>0</v>
      </c>
    </row>
    <row r="1997" spans="31:33">
      <c r="AE1997">
        <v>0</v>
      </c>
      <c r="AG1997">
        <v>0</v>
      </c>
    </row>
    <row r="1998" spans="31:33">
      <c r="AE1998">
        <v>0</v>
      </c>
      <c r="AG1998">
        <v>0</v>
      </c>
    </row>
    <row r="1999" spans="31:33">
      <c r="AE1999">
        <v>0</v>
      </c>
      <c r="AG1999">
        <v>0</v>
      </c>
    </row>
    <row r="2000" spans="31:33">
      <c r="AE2000">
        <v>0</v>
      </c>
      <c r="AG2000">
        <v>0</v>
      </c>
    </row>
    <row r="2001" spans="31:33">
      <c r="AE2001">
        <v>0</v>
      </c>
      <c r="AG2001">
        <v>0</v>
      </c>
    </row>
    <row r="2002" spans="31:33">
      <c r="AE2002">
        <v>0</v>
      </c>
      <c r="AG2002">
        <v>0</v>
      </c>
    </row>
    <row r="2003" spans="31:33">
      <c r="AE2003">
        <v>0</v>
      </c>
      <c r="AG2003">
        <v>0</v>
      </c>
    </row>
    <row r="2004" spans="31:33">
      <c r="AE2004">
        <v>0</v>
      </c>
      <c r="AG2004">
        <v>0</v>
      </c>
    </row>
    <row r="2005" spans="31:33">
      <c r="AE2005">
        <v>0</v>
      </c>
      <c r="AG2005">
        <v>0</v>
      </c>
    </row>
    <row r="2006" spans="31:33">
      <c r="AE2006">
        <v>0</v>
      </c>
      <c r="AG2006">
        <v>0</v>
      </c>
    </row>
    <row r="2007" spans="31:33">
      <c r="AE2007">
        <v>0</v>
      </c>
      <c r="AG2007">
        <v>0</v>
      </c>
    </row>
    <row r="2008" spans="31:33">
      <c r="AE2008">
        <v>0</v>
      </c>
      <c r="AG2008">
        <v>0</v>
      </c>
    </row>
    <row r="2009" spans="31:33">
      <c r="AE2009">
        <v>0</v>
      </c>
      <c r="AG2009">
        <v>0</v>
      </c>
    </row>
    <row r="2010" spans="31:33">
      <c r="AE2010">
        <v>0</v>
      </c>
      <c r="AG2010">
        <v>0</v>
      </c>
    </row>
    <row r="2011" spans="31:33">
      <c r="AE2011">
        <v>0</v>
      </c>
      <c r="AG2011">
        <v>0</v>
      </c>
    </row>
    <row r="2012" spans="31:33">
      <c r="AE2012">
        <v>0</v>
      </c>
      <c r="AG2012">
        <v>0</v>
      </c>
    </row>
    <row r="2013" spans="31:33">
      <c r="AE2013">
        <v>0</v>
      </c>
      <c r="AG2013">
        <v>0</v>
      </c>
    </row>
    <row r="2014" spans="31:33">
      <c r="AE2014">
        <v>0</v>
      </c>
      <c r="AG2014">
        <v>0</v>
      </c>
    </row>
    <row r="2015" spans="31:33">
      <c r="AE2015">
        <v>0</v>
      </c>
      <c r="AG2015">
        <v>0</v>
      </c>
    </row>
    <row r="2016" spans="31:33">
      <c r="AE2016">
        <v>0</v>
      </c>
      <c r="AG2016">
        <v>0</v>
      </c>
    </row>
    <row r="2017" spans="31:33">
      <c r="AE2017">
        <v>0</v>
      </c>
      <c r="AG2017">
        <v>0</v>
      </c>
    </row>
    <row r="2018" spans="31:33">
      <c r="AE2018">
        <v>0</v>
      </c>
      <c r="AG2018">
        <v>0</v>
      </c>
    </row>
    <row r="2019" spans="31:33">
      <c r="AE2019">
        <v>0</v>
      </c>
      <c r="AG2019">
        <v>0</v>
      </c>
    </row>
    <row r="2020" spans="31:33">
      <c r="AE2020">
        <v>0</v>
      </c>
      <c r="AG2020">
        <v>0</v>
      </c>
    </row>
    <row r="2021" spans="31:33">
      <c r="AE2021">
        <v>0</v>
      </c>
      <c r="AG2021">
        <v>0</v>
      </c>
    </row>
    <row r="2022" spans="31:33">
      <c r="AE2022">
        <v>0</v>
      </c>
      <c r="AG2022">
        <v>0</v>
      </c>
    </row>
    <row r="2023" spans="31:33">
      <c r="AE2023">
        <v>0</v>
      </c>
      <c r="AG2023">
        <v>0</v>
      </c>
    </row>
    <row r="2024" spans="31:33">
      <c r="AE2024">
        <v>0</v>
      </c>
      <c r="AG2024">
        <v>0</v>
      </c>
    </row>
    <row r="2025" spans="31:33">
      <c r="AE2025">
        <v>0</v>
      </c>
      <c r="AG2025">
        <v>0</v>
      </c>
    </row>
    <row r="2026" spans="31:33">
      <c r="AE2026">
        <v>0</v>
      </c>
      <c r="AG2026">
        <v>0</v>
      </c>
    </row>
    <row r="2027" spans="31:33">
      <c r="AE2027">
        <v>0</v>
      </c>
      <c r="AG2027">
        <v>0</v>
      </c>
    </row>
    <row r="2028" spans="31:33">
      <c r="AE2028">
        <v>0</v>
      </c>
      <c r="AG2028">
        <v>0</v>
      </c>
    </row>
    <row r="2029" spans="31:33">
      <c r="AE2029">
        <v>0</v>
      </c>
      <c r="AG2029">
        <v>0</v>
      </c>
    </row>
    <row r="2030" spans="31:33">
      <c r="AE2030">
        <v>0</v>
      </c>
      <c r="AG2030">
        <v>0</v>
      </c>
    </row>
    <row r="2031" spans="31:33">
      <c r="AE2031">
        <v>0</v>
      </c>
      <c r="AG2031">
        <v>0</v>
      </c>
    </row>
    <row r="2032" spans="31:33">
      <c r="AE2032">
        <v>0</v>
      </c>
      <c r="AG2032">
        <v>0</v>
      </c>
    </row>
    <row r="2033" spans="31:33">
      <c r="AE2033">
        <v>0</v>
      </c>
      <c r="AG2033">
        <v>0</v>
      </c>
    </row>
    <row r="2034" spans="31:33">
      <c r="AE2034">
        <v>0</v>
      </c>
      <c r="AG2034">
        <v>0</v>
      </c>
    </row>
    <row r="2035" spans="31:33">
      <c r="AE2035">
        <v>0</v>
      </c>
      <c r="AG2035">
        <v>0</v>
      </c>
    </row>
    <row r="2036" spans="31:33">
      <c r="AE2036">
        <v>0</v>
      </c>
      <c r="AG2036">
        <v>0</v>
      </c>
    </row>
    <row r="2037" spans="31:33">
      <c r="AE2037">
        <v>0</v>
      </c>
      <c r="AG2037">
        <v>0</v>
      </c>
    </row>
    <row r="2038" spans="31:33">
      <c r="AE2038">
        <v>0</v>
      </c>
      <c r="AG2038">
        <v>0</v>
      </c>
    </row>
    <row r="2039" spans="31:33">
      <c r="AE2039">
        <v>0</v>
      </c>
      <c r="AG2039">
        <v>0</v>
      </c>
    </row>
    <row r="2040" spans="31:33">
      <c r="AE2040">
        <v>0</v>
      </c>
      <c r="AG2040">
        <v>0</v>
      </c>
    </row>
    <row r="2041" spans="31:33">
      <c r="AE2041">
        <v>0</v>
      </c>
      <c r="AG2041">
        <v>0</v>
      </c>
    </row>
    <row r="2042" spans="31:33">
      <c r="AE2042">
        <v>0</v>
      </c>
      <c r="AG2042">
        <v>0</v>
      </c>
    </row>
    <row r="2043" spans="31:33">
      <c r="AE2043">
        <v>0</v>
      </c>
      <c r="AG2043">
        <v>0</v>
      </c>
    </row>
    <row r="2044" spans="31:33">
      <c r="AE2044">
        <v>0</v>
      </c>
      <c r="AG2044">
        <v>0</v>
      </c>
    </row>
    <row r="2045" spans="31:33">
      <c r="AE2045">
        <v>0</v>
      </c>
      <c r="AG2045">
        <v>0</v>
      </c>
    </row>
    <row r="2046" spans="31:33">
      <c r="AE2046">
        <v>0</v>
      </c>
      <c r="AG2046">
        <v>0</v>
      </c>
    </row>
    <row r="2047" spans="31:33">
      <c r="AE2047">
        <v>0</v>
      </c>
      <c r="AG2047">
        <v>0</v>
      </c>
    </row>
    <row r="2048" spans="31:33">
      <c r="AE2048">
        <v>0</v>
      </c>
      <c r="AG2048">
        <v>0</v>
      </c>
    </row>
    <row r="2049" spans="31:33">
      <c r="AE2049">
        <v>0</v>
      </c>
      <c r="AG2049">
        <v>0</v>
      </c>
    </row>
    <row r="2050" spans="31:33">
      <c r="AE2050">
        <v>0</v>
      </c>
      <c r="AG2050">
        <v>0</v>
      </c>
    </row>
    <row r="2051" spans="31:33">
      <c r="AE2051">
        <v>0</v>
      </c>
      <c r="AG2051">
        <v>0</v>
      </c>
    </row>
    <row r="2052" spans="31:33">
      <c r="AE2052">
        <v>0</v>
      </c>
      <c r="AG2052">
        <v>0</v>
      </c>
    </row>
    <row r="2053" spans="31:33">
      <c r="AE2053">
        <v>0</v>
      </c>
      <c r="AG2053">
        <v>0</v>
      </c>
    </row>
    <row r="2054" spans="31:33">
      <c r="AE2054">
        <v>0</v>
      </c>
      <c r="AG2054">
        <v>0</v>
      </c>
    </row>
    <row r="2055" spans="31:33">
      <c r="AE2055">
        <v>0</v>
      </c>
      <c r="AG2055">
        <v>0</v>
      </c>
    </row>
    <row r="2056" spans="31:33">
      <c r="AE2056">
        <v>0</v>
      </c>
      <c r="AG2056">
        <v>0</v>
      </c>
    </row>
    <row r="2057" spans="31:33">
      <c r="AE2057">
        <v>0</v>
      </c>
      <c r="AG2057">
        <v>0</v>
      </c>
    </row>
    <row r="2058" spans="31:33">
      <c r="AE2058">
        <v>0</v>
      </c>
      <c r="AG2058">
        <v>0</v>
      </c>
    </row>
    <row r="2059" spans="31:33">
      <c r="AE2059">
        <v>0</v>
      </c>
      <c r="AG2059">
        <v>0</v>
      </c>
    </row>
    <row r="2060" spans="31:33">
      <c r="AE2060">
        <v>0</v>
      </c>
      <c r="AG2060">
        <v>0</v>
      </c>
    </row>
    <row r="2061" spans="31:33">
      <c r="AE2061">
        <v>0</v>
      </c>
      <c r="AG2061">
        <v>0</v>
      </c>
    </row>
    <row r="2062" spans="31:33">
      <c r="AE2062">
        <v>0</v>
      </c>
      <c r="AG2062">
        <v>0</v>
      </c>
    </row>
    <row r="2063" spans="31:33">
      <c r="AE2063">
        <v>0</v>
      </c>
      <c r="AG2063">
        <v>0</v>
      </c>
    </row>
    <row r="2064" spans="31:33">
      <c r="AE2064">
        <v>0</v>
      </c>
      <c r="AG2064">
        <v>0</v>
      </c>
    </row>
    <row r="2065" spans="31:33">
      <c r="AE2065">
        <v>0</v>
      </c>
      <c r="AG2065">
        <v>0</v>
      </c>
    </row>
    <row r="2066" spans="31:33">
      <c r="AE2066">
        <v>0</v>
      </c>
      <c r="AG2066">
        <v>0</v>
      </c>
    </row>
    <row r="2067" spans="31:33">
      <c r="AE2067">
        <v>0</v>
      </c>
      <c r="AG2067">
        <v>0</v>
      </c>
    </row>
    <row r="2068" spans="31:33">
      <c r="AE2068">
        <v>0</v>
      </c>
      <c r="AG2068">
        <v>0</v>
      </c>
    </row>
    <row r="2069" spans="31:33">
      <c r="AE2069">
        <v>0</v>
      </c>
      <c r="AG2069">
        <v>0</v>
      </c>
    </row>
    <row r="2070" spans="31:33">
      <c r="AE2070">
        <v>0</v>
      </c>
      <c r="AG2070">
        <v>0</v>
      </c>
    </row>
    <row r="2071" spans="31:33">
      <c r="AE2071">
        <v>0</v>
      </c>
      <c r="AG2071">
        <v>0</v>
      </c>
    </row>
    <row r="2072" spans="31:33">
      <c r="AE2072">
        <v>0</v>
      </c>
      <c r="AG2072">
        <v>0</v>
      </c>
    </row>
    <row r="2073" spans="31:33">
      <c r="AE2073">
        <v>0</v>
      </c>
      <c r="AG2073">
        <v>0</v>
      </c>
    </row>
    <row r="2074" spans="31:33">
      <c r="AE2074">
        <v>0</v>
      </c>
      <c r="AG2074">
        <v>0</v>
      </c>
    </row>
    <row r="2075" spans="31:33">
      <c r="AE2075">
        <v>0</v>
      </c>
      <c r="AG2075">
        <v>0</v>
      </c>
    </row>
    <row r="2076" spans="31:33">
      <c r="AE2076">
        <v>0</v>
      </c>
      <c r="AG2076">
        <v>0</v>
      </c>
    </row>
    <row r="2077" spans="31:33">
      <c r="AE2077">
        <v>0</v>
      </c>
      <c r="AG2077">
        <v>0</v>
      </c>
    </row>
    <row r="2078" spans="31:33">
      <c r="AE2078">
        <v>0</v>
      </c>
      <c r="AG2078">
        <v>0</v>
      </c>
    </row>
    <row r="2079" spans="31:33">
      <c r="AE2079">
        <v>0</v>
      </c>
      <c r="AG2079">
        <v>0</v>
      </c>
    </row>
    <row r="2080" spans="31:33">
      <c r="AE2080">
        <v>0</v>
      </c>
      <c r="AG2080">
        <v>0</v>
      </c>
    </row>
    <row r="2081" spans="31:33">
      <c r="AE2081">
        <v>0</v>
      </c>
      <c r="AG2081">
        <v>0</v>
      </c>
    </row>
    <row r="2082" spans="31:33">
      <c r="AE2082">
        <v>0</v>
      </c>
      <c r="AG2082">
        <v>0</v>
      </c>
    </row>
    <row r="2083" spans="31:33">
      <c r="AE2083">
        <v>0</v>
      </c>
      <c r="AG2083">
        <v>0</v>
      </c>
    </row>
    <row r="2084" spans="31:33">
      <c r="AE2084">
        <v>0</v>
      </c>
      <c r="AG2084">
        <v>0</v>
      </c>
    </row>
    <row r="2085" spans="31:33">
      <c r="AE2085">
        <v>0</v>
      </c>
      <c r="AG2085">
        <v>0</v>
      </c>
    </row>
    <row r="2086" spans="31:33">
      <c r="AE2086">
        <v>0</v>
      </c>
      <c r="AG2086">
        <v>0</v>
      </c>
    </row>
    <row r="2087" spans="31:33">
      <c r="AE2087">
        <v>0</v>
      </c>
      <c r="AG2087">
        <v>0</v>
      </c>
    </row>
    <row r="2088" spans="31:33">
      <c r="AE2088">
        <v>0</v>
      </c>
      <c r="AG2088">
        <v>0</v>
      </c>
    </row>
    <row r="2089" spans="31:33">
      <c r="AE2089">
        <v>0</v>
      </c>
      <c r="AG2089">
        <v>0</v>
      </c>
    </row>
    <row r="2090" spans="31:33">
      <c r="AE2090">
        <v>0</v>
      </c>
      <c r="AG2090">
        <v>0</v>
      </c>
    </row>
    <row r="2091" spans="31:33">
      <c r="AE2091">
        <v>0</v>
      </c>
      <c r="AG2091">
        <v>0</v>
      </c>
    </row>
    <row r="2092" spans="31:33">
      <c r="AE2092">
        <v>0</v>
      </c>
      <c r="AG2092">
        <v>0</v>
      </c>
    </row>
    <row r="2093" spans="31:33">
      <c r="AE2093">
        <v>0</v>
      </c>
      <c r="AG2093">
        <v>0</v>
      </c>
    </row>
    <row r="2094" spans="31:33">
      <c r="AE2094">
        <v>0</v>
      </c>
      <c r="AG2094">
        <v>0</v>
      </c>
    </row>
    <row r="2095" spans="31:33">
      <c r="AE2095">
        <v>0</v>
      </c>
      <c r="AG2095">
        <v>0</v>
      </c>
    </row>
    <row r="2096" spans="31:33">
      <c r="AE2096" s="31">
        <v>-31322766.620000001</v>
      </c>
      <c r="AG2096" s="31">
        <v>-96438001.269999996</v>
      </c>
    </row>
    <row r="2097" spans="31:33">
      <c r="AE2097">
        <v>0</v>
      </c>
      <c r="AG2097">
        <v>0</v>
      </c>
    </row>
    <row r="2098" spans="31:33">
      <c r="AE2098">
        <v>0</v>
      </c>
      <c r="AG2098">
        <v>0</v>
      </c>
    </row>
    <row r="2099" spans="31:33">
      <c r="AE2099">
        <v>0</v>
      </c>
      <c r="AG2099">
        <v>0</v>
      </c>
    </row>
    <row r="2100" spans="31:33">
      <c r="AE2100">
        <v>0</v>
      </c>
      <c r="AG2100">
        <v>0</v>
      </c>
    </row>
    <row r="2101" spans="31:33">
      <c r="AE2101">
        <v>0</v>
      </c>
      <c r="AG2101">
        <v>0</v>
      </c>
    </row>
    <row r="2102" spans="31:33">
      <c r="AE2102">
        <v>0</v>
      </c>
      <c r="AG2102">
        <v>0</v>
      </c>
    </row>
    <row r="2103" spans="31:33">
      <c r="AE2103">
        <v>0</v>
      </c>
      <c r="AG2103">
        <v>0</v>
      </c>
    </row>
    <row r="2104" spans="31:33">
      <c r="AE2104">
        <v>0</v>
      </c>
      <c r="AG2104">
        <v>0</v>
      </c>
    </row>
    <row r="2105" spans="31:33">
      <c r="AE2105">
        <v>0</v>
      </c>
      <c r="AG2105">
        <v>0</v>
      </c>
    </row>
    <row r="2106" spans="31:33">
      <c r="AE2106">
        <v>0</v>
      </c>
      <c r="AG2106">
        <v>0</v>
      </c>
    </row>
    <row r="2107" spans="31:33">
      <c r="AE2107">
        <v>0</v>
      </c>
      <c r="AG2107">
        <v>0</v>
      </c>
    </row>
    <row r="2108" spans="31:33">
      <c r="AE2108">
        <v>0</v>
      </c>
      <c r="AG2108">
        <v>0</v>
      </c>
    </row>
    <row r="2109" spans="31:33">
      <c r="AE2109">
        <v>0</v>
      </c>
      <c r="AG2109">
        <v>0</v>
      </c>
    </row>
    <row r="2110" spans="31:33">
      <c r="AE2110">
        <v>0</v>
      </c>
      <c r="AG2110">
        <v>0</v>
      </c>
    </row>
    <row r="2111" spans="31:33">
      <c r="AE2111">
        <v>0</v>
      </c>
      <c r="AG2111">
        <v>0</v>
      </c>
    </row>
    <row r="2112" spans="31:33">
      <c r="AE2112">
        <v>0</v>
      </c>
      <c r="AG2112">
        <v>0</v>
      </c>
    </row>
    <row r="2113" spans="31:33">
      <c r="AE2113">
        <v>0</v>
      </c>
      <c r="AG2113">
        <v>0</v>
      </c>
    </row>
    <row r="2114" spans="31:33">
      <c r="AE2114">
        <v>0</v>
      </c>
      <c r="AG2114">
        <v>0</v>
      </c>
    </row>
    <row r="2115" spans="31:33">
      <c r="AE2115">
        <v>0</v>
      </c>
      <c r="AG2115">
        <v>0</v>
      </c>
    </row>
    <row r="2116" spans="31:33">
      <c r="AE2116">
        <v>0</v>
      </c>
      <c r="AG2116">
        <v>0</v>
      </c>
    </row>
    <row r="2117" spans="31:33">
      <c r="AE2117">
        <v>0</v>
      </c>
      <c r="AG2117">
        <v>0</v>
      </c>
    </row>
    <row r="2118" spans="31:33">
      <c r="AE2118">
        <v>0</v>
      </c>
      <c r="AG2118">
        <v>0</v>
      </c>
    </row>
    <row r="2119" spans="31:33">
      <c r="AE2119">
        <v>0</v>
      </c>
      <c r="AG2119">
        <v>0</v>
      </c>
    </row>
    <row r="2120" spans="31:33">
      <c r="AE2120">
        <v>0</v>
      </c>
      <c r="AG2120">
        <v>0</v>
      </c>
    </row>
    <row r="2121" spans="31:33">
      <c r="AE2121">
        <v>0</v>
      </c>
      <c r="AG2121">
        <v>0</v>
      </c>
    </row>
    <row r="2122" spans="31:33">
      <c r="AE2122">
        <v>0</v>
      </c>
      <c r="AG2122">
        <v>0</v>
      </c>
    </row>
    <row r="2123" spans="31:33">
      <c r="AE2123">
        <v>0</v>
      </c>
      <c r="AG2123">
        <v>0</v>
      </c>
    </row>
    <row r="2124" spans="31:33">
      <c r="AE2124">
        <v>0</v>
      </c>
      <c r="AG2124">
        <v>0</v>
      </c>
    </row>
    <row r="2125" spans="31:33">
      <c r="AE2125">
        <v>0</v>
      </c>
      <c r="AG2125">
        <v>0</v>
      </c>
    </row>
    <row r="2126" spans="31:33">
      <c r="AE2126" s="31">
        <v>44010815.670000002</v>
      </c>
      <c r="AG2126" s="31">
        <v>58416440.75</v>
      </c>
    </row>
    <row r="2127" spans="31:33">
      <c r="AE2127">
        <v>0</v>
      </c>
      <c r="AG2127">
        <v>0</v>
      </c>
    </row>
    <row r="2128" spans="31:33">
      <c r="AE2128">
        <v>0</v>
      </c>
      <c r="AG2128">
        <v>0</v>
      </c>
    </row>
    <row r="2129" spans="31:33">
      <c r="AE2129">
        <v>0</v>
      </c>
      <c r="AG2129">
        <v>0</v>
      </c>
    </row>
    <row r="2130" spans="31:33">
      <c r="AE2130">
        <v>0</v>
      </c>
      <c r="AG2130">
        <v>0</v>
      </c>
    </row>
    <row r="2131" spans="31:33">
      <c r="AE2131">
        <v>0</v>
      </c>
      <c r="AG2131">
        <v>0</v>
      </c>
    </row>
    <row r="2132" spans="31:33">
      <c r="AE2132">
        <v>0</v>
      </c>
      <c r="AG2132">
        <v>0</v>
      </c>
    </row>
    <row r="2133" spans="31:33">
      <c r="AE2133">
        <v>0</v>
      </c>
      <c r="AG2133">
        <v>0</v>
      </c>
    </row>
    <row r="2134" spans="31:33">
      <c r="AE2134">
        <v>0</v>
      </c>
      <c r="AG2134">
        <v>0</v>
      </c>
    </row>
    <row r="2135" spans="31:33">
      <c r="AE2135">
        <v>0</v>
      </c>
      <c r="AG2135">
        <v>0</v>
      </c>
    </row>
    <row r="2136" spans="31:33">
      <c r="AE2136">
        <v>0</v>
      </c>
      <c r="AG2136">
        <v>0</v>
      </c>
    </row>
    <row r="2137" spans="31:33">
      <c r="AE2137">
        <v>0</v>
      </c>
      <c r="AG2137">
        <v>0</v>
      </c>
    </row>
    <row r="2138" spans="31:33">
      <c r="AE2138">
        <v>0</v>
      </c>
      <c r="AG2138">
        <v>0</v>
      </c>
    </row>
    <row r="2139" spans="31:33">
      <c r="AE2139">
        <v>0</v>
      </c>
      <c r="AG2139">
        <v>0</v>
      </c>
    </row>
    <row r="2140" spans="31:33">
      <c r="AE2140">
        <v>0</v>
      </c>
      <c r="AG2140">
        <v>0</v>
      </c>
    </row>
    <row r="2141" spans="31:33">
      <c r="AE2141">
        <v>0</v>
      </c>
      <c r="AG2141">
        <v>0</v>
      </c>
    </row>
    <row r="2142" spans="31:33">
      <c r="AE2142">
        <v>-444.21</v>
      </c>
      <c r="AG2142">
        <v>-444.21</v>
      </c>
    </row>
    <row r="2143" spans="31:33">
      <c r="AE2143">
        <v>0</v>
      </c>
      <c r="AG2143">
        <v>0</v>
      </c>
    </row>
    <row r="2144" spans="31:33">
      <c r="AE2144">
        <v>0</v>
      </c>
      <c r="AG2144">
        <v>0</v>
      </c>
    </row>
    <row r="2145" spans="31:33">
      <c r="AE2145">
        <v>0</v>
      </c>
      <c r="AG2145">
        <v>0</v>
      </c>
    </row>
    <row r="2146" spans="31:33">
      <c r="AE2146">
        <v>0</v>
      </c>
      <c r="AG2146">
        <v>0</v>
      </c>
    </row>
    <row r="2147" spans="31:33">
      <c r="AE2147">
        <v>0</v>
      </c>
      <c r="AG2147">
        <v>0</v>
      </c>
    </row>
    <row r="2148" spans="31:33">
      <c r="AE2148">
        <v>0</v>
      </c>
      <c r="AG2148">
        <v>0</v>
      </c>
    </row>
    <row r="2149" spans="31:33">
      <c r="AE2149">
        <v>0</v>
      </c>
      <c r="AG2149">
        <v>0</v>
      </c>
    </row>
    <row r="2150" spans="31:33">
      <c r="AE2150">
        <v>0</v>
      </c>
      <c r="AG2150">
        <v>0</v>
      </c>
    </row>
    <row r="2151" spans="31:33">
      <c r="AE2151">
        <v>0</v>
      </c>
      <c r="AG2151">
        <v>0</v>
      </c>
    </row>
    <row r="2152" spans="31:33">
      <c r="AE2152">
        <v>0</v>
      </c>
      <c r="AG2152">
        <v>0</v>
      </c>
    </row>
    <row r="2153" spans="31:33">
      <c r="AE2153">
        <v>0</v>
      </c>
      <c r="AG2153">
        <v>0</v>
      </c>
    </row>
    <row r="2154" spans="31:33">
      <c r="AE2154">
        <v>0</v>
      </c>
      <c r="AG2154">
        <v>0</v>
      </c>
    </row>
    <row r="2155" spans="31:33">
      <c r="AE2155">
        <v>0</v>
      </c>
      <c r="AG2155">
        <v>0</v>
      </c>
    </row>
    <row r="2156" spans="31:33">
      <c r="AE2156">
        <v>0</v>
      </c>
      <c r="AG2156">
        <v>0</v>
      </c>
    </row>
    <row r="2157" spans="31:33">
      <c r="AE2157">
        <v>0</v>
      </c>
      <c r="AG2157">
        <v>0</v>
      </c>
    </row>
    <row r="2158" spans="31:33">
      <c r="AE2158">
        <v>0</v>
      </c>
      <c r="AG2158">
        <v>0</v>
      </c>
    </row>
    <row r="2159" spans="31:33">
      <c r="AE2159">
        <v>0</v>
      </c>
      <c r="AG2159">
        <v>0</v>
      </c>
    </row>
    <row r="2160" spans="31:33">
      <c r="AE2160">
        <v>0</v>
      </c>
      <c r="AG2160">
        <v>0</v>
      </c>
    </row>
    <row r="2161" spans="31:33">
      <c r="AE2161">
        <v>0</v>
      </c>
      <c r="AG2161">
        <v>0</v>
      </c>
    </row>
    <row r="2162" spans="31:33">
      <c r="AE2162">
        <v>0</v>
      </c>
      <c r="AG2162">
        <v>0</v>
      </c>
    </row>
    <row r="2163" spans="31:33">
      <c r="AE2163">
        <v>0</v>
      </c>
      <c r="AG2163">
        <v>0</v>
      </c>
    </row>
    <row r="2164" spans="31:33">
      <c r="AE2164">
        <v>0</v>
      </c>
      <c r="AG2164">
        <v>0</v>
      </c>
    </row>
    <row r="2165" spans="31:33">
      <c r="AE2165" s="31">
        <v>45659.15</v>
      </c>
      <c r="AG2165" s="31">
        <v>41545.5</v>
      </c>
    </row>
    <row r="2166" spans="31:33">
      <c r="AE2166" s="31">
        <v>-1118.56</v>
      </c>
      <c r="AG2166" s="31">
        <v>-1118.56</v>
      </c>
    </row>
    <row r="2167" spans="31:33">
      <c r="AE2167" s="31">
        <v>81273.740000000005</v>
      </c>
      <c r="AG2167" s="31">
        <v>81273.740000000005</v>
      </c>
    </row>
    <row r="2168" spans="31:33">
      <c r="AE2168">
        <v>-0.23</v>
      </c>
      <c r="AG2168">
        <v>-0.23</v>
      </c>
    </row>
    <row r="2169" spans="31:33">
      <c r="AE2169">
        <v>0</v>
      </c>
      <c r="AG2169">
        <v>0</v>
      </c>
    </row>
    <row r="2170" spans="31:33">
      <c r="AE2170">
        <v>0</v>
      </c>
      <c r="AG2170">
        <v>0</v>
      </c>
    </row>
    <row r="2171" spans="31:33">
      <c r="AE2171">
        <v>0</v>
      </c>
      <c r="AG2171">
        <v>0</v>
      </c>
    </row>
    <row r="2172" spans="31:33">
      <c r="AE2172">
        <v>0</v>
      </c>
      <c r="AG2172">
        <v>0</v>
      </c>
    </row>
    <row r="2173" spans="31:33">
      <c r="AE2173">
        <v>0</v>
      </c>
      <c r="AG2173">
        <v>0</v>
      </c>
    </row>
    <row r="2174" spans="31:33">
      <c r="AE2174">
        <v>0</v>
      </c>
      <c r="AG2174">
        <v>0</v>
      </c>
    </row>
    <row r="2175" spans="31:33">
      <c r="AE2175">
        <v>0</v>
      </c>
      <c r="AG2175">
        <v>0</v>
      </c>
    </row>
    <row r="2176" spans="31:33">
      <c r="AE2176">
        <v>0</v>
      </c>
      <c r="AG2176">
        <v>0</v>
      </c>
    </row>
    <row r="2177" spans="31:33">
      <c r="AE2177">
        <v>0</v>
      </c>
      <c r="AG2177">
        <v>0</v>
      </c>
    </row>
    <row r="2178" spans="31:33">
      <c r="AE2178">
        <v>0</v>
      </c>
      <c r="AG2178">
        <v>0</v>
      </c>
    </row>
    <row r="2179" spans="31:33">
      <c r="AE2179">
        <v>0</v>
      </c>
      <c r="AG2179">
        <v>0</v>
      </c>
    </row>
    <row r="2180" spans="31:33">
      <c r="AE2180">
        <v>0</v>
      </c>
      <c r="AG2180">
        <v>0</v>
      </c>
    </row>
    <row r="2181" spans="31:33">
      <c r="AE2181">
        <v>0</v>
      </c>
      <c r="AG2181">
        <v>0</v>
      </c>
    </row>
    <row r="2182" spans="31:33">
      <c r="AE2182">
        <v>0</v>
      </c>
      <c r="AG2182">
        <v>0</v>
      </c>
    </row>
    <row r="2183" spans="31:33">
      <c r="AE2183">
        <v>0</v>
      </c>
      <c r="AG2183">
        <v>0</v>
      </c>
    </row>
    <row r="2184" spans="31:33">
      <c r="AE2184">
        <v>0</v>
      </c>
      <c r="AG2184">
        <v>0</v>
      </c>
    </row>
    <row r="2185" spans="31:33">
      <c r="AE2185">
        <v>0</v>
      </c>
      <c r="AG2185">
        <v>0</v>
      </c>
    </row>
    <row r="2186" spans="31:33">
      <c r="AE2186">
        <v>0</v>
      </c>
      <c r="AG2186">
        <v>0</v>
      </c>
    </row>
    <row r="2187" spans="31:33">
      <c r="AE2187" s="31">
        <v>1026.8900000000001</v>
      </c>
      <c r="AG2187" s="31">
        <v>1535.32</v>
      </c>
    </row>
    <row r="2188" spans="31:33">
      <c r="AE2188">
        <v>0</v>
      </c>
      <c r="AG2188">
        <v>0</v>
      </c>
    </row>
    <row r="2189" spans="31:33">
      <c r="AE2189">
        <v>0</v>
      </c>
      <c r="AG2189">
        <v>0</v>
      </c>
    </row>
    <row r="2190" spans="31:33">
      <c r="AE2190">
        <v>0</v>
      </c>
      <c r="AG2190">
        <v>0</v>
      </c>
    </row>
    <row r="2191" spans="31:33">
      <c r="AE2191" s="31">
        <v>1763990.72</v>
      </c>
      <c r="AG2191" s="31">
        <v>6075469.2199999997</v>
      </c>
    </row>
    <row r="2192" spans="31:33">
      <c r="AE2192">
        <v>0</v>
      </c>
      <c r="AG2192">
        <v>0</v>
      </c>
    </row>
    <row r="2193" spans="31:33">
      <c r="AE2193">
        <v>0</v>
      </c>
      <c r="AG2193">
        <v>0</v>
      </c>
    </row>
    <row r="2194" spans="31:33">
      <c r="AE2194">
        <v>0</v>
      </c>
      <c r="AG2194">
        <v>0</v>
      </c>
    </row>
    <row r="2195" spans="31:33">
      <c r="AE2195">
        <v>0</v>
      </c>
      <c r="AG2195">
        <v>0</v>
      </c>
    </row>
    <row r="2196" spans="31:33">
      <c r="AE2196">
        <v>0</v>
      </c>
      <c r="AG2196">
        <v>0</v>
      </c>
    </row>
    <row r="2197" spans="31:33">
      <c r="AE2197">
        <v>0</v>
      </c>
      <c r="AG2197">
        <v>0</v>
      </c>
    </row>
    <row r="2198" spans="31:33">
      <c r="AE2198" s="31">
        <v>119718.72</v>
      </c>
      <c r="AG2198" s="31">
        <v>122505.41</v>
      </c>
    </row>
    <row r="2199" spans="31:33">
      <c r="AE2199">
        <v>0</v>
      </c>
      <c r="AG2199">
        <v>0</v>
      </c>
    </row>
    <row r="2200" spans="31:33">
      <c r="AE2200">
        <v>0</v>
      </c>
      <c r="AG2200">
        <v>0</v>
      </c>
    </row>
    <row r="2201" spans="31:33">
      <c r="AE2201">
        <v>0</v>
      </c>
      <c r="AG2201">
        <v>0</v>
      </c>
    </row>
    <row r="2202" spans="31:33">
      <c r="AE2202">
        <v>0</v>
      </c>
      <c r="AG2202">
        <v>0</v>
      </c>
    </row>
    <row r="2203" spans="31:33">
      <c r="AE2203">
        <v>0</v>
      </c>
      <c r="AG2203">
        <v>0</v>
      </c>
    </row>
    <row r="2204" spans="31:33">
      <c r="AE2204">
        <v>0</v>
      </c>
      <c r="AG2204">
        <v>0</v>
      </c>
    </row>
    <row r="2205" spans="31:33">
      <c r="AE2205">
        <v>0</v>
      </c>
      <c r="AG2205">
        <v>0</v>
      </c>
    </row>
    <row r="2206" spans="31:33">
      <c r="AE2206">
        <v>0</v>
      </c>
      <c r="AG2206">
        <v>0</v>
      </c>
    </row>
    <row r="2207" spans="31:33">
      <c r="AE2207">
        <v>0</v>
      </c>
      <c r="AG2207">
        <v>0</v>
      </c>
    </row>
    <row r="2208" spans="31:33">
      <c r="AE2208">
        <v>0</v>
      </c>
      <c r="AG2208">
        <v>0</v>
      </c>
    </row>
    <row r="2209" spans="31:33">
      <c r="AE2209">
        <v>0</v>
      </c>
      <c r="AG2209">
        <v>0</v>
      </c>
    </row>
    <row r="2210" spans="31:33">
      <c r="AE2210">
        <v>0</v>
      </c>
      <c r="AG2210">
        <v>0</v>
      </c>
    </row>
    <row r="2211" spans="31:33">
      <c r="AE2211">
        <v>0</v>
      </c>
      <c r="AG2211">
        <v>0</v>
      </c>
    </row>
    <row r="2212" spans="31:33">
      <c r="AE2212">
        <v>0</v>
      </c>
      <c r="AG2212">
        <v>0</v>
      </c>
    </row>
    <row r="2213" spans="31:33">
      <c r="AE2213">
        <v>0</v>
      </c>
      <c r="AG2213">
        <v>0</v>
      </c>
    </row>
    <row r="2214" spans="31:33">
      <c r="AE2214">
        <v>0</v>
      </c>
      <c r="AG2214">
        <v>0</v>
      </c>
    </row>
    <row r="2215" spans="31:33">
      <c r="AE2215">
        <v>0</v>
      </c>
      <c r="AG2215">
        <v>0</v>
      </c>
    </row>
    <row r="2216" spans="31:33">
      <c r="AE2216">
        <v>0</v>
      </c>
      <c r="AG2216">
        <v>0</v>
      </c>
    </row>
    <row r="2217" spans="31:33">
      <c r="AE2217">
        <v>0</v>
      </c>
      <c r="AG2217">
        <v>0</v>
      </c>
    </row>
    <row r="2218" spans="31:33">
      <c r="AE2218">
        <v>0</v>
      </c>
      <c r="AG2218">
        <v>0</v>
      </c>
    </row>
    <row r="2219" spans="31:33">
      <c r="AE2219">
        <v>0</v>
      </c>
      <c r="AG2219">
        <v>0</v>
      </c>
    </row>
    <row r="2220" spans="31:33">
      <c r="AE2220">
        <v>0</v>
      </c>
      <c r="AG2220">
        <v>0</v>
      </c>
    </row>
    <row r="2221" spans="31:33">
      <c r="AE2221">
        <v>0</v>
      </c>
      <c r="AG2221">
        <v>0</v>
      </c>
    </row>
    <row r="2222" spans="31:33">
      <c r="AE2222">
        <v>0</v>
      </c>
      <c r="AG2222">
        <v>0</v>
      </c>
    </row>
    <row r="2223" spans="31:33">
      <c r="AE2223">
        <v>0</v>
      </c>
      <c r="AG2223">
        <v>0</v>
      </c>
    </row>
    <row r="2224" spans="31:33">
      <c r="AE2224">
        <v>0</v>
      </c>
      <c r="AG2224">
        <v>0</v>
      </c>
    </row>
    <row r="2225" spans="31:33">
      <c r="AE2225">
        <v>0</v>
      </c>
      <c r="AG2225">
        <v>0</v>
      </c>
    </row>
    <row r="2226" spans="31:33">
      <c r="AE2226">
        <v>0</v>
      </c>
      <c r="AG2226">
        <v>0</v>
      </c>
    </row>
    <row r="2227" spans="31:33">
      <c r="AE2227">
        <v>0</v>
      </c>
      <c r="AG2227">
        <v>0</v>
      </c>
    </row>
    <row r="2228" spans="31:33">
      <c r="AE2228">
        <v>0</v>
      </c>
      <c r="AG2228">
        <v>0</v>
      </c>
    </row>
    <row r="2229" spans="31:33">
      <c r="AE2229" s="31">
        <v>-13608.03</v>
      </c>
      <c r="AG2229" s="31">
        <v>-5917.55</v>
      </c>
    </row>
    <row r="2230" spans="31:33">
      <c r="AE2230">
        <v>0</v>
      </c>
      <c r="AG2230">
        <v>0</v>
      </c>
    </row>
    <row r="2231" spans="31:33">
      <c r="AE2231" s="31">
        <v>605483.6</v>
      </c>
      <c r="AG2231" s="31">
        <v>605483.6</v>
      </c>
    </row>
    <row r="2232" spans="31:33">
      <c r="AE2232">
        <v>0</v>
      </c>
      <c r="AG2232">
        <v>0</v>
      </c>
    </row>
    <row r="2233" spans="31:33">
      <c r="AE2233">
        <v>0</v>
      </c>
      <c r="AG2233">
        <v>0</v>
      </c>
    </row>
    <row r="2234" spans="31:33">
      <c r="AE2234" s="31">
        <v>10897.92</v>
      </c>
      <c r="AG2234" s="31">
        <v>4851.88</v>
      </c>
    </row>
    <row r="2235" spans="31:33">
      <c r="AE2235">
        <v>0</v>
      </c>
      <c r="AG2235">
        <v>0</v>
      </c>
    </row>
    <row r="2236" spans="31:33">
      <c r="AE2236">
        <v>0</v>
      </c>
      <c r="AG2236">
        <v>0</v>
      </c>
    </row>
    <row r="2237" spans="31:33">
      <c r="AE2237">
        <v>0</v>
      </c>
      <c r="AG2237">
        <v>0</v>
      </c>
    </row>
    <row r="2238" spans="31:33">
      <c r="AE2238">
        <v>0</v>
      </c>
      <c r="AG2238">
        <v>0</v>
      </c>
    </row>
    <row r="2239" spans="31:33">
      <c r="AE2239">
        <v>0</v>
      </c>
      <c r="AG2239">
        <v>0</v>
      </c>
    </row>
    <row r="2240" spans="31:33">
      <c r="AE2240">
        <v>0</v>
      </c>
      <c r="AG2240">
        <v>0</v>
      </c>
    </row>
    <row r="2241" spans="31:33">
      <c r="AE2241">
        <v>0</v>
      </c>
      <c r="AG2241">
        <v>0</v>
      </c>
    </row>
    <row r="2242" spans="31:33">
      <c r="AE2242">
        <v>0</v>
      </c>
      <c r="AG2242">
        <v>0</v>
      </c>
    </row>
    <row r="2243" spans="31:33">
      <c r="AE2243">
        <v>0</v>
      </c>
      <c r="AG2243">
        <v>0</v>
      </c>
    </row>
    <row r="2244" spans="31:33">
      <c r="AE2244">
        <v>0</v>
      </c>
      <c r="AG2244">
        <v>0</v>
      </c>
    </row>
    <row r="2245" spans="31:33">
      <c r="AE2245" s="31">
        <v>3508216.96</v>
      </c>
      <c r="AG2245" s="31">
        <v>7086458.4500000002</v>
      </c>
    </row>
    <row r="2246" spans="31:33">
      <c r="AE2246">
        <v>0</v>
      </c>
      <c r="AG2246">
        <v>0</v>
      </c>
    </row>
    <row r="2247" spans="31:33">
      <c r="AE2247">
        <v>0</v>
      </c>
      <c r="AG2247">
        <v>0</v>
      </c>
    </row>
    <row r="2248" spans="31:33">
      <c r="AE2248">
        <v>0</v>
      </c>
      <c r="AG2248">
        <v>0</v>
      </c>
    </row>
    <row r="2249" spans="31:33">
      <c r="AE2249">
        <v>0</v>
      </c>
      <c r="AG2249">
        <v>0</v>
      </c>
    </row>
    <row r="2250" spans="31:33">
      <c r="AE2250" s="31">
        <v>46984.97</v>
      </c>
      <c r="AG2250" s="31">
        <v>53641.19</v>
      </c>
    </row>
    <row r="2251" spans="31:33">
      <c r="AE2251">
        <v>750.42</v>
      </c>
      <c r="AG2251" s="31">
        <v>1783.74</v>
      </c>
    </row>
    <row r="2252" spans="31:33">
      <c r="AE2252">
        <v>0</v>
      </c>
      <c r="AG2252">
        <v>0</v>
      </c>
    </row>
    <row r="2253" spans="31:33">
      <c r="AE2253">
        <v>0</v>
      </c>
      <c r="AG2253">
        <v>0</v>
      </c>
    </row>
    <row r="2254" spans="31:33">
      <c r="AE2254">
        <v>0</v>
      </c>
      <c r="AG2254">
        <v>0</v>
      </c>
    </row>
    <row r="2255" spans="31:33">
      <c r="AE2255">
        <v>0</v>
      </c>
      <c r="AG2255">
        <v>0</v>
      </c>
    </row>
    <row r="2256" spans="31:33">
      <c r="AE2256">
        <v>0</v>
      </c>
      <c r="AG2256">
        <v>0</v>
      </c>
    </row>
    <row r="2257" spans="31:33">
      <c r="AE2257">
        <v>0</v>
      </c>
      <c r="AG2257">
        <v>0</v>
      </c>
    </row>
    <row r="2258" spans="31:33">
      <c r="AE2258">
        <v>0</v>
      </c>
      <c r="AG2258">
        <v>0</v>
      </c>
    </row>
    <row r="2259" spans="31:33">
      <c r="AE2259">
        <v>0</v>
      </c>
      <c r="AG2259">
        <v>0</v>
      </c>
    </row>
    <row r="2260" spans="31:33">
      <c r="AE2260">
        <v>0</v>
      </c>
      <c r="AG2260">
        <v>0</v>
      </c>
    </row>
    <row r="2261" spans="31:33">
      <c r="AE2261">
        <v>0</v>
      </c>
      <c r="AG2261">
        <v>0</v>
      </c>
    </row>
    <row r="2262" spans="31:33">
      <c r="AE2262">
        <v>0</v>
      </c>
      <c r="AG2262">
        <v>0</v>
      </c>
    </row>
    <row r="2263" spans="31:33">
      <c r="AE2263">
        <v>0</v>
      </c>
      <c r="AG2263">
        <v>0</v>
      </c>
    </row>
    <row r="2264" spans="31:33">
      <c r="AE2264">
        <v>0</v>
      </c>
      <c r="AG2264">
        <v>0</v>
      </c>
    </row>
    <row r="2265" spans="31:33">
      <c r="AE2265">
        <v>0</v>
      </c>
      <c r="AG2265">
        <v>0</v>
      </c>
    </row>
    <row r="2266" spans="31:33">
      <c r="AE2266" s="31">
        <v>-13971705.9</v>
      </c>
      <c r="AG2266" s="31">
        <v>-11913471.810000001</v>
      </c>
    </row>
    <row r="2267" spans="31:33">
      <c r="AE2267">
        <v>-731.12</v>
      </c>
      <c r="AG2267">
        <v>-732.22</v>
      </c>
    </row>
    <row r="2268" spans="31:33">
      <c r="AE2268">
        <v>0</v>
      </c>
      <c r="AG2268">
        <v>0</v>
      </c>
    </row>
    <row r="2269" spans="31:33">
      <c r="AE2269">
        <v>0</v>
      </c>
      <c r="AG2269">
        <v>0</v>
      </c>
    </row>
    <row r="2270" spans="31:33">
      <c r="AE2270" s="31">
        <v>1370489.73</v>
      </c>
      <c r="AG2270" s="31">
        <v>1370489.73</v>
      </c>
    </row>
    <row r="2271" spans="31:33">
      <c r="AE2271" s="31">
        <v>-1514488.88</v>
      </c>
      <c r="AG2271" s="31">
        <v>-1907027.18</v>
      </c>
    </row>
    <row r="2272" spans="31:33">
      <c r="AE2272">
        <v>0</v>
      </c>
      <c r="AG2272">
        <v>0</v>
      </c>
    </row>
    <row r="2273" spans="31:33">
      <c r="AE2273">
        <v>0</v>
      </c>
      <c r="AG2273">
        <v>0</v>
      </c>
    </row>
    <row r="2274" spans="31:33">
      <c r="AE2274">
        <v>0</v>
      </c>
      <c r="AG2274">
        <v>0</v>
      </c>
    </row>
    <row r="2275" spans="31:33">
      <c r="AE2275">
        <v>0</v>
      </c>
      <c r="AG2275">
        <v>0</v>
      </c>
    </row>
    <row r="2276" spans="31:33">
      <c r="AE2276">
        <v>0</v>
      </c>
      <c r="AG2276">
        <v>0</v>
      </c>
    </row>
    <row r="2277" spans="31:33">
      <c r="AE2277">
        <v>0</v>
      </c>
      <c r="AG2277">
        <v>0</v>
      </c>
    </row>
    <row r="2278" spans="31:33">
      <c r="AE2278">
        <v>0</v>
      </c>
      <c r="AG2278">
        <v>0</v>
      </c>
    </row>
    <row r="2279" spans="31:33">
      <c r="AE2279">
        <v>0</v>
      </c>
      <c r="AG2279">
        <v>0</v>
      </c>
    </row>
    <row r="2280" spans="31:33">
      <c r="AE2280">
        <v>0</v>
      </c>
      <c r="AG2280">
        <v>0</v>
      </c>
    </row>
    <row r="2281" spans="31:33">
      <c r="AE2281" s="31">
        <v>1941880337.78</v>
      </c>
      <c r="AG2281" s="31">
        <v>2343473542.2600002</v>
      </c>
    </row>
    <row r="2282" spans="31:33">
      <c r="AE2282" s="31">
        <v>-2425802834.6999998</v>
      </c>
      <c r="AG2282" s="31">
        <v>-2425645071.8699999</v>
      </c>
    </row>
    <row r="2283" spans="31:33">
      <c r="AE2283">
        <v>0</v>
      </c>
      <c r="AG2283">
        <v>0</v>
      </c>
    </row>
    <row r="2284" spans="31:33">
      <c r="AE2284" s="31">
        <v>509570.81</v>
      </c>
      <c r="AG2284" s="31">
        <v>509570.81</v>
      </c>
    </row>
    <row r="2285" spans="31:33">
      <c r="AE2285">
        <v>0</v>
      </c>
      <c r="AG2285">
        <v>0</v>
      </c>
    </row>
    <row r="2286" spans="31:33">
      <c r="AE2286">
        <v>0</v>
      </c>
      <c r="AG2286">
        <v>0</v>
      </c>
    </row>
    <row r="2287" spans="31:33">
      <c r="AE2287">
        <v>0</v>
      </c>
      <c r="AG2287">
        <v>0</v>
      </c>
    </row>
    <row r="2288" spans="31:33">
      <c r="AE2288">
        <v>0</v>
      </c>
      <c r="AG2288">
        <v>0</v>
      </c>
    </row>
    <row r="2289" spans="31:33">
      <c r="AE2289">
        <v>0</v>
      </c>
      <c r="AG2289">
        <v>0</v>
      </c>
    </row>
    <row r="2290" spans="31:33">
      <c r="AE2290">
        <v>0</v>
      </c>
      <c r="AG2290">
        <v>0</v>
      </c>
    </row>
    <row r="2291" spans="31:33">
      <c r="AE2291">
        <v>0</v>
      </c>
      <c r="AG2291">
        <v>0</v>
      </c>
    </row>
    <row r="2292" spans="31:33">
      <c r="AE2292">
        <v>0</v>
      </c>
      <c r="AG2292">
        <v>0</v>
      </c>
    </row>
    <row r="2293" spans="31:33">
      <c r="AE2293">
        <v>0</v>
      </c>
      <c r="AG2293">
        <v>0</v>
      </c>
    </row>
    <row r="2294" spans="31:33">
      <c r="AE2294">
        <v>0</v>
      </c>
      <c r="AG2294">
        <v>0</v>
      </c>
    </row>
    <row r="2295" spans="31:33">
      <c r="AE2295">
        <v>0</v>
      </c>
      <c r="AG2295">
        <v>0</v>
      </c>
    </row>
    <row r="2296" spans="31:33">
      <c r="AE2296">
        <v>0</v>
      </c>
      <c r="AG2296">
        <v>0</v>
      </c>
    </row>
    <row r="2297" spans="31:33">
      <c r="AE2297">
        <v>0</v>
      </c>
      <c r="AG2297">
        <v>0</v>
      </c>
    </row>
    <row r="2298" spans="31:33">
      <c r="AE2298">
        <v>0</v>
      </c>
      <c r="AG2298">
        <v>0</v>
      </c>
    </row>
    <row r="2299" spans="31:33">
      <c r="AE2299">
        <v>0</v>
      </c>
      <c r="AG2299">
        <v>0</v>
      </c>
    </row>
    <row r="2300" spans="31:33">
      <c r="AE2300">
        <v>0</v>
      </c>
      <c r="AG2300">
        <v>0</v>
      </c>
    </row>
    <row r="2301" spans="31:33">
      <c r="AE2301">
        <v>0</v>
      </c>
      <c r="AG2301">
        <v>0</v>
      </c>
    </row>
    <row r="2302" spans="31:33">
      <c r="AE2302">
        <v>0</v>
      </c>
      <c r="AG2302">
        <v>0</v>
      </c>
    </row>
    <row r="2303" spans="31:33">
      <c r="AE2303">
        <v>0</v>
      </c>
      <c r="AG2303">
        <v>0</v>
      </c>
    </row>
    <row r="2304" spans="31:33">
      <c r="AE2304">
        <v>0</v>
      </c>
      <c r="AG2304">
        <v>0</v>
      </c>
    </row>
    <row r="2305" spans="31:33">
      <c r="AE2305">
        <v>0</v>
      </c>
      <c r="AG2305">
        <v>0</v>
      </c>
    </row>
    <row r="2306" spans="31:33">
      <c r="AE2306">
        <v>0</v>
      </c>
      <c r="AG2306">
        <v>0</v>
      </c>
    </row>
    <row r="2307" spans="31:33">
      <c r="AE2307">
        <v>0</v>
      </c>
      <c r="AG2307">
        <v>0</v>
      </c>
    </row>
    <row r="2308" spans="31:33">
      <c r="AE2308" s="31">
        <v>81951.22</v>
      </c>
      <c r="AG2308" s="31">
        <v>89317.82</v>
      </c>
    </row>
    <row r="2309" spans="31:33">
      <c r="AE2309">
        <v>0</v>
      </c>
      <c r="AG2309">
        <v>0</v>
      </c>
    </row>
    <row r="2310" spans="31:33">
      <c r="AE2310">
        <v>0</v>
      </c>
      <c r="AG2310">
        <v>0</v>
      </c>
    </row>
    <row r="2311" spans="31:33">
      <c r="AE2311" s="31">
        <v>2263155.4700000002</v>
      </c>
      <c r="AG2311" s="31">
        <v>3232966.08</v>
      </c>
    </row>
    <row r="2312" spans="31:33">
      <c r="AE2312">
        <v>0</v>
      </c>
      <c r="AG2312">
        <v>0</v>
      </c>
    </row>
    <row r="2313" spans="31:33">
      <c r="AE2313">
        <v>0</v>
      </c>
      <c r="AG2313">
        <v>0</v>
      </c>
    </row>
    <row r="2314" spans="31:33">
      <c r="AE2314" s="31">
        <v>-174135.23</v>
      </c>
      <c r="AG2314" s="31">
        <v>-109381.68</v>
      </c>
    </row>
    <row r="2315" spans="31:33">
      <c r="AE2315" s="31">
        <v>-3078625.34</v>
      </c>
      <c r="AG2315" s="31">
        <v>-3078625.34</v>
      </c>
    </row>
    <row r="2316" spans="31:33">
      <c r="AE2316">
        <v>0</v>
      </c>
      <c r="AG2316">
        <v>0</v>
      </c>
    </row>
    <row r="2317" spans="31:33">
      <c r="AE2317">
        <v>0</v>
      </c>
      <c r="AG2317">
        <v>0</v>
      </c>
    </row>
    <row r="2318" spans="31:33">
      <c r="AE2318">
        <v>0</v>
      </c>
      <c r="AG2318">
        <v>0</v>
      </c>
    </row>
    <row r="2319" spans="31:33">
      <c r="AE2319">
        <v>0</v>
      </c>
      <c r="AG2319">
        <v>0</v>
      </c>
    </row>
    <row r="2320" spans="31:33">
      <c r="AE2320" s="31">
        <v>1592015.2</v>
      </c>
      <c r="AG2320" s="31">
        <v>1670976.46</v>
      </c>
    </row>
    <row r="2321" spans="31:33">
      <c r="AE2321">
        <v>0</v>
      </c>
      <c r="AG2321">
        <v>0</v>
      </c>
    </row>
    <row r="2322" spans="31:33">
      <c r="AE2322" s="31">
        <v>1666141.93</v>
      </c>
      <c r="AG2322" s="31">
        <v>3115713.16</v>
      </c>
    </row>
    <row r="2323" spans="31:33">
      <c r="AE2323">
        <v>0</v>
      </c>
      <c r="AG2323">
        <v>0</v>
      </c>
    </row>
    <row r="2324" spans="31:33">
      <c r="AE2324">
        <v>0</v>
      </c>
      <c r="AG2324">
        <v>0</v>
      </c>
    </row>
    <row r="2325" spans="31:33">
      <c r="AE2325">
        <v>0</v>
      </c>
      <c r="AG2325">
        <v>0</v>
      </c>
    </row>
    <row r="2326" spans="31:33">
      <c r="AE2326" s="31">
        <v>-1680579.21</v>
      </c>
      <c r="AG2326" s="31">
        <v>1305292.8700000001</v>
      </c>
    </row>
    <row r="2327" spans="31:33">
      <c r="AE2327">
        <v>0</v>
      </c>
      <c r="AG2327">
        <v>0</v>
      </c>
    </row>
    <row r="2328" spans="31:33">
      <c r="AE2328" s="31">
        <v>-371501.77</v>
      </c>
      <c r="AG2328" s="31">
        <v>-63833.22</v>
      </c>
    </row>
    <row r="2329" spans="31:33">
      <c r="AE2329">
        <v>0</v>
      </c>
      <c r="AG2329">
        <v>0</v>
      </c>
    </row>
    <row r="2330" spans="31:33">
      <c r="AE2330" s="31">
        <v>1222438.3899999999</v>
      </c>
      <c r="AG2330" s="31">
        <v>1067605.78</v>
      </c>
    </row>
    <row r="2331" spans="31:33">
      <c r="AE2331">
        <v>0</v>
      </c>
      <c r="AG2331">
        <v>0</v>
      </c>
    </row>
    <row r="2332" spans="31:33">
      <c r="AE2332">
        <v>0</v>
      </c>
      <c r="AG2332">
        <v>0</v>
      </c>
    </row>
    <row r="2333" spans="31:33">
      <c r="AE2333">
        <v>0</v>
      </c>
      <c r="AG2333">
        <v>0</v>
      </c>
    </row>
    <row r="2334" spans="31:33">
      <c r="AE2334">
        <v>0</v>
      </c>
      <c r="AG2334">
        <v>0</v>
      </c>
    </row>
    <row r="2335" spans="31:33">
      <c r="AE2335">
        <v>0</v>
      </c>
      <c r="AG2335">
        <v>0</v>
      </c>
    </row>
    <row r="2336" spans="31:33">
      <c r="AE2336">
        <v>0</v>
      </c>
      <c r="AG2336">
        <v>0</v>
      </c>
    </row>
    <row r="2337" spans="31:33">
      <c r="AE2337">
        <v>0</v>
      </c>
      <c r="AG2337">
        <v>0</v>
      </c>
    </row>
    <row r="2338" spans="31:33">
      <c r="AE2338">
        <v>0</v>
      </c>
      <c r="AG2338">
        <v>0</v>
      </c>
    </row>
    <row r="2339" spans="31:33">
      <c r="AE2339">
        <v>0</v>
      </c>
      <c r="AG2339">
        <v>0</v>
      </c>
    </row>
    <row r="2340" spans="31:33">
      <c r="AE2340" s="31">
        <v>2007.95</v>
      </c>
      <c r="AG2340">
        <v>54.38</v>
      </c>
    </row>
    <row r="2341" spans="31:33">
      <c r="AE2341">
        <v>0</v>
      </c>
      <c r="AG2341">
        <v>0</v>
      </c>
    </row>
    <row r="2342" spans="31:33">
      <c r="AE2342">
        <v>0</v>
      </c>
      <c r="AG2342">
        <v>0</v>
      </c>
    </row>
    <row r="2343" spans="31:33">
      <c r="AE2343">
        <v>0</v>
      </c>
      <c r="AG2343">
        <v>0</v>
      </c>
    </row>
    <row r="2344" spans="31:33">
      <c r="AE2344">
        <v>0</v>
      </c>
      <c r="AG2344">
        <v>0</v>
      </c>
    </row>
    <row r="2345" spans="31:33">
      <c r="AE2345">
        <v>0</v>
      </c>
      <c r="AG2345">
        <v>0</v>
      </c>
    </row>
    <row r="2346" spans="31:33">
      <c r="AE2346">
        <v>0</v>
      </c>
      <c r="AG2346">
        <v>0</v>
      </c>
    </row>
    <row r="2347" spans="31:33">
      <c r="AE2347">
        <v>0</v>
      </c>
      <c r="AG2347">
        <v>0</v>
      </c>
    </row>
    <row r="2348" spans="31:33">
      <c r="AE2348">
        <v>0</v>
      </c>
      <c r="AG2348">
        <v>0</v>
      </c>
    </row>
    <row r="2349" spans="31:33">
      <c r="AE2349">
        <v>0</v>
      </c>
      <c r="AG2349">
        <v>0</v>
      </c>
    </row>
    <row r="2350" spans="31:33">
      <c r="AE2350">
        <v>0</v>
      </c>
      <c r="AG2350">
        <v>0</v>
      </c>
    </row>
    <row r="2351" spans="31:33">
      <c r="AE2351">
        <v>0</v>
      </c>
      <c r="AG2351">
        <v>0</v>
      </c>
    </row>
    <row r="2352" spans="31:33">
      <c r="AE2352">
        <v>0</v>
      </c>
      <c r="AG2352">
        <v>0</v>
      </c>
    </row>
    <row r="2353" spans="31:33">
      <c r="AE2353">
        <v>0</v>
      </c>
      <c r="AG2353">
        <v>0</v>
      </c>
    </row>
    <row r="2354" spans="31:33">
      <c r="AE2354">
        <v>0</v>
      </c>
      <c r="AG2354">
        <v>0</v>
      </c>
    </row>
    <row r="2355" spans="31:33">
      <c r="AE2355">
        <v>0</v>
      </c>
      <c r="AG2355">
        <v>0</v>
      </c>
    </row>
    <row r="2356" spans="31:33">
      <c r="AE2356">
        <v>0</v>
      </c>
      <c r="AG2356">
        <v>0</v>
      </c>
    </row>
    <row r="2357" spans="31:33">
      <c r="AE2357">
        <v>0</v>
      </c>
      <c r="AG2357">
        <v>0</v>
      </c>
    </row>
    <row r="2358" spans="31:33">
      <c r="AE2358">
        <v>0</v>
      </c>
      <c r="AG2358">
        <v>0</v>
      </c>
    </row>
    <row r="2359" spans="31:33">
      <c r="AE2359">
        <v>0</v>
      </c>
      <c r="AG2359">
        <v>0</v>
      </c>
    </row>
    <row r="2360" spans="31:33">
      <c r="AE2360">
        <v>0</v>
      </c>
      <c r="AG2360">
        <v>0</v>
      </c>
    </row>
    <row r="2361" spans="31:33">
      <c r="AE2361">
        <v>0</v>
      </c>
      <c r="AG2361">
        <v>0</v>
      </c>
    </row>
    <row r="2362" spans="31:33">
      <c r="AE2362">
        <v>0</v>
      </c>
      <c r="AG2362">
        <v>0</v>
      </c>
    </row>
    <row r="2363" spans="31:33">
      <c r="AE2363">
        <v>0</v>
      </c>
      <c r="AG2363">
        <v>0</v>
      </c>
    </row>
    <row r="2364" spans="31:33">
      <c r="AE2364">
        <v>0</v>
      </c>
      <c r="AG2364">
        <v>0</v>
      </c>
    </row>
    <row r="2365" spans="31:33">
      <c r="AE2365">
        <v>0</v>
      </c>
      <c r="AG2365">
        <v>0</v>
      </c>
    </row>
    <row r="2366" spans="31:33">
      <c r="AE2366">
        <v>0</v>
      </c>
      <c r="AG2366">
        <v>0</v>
      </c>
    </row>
    <row r="2367" spans="31:33">
      <c r="AE2367">
        <v>0</v>
      </c>
      <c r="AG2367">
        <v>0</v>
      </c>
    </row>
    <row r="2368" spans="31:33">
      <c r="AE2368">
        <v>0</v>
      </c>
      <c r="AG2368">
        <v>0</v>
      </c>
    </row>
    <row r="2369" spans="31:33">
      <c r="AE2369">
        <v>0</v>
      </c>
      <c r="AG2369">
        <v>0</v>
      </c>
    </row>
    <row r="2370" spans="31:33">
      <c r="AE2370">
        <v>0</v>
      </c>
      <c r="AG2370">
        <v>0</v>
      </c>
    </row>
    <row r="2371" spans="31:33">
      <c r="AE2371">
        <v>0</v>
      </c>
      <c r="AG2371">
        <v>0</v>
      </c>
    </row>
    <row r="2372" spans="31:33">
      <c r="AE2372">
        <v>0</v>
      </c>
      <c r="AG2372">
        <v>0</v>
      </c>
    </row>
    <row r="2373" spans="31:33">
      <c r="AE2373">
        <v>0</v>
      </c>
      <c r="AG2373">
        <v>0</v>
      </c>
    </row>
    <row r="2374" spans="31:33">
      <c r="AE2374">
        <v>0</v>
      </c>
      <c r="AG2374">
        <v>0</v>
      </c>
    </row>
    <row r="2375" spans="31:33">
      <c r="AE2375">
        <v>0</v>
      </c>
      <c r="AG2375">
        <v>0</v>
      </c>
    </row>
    <row r="2376" spans="31:33">
      <c r="AE2376">
        <v>0</v>
      </c>
      <c r="AG2376">
        <v>0</v>
      </c>
    </row>
    <row r="2377" spans="31:33">
      <c r="AE2377">
        <v>0</v>
      </c>
      <c r="AG2377">
        <v>0</v>
      </c>
    </row>
    <row r="2378" spans="31:33">
      <c r="AE2378">
        <v>0</v>
      </c>
      <c r="AG2378">
        <v>0</v>
      </c>
    </row>
    <row r="2379" spans="31:33">
      <c r="AE2379">
        <v>0</v>
      </c>
      <c r="AG2379">
        <v>0</v>
      </c>
    </row>
    <row r="2380" spans="31:33">
      <c r="AE2380">
        <v>0</v>
      </c>
      <c r="AG2380">
        <v>0</v>
      </c>
    </row>
    <row r="2381" spans="31:33">
      <c r="AE2381">
        <v>0</v>
      </c>
      <c r="AG2381">
        <v>0</v>
      </c>
    </row>
    <row r="2382" spans="31:33">
      <c r="AE2382" s="31">
        <v>150591.26</v>
      </c>
      <c r="AG2382" s="31">
        <v>-11666.32</v>
      </c>
    </row>
    <row r="2383" spans="31:33">
      <c r="AE2383">
        <v>0</v>
      </c>
      <c r="AG2383">
        <v>0</v>
      </c>
    </row>
    <row r="2384" spans="31:33">
      <c r="AE2384">
        <v>0</v>
      </c>
      <c r="AG2384">
        <v>0</v>
      </c>
    </row>
    <row r="2385" spans="31:33">
      <c r="AE2385" s="31">
        <v>24332668.27</v>
      </c>
      <c r="AG2385" s="31">
        <v>23385462.890000001</v>
      </c>
    </row>
    <row r="2386" spans="31:33">
      <c r="AE2386">
        <v>0</v>
      </c>
      <c r="AG2386">
        <v>0</v>
      </c>
    </row>
    <row r="2387" spans="31:33">
      <c r="AE2387">
        <v>0</v>
      </c>
      <c r="AG2387">
        <v>0</v>
      </c>
    </row>
    <row r="2388" spans="31:33">
      <c r="AE2388">
        <v>0</v>
      </c>
      <c r="AG2388">
        <v>0</v>
      </c>
    </row>
    <row r="2389" spans="31:33">
      <c r="AE2389">
        <v>0</v>
      </c>
      <c r="AG2389">
        <v>0</v>
      </c>
    </row>
    <row r="2390" spans="31:33">
      <c r="AE2390">
        <v>0</v>
      </c>
      <c r="AG2390">
        <v>0</v>
      </c>
    </row>
    <row r="2391" spans="31:33">
      <c r="AE2391">
        <v>0</v>
      </c>
      <c r="AG2391">
        <v>0</v>
      </c>
    </row>
    <row r="2392" spans="31:33">
      <c r="AE2392">
        <v>0</v>
      </c>
      <c r="AG2392">
        <v>0</v>
      </c>
    </row>
    <row r="2393" spans="31:33">
      <c r="AE2393">
        <v>0</v>
      </c>
      <c r="AG2393">
        <v>0</v>
      </c>
    </row>
    <row r="2394" spans="31:33">
      <c r="AE2394" s="31">
        <v>-105288.18</v>
      </c>
      <c r="AG2394" s="31">
        <v>-103779.16</v>
      </c>
    </row>
    <row r="2395" spans="31:33">
      <c r="AE2395">
        <v>0</v>
      </c>
      <c r="AG2395">
        <v>0</v>
      </c>
    </row>
    <row r="2396" spans="31:33">
      <c r="AE2396">
        <v>0</v>
      </c>
      <c r="AG2396">
        <v>0</v>
      </c>
    </row>
    <row r="2397" spans="31:33">
      <c r="AE2397">
        <v>0</v>
      </c>
      <c r="AG2397">
        <v>0</v>
      </c>
    </row>
    <row r="2398" spans="31:33">
      <c r="AE2398">
        <v>0</v>
      </c>
      <c r="AG2398">
        <v>0</v>
      </c>
    </row>
    <row r="2399" spans="31:33">
      <c r="AE2399">
        <v>0</v>
      </c>
      <c r="AG2399">
        <v>0</v>
      </c>
    </row>
    <row r="2400" spans="31:33">
      <c r="AE2400">
        <v>0</v>
      </c>
      <c r="AG2400">
        <v>0</v>
      </c>
    </row>
    <row r="2401" spans="31:33">
      <c r="AE2401">
        <v>0</v>
      </c>
      <c r="AG2401">
        <v>0</v>
      </c>
    </row>
    <row r="2402" spans="31:33">
      <c r="AE2402">
        <v>0</v>
      </c>
      <c r="AG2402">
        <v>0</v>
      </c>
    </row>
    <row r="2403" spans="31:33">
      <c r="AE2403">
        <v>0</v>
      </c>
      <c r="AG2403">
        <v>0</v>
      </c>
    </row>
    <row r="2404" spans="31:33">
      <c r="AE2404">
        <v>0</v>
      </c>
      <c r="AG2404">
        <v>0</v>
      </c>
    </row>
    <row r="2405" spans="31:33">
      <c r="AE2405">
        <v>0</v>
      </c>
      <c r="AG2405">
        <v>0</v>
      </c>
    </row>
    <row r="2406" spans="31:33">
      <c r="AE2406">
        <v>0</v>
      </c>
      <c r="AG2406">
        <v>0</v>
      </c>
    </row>
    <row r="2407" spans="31:33">
      <c r="AE2407">
        <v>0</v>
      </c>
      <c r="AG2407">
        <v>0</v>
      </c>
    </row>
    <row r="2408" spans="31:33">
      <c r="AE2408">
        <v>0</v>
      </c>
      <c r="AG2408">
        <v>0</v>
      </c>
    </row>
    <row r="2409" spans="31:33">
      <c r="AE2409">
        <v>0</v>
      </c>
      <c r="AG2409">
        <v>0</v>
      </c>
    </row>
    <row r="2410" spans="31:33">
      <c r="AE2410">
        <v>0</v>
      </c>
      <c r="AG2410">
        <v>0</v>
      </c>
    </row>
    <row r="2411" spans="31:33">
      <c r="AE2411" s="31">
        <v>93762.66</v>
      </c>
      <c r="AG2411" s="31">
        <v>160400.71</v>
      </c>
    </row>
    <row r="2412" spans="31:33">
      <c r="AE2412">
        <v>0</v>
      </c>
      <c r="AG2412">
        <v>0</v>
      </c>
    </row>
    <row r="2413" spans="31:33">
      <c r="AE2413">
        <v>0</v>
      </c>
      <c r="AG2413">
        <v>0</v>
      </c>
    </row>
    <row r="2414" spans="31:33">
      <c r="AE2414">
        <v>0</v>
      </c>
      <c r="AG2414">
        <v>0</v>
      </c>
    </row>
    <row r="2415" spans="31:33">
      <c r="AE2415">
        <v>0</v>
      </c>
      <c r="AG2415">
        <v>0</v>
      </c>
    </row>
    <row r="2416" spans="31:33">
      <c r="AE2416">
        <v>0</v>
      </c>
      <c r="AG2416">
        <v>0</v>
      </c>
    </row>
    <row r="2417" spans="31:33">
      <c r="AE2417">
        <v>0</v>
      </c>
      <c r="AG2417">
        <v>0</v>
      </c>
    </row>
    <row r="2418" spans="31:33">
      <c r="AE2418">
        <v>0</v>
      </c>
      <c r="AG2418">
        <v>0</v>
      </c>
    </row>
    <row r="2419" spans="31:33">
      <c r="AE2419" s="31">
        <v>-1374050</v>
      </c>
      <c r="AG2419" s="31">
        <v>-1374050</v>
      </c>
    </row>
    <row r="2420" spans="31:33">
      <c r="AE2420">
        <v>0</v>
      </c>
      <c r="AG2420">
        <v>0</v>
      </c>
    </row>
    <row r="2421" spans="31:33">
      <c r="AE2421">
        <v>0</v>
      </c>
      <c r="AG2421">
        <v>0</v>
      </c>
    </row>
    <row r="2422" spans="31:33">
      <c r="AE2422">
        <v>0</v>
      </c>
      <c r="AG2422">
        <v>0</v>
      </c>
    </row>
    <row r="2423" spans="31:33">
      <c r="AE2423">
        <v>0</v>
      </c>
      <c r="AG2423">
        <v>0</v>
      </c>
    </row>
    <row r="2424" spans="31:33">
      <c r="AE2424">
        <v>0</v>
      </c>
      <c r="AG2424">
        <v>0</v>
      </c>
    </row>
    <row r="2425" spans="31:33">
      <c r="AE2425" s="31">
        <v>-12976.12</v>
      </c>
      <c r="AG2425" s="31">
        <v>-12976.12</v>
      </c>
    </row>
    <row r="2426" spans="31:33">
      <c r="AE2426">
        <v>0</v>
      </c>
      <c r="AG2426">
        <v>0</v>
      </c>
    </row>
    <row r="2427" spans="31:33">
      <c r="AE2427">
        <v>0</v>
      </c>
      <c r="AG2427">
        <v>0</v>
      </c>
    </row>
    <row r="2428" spans="31:33">
      <c r="AE2428">
        <v>0</v>
      </c>
      <c r="AG2428">
        <v>0</v>
      </c>
    </row>
    <row r="2429" spans="31:33">
      <c r="AE2429">
        <v>0</v>
      </c>
      <c r="AG2429">
        <v>0</v>
      </c>
    </row>
    <row r="2430" spans="31:33">
      <c r="AE2430">
        <v>0</v>
      </c>
      <c r="AG2430">
        <v>0</v>
      </c>
    </row>
    <row r="2431" spans="31:33">
      <c r="AE2431" s="31">
        <v>-94110.13</v>
      </c>
      <c r="AG2431" s="31">
        <v>-105941.02</v>
      </c>
    </row>
    <row r="2432" spans="31:33">
      <c r="AE2432">
        <v>0</v>
      </c>
      <c r="AG2432">
        <v>0</v>
      </c>
    </row>
    <row r="2433" spans="31:33">
      <c r="AE2433">
        <v>0</v>
      </c>
      <c r="AG2433">
        <v>0</v>
      </c>
    </row>
    <row r="2434" spans="31:33">
      <c r="AE2434">
        <v>0</v>
      </c>
      <c r="AG2434">
        <v>0</v>
      </c>
    </row>
    <row r="2435" spans="31:33">
      <c r="AE2435">
        <v>0</v>
      </c>
      <c r="AG2435">
        <v>0</v>
      </c>
    </row>
    <row r="2436" spans="31:33">
      <c r="AE2436">
        <v>0</v>
      </c>
      <c r="AG2436">
        <v>0</v>
      </c>
    </row>
    <row r="2437" spans="31:33">
      <c r="AE2437">
        <v>0</v>
      </c>
      <c r="AG2437">
        <v>0</v>
      </c>
    </row>
    <row r="2438" spans="31:33">
      <c r="AE2438">
        <v>0</v>
      </c>
      <c r="AG2438">
        <v>0</v>
      </c>
    </row>
    <row r="2439" spans="31:33">
      <c r="AE2439">
        <v>0</v>
      </c>
      <c r="AG2439">
        <v>0</v>
      </c>
    </row>
    <row r="2440" spans="31:33">
      <c r="AE2440">
        <v>0</v>
      </c>
      <c r="AG2440">
        <v>0</v>
      </c>
    </row>
    <row r="2441" spans="31:33">
      <c r="AE2441">
        <v>0</v>
      </c>
      <c r="AG2441">
        <v>0</v>
      </c>
    </row>
    <row r="2442" spans="31:33">
      <c r="AE2442" s="31">
        <v>-1382587.9</v>
      </c>
      <c r="AG2442" s="31">
        <v>-1382587.9</v>
      </c>
    </row>
    <row r="2443" spans="31:33">
      <c r="AE2443">
        <v>0</v>
      </c>
      <c r="AG2443">
        <v>0</v>
      </c>
    </row>
    <row r="2444" spans="31:33">
      <c r="AE2444">
        <v>0</v>
      </c>
      <c r="AG2444">
        <v>0</v>
      </c>
    </row>
    <row r="2445" spans="31:33">
      <c r="AE2445" s="31">
        <v>-27522542.539999999</v>
      </c>
      <c r="AG2445" s="31">
        <v>-27522542.539999999</v>
      </c>
    </row>
    <row r="2446" spans="31:33">
      <c r="AE2446">
        <v>0</v>
      </c>
      <c r="AG2446">
        <v>0</v>
      </c>
    </row>
    <row r="2447" spans="31:33">
      <c r="AE2447">
        <v>0</v>
      </c>
      <c r="AG2447">
        <v>0</v>
      </c>
    </row>
    <row r="2448" spans="31:33">
      <c r="AE2448">
        <v>0</v>
      </c>
      <c r="AG2448">
        <v>0</v>
      </c>
    </row>
    <row r="2449" spans="31:33">
      <c r="AE2449">
        <v>0</v>
      </c>
      <c r="AG2449">
        <v>0</v>
      </c>
    </row>
    <row r="2450" spans="31:33">
      <c r="AE2450">
        <v>0</v>
      </c>
      <c r="AG2450">
        <v>0</v>
      </c>
    </row>
    <row r="2451" spans="31:33">
      <c r="AE2451">
        <v>0</v>
      </c>
      <c r="AG2451">
        <v>0</v>
      </c>
    </row>
    <row r="2452" spans="31:33">
      <c r="AE2452">
        <v>0</v>
      </c>
      <c r="AG2452">
        <v>0</v>
      </c>
    </row>
    <row r="2453" spans="31:33">
      <c r="AE2453">
        <v>0</v>
      </c>
      <c r="AG2453">
        <v>0</v>
      </c>
    </row>
    <row r="2454" spans="31:33">
      <c r="AE2454">
        <v>0</v>
      </c>
      <c r="AG2454">
        <v>0</v>
      </c>
    </row>
    <row r="2455" spans="31:33">
      <c r="AE2455">
        <v>0</v>
      </c>
      <c r="AG2455">
        <v>0</v>
      </c>
    </row>
    <row r="2456" spans="31:33">
      <c r="AE2456">
        <v>0</v>
      </c>
      <c r="AG2456">
        <v>0</v>
      </c>
    </row>
    <row r="2457" spans="31:33">
      <c r="AE2457">
        <v>0</v>
      </c>
      <c r="AG2457">
        <v>0</v>
      </c>
    </row>
    <row r="2458" spans="31:33">
      <c r="AE2458">
        <v>0</v>
      </c>
      <c r="AG2458">
        <v>0</v>
      </c>
    </row>
    <row r="2459" spans="31:33">
      <c r="AE2459">
        <v>0</v>
      </c>
      <c r="AG2459">
        <v>0</v>
      </c>
    </row>
    <row r="2460" spans="31:33">
      <c r="AE2460">
        <v>0</v>
      </c>
      <c r="AG2460">
        <v>0</v>
      </c>
    </row>
    <row r="2461" spans="31:33">
      <c r="AE2461">
        <v>0</v>
      </c>
      <c r="AG2461">
        <v>0</v>
      </c>
    </row>
    <row r="2462" spans="31:33">
      <c r="AE2462">
        <v>0</v>
      </c>
      <c r="AG2462">
        <v>0</v>
      </c>
    </row>
    <row r="2463" spans="31:33">
      <c r="AE2463">
        <v>0</v>
      </c>
      <c r="AG2463">
        <v>0</v>
      </c>
    </row>
    <row r="2464" spans="31:33">
      <c r="AE2464">
        <v>0</v>
      </c>
      <c r="AG2464">
        <v>0</v>
      </c>
    </row>
    <row r="2465" spans="31:33">
      <c r="AE2465" s="31">
        <v>-6302329</v>
      </c>
      <c r="AG2465" s="31">
        <v>-6302329</v>
      </c>
    </row>
    <row r="2466" spans="31:33">
      <c r="AE2466">
        <v>0</v>
      </c>
      <c r="AG2466">
        <v>0</v>
      </c>
    </row>
    <row r="2467" spans="31:33">
      <c r="AE2467">
        <v>0</v>
      </c>
      <c r="AG2467">
        <v>0</v>
      </c>
    </row>
    <row r="2468" spans="31:33">
      <c r="AE2468">
        <v>0</v>
      </c>
      <c r="AG2468">
        <v>0</v>
      </c>
    </row>
    <row r="2469" spans="31:33">
      <c r="AE2469">
        <v>0</v>
      </c>
      <c r="AG2469">
        <v>0</v>
      </c>
    </row>
    <row r="2470" spans="31:33">
      <c r="AE2470">
        <v>0</v>
      </c>
      <c r="AG2470">
        <v>0</v>
      </c>
    </row>
    <row r="2471" spans="31:33">
      <c r="AE2471">
        <v>0</v>
      </c>
      <c r="AG2471">
        <v>0</v>
      </c>
    </row>
    <row r="2472" spans="31:33">
      <c r="AE2472">
        <v>0</v>
      </c>
      <c r="AG2472">
        <v>0</v>
      </c>
    </row>
    <row r="2473" spans="31:33">
      <c r="AE2473">
        <v>0</v>
      </c>
      <c r="AG2473">
        <v>0</v>
      </c>
    </row>
    <row r="2474" spans="31:33">
      <c r="AE2474">
        <v>0</v>
      </c>
      <c r="AG2474">
        <v>0</v>
      </c>
    </row>
    <row r="2475" spans="31:33">
      <c r="AE2475">
        <v>0</v>
      </c>
      <c r="AG2475">
        <v>0</v>
      </c>
    </row>
    <row r="2476" spans="31:33">
      <c r="AE2476">
        <v>0</v>
      </c>
      <c r="AG2476">
        <v>0</v>
      </c>
    </row>
    <row r="2477" spans="31:33">
      <c r="AE2477">
        <v>0</v>
      </c>
      <c r="AG2477">
        <v>0</v>
      </c>
    </row>
    <row r="2478" spans="31:33">
      <c r="AE2478">
        <v>0</v>
      </c>
      <c r="AG2478">
        <v>0</v>
      </c>
    </row>
    <row r="2479" spans="31:33">
      <c r="AE2479">
        <v>0</v>
      </c>
      <c r="AG2479">
        <v>0</v>
      </c>
    </row>
    <row r="2480" spans="31:33">
      <c r="AE2480">
        <v>0</v>
      </c>
      <c r="AG2480">
        <v>0</v>
      </c>
    </row>
    <row r="2481" spans="31:33">
      <c r="AE2481" s="31">
        <v>-3397457.94</v>
      </c>
      <c r="AG2481" s="31">
        <v>-3397457.94</v>
      </c>
    </row>
    <row r="2482" spans="31:33">
      <c r="AE2482">
        <v>0</v>
      </c>
      <c r="AG2482">
        <v>0</v>
      </c>
    </row>
    <row r="2483" spans="31:33">
      <c r="AE2483">
        <v>0</v>
      </c>
      <c r="AG2483">
        <v>0</v>
      </c>
    </row>
    <row r="2484" spans="31:33">
      <c r="AE2484">
        <v>0</v>
      </c>
      <c r="AG2484">
        <v>0</v>
      </c>
    </row>
    <row r="2485" spans="31:33">
      <c r="AE2485">
        <v>0</v>
      </c>
      <c r="AG2485">
        <v>0</v>
      </c>
    </row>
    <row r="2486" spans="31:33">
      <c r="AE2486">
        <v>0</v>
      </c>
      <c r="AG2486">
        <v>0</v>
      </c>
    </row>
    <row r="2487" spans="31:33">
      <c r="AE2487">
        <v>0</v>
      </c>
      <c r="AG2487">
        <v>0</v>
      </c>
    </row>
    <row r="2488" spans="31:33">
      <c r="AE2488">
        <v>0</v>
      </c>
      <c r="AG2488">
        <v>0</v>
      </c>
    </row>
    <row r="2489" spans="31:33">
      <c r="AE2489">
        <v>0</v>
      </c>
      <c r="AG2489">
        <v>0</v>
      </c>
    </row>
    <row r="2490" spans="31:33">
      <c r="AE2490">
        <v>0</v>
      </c>
      <c r="AG2490">
        <v>0</v>
      </c>
    </row>
    <row r="2491" spans="31:33">
      <c r="AE2491">
        <v>0</v>
      </c>
      <c r="AG2491">
        <v>0</v>
      </c>
    </row>
    <row r="2492" spans="31:33">
      <c r="AE2492">
        <v>0</v>
      </c>
      <c r="AG2492">
        <v>0</v>
      </c>
    </row>
    <row r="2493" spans="31:33">
      <c r="AE2493">
        <v>0</v>
      </c>
      <c r="AG2493">
        <v>0</v>
      </c>
    </row>
    <row r="2494" spans="31:33">
      <c r="AE2494">
        <v>0</v>
      </c>
      <c r="AG2494">
        <v>0</v>
      </c>
    </row>
    <row r="2495" spans="31:33">
      <c r="AE2495">
        <v>0</v>
      </c>
      <c r="AG2495">
        <v>0</v>
      </c>
    </row>
    <row r="2496" spans="31:33">
      <c r="AE2496">
        <v>0</v>
      </c>
      <c r="AG2496">
        <v>0</v>
      </c>
    </row>
    <row r="2497" spans="31:33">
      <c r="AE2497">
        <v>0</v>
      </c>
      <c r="AG2497">
        <v>0</v>
      </c>
    </row>
    <row r="2498" spans="31:33">
      <c r="AE2498">
        <v>0</v>
      </c>
      <c r="AG2498">
        <v>0</v>
      </c>
    </row>
    <row r="2499" spans="31:33">
      <c r="AE2499">
        <v>0</v>
      </c>
      <c r="AG2499">
        <v>0</v>
      </c>
    </row>
    <row r="2500" spans="31:33">
      <c r="AE2500">
        <v>0</v>
      </c>
      <c r="AG2500">
        <v>0</v>
      </c>
    </row>
    <row r="2501" spans="31:33">
      <c r="AE2501">
        <v>0</v>
      </c>
      <c r="AG2501">
        <v>0</v>
      </c>
    </row>
    <row r="2502" spans="31:33">
      <c r="AE2502">
        <v>0</v>
      </c>
      <c r="AG2502">
        <v>0</v>
      </c>
    </row>
    <row r="2503" spans="31:33">
      <c r="AE2503">
        <v>0</v>
      </c>
      <c r="AG2503">
        <v>0</v>
      </c>
    </row>
    <row r="2504" spans="31:33">
      <c r="AE2504">
        <v>0</v>
      </c>
      <c r="AG2504">
        <v>0</v>
      </c>
    </row>
    <row r="2505" spans="31:33">
      <c r="AE2505">
        <v>0</v>
      </c>
      <c r="AG2505">
        <v>0</v>
      </c>
    </row>
    <row r="2506" spans="31:33">
      <c r="AE2506">
        <v>0</v>
      </c>
      <c r="AG2506">
        <v>0</v>
      </c>
    </row>
    <row r="2507" spans="31:33">
      <c r="AE2507">
        <v>0</v>
      </c>
      <c r="AG2507">
        <v>0</v>
      </c>
    </row>
    <row r="2508" spans="31:33">
      <c r="AE2508">
        <v>0</v>
      </c>
      <c r="AG2508">
        <v>0</v>
      </c>
    </row>
    <row r="2509" spans="31:33">
      <c r="AE2509">
        <v>0</v>
      </c>
      <c r="AG2509">
        <v>0</v>
      </c>
    </row>
    <row r="2510" spans="31:33">
      <c r="AE2510">
        <v>0</v>
      </c>
      <c r="AG2510">
        <v>0</v>
      </c>
    </row>
    <row r="2511" spans="31:33">
      <c r="AE2511">
        <v>0</v>
      </c>
      <c r="AG2511">
        <v>0</v>
      </c>
    </row>
    <row r="2512" spans="31:33">
      <c r="AE2512">
        <v>0</v>
      </c>
      <c r="AG2512">
        <v>0</v>
      </c>
    </row>
    <row r="2513" spans="31:33">
      <c r="AE2513">
        <v>0</v>
      </c>
      <c r="AG2513">
        <v>0</v>
      </c>
    </row>
    <row r="2514" spans="31:33">
      <c r="AE2514">
        <v>0</v>
      </c>
      <c r="AG2514">
        <v>0</v>
      </c>
    </row>
    <row r="2515" spans="31:33">
      <c r="AE2515">
        <v>0</v>
      </c>
      <c r="AG2515">
        <v>0</v>
      </c>
    </row>
    <row r="2516" spans="31:33">
      <c r="AE2516">
        <v>0</v>
      </c>
      <c r="AG2516">
        <v>0</v>
      </c>
    </row>
    <row r="2517" spans="31:33">
      <c r="AE2517">
        <v>0</v>
      </c>
      <c r="AG2517">
        <v>0</v>
      </c>
    </row>
    <row r="2518" spans="31:33">
      <c r="AE2518">
        <v>0</v>
      </c>
      <c r="AG2518">
        <v>0</v>
      </c>
    </row>
    <row r="2519" spans="31:33">
      <c r="AE2519">
        <v>0</v>
      </c>
      <c r="AG2519">
        <v>0</v>
      </c>
    </row>
    <row r="2520" spans="31:33">
      <c r="AE2520">
        <v>0</v>
      </c>
      <c r="AG2520">
        <v>0</v>
      </c>
    </row>
    <row r="2521" spans="31:33">
      <c r="AE2521">
        <v>0</v>
      </c>
      <c r="AG2521">
        <v>0</v>
      </c>
    </row>
    <row r="2522" spans="31:33">
      <c r="AE2522">
        <v>0</v>
      </c>
      <c r="AG2522">
        <v>0</v>
      </c>
    </row>
    <row r="2523" spans="31:33">
      <c r="AE2523">
        <v>0</v>
      </c>
      <c r="AG2523">
        <v>0</v>
      </c>
    </row>
    <row r="2524" spans="31:33">
      <c r="AE2524">
        <v>0</v>
      </c>
      <c r="AG2524">
        <v>0</v>
      </c>
    </row>
    <row r="2525" spans="31:33">
      <c r="AE2525">
        <v>0</v>
      </c>
      <c r="AG2525">
        <v>0</v>
      </c>
    </row>
    <row r="2526" spans="31:33">
      <c r="AE2526">
        <v>0</v>
      </c>
      <c r="AG2526">
        <v>0</v>
      </c>
    </row>
    <row r="2527" spans="31:33">
      <c r="AE2527">
        <v>0</v>
      </c>
      <c r="AG2527">
        <v>0</v>
      </c>
    </row>
    <row r="2528" spans="31:33">
      <c r="AE2528">
        <v>0</v>
      </c>
      <c r="AG2528">
        <v>0</v>
      </c>
    </row>
    <row r="2529" spans="31:33">
      <c r="AE2529">
        <v>0</v>
      </c>
      <c r="AG2529">
        <v>0</v>
      </c>
    </row>
    <row r="2530" spans="31:33">
      <c r="AE2530">
        <v>0</v>
      </c>
      <c r="AG2530" s="31">
        <v>-3933095.27</v>
      </c>
    </row>
    <row r="2531" spans="31:33">
      <c r="AE2531">
        <v>0</v>
      </c>
      <c r="AG2531" s="31">
        <v>-6628.5</v>
      </c>
    </row>
    <row r="2532" spans="31:33">
      <c r="AE2532">
        <v>0</v>
      </c>
      <c r="AG2532">
        <v>0</v>
      </c>
    </row>
    <row r="2533" spans="31:33">
      <c r="AE2533">
        <v>0</v>
      </c>
      <c r="AG2533">
        <v>0</v>
      </c>
    </row>
    <row r="2534" spans="31:33">
      <c r="AE2534">
        <v>0</v>
      </c>
      <c r="AG2534">
        <v>0</v>
      </c>
    </row>
    <row r="2535" spans="31:33">
      <c r="AE2535">
        <v>0</v>
      </c>
      <c r="AG2535">
        <v>0</v>
      </c>
    </row>
    <row r="2536" spans="31:33">
      <c r="AE2536">
        <v>0</v>
      </c>
      <c r="AG2536">
        <v>0</v>
      </c>
    </row>
    <row r="2537" spans="31:33">
      <c r="AE2537">
        <v>0</v>
      </c>
      <c r="AG2537">
        <v>0</v>
      </c>
    </row>
    <row r="2538" spans="31:33">
      <c r="AE2538">
        <v>0</v>
      </c>
      <c r="AG2538">
        <v>0</v>
      </c>
    </row>
    <row r="2539" spans="31:33">
      <c r="AE2539">
        <v>0</v>
      </c>
      <c r="AG2539">
        <v>0</v>
      </c>
    </row>
    <row r="2540" spans="31:33">
      <c r="AE2540">
        <v>0</v>
      </c>
      <c r="AG2540">
        <v>0</v>
      </c>
    </row>
    <row r="2541" spans="31:33">
      <c r="AE2541">
        <v>0</v>
      </c>
      <c r="AG2541">
        <v>0</v>
      </c>
    </row>
    <row r="2542" spans="31:33">
      <c r="AE2542">
        <v>0</v>
      </c>
      <c r="AG2542">
        <v>0</v>
      </c>
    </row>
    <row r="2543" spans="31:33">
      <c r="AE2543">
        <v>0</v>
      </c>
      <c r="AG2543">
        <v>0</v>
      </c>
    </row>
    <row r="2544" spans="31:33">
      <c r="AE2544">
        <v>0</v>
      </c>
      <c r="AG2544">
        <v>0</v>
      </c>
    </row>
    <row r="2545" spans="31:33">
      <c r="AE2545">
        <v>0</v>
      </c>
      <c r="AG2545">
        <v>0</v>
      </c>
    </row>
    <row r="2546" spans="31:33">
      <c r="AE2546">
        <v>0</v>
      </c>
      <c r="AG2546">
        <v>0</v>
      </c>
    </row>
    <row r="2547" spans="31:33">
      <c r="AE2547">
        <v>0</v>
      </c>
      <c r="AG2547">
        <v>0</v>
      </c>
    </row>
    <row r="2548" spans="31:33">
      <c r="AE2548">
        <v>0</v>
      </c>
      <c r="AG2548">
        <v>0</v>
      </c>
    </row>
    <row r="2549" spans="31:33">
      <c r="AE2549">
        <v>0</v>
      </c>
      <c r="AG2549">
        <v>0</v>
      </c>
    </row>
    <row r="2550" spans="31:33">
      <c r="AE2550">
        <v>0</v>
      </c>
      <c r="AG2550">
        <v>0</v>
      </c>
    </row>
    <row r="2551" spans="31:33">
      <c r="AE2551">
        <v>0</v>
      </c>
      <c r="AG2551">
        <v>0</v>
      </c>
    </row>
    <row r="2552" spans="31:33">
      <c r="AE2552">
        <v>0</v>
      </c>
      <c r="AG2552">
        <v>0</v>
      </c>
    </row>
    <row r="2553" spans="31:33">
      <c r="AE2553">
        <v>0</v>
      </c>
      <c r="AG2553">
        <v>0</v>
      </c>
    </row>
    <row r="2554" spans="31:33">
      <c r="AE2554">
        <v>0</v>
      </c>
      <c r="AG2554">
        <v>0</v>
      </c>
    </row>
    <row r="2555" spans="31:33">
      <c r="AE2555">
        <v>0</v>
      </c>
      <c r="AG2555">
        <v>0</v>
      </c>
    </row>
    <row r="2556" spans="31:33">
      <c r="AE2556">
        <v>0</v>
      </c>
      <c r="AG2556">
        <v>0</v>
      </c>
    </row>
    <row r="2557" spans="31:33">
      <c r="AE2557">
        <v>0</v>
      </c>
      <c r="AG2557">
        <v>0</v>
      </c>
    </row>
    <row r="2558" spans="31:33">
      <c r="AE2558">
        <v>0</v>
      </c>
      <c r="AG2558">
        <v>0</v>
      </c>
    </row>
    <row r="2559" spans="31:33">
      <c r="AE2559">
        <v>0</v>
      </c>
      <c r="AG2559">
        <v>0</v>
      </c>
    </row>
    <row r="2560" spans="31:33">
      <c r="AE2560">
        <v>0</v>
      </c>
      <c r="AG2560">
        <v>0</v>
      </c>
    </row>
    <row r="2561" spans="31:33">
      <c r="AE2561">
        <v>0</v>
      </c>
      <c r="AG2561">
        <v>0</v>
      </c>
    </row>
    <row r="2562" spans="31:33">
      <c r="AE2562">
        <v>0</v>
      </c>
      <c r="AG2562">
        <v>0</v>
      </c>
    </row>
    <row r="2563" spans="31:33">
      <c r="AE2563">
        <v>0</v>
      </c>
      <c r="AG2563">
        <v>0</v>
      </c>
    </row>
    <row r="2564" spans="31:33">
      <c r="AE2564">
        <v>0</v>
      </c>
      <c r="AG2564">
        <v>0</v>
      </c>
    </row>
    <row r="2565" spans="31:33">
      <c r="AE2565">
        <v>0</v>
      </c>
      <c r="AG2565">
        <v>0</v>
      </c>
    </row>
    <row r="2566" spans="31:33">
      <c r="AE2566">
        <v>0</v>
      </c>
      <c r="AG2566">
        <v>0</v>
      </c>
    </row>
    <row r="2567" spans="31:33">
      <c r="AE2567">
        <v>0</v>
      </c>
      <c r="AG2567">
        <v>0</v>
      </c>
    </row>
    <row r="2568" spans="31:33">
      <c r="AE2568">
        <v>0</v>
      </c>
      <c r="AG2568">
        <v>0</v>
      </c>
    </row>
    <row r="2569" spans="31:33">
      <c r="AE2569">
        <v>0</v>
      </c>
      <c r="AG2569">
        <v>0</v>
      </c>
    </row>
    <row r="2570" spans="31:33">
      <c r="AE2570">
        <v>0</v>
      </c>
      <c r="AG2570">
        <v>0</v>
      </c>
    </row>
    <row r="2571" spans="31:33">
      <c r="AE2571">
        <v>0</v>
      </c>
      <c r="AG2571">
        <v>0</v>
      </c>
    </row>
    <row r="2572" spans="31:33">
      <c r="AE2572">
        <v>0</v>
      </c>
      <c r="AG2572">
        <v>0</v>
      </c>
    </row>
    <row r="2573" spans="31:33">
      <c r="AE2573">
        <v>0</v>
      </c>
      <c r="AG2573">
        <v>0</v>
      </c>
    </row>
    <row r="2574" spans="31:33">
      <c r="AE2574">
        <v>0</v>
      </c>
      <c r="AG2574">
        <v>0</v>
      </c>
    </row>
    <row r="2575" spans="31:33">
      <c r="AE2575">
        <v>0</v>
      </c>
      <c r="AG2575">
        <v>0</v>
      </c>
    </row>
    <row r="2576" spans="31:33">
      <c r="AE2576">
        <v>0</v>
      </c>
      <c r="AG2576">
        <v>0</v>
      </c>
    </row>
    <row r="2577" spans="31:33">
      <c r="AE2577">
        <v>0</v>
      </c>
      <c r="AG2577">
        <v>0</v>
      </c>
    </row>
    <row r="2578" spans="31:33">
      <c r="AE2578">
        <v>0</v>
      </c>
      <c r="AG2578">
        <v>0</v>
      </c>
    </row>
    <row r="2579" spans="31:33">
      <c r="AE2579">
        <v>0</v>
      </c>
      <c r="AG2579">
        <v>0</v>
      </c>
    </row>
    <row r="2580" spans="31:33">
      <c r="AE2580">
        <v>0</v>
      </c>
      <c r="AG2580">
        <v>0</v>
      </c>
    </row>
    <row r="2581" spans="31:33">
      <c r="AE2581">
        <v>0</v>
      </c>
      <c r="AG2581">
        <v>0</v>
      </c>
    </row>
    <row r="2582" spans="31:33">
      <c r="AE2582">
        <v>0</v>
      </c>
      <c r="AG2582">
        <v>0</v>
      </c>
    </row>
    <row r="2583" spans="31:33">
      <c r="AE2583">
        <v>0</v>
      </c>
      <c r="AG2583">
        <v>0</v>
      </c>
    </row>
    <row r="2584" spans="31:33">
      <c r="AE2584">
        <v>0</v>
      </c>
      <c r="AG2584">
        <v>0</v>
      </c>
    </row>
    <row r="2585" spans="31:33">
      <c r="AE2585">
        <v>0</v>
      </c>
      <c r="AG2585">
        <v>0</v>
      </c>
    </row>
    <row r="2586" spans="31:33">
      <c r="AE2586">
        <v>0</v>
      </c>
      <c r="AG2586">
        <v>0</v>
      </c>
    </row>
    <row r="2587" spans="31:33">
      <c r="AE2587">
        <v>0</v>
      </c>
      <c r="AG2587">
        <v>0</v>
      </c>
    </row>
    <row r="2588" spans="31:33">
      <c r="AE2588">
        <v>0</v>
      </c>
      <c r="AG2588">
        <v>0</v>
      </c>
    </row>
    <row r="2589" spans="31:33">
      <c r="AE2589">
        <v>0</v>
      </c>
      <c r="AG2589">
        <v>0</v>
      </c>
    </row>
    <row r="2590" spans="31:33">
      <c r="AE2590">
        <v>0</v>
      </c>
      <c r="AG2590">
        <v>0</v>
      </c>
    </row>
    <row r="2591" spans="31:33">
      <c r="AE2591">
        <v>0</v>
      </c>
      <c r="AG2591">
        <v>0</v>
      </c>
    </row>
    <row r="2592" spans="31:33">
      <c r="AE2592">
        <v>0</v>
      </c>
      <c r="AG2592">
        <v>0</v>
      </c>
    </row>
    <row r="2593" spans="31:33">
      <c r="AE2593">
        <v>0</v>
      </c>
      <c r="AG2593">
        <v>0</v>
      </c>
    </row>
    <row r="2594" spans="31:33">
      <c r="AE2594">
        <v>0</v>
      </c>
      <c r="AG2594">
        <v>0</v>
      </c>
    </row>
    <row r="2595" spans="31:33">
      <c r="AE2595">
        <v>0</v>
      </c>
      <c r="AG2595">
        <v>0</v>
      </c>
    </row>
    <row r="2596" spans="31:33">
      <c r="AE2596">
        <v>0</v>
      </c>
      <c r="AG2596">
        <v>0</v>
      </c>
    </row>
    <row r="2597" spans="31:33">
      <c r="AE2597">
        <v>0</v>
      </c>
      <c r="AG2597">
        <v>0</v>
      </c>
    </row>
    <row r="2598" spans="31:33">
      <c r="AE2598">
        <v>0</v>
      </c>
      <c r="AG2598">
        <v>0</v>
      </c>
    </row>
    <row r="2599" spans="31:33">
      <c r="AE2599">
        <v>0</v>
      </c>
      <c r="AG2599">
        <v>0</v>
      </c>
    </row>
    <row r="2600" spans="31:33">
      <c r="AE2600">
        <v>0</v>
      </c>
      <c r="AG2600">
        <v>0</v>
      </c>
    </row>
    <row r="2601" spans="31:33">
      <c r="AE2601">
        <v>0</v>
      </c>
      <c r="AG2601">
        <v>0</v>
      </c>
    </row>
    <row r="2602" spans="31:33">
      <c r="AE2602">
        <v>0</v>
      </c>
      <c r="AG2602">
        <v>0</v>
      </c>
    </row>
    <row r="2603" spans="31:33">
      <c r="AE2603">
        <v>0</v>
      </c>
      <c r="AG2603">
        <v>0</v>
      </c>
    </row>
    <row r="2604" spans="31:33">
      <c r="AE2604">
        <v>0</v>
      </c>
      <c r="AG2604">
        <v>0</v>
      </c>
    </row>
    <row r="2605" spans="31:33">
      <c r="AE2605">
        <v>0</v>
      </c>
      <c r="AG2605">
        <v>0</v>
      </c>
    </row>
    <row r="2606" spans="31:33">
      <c r="AE2606">
        <v>0</v>
      </c>
      <c r="AG2606">
        <v>0</v>
      </c>
    </row>
    <row r="2607" spans="31:33">
      <c r="AE2607">
        <v>0</v>
      </c>
      <c r="AG2607">
        <v>0</v>
      </c>
    </row>
    <row r="2608" spans="31:33">
      <c r="AE2608">
        <v>0</v>
      </c>
      <c r="AG2608">
        <v>0</v>
      </c>
    </row>
    <row r="2609" spans="31:33">
      <c r="AE2609">
        <v>0</v>
      </c>
      <c r="AG2609">
        <v>0</v>
      </c>
    </row>
    <row r="2610" spans="31:33">
      <c r="AE2610">
        <v>0</v>
      </c>
      <c r="AG2610">
        <v>0</v>
      </c>
    </row>
    <row r="2611" spans="31:33">
      <c r="AE2611">
        <v>0</v>
      </c>
      <c r="AG2611">
        <v>0</v>
      </c>
    </row>
    <row r="2612" spans="31:33">
      <c r="AE2612">
        <v>0</v>
      </c>
      <c r="AG2612">
        <v>0</v>
      </c>
    </row>
    <row r="2613" spans="31:33">
      <c r="AE2613">
        <v>0</v>
      </c>
      <c r="AG2613">
        <v>0</v>
      </c>
    </row>
    <row r="2614" spans="31:33">
      <c r="AE2614">
        <v>0</v>
      </c>
      <c r="AG2614">
        <v>0</v>
      </c>
    </row>
    <row r="2615" spans="31:33">
      <c r="AE2615">
        <v>0</v>
      </c>
      <c r="AG2615">
        <v>0</v>
      </c>
    </row>
    <row r="2616" spans="31:33">
      <c r="AE2616">
        <v>0</v>
      </c>
      <c r="AG2616">
        <v>0</v>
      </c>
    </row>
    <row r="2617" spans="31:33">
      <c r="AE2617">
        <v>0</v>
      </c>
      <c r="AG2617">
        <v>0</v>
      </c>
    </row>
    <row r="2618" spans="31:33">
      <c r="AE2618">
        <v>0</v>
      </c>
      <c r="AG2618">
        <v>0</v>
      </c>
    </row>
    <row r="2619" spans="31:33">
      <c r="AE2619">
        <v>0</v>
      </c>
      <c r="AG2619">
        <v>0</v>
      </c>
    </row>
    <row r="2620" spans="31:33">
      <c r="AE2620">
        <v>0</v>
      </c>
      <c r="AG2620">
        <v>0</v>
      </c>
    </row>
    <row r="2621" spans="31:33">
      <c r="AE2621">
        <v>0</v>
      </c>
      <c r="AG2621">
        <v>0</v>
      </c>
    </row>
    <row r="2622" spans="31:33">
      <c r="AE2622" s="31">
        <v>-5097.34</v>
      </c>
      <c r="AG2622" s="31">
        <v>-5097.34</v>
      </c>
    </row>
    <row r="2623" spans="31:33">
      <c r="AE2623">
        <v>0</v>
      </c>
      <c r="AG2623">
        <v>0</v>
      </c>
    </row>
    <row r="2624" spans="31:33">
      <c r="AE2624">
        <v>0</v>
      </c>
      <c r="AG2624">
        <v>0</v>
      </c>
    </row>
    <row r="2625" spans="31:33">
      <c r="AE2625">
        <v>0</v>
      </c>
      <c r="AG2625">
        <v>0</v>
      </c>
    </row>
    <row r="2626" spans="31:33">
      <c r="AE2626">
        <v>0</v>
      </c>
      <c r="AG2626">
        <v>0</v>
      </c>
    </row>
    <row r="2627" spans="31:33">
      <c r="AE2627">
        <v>0</v>
      </c>
      <c r="AG2627">
        <v>0</v>
      </c>
    </row>
    <row r="2628" spans="31:33">
      <c r="AE2628">
        <v>0</v>
      </c>
      <c r="AG2628">
        <v>0</v>
      </c>
    </row>
    <row r="2629" spans="31:33">
      <c r="AE2629">
        <v>0</v>
      </c>
      <c r="AG2629">
        <v>0</v>
      </c>
    </row>
    <row r="2630" spans="31:33">
      <c r="AE2630" s="31">
        <v>1027738.85</v>
      </c>
      <c r="AG2630" s="31">
        <v>1169893.94</v>
      </c>
    </row>
    <row r="2631" spans="31:33">
      <c r="AE2631" s="31">
        <v>473507.17</v>
      </c>
      <c r="AG2631" s="31">
        <v>641642.82999999996</v>
      </c>
    </row>
    <row r="2632" spans="31:33">
      <c r="AE2632" s="31">
        <v>882180.32</v>
      </c>
      <c r="AG2632" s="31">
        <v>1189044.51</v>
      </c>
    </row>
    <row r="2633" spans="31:33">
      <c r="AE2633" s="31">
        <v>1052767.5</v>
      </c>
      <c r="AG2633" s="31">
        <v>252075.63</v>
      </c>
    </row>
    <row r="2634" spans="31:33">
      <c r="AE2634">
        <v>0</v>
      </c>
      <c r="AG2634">
        <v>0</v>
      </c>
    </row>
    <row r="2635" spans="31:33">
      <c r="AE2635" s="31">
        <v>5100.97</v>
      </c>
      <c r="AG2635">
        <v>-310.98</v>
      </c>
    </row>
    <row r="2636" spans="31:33">
      <c r="AE2636" s="31">
        <v>-5008.24</v>
      </c>
      <c r="AG2636" s="31">
        <v>-3375.05</v>
      </c>
    </row>
    <row r="2637" spans="31:33">
      <c r="AE2637" s="31">
        <v>-37825.51</v>
      </c>
      <c r="AG2637" s="31">
        <v>194166.88</v>
      </c>
    </row>
    <row r="2638" spans="31:33">
      <c r="AE2638">
        <v>0</v>
      </c>
      <c r="AG2638">
        <v>0</v>
      </c>
    </row>
    <row r="2639" spans="31:33">
      <c r="AE2639" s="31">
        <v>-4703.1400000000003</v>
      </c>
      <c r="AG2639" s="31">
        <v>-4418.45</v>
      </c>
    </row>
    <row r="2640" spans="31:33">
      <c r="AE2640" s="31">
        <v>2038.51</v>
      </c>
      <c r="AG2640" s="31">
        <v>17846.7</v>
      </c>
    </row>
    <row r="2641" spans="31:33">
      <c r="AE2641" s="31">
        <v>34176.949999999997</v>
      </c>
      <c r="AG2641" s="31">
        <v>175870.36</v>
      </c>
    </row>
    <row r="2642" spans="31:33">
      <c r="AE2642" s="31">
        <v>-13598.46</v>
      </c>
      <c r="AG2642" s="31">
        <v>-13945.13</v>
      </c>
    </row>
    <row r="2643" spans="31:33">
      <c r="AE2643" s="31">
        <v>47493.55</v>
      </c>
      <c r="AG2643" s="31">
        <v>2601024.0099999998</v>
      </c>
    </row>
    <row r="2644" spans="31:33">
      <c r="AE2644" s="31">
        <v>19198.84</v>
      </c>
      <c r="AG2644" s="31">
        <v>823629.76</v>
      </c>
    </row>
    <row r="2645" spans="31:33">
      <c r="AE2645" s="31">
        <v>221764.75</v>
      </c>
      <c r="AG2645" s="31">
        <v>217530.1</v>
      </c>
    </row>
    <row r="2646" spans="31:33">
      <c r="AE2646" s="31">
        <v>264398.12</v>
      </c>
      <c r="AG2646" s="31">
        <v>81397.08</v>
      </c>
    </row>
    <row r="2647" spans="31:33">
      <c r="AE2647" s="31">
        <v>65912543.420000002</v>
      </c>
      <c r="AG2647" s="31">
        <v>82268295.200000003</v>
      </c>
    </row>
    <row r="2648" spans="31:33">
      <c r="AE2648" s="31">
        <v>7385317.9100000001</v>
      </c>
      <c r="AG2648" s="31">
        <v>8992284.9700000007</v>
      </c>
    </row>
    <row r="2649" spans="31:33">
      <c r="AE2649" s="31">
        <v>19175543.789999999</v>
      </c>
      <c r="AG2649" s="31">
        <v>23566860.969999999</v>
      </c>
    </row>
    <row r="2650" spans="31:33">
      <c r="AE2650" s="31">
        <v>2467318.21</v>
      </c>
      <c r="AG2650" s="31">
        <v>3211489</v>
      </c>
    </row>
    <row r="2651" spans="31:33">
      <c r="AE2651" s="31">
        <v>40535.79</v>
      </c>
      <c r="AG2651" s="31">
        <v>45986.42</v>
      </c>
    </row>
    <row r="2652" spans="31:33">
      <c r="AE2652">
        <v>0</v>
      </c>
      <c r="AG2652">
        <v>0</v>
      </c>
    </row>
    <row r="2653" spans="31:33">
      <c r="AE2653" s="31">
        <v>2731302.6</v>
      </c>
      <c r="AG2653" s="31">
        <v>3159938.7</v>
      </c>
    </row>
    <row r="2654" spans="31:33">
      <c r="AE2654">
        <v>0</v>
      </c>
      <c r="AG2654">
        <v>0</v>
      </c>
    </row>
    <row r="2655" spans="31:33">
      <c r="AE2655">
        <v>0</v>
      </c>
      <c r="AG2655">
        <v>0</v>
      </c>
    </row>
    <row r="2656" spans="31:33">
      <c r="AE2656">
        <v>0</v>
      </c>
      <c r="AG2656">
        <v>0</v>
      </c>
    </row>
    <row r="2657" spans="31:33">
      <c r="AE2657">
        <v>0</v>
      </c>
      <c r="AG2657">
        <v>0</v>
      </c>
    </row>
    <row r="2658" spans="31:33">
      <c r="AE2658">
        <v>0</v>
      </c>
      <c r="AG2658">
        <v>0</v>
      </c>
    </row>
    <row r="2659" spans="31:33">
      <c r="AE2659">
        <v>0</v>
      </c>
      <c r="AG2659">
        <v>0</v>
      </c>
    </row>
    <row r="2660" spans="31:33">
      <c r="AE2660">
        <v>0</v>
      </c>
      <c r="AG2660">
        <v>0</v>
      </c>
    </row>
    <row r="2661" spans="31:33">
      <c r="AE2661">
        <v>0</v>
      </c>
      <c r="AG2661">
        <v>0</v>
      </c>
    </row>
    <row r="2662" spans="31:33">
      <c r="AE2662">
        <v>0</v>
      </c>
      <c r="AG2662">
        <v>0</v>
      </c>
    </row>
    <row r="2663" spans="31:33">
      <c r="AE2663" s="31">
        <v>-289190.90000000002</v>
      </c>
      <c r="AG2663" s="31">
        <v>-289190.90000000002</v>
      </c>
    </row>
    <row r="2664" spans="31:33">
      <c r="AE2664">
        <v>0</v>
      </c>
      <c r="AG2664">
        <v>0</v>
      </c>
    </row>
    <row r="2665" spans="31:33">
      <c r="AE2665">
        <v>0</v>
      </c>
      <c r="AG2665">
        <v>0</v>
      </c>
    </row>
    <row r="2666" spans="31:33">
      <c r="AE2666">
        <v>0</v>
      </c>
      <c r="AG2666">
        <v>0</v>
      </c>
    </row>
    <row r="2667" spans="31:33">
      <c r="AE2667">
        <v>0</v>
      </c>
      <c r="AG2667">
        <v>0</v>
      </c>
    </row>
    <row r="2668" spans="31:33">
      <c r="AE2668">
        <v>0</v>
      </c>
      <c r="AG2668">
        <v>0</v>
      </c>
    </row>
    <row r="2669" spans="31:33">
      <c r="AE2669">
        <v>0</v>
      </c>
      <c r="AG2669">
        <v>0</v>
      </c>
    </row>
    <row r="2670" spans="31:33">
      <c r="AE2670">
        <v>0</v>
      </c>
      <c r="AG2670">
        <v>0</v>
      </c>
    </row>
    <row r="2671" spans="31:33">
      <c r="AE2671">
        <v>0</v>
      </c>
      <c r="AG2671">
        <v>0</v>
      </c>
    </row>
    <row r="2672" spans="31:33">
      <c r="AE2672">
        <v>0</v>
      </c>
      <c r="AG2672">
        <v>0</v>
      </c>
    </row>
    <row r="2673" spans="31:33">
      <c r="AE2673">
        <v>0</v>
      </c>
      <c r="AG2673">
        <v>0</v>
      </c>
    </row>
    <row r="2674" spans="31:33">
      <c r="AE2674">
        <v>0</v>
      </c>
      <c r="AG2674">
        <v>0</v>
      </c>
    </row>
    <row r="2675" spans="31:33">
      <c r="AE2675">
        <v>0</v>
      </c>
      <c r="AG2675">
        <v>0</v>
      </c>
    </row>
    <row r="2676" spans="31:33">
      <c r="AE2676">
        <v>0</v>
      </c>
      <c r="AG2676">
        <v>0</v>
      </c>
    </row>
    <row r="2677" spans="31:33">
      <c r="AE2677">
        <v>0</v>
      </c>
      <c r="AG2677">
        <v>0</v>
      </c>
    </row>
    <row r="2678" spans="31:33">
      <c r="AE2678">
        <v>0</v>
      </c>
      <c r="AG2678">
        <v>0</v>
      </c>
    </row>
    <row r="2679" spans="31:33">
      <c r="AE2679">
        <v>0</v>
      </c>
      <c r="AG2679">
        <v>0</v>
      </c>
    </row>
    <row r="2680" spans="31:33">
      <c r="AE2680">
        <v>0</v>
      </c>
      <c r="AG2680">
        <v>0</v>
      </c>
    </row>
    <row r="2681" spans="31:33">
      <c r="AE2681">
        <v>0</v>
      </c>
      <c r="AG2681">
        <v>0</v>
      </c>
    </row>
    <row r="2682" spans="31:33">
      <c r="AE2682">
        <v>0</v>
      </c>
      <c r="AG2682">
        <v>0</v>
      </c>
    </row>
    <row r="2683" spans="31:33">
      <c r="AE2683">
        <v>0</v>
      </c>
      <c r="AG2683">
        <v>0</v>
      </c>
    </row>
    <row r="2684" spans="31:33">
      <c r="AE2684">
        <v>0</v>
      </c>
      <c r="AG2684">
        <v>0</v>
      </c>
    </row>
    <row r="2685" spans="31:33">
      <c r="AE2685">
        <v>0</v>
      </c>
      <c r="AG2685">
        <v>0</v>
      </c>
    </row>
    <row r="2686" spans="31:33">
      <c r="AE2686">
        <v>0</v>
      </c>
      <c r="AG2686">
        <v>0</v>
      </c>
    </row>
    <row r="2687" spans="31:33">
      <c r="AE2687">
        <v>0</v>
      </c>
      <c r="AG2687">
        <v>0</v>
      </c>
    </row>
    <row r="2688" spans="31:33">
      <c r="AE2688">
        <v>0</v>
      </c>
      <c r="AG2688">
        <v>0</v>
      </c>
    </row>
    <row r="2689" spans="31:33">
      <c r="AE2689">
        <v>0</v>
      </c>
      <c r="AG2689">
        <v>0</v>
      </c>
    </row>
    <row r="2690" spans="31:33">
      <c r="AE2690">
        <v>0</v>
      </c>
      <c r="AG2690">
        <v>0</v>
      </c>
    </row>
    <row r="2691" spans="31:33">
      <c r="AE2691">
        <v>0</v>
      </c>
      <c r="AG2691">
        <v>0</v>
      </c>
    </row>
    <row r="2692" spans="31:33">
      <c r="AE2692">
        <v>0</v>
      </c>
      <c r="AG2692">
        <v>0</v>
      </c>
    </row>
    <row r="2693" spans="31:33">
      <c r="AE2693">
        <v>0</v>
      </c>
      <c r="AG2693">
        <v>0</v>
      </c>
    </row>
    <row r="2694" spans="31:33">
      <c r="AE2694">
        <v>0</v>
      </c>
      <c r="AG2694">
        <v>0</v>
      </c>
    </row>
    <row r="2695" spans="31:33">
      <c r="AE2695">
        <v>0</v>
      </c>
      <c r="AG2695">
        <v>0</v>
      </c>
    </row>
    <row r="2696" spans="31:33">
      <c r="AE2696">
        <v>0</v>
      </c>
      <c r="AG2696">
        <v>0</v>
      </c>
    </row>
    <row r="2697" spans="31:33">
      <c r="AE2697">
        <v>0</v>
      </c>
      <c r="AG2697">
        <v>0</v>
      </c>
    </row>
    <row r="2698" spans="31:33">
      <c r="AE2698">
        <v>0</v>
      </c>
      <c r="AG2698">
        <v>0</v>
      </c>
    </row>
    <row r="2699" spans="31:33">
      <c r="AE2699">
        <v>0</v>
      </c>
      <c r="AG2699">
        <v>0</v>
      </c>
    </row>
    <row r="2700" spans="31:33">
      <c r="AE2700">
        <v>0</v>
      </c>
      <c r="AG2700">
        <v>0</v>
      </c>
    </row>
    <row r="2701" spans="31:33">
      <c r="AE2701">
        <v>0</v>
      </c>
      <c r="AG2701">
        <v>0</v>
      </c>
    </row>
    <row r="2702" spans="31:33">
      <c r="AE2702">
        <v>0</v>
      </c>
      <c r="AG2702">
        <v>0</v>
      </c>
    </row>
    <row r="2703" spans="31:33">
      <c r="AE2703">
        <v>0</v>
      </c>
      <c r="AG2703">
        <v>0</v>
      </c>
    </row>
    <row r="2704" spans="31:33">
      <c r="AE2704">
        <v>0</v>
      </c>
      <c r="AG2704">
        <v>0</v>
      </c>
    </row>
    <row r="2705" spans="31:33">
      <c r="AE2705">
        <v>0</v>
      </c>
      <c r="AG2705">
        <v>0</v>
      </c>
    </row>
    <row r="2706" spans="31:33">
      <c r="AE2706">
        <v>0</v>
      </c>
      <c r="AG2706">
        <v>0</v>
      </c>
    </row>
    <row r="2707" spans="31:33">
      <c r="AE2707">
        <v>0</v>
      </c>
      <c r="AG2707">
        <v>0</v>
      </c>
    </row>
    <row r="2708" spans="31:33">
      <c r="AE2708">
        <v>0</v>
      </c>
      <c r="AG2708">
        <v>0</v>
      </c>
    </row>
    <row r="2709" spans="31:33">
      <c r="AE2709">
        <v>0</v>
      </c>
      <c r="AG2709">
        <v>0</v>
      </c>
    </row>
    <row r="2710" spans="31:33">
      <c r="AE2710">
        <v>0</v>
      </c>
      <c r="AG2710">
        <v>0</v>
      </c>
    </row>
    <row r="2711" spans="31:33">
      <c r="AE2711">
        <v>0</v>
      </c>
      <c r="AG2711">
        <v>0</v>
      </c>
    </row>
    <row r="2712" spans="31:33">
      <c r="AE2712">
        <v>0</v>
      </c>
      <c r="AG2712">
        <v>0</v>
      </c>
    </row>
    <row r="2713" spans="31:33">
      <c r="AE2713">
        <v>0</v>
      </c>
      <c r="AG2713">
        <v>0</v>
      </c>
    </row>
    <row r="2714" spans="31:33">
      <c r="AE2714">
        <v>0</v>
      </c>
      <c r="AG2714">
        <v>0</v>
      </c>
    </row>
    <row r="2715" spans="31:33">
      <c r="AE2715">
        <v>0</v>
      </c>
      <c r="AG2715">
        <v>0</v>
      </c>
    </row>
    <row r="2716" spans="31:33">
      <c r="AE2716">
        <v>0</v>
      </c>
      <c r="AG2716">
        <v>0</v>
      </c>
    </row>
    <row r="2717" spans="31:33">
      <c r="AE2717">
        <v>0</v>
      </c>
      <c r="AG2717">
        <v>0</v>
      </c>
    </row>
    <row r="2718" spans="31:33">
      <c r="AE2718">
        <v>0</v>
      </c>
      <c r="AG2718">
        <v>0</v>
      </c>
    </row>
    <row r="2719" spans="31:33">
      <c r="AE2719">
        <v>0</v>
      </c>
      <c r="AG2719">
        <v>0</v>
      </c>
    </row>
    <row r="2720" spans="31:33">
      <c r="AE2720">
        <v>0</v>
      </c>
      <c r="AG2720">
        <v>0</v>
      </c>
    </row>
    <row r="2721" spans="31:33">
      <c r="AE2721">
        <v>0</v>
      </c>
      <c r="AG2721">
        <v>0</v>
      </c>
    </row>
    <row r="2722" spans="31:33">
      <c r="AE2722">
        <v>0</v>
      </c>
      <c r="AG2722">
        <v>0</v>
      </c>
    </row>
    <row r="2723" spans="31:33">
      <c r="AE2723">
        <v>0</v>
      </c>
      <c r="AG2723">
        <v>0</v>
      </c>
    </row>
    <row r="2724" spans="31:33">
      <c r="AE2724">
        <v>0</v>
      </c>
      <c r="AG2724">
        <v>0</v>
      </c>
    </row>
    <row r="2725" spans="31:33">
      <c r="AE2725">
        <v>0</v>
      </c>
      <c r="AG2725">
        <v>0</v>
      </c>
    </row>
    <row r="2726" spans="31:33">
      <c r="AE2726">
        <v>0</v>
      </c>
      <c r="AG2726">
        <v>0</v>
      </c>
    </row>
    <row r="2727" spans="31:33">
      <c r="AE2727">
        <v>0</v>
      </c>
      <c r="AG2727">
        <v>0</v>
      </c>
    </row>
    <row r="2728" spans="31:33">
      <c r="AE2728" s="31">
        <v>-74575.98</v>
      </c>
      <c r="AG2728">
        <v>580.04999999999995</v>
      </c>
    </row>
    <row r="2729" spans="31:33">
      <c r="AE2729">
        <v>0</v>
      </c>
      <c r="AG2729">
        <v>0</v>
      </c>
    </row>
    <row r="2730" spans="31:33">
      <c r="AE2730">
        <v>0</v>
      </c>
      <c r="AG2730">
        <v>0</v>
      </c>
    </row>
    <row r="2731" spans="31:33">
      <c r="AE2731">
        <v>0</v>
      </c>
      <c r="AG2731">
        <v>0</v>
      </c>
    </row>
    <row r="2732" spans="31:33">
      <c r="AE2732" s="31">
        <v>-54257.96</v>
      </c>
      <c r="AG2732" s="31">
        <v>-54257.96</v>
      </c>
    </row>
    <row r="2733" spans="31:33">
      <c r="AE2733">
        <v>0</v>
      </c>
      <c r="AG2733">
        <v>0</v>
      </c>
    </row>
    <row r="2734" spans="31:33">
      <c r="AE2734">
        <v>0</v>
      </c>
      <c r="AG2734">
        <v>0</v>
      </c>
    </row>
    <row r="2735" spans="31:33">
      <c r="AE2735">
        <v>0</v>
      </c>
      <c r="AG2735">
        <v>0</v>
      </c>
    </row>
    <row r="2736" spans="31:33">
      <c r="AE2736">
        <v>0</v>
      </c>
      <c r="AG2736">
        <v>0</v>
      </c>
    </row>
    <row r="2737" spans="31:33">
      <c r="AE2737">
        <v>0</v>
      </c>
      <c r="AG2737">
        <v>0</v>
      </c>
    </row>
    <row r="2738" spans="31:33">
      <c r="AE2738">
        <v>0</v>
      </c>
      <c r="AG2738">
        <v>0</v>
      </c>
    </row>
    <row r="2739" spans="31:33">
      <c r="AE2739">
        <v>0</v>
      </c>
      <c r="AG2739">
        <v>0</v>
      </c>
    </row>
    <row r="2740" spans="31:33">
      <c r="AE2740">
        <v>0</v>
      </c>
      <c r="AG2740">
        <v>0</v>
      </c>
    </row>
    <row r="2741" spans="31:33">
      <c r="AE2741">
        <v>0</v>
      </c>
      <c r="AG2741">
        <v>0</v>
      </c>
    </row>
    <row r="2742" spans="31:33">
      <c r="AE2742">
        <v>0</v>
      </c>
      <c r="AG2742">
        <v>0</v>
      </c>
    </row>
    <row r="2743" spans="31:33">
      <c r="AE2743">
        <v>0</v>
      </c>
      <c r="AG2743">
        <v>0</v>
      </c>
    </row>
    <row r="2744" spans="31:33">
      <c r="AE2744">
        <v>0</v>
      </c>
      <c r="AG2744">
        <v>0</v>
      </c>
    </row>
    <row r="2745" spans="31:33">
      <c r="AE2745">
        <v>1.88</v>
      </c>
      <c r="AG2745">
        <v>7.88</v>
      </c>
    </row>
    <row r="2746" spans="31:33">
      <c r="AE2746">
        <v>0</v>
      </c>
      <c r="AG2746">
        <v>0</v>
      </c>
    </row>
    <row r="2747" spans="31:33">
      <c r="AE2747">
        <v>0</v>
      </c>
      <c r="AG2747">
        <v>0</v>
      </c>
    </row>
    <row r="2748" spans="31:33">
      <c r="AE2748">
        <v>0</v>
      </c>
      <c r="AG2748">
        <v>0</v>
      </c>
    </row>
    <row r="2749" spans="31:33">
      <c r="AE2749">
        <v>0</v>
      </c>
      <c r="AG2749">
        <v>0</v>
      </c>
    </row>
    <row r="2750" spans="31:33">
      <c r="AE2750">
        <v>0</v>
      </c>
      <c r="AG2750">
        <v>0</v>
      </c>
    </row>
    <row r="2751" spans="31:33">
      <c r="AE2751">
        <v>0</v>
      </c>
      <c r="AG2751">
        <v>0</v>
      </c>
    </row>
    <row r="2752" spans="31:33">
      <c r="AE2752">
        <v>0</v>
      </c>
      <c r="AG2752">
        <v>0</v>
      </c>
    </row>
    <row r="2753" spans="31:33">
      <c r="AE2753">
        <v>0</v>
      </c>
      <c r="AG2753">
        <v>0</v>
      </c>
    </row>
    <row r="2754" spans="31:33">
      <c r="AE2754">
        <v>0</v>
      </c>
      <c r="AG2754">
        <v>0</v>
      </c>
    </row>
    <row r="2755" spans="31:33">
      <c r="AE2755">
        <v>0</v>
      </c>
      <c r="AG2755">
        <v>0</v>
      </c>
    </row>
    <row r="2756" spans="31:33">
      <c r="AE2756">
        <v>0</v>
      </c>
      <c r="AG2756">
        <v>0</v>
      </c>
    </row>
    <row r="2757" spans="31:33">
      <c r="AE2757">
        <v>0</v>
      </c>
      <c r="AG2757">
        <v>0</v>
      </c>
    </row>
    <row r="2758" spans="31:33">
      <c r="AE2758">
        <v>0</v>
      </c>
      <c r="AG2758">
        <v>0</v>
      </c>
    </row>
    <row r="2759" spans="31:33">
      <c r="AE2759">
        <v>0</v>
      </c>
      <c r="AG2759">
        <v>0</v>
      </c>
    </row>
    <row r="2760" spans="31:33">
      <c r="AE2760">
        <v>0</v>
      </c>
      <c r="AG2760">
        <v>0</v>
      </c>
    </row>
    <row r="2761" spans="31:33">
      <c r="AE2761">
        <v>0</v>
      </c>
      <c r="AG2761">
        <v>0</v>
      </c>
    </row>
    <row r="2762" spans="31:33">
      <c r="AE2762" s="31">
        <v>-21539547.84</v>
      </c>
      <c r="AG2762" s="31">
        <v>-21539547.84</v>
      </c>
    </row>
    <row r="2763" spans="31:33">
      <c r="AE2763">
        <v>0</v>
      </c>
      <c r="AG2763">
        <v>0</v>
      </c>
    </row>
    <row r="2764" spans="31:33">
      <c r="AE2764">
        <v>0</v>
      </c>
      <c r="AG2764">
        <v>0</v>
      </c>
    </row>
    <row r="2765" spans="31:33">
      <c r="AE2765">
        <v>0</v>
      </c>
      <c r="AG2765">
        <v>0</v>
      </c>
    </row>
    <row r="2766" spans="31:33">
      <c r="AE2766" s="31">
        <v>-71562.22</v>
      </c>
      <c r="AG2766" s="31">
        <v>-71562.22</v>
      </c>
    </row>
    <row r="2767" spans="31:33">
      <c r="AE2767">
        <v>0</v>
      </c>
      <c r="AG2767">
        <v>0</v>
      </c>
    </row>
    <row r="2768" spans="31:33">
      <c r="AE2768">
        <v>0</v>
      </c>
      <c r="AG2768">
        <v>0</v>
      </c>
    </row>
    <row r="2769" spans="31:33">
      <c r="AE2769">
        <v>0</v>
      </c>
      <c r="AG2769">
        <v>0</v>
      </c>
    </row>
    <row r="2770" spans="31:33">
      <c r="AE2770">
        <v>0</v>
      </c>
      <c r="AG2770">
        <v>0</v>
      </c>
    </row>
    <row r="2771" spans="31:33">
      <c r="AE2771">
        <v>0</v>
      </c>
      <c r="AG2771">
        <v>0</v>
      </c>
    </row>
    <row r="2772" spans="31:33">
      <c r="AE2772">
        <v>0</v>
      </c>
      <c r="AG2772">
        <v>0</v>
      </c>
    </row>
    <row r="2773" spans="31:33">
      <c r="AE2773">
        <v>0</v>
      </c>
      <c r="AG2773">
        <v>0</v>
      </c>
    </row>
    <row r="2774" spans="31:33">
      <c r="AE2774">
        <v>0</v>
      </c>
      <c r="AG2774">
        <v>0</v>
      </c>
    </row>
    <row r="2775" spans="31:33">
      <c r="AE2775">
        <v>0</v>
      </c>
      <c r="AG2775">
        <v>0</v>
      </c>
    </row>
    <row r="2776" spans="31:33">
      <c r="AE2776">
        <v>0</v>
      </c>
      <c r="AG2776">
        <v>0</v>
      </c>
    </row>
    <row r="2777" spans="31:33">
      <c r="AE2777">
        <v>0</v>
      </c>
      <c r="AG2777">
        <v>0</v>
      </c>
    </row>
    <row r="2778" spans="31:33">
      <c r="AE2778">
        <v>0</v>
      </c>
      <c r="AG2778">
        <v>0</v>
      </c>
    </row>
    <row r="2779" spans="31:33">
      <c r="AE2779">
        <v>0</v>
      </c>
      <c r="AG2779">
        <v>0</v>
      </c>
    </row>
    <row r="2780" spans="31:33">
      <c r="AE2780">
        <v>0</v>
      </c>
      <c r="AG2780">
        <v>0</v>
      </c>
    </row>
    <row r="2781" spans="31:33">
      <c r="AE2781">
        <v>0</v>
      </c>
      <c r="AG2781">
        <v>0</v>
      </c>
    </row>
    <row r="2782" spans="31:33">
      <c r="AE2782">
        <v>0</v>
      </c>
      <c r="AG2782">
        <v>0</v>
      </c>
    </row>
    <row r="2783" spans="31:33">
      <c r="AE2783">
        <v>0</v>
      </c>
      <c r="AG2783">
        <v>0</v>
      </c>
    </row>
    <row r="2784" spans="31:33">
      <c r="AE2784">
        <v>0</v>
      </c>
      <c r="AG2784">
        <v>0</v>
      </c>
    </row>
    <row r="2785" spans="31:33">
      <c r="AE2785">
        <v>0</v>
      </c>
      <c r="AG2785">
        <v>0</v>
      </c>
    </row>
    <row r="2786" spans="31:33">
      <c r="AE2786">
        <v>0</v>
      </c>
      <c r="AG2786">
        <v>0</v>
      </c>
    </row>
    <row r="2787" spans="31:33">
      <c r="AE2787">
        <v>0</v>
      </c>
      <c r="AG2787">
        <v>0</v>
      </c>
    </row>
    <row r="2788" spans="31:33">
      <c r="AE2788">
        <v>0</v>
      </c>
      <c r="AG2788">
        <v>0</v>
      </c>
    </row>
    <row r="2789" spans="31:33">
      <c r="AE2789">
        <v>0</v>
      </c>
      <c r="AG2789">
        <v>0</v>
      </c>
    </row>
    <row r="2790" spans="31:33">
      <c r="AE2790">
        <v>0</v>
      </c>
      <c r="AG2790">
        <v>0</v>
      </c>
    </row>
    <row r="2791" spans="31:33">
      <c r="AE2791">
        <v>0</v>
      </c>
      <c r="AG2791">
        <v>0</v>
      </c>
    </row>
    <row r="2792" spans="31:33">
      <c r="AE2792">
        <v>0</v>
      </c>
      <c r="AG2792">
        <v>0</v>
      </c>
    </row>
    <row r="2793" spans="31:33">
      <c r="AE2793">
        <v>0</v>
      </c>
      <c r="AG2793">
        <v>0</v>
      </c>
    </row>
    <row r="2794" spans="31:33">
      <c r="AE2794">
        <v>0</v>
      </c>
      <c r="AG2794">
        <v>0</v>
      </c>
    </row>
    <row r="2795" spans="31:33">
      <c r="AE2795">
        <v>0</v>
      </c>
      <c r="AG2795">
        <v>0</v>
      </c>
    </row>
    <row r="2796" spans="31:33">
      <c r="AE2796">
        <v>0</v>
      </c>
      <c r="AG2796">
        <v>0</v>
      </c>
    </row>
    <row r="2797" spans="31:33">
      <c r="AE2797">
        <v>0</v>
      </c>
      <c r="AG2797">
        <v>0</v>
      </c>
    </row>
    <row r="2798" spans="31:33">
      <c r="AE2798">
        <v>0</v>
      </c>
      <c r="AG2798">
        <v>0</v>
      </c>
    </row>
    <row r="2799" spans="31:33">
      <c r="AE2799">
        <v>0</v>
      </c>
      <c r="AG2799">
        <v>0</v>
      </c>
    </row>
    <row r="2800" spans="31:33">
      <c r="AE2800">
        <v>0</v>
      </c>
      <c r="AG2800">
        <v>0</v>
      </c>
    </row>
    <row r="2801" spans="31:33">
      <c r="AE2801">
        <v>0</v>
      </c>
      <c r="AG2801">
        <v>0</v>
      </c>
    </row>
    <row r="2802" spans="31:33">
      <c r="AE2802">
        <v>0</v>
      </c>
      <c r="AG2802">
        <v>0</v>
      </c>
    </row>
    <row r="2803" spans="31:33">
      <c r="AE2803">
        <v>0</v>
      </c>
      <c r="AG2803">
        <v>0</v>
      </c>
    </row>
    <row r="2804" spans="31:33">
      <c r="AE2804">
        <v>0</v>
      </c>
      <c r="AG2804">
        <v>0</v>
      </c>
    </row>
    <row r="2805" spans="31:33">
      <c r="AE2805">
        <v>0</v>
      </c>
      <c r="AG2805">
        <v>0</v>
      </c>
    </row>
    <row r="2806" spans="31:33">
      <c r="AE2806">
        <v>0</v>
      </c>
      <c r="AG2806">
        <v>0</v>
      </c>
    </row>
    <row r="2807" spans="31:33">
      <c r="AE2807">
        <v>0</v>
      </c>
      <c r="AG2807">
        <v>0</v>
      </c>
    </row>
    <row r="2808" spans="31:33">
      <c r="AE2808">
        <v>0</v>
      </c>
      <c r="AG2808">
        <v>0</v>
      </c>
    </row>
    <row r="2809" spans="31:33">
      <c r="AE2809">
        <v>0</v>
      </c>
      <c r="AG2809">
        <v>0</v>
      </c>
    </row>
    <row r="2810" spans="31:33">
      <c r="AE2810">
        <v>0</v>
      </c>
      <c r="AG2810">
        <v>0</v>
      </c>
    </row>
    <row r="2811" spans="31:33">
      <c r="AE2811">
        <v>0</v>
      </c>
      <c r="AG2811">
        <v>0</v>
      </c>
    </row>
    <row r="2812" spans="31:33">
      <c r="AE2812">
        <v>0</v>
      </c>
      <c r="AG2812">
        <v>0</v>
      </c>
    </row>
    <row r="2813" spans="31:33">
      <c r="AE2813">
        <v>0</v>
      </c>
      <c r="AG2813">
        <v>0</v>
      </c>
    </row>
    <row r="2814" spans="31:33">
      <c r="AE2814">
        <v>0</v>
      </c>
      <c r="AG2814">
        <v>0</v>
      </c>
    </row>
    <row r="2815" spans="31:33">
      <c r="AE2815">
        <v>0</v>
      </c>
      <c r="AG2815">
        <v>0</v>
      </c>
    </row>
    <row r="2816" spans="31:33">
      <c r="AE2816">
        <v>0</v>
      </c>
      <c r="AG2816">
        <v>0</v>
      </c>
    </row>
    <row r="2817" spans="31:33">
      <c r="AE2817">
        <v>0</v>
      </c>
      <c r="AG2817">
        <v>0</v>
      </c>
    </row>
    <row r="2818" spans="31:33">
      <c r="AE2818">
        <v>0</v>
      </c>
      <c r="AG2818">
        <v>0</v>
      </c>
    </row>
    <row r="2819" spans="31:33">
      <c r="AE2819">
        <v>0</v>
      </c>
      <c r="AG2819">
        <v>0</v>
      </c>
    </row>
    <row r="2820" spans="31:33">
      <c r="AE2820">
        <v>0</v>
      </c>
      <c r="AG2820">
        <v>0</v>
      </c>
    </row>
    <row r="2821" spans="31:33">
      <c r="AE2821">
        <v>0</v>
      </c>
      <c r="AG2821">
        <v>0</v>
      </c>
    </row>
    <row r="2822" spans="31:33">
      <c r="AE2822">
        <v>0</v>
      </c>
      <c r="AG2822">
        <v>0</v>
      </c>
    </row>
    <row r="2823" spans="31:33">
      <c r="AE2823">
        <v>0</v>
      </c>
      <c r="AG2823">
        <v>0</v>
      </c>
    </row>
    <row r="2824" spans="31:33">
      <c r="AE2824">
        <v>0</v>
      </c>
      <c r="AG2824">
        <v>0</v>
      </c>
    </row>
    <row r="2825" spans="31:33">
      <c r="AE2825">
        <v>0</v>
      </c>
      <c r="AG2825">
        <v>0</v>
      </c>
    </row>
    <row r="2826" spans="31:33">
      <c r="AE2826">
        <v>0</v>
      </c>
      <c r="AG2826">
        <v>0</v>
      </c>
    </row>
    <row r="2827" spans="31:33">
      <c r="AE2827">
        <v>0</v>
      </c>
      <c r="AG2827">
        <v>0</v>
      </c>
    </row>
    <row r="2828" spans="31:33">
      <c r="AE2828">
        <v>0</v>
      </c>
      <c r="AG2828">
        <v>0</v>
      </c>
    </row>
    <row r="2829" spans="31:33">
      <c r="AE2829">
        <v>0</v>
      </c>
      <c r="AG2829">
        <v>0</v>
      </c>
    </row>
    <row r="2830" spans="31:33">
      <c r="AE2830">
        <v>0</v>
      </c>
      <c r="AG2830">
        <v>0</v>
      </c>
    </row>
    <row r="2831" spans="31:33">
      <c r="AE2831">
        <v>0</v>
      </c>
      <c r="AG2831">
        <v>0</v>
      </c>
    </row>
    <row r="2832" spans="31:33">
      <c r="AE2832">
        <v>0</v>
      </c>
      <c r="AG2832">
        <v>0</v>
      </c>
    </row>
    <row r="2833" spans="31:33">
      <c r="AE2833">
        <v>0</v>
      </c>
      <c r="AG2833">
        <v>0</v>
      </c>
    </row>
    <row r="2834" spans="31:33">
      <c r="AE2834">
        <v>0</v>
      </c>
      <c r="AG2834">
        <v>0</v>
      </c>
    </row>
    <row r="2835" spans="31:33">
      <c r="AE2835">
        <v>0</v>
      </c>
      <c r="AG2835">
        <v>0</v>
      </c>
    </row>
    <row r="2836" spans="31:33">
      <c r="AE2836">
        <v>0</v>
      </c>
      <c r="AG2836">
        <v>0</v>
      </c>
    </row>
    <row r="2837" spans="31:33">
      <c r="AE2837">
        <v>0</v>
      </c>
      <c r="AG2837">
        <v>0</v>
      </c>
    </row>
    <row r="2838" spans="31:33">
      <c r="AE2838">
        <v>0</v>
      </c>
      <c r="AG2838">
        <v>0</v>
      </c>
    </row>
    <row r="2839" spans="31:33">
      <c r="AE2839">
        <v>0</v>
      </c>
      <c r="AG2839">
        <v>0</v>
      </c>
    </row>
    <row r="2840" spans="31:33">
      <c r="AE2840">
        <v>0</v>
      </c>
      <c r="AG2840">
        <v>0</v>
      </c>
    </row>
    <row r="2841" spans="31:33">
      <c r="AE2841">
        <v>0</v>
      </c>
      <c r="AG2841">
        <v>0</v>
      </c>
    </row>
    <row r="2842" spans="31:33">
      <c r="AE2842">
        <v>0</v>
      </c>
      <c r="AG2842">
        <v>0</v>
      </c>
    </row>
    <row r="2843" spans="31:33">
      <c r="AE2843">
        <v>0</v>
      </c>
      <c r="AG2843">
        <v>0</v>
      </c>
    </row>
    <row r="2844" spans="31:33">
      <c r="AE2844">
        <v>0</v>
      </c>
      <c r="AG2844">
        <v>0</v>
      </c>
    </row>
    <row r="2845" spans="31:33">
      <c r="AE2845" s="31">
        <v>-346984200.06</v>
      </c>
      <c r="AG2845" s="31">
        <v>-801936775.87</v>
      </c>
    </row>
    <row r="2846" spans="31:33">
      <c r="AE2846">
        <v>0</v>
      </c>
      <c r="AG2846">
        <v>0</v>
      </c>
    </row>
    <row r="2847" spans="31:33">
      <c r="AE2847">
        <v>0</v>
      </c>
      <c r="AG2847">
        <v>0</v>
      </c>
    </row>
    <row r="2848" spans="31:33">
      <c r="AE2848">
        <v>0</v>
      </c>
      <c r="AG2848">
        <v>0</v>
      </c>
    </row>
    <row r="2849" spans="31:33">
      <c r="AE2849">
        <v>0</v>
      </c>
      <c r="AG2849">
        <v>0</v>
      </c>
    </row>
    <row r="2850" spans="31:33">
      <c r="AE2850">
        <v>0</v>
      </c>
      <c r="AG2850">
        <v>0</v>
      </c>
    </row>
    <row r="2851" spans="31:33">
      <c r="AE2851">
        <v>0</v>
      </c>
      <c r="AG2851">
        <v>0</v>
      </c>
    </row>
    <row r="2852" spans="31:33">
      <c r="AE2852">
        <v>0</v>
      </c>
      <c r="AG2852">
        <v>0</v>
      </c>
    </row>
    <row r="2853" spans="31:33">
      <c r="AE2853">
        <v>0</v>
      </c>
      <c r="AG2853">
        <v>0</v>
      </c>
    </row>
    <row r="2854" spans="31:33">
      <c r="AE2854">
        <v>0</v>
      </c>
      <c r="AG2854">
        <v>0</v>
      </c>
    </row>
    <row r="2855" spans="31:33">
      <c r="AE2855">
        <v>0</v>
      </c>
      <c r="AG2855">
        <v>0</v>
      </c>
    </row>
    <row r="2856" spans="31:33">
      <c r="AE2856">
        <v>0</v>
      </c>
      <c r="AG2856">
        <v>0</v>
      </c>
    </row>
    <row r="2857" spans="31:33">
      <c r="AE2857">
        <v>0</v>
      </c>
      <c r="AG2857">
        <v>0</v>
      </c>
    </row>
    <row r="2858" spans="31:33">
      <c r="AE2858">
        <v>0</v>
      </c>
      <c r="AG2858">
        <v>0</v>
      </c>
    </row>
    <row r="2859" spans="31:33">
      <c r="AE2859">
        <v>0</v>
      </c>
      <c r="AG2859">
        <v>0</v>
      </c>
    </row>
    <row r="2860" spans="31:33">
      <c r="AE2860">
        <v>0</v>
      </c>
      <c r="AG2860">
        <v>0</v>
      </c>
    </row>
    <row r="2861" spans="31:33">
      <c r="AE2861">
        <v>0</v>
      </c>
      <c r="AG2861">
        <v>0</v>
      </c>
    </row>
    <row r="2862" spans="31:33">
      <c r="AE2862">
        <v>0</v>
      </c>
      <c r="AG2862">
        <v>0</v>
      </c>
    </row>
    <row r="2863" spans="31:33">
      <c r="AE2863">
        <v>0</v>
      </c>
      <c r="AG2863">
        <v>0</v>
      </c>
    </row>
    <row r="2864" spans="31:33">
      <c r="AE2864">
        <v>0</v>
      </c>
      <c r="AG2864">
        <v>0</v>
      </c>
    </row>
    <row r="2865" spans="31:33">
      <c r="AE2865">
        <v>0</v>
      </c>
      <c r="AG2865">
        <v>0</v>
      </c>
    </row>
    <row r="2866" spans="31:33">
      <c r="AE2866">
        <v>0</v>
      </c>
      <c r="AG2866">
        <v>0</v>
      </c>
    </row>
    <row r="2867" spans="31:33">
      <c r="AE2867">
        <v>0</v>
      </c>
      <c r="AG2867">
        <v>0</v>
      </c>
    </row>
    <row r="2868" spans="31:33">
      <c r="AE2868">
        <v>0</v>
      </c>
      <c r="AG2868">
        <v>0</v>
      </c>
    </row>
    <row r="2869" spans="31:33">
      <c r="AE2869">
        <v>0</v>
      </c>
      <c r="AG2869">
        <v>0</v>
      </c>
    </row>
    <row r="2870" spans="31:33">
      <c r="AE2870">
        <v>0</v>
      </c>
      <c r="AG2870">
        <v>0</v>
      </c>
    </row>
    <row r="2871" spans="31:33">
      <c r="AE2871">
        <v>0</v>
      </c>
      <c r="AG2871">
        <v>0</v>
      </c>
    </row>
    <row r="2872" spans="31:33">
      <c r="AE2872">
        <v>0</v>
      </c>
      <c r="AG2872">
        <v>0</v>
      </c>
    </row>
    <row r="2873" spans="31:33">
      <c r="AE2873">
        <v>0</v>
      </c>
      <c r="AG2873">
        <v>0</v>
      </c>
    </row>
    <row r="2874" spans="31:33">
      <c r="AE2874">
        <v>0</v>
      </c>
      <c r="AG2874">
        <v>0</v>
      </c>
    </row>
    <row r="2875" spans="31:33">
      <c r="AE2875">
        <v>0</v>
      </c>
      <c r="AG2875">
        <v>0</v>
      </c>
    </row>
    <row r="2876" spans="31:33">
      <c r="AE2876">
        <v>0</v>
      </c>
      <c r="AG2876">
        <v>0</v>
      </c>
    </row>
    <row r="2877" spans="31:33">
      <c r="AE2877">
        <v>0</v>
      </c>
      <c r="AG2877">
        <v>0</v>
      </c>
    </row>
    <row r="2878" spans="31:33">
      <c r="AE2878">
        <v>0</v>
      </c>
      <c r="AG2878">
        <v>0</v>
      </c>
    </row>
    <row r="2879" spans="31:33">
      <c r="AE2879">
        <v>0</v>
      </c>
      <c r="AG2879">
        <v>0</v>
      </c>
    </row>
    <row r="2880" spans="31:33">
      <c r="AE2880">
        <v>0</v>
      </c>
      <c r="AG2880">
        <v>0</v>
      </c>
    </row>
    <row r="2881" spans="31:33">
      <c r="AE2881">
        <v>0</v>
      </c>
      <c r="AG2881">
        <v>0</v>
      </c>
    </row>
    <row r="2882" spans="31:33">
      <c r="AE2882">
        <v>0</v>
      </c>
      <c r="AG2882">
        <v>0</v>
      </c>
    </row>
    <row r="2883" spans="31:33">
      <c r="AE2883">
        <v>0</v>
      </c>
      <c r="AG2883">
        <v>0</v>
      </c>
    </row>
    <row r="2884" spans="31:33">
      <c r="AE2884">
        <v>0</v>
      </c>
      <c r="AG2884">
        <v>0</v>
      </c>
    </row>
    <row r="2885" spans="31:33">
      <c r="AE2885">
        <v>0</v>
      </c>
      <c r="AG2885">
        <v>0</v>
      </c>
    </row>
    <row r="2886" spans="31:33">
      <c r="AE2886">
        <v>0</v>
      </c>
      <c r="AG2886">
        <v>0</v>
      </c>
    </row>
    <row r="2887" spans="31:33">
      <c r="AE2887">
        <v>0</v>
      </c>
      <c r="AG2887">
        <v>0</v>
      </c>
    </row>
    <row r="2888" spans="31:33">
      <c r="AE2888">
        <v>0</v>
      </c>
      <c r="AG2888">
        <v>0</v>
      </c>
    </row>
    <row r="2889" spans="31:33">
      <c r="AE2889">
        <v>0</v>
      </c>
      <c r="AG2889">
        <v>0</v>
      </c>
    </row>
    <row r="2890" spans="31:33">
      <c r="AE2890">
        <v>0</v>
      </c>
      <c r="AG2890">
        <v>0</v>
      </c>
    </row>
    <row r="2891" spans="31:33">
      <c r="AE2891">
        <v>0</v>
      </c>
      <c r="AG2891">
        <v>0</v>
      </c>
    </row>
    <row r="2892" spans="31:33">
      <c r="AE2892">
        <v>0</v>
      </c>
      <c r="AG2892">
        <v>0</v>
      </c>
    </row>
    <row r="2893" spans="31:33">
      <c r="AE2893">
        <v>0</v>
      </c>
      <c r="AG2893">
        <v>0</v>
      </c>
    </row>
    <row r="2894" spans="31:33">
      <c r="AE2894">
        <v>0</v>
      </c>
      <c r="AG2894">
        <v>0</v>
      </c>
    </row>
    <row r="2895" spans="31:33">
      <c r="AE2895">
        <v>0</v>
      </c>
      <c r="AG2895">
        <v>0</v>
      </c>
    </row>
    <row r="2896" spans="31:33">
      <c r="AE2896">
        <v>0</v>
      </c>
      <c r="AG2896">
        <v>0</v>
      </c>
    </row>
    <row r="2897" spans="31:33">
      <c r="AE2897">
        <v>0</v>
      </c>
      <c r="AG2897">
        <v>0</v>
      </c>
    </row>
    <row r="2898" spans="31:33">
      <c r="AE2898">
        <v>0</v>
      </c>
      <c r="AG2898">
        <v>0</v>
      </c>
    </row>
    <row r="2899" spans="31:33">
      <c r="AE2899">
        <v>0</v>
      </c>
      <c r="AG2899">
        <v>0</v>
      </c>
    </row>
    <row r="2900" spans="31:33">
      <c r="AE2900">
        <v>0</v>
      </c>
      <c r="AG2900">
        <v>0</v>
      </c>
    </row>
    <row r="2901" spans="31:33">
      <c r="AE2901">
        <v>0</v>
      </c>
      <c r="AG2901">
        <v>0</v>
      </c>
    </row>
    <row r="2902" spans="31:33">
      <c r="AE2902">
        <v>0</v>
      </c>
      <c r="AG2902">
        <v>0</v>
      </c>
    </row>
    <row r="2903" spans="31:33">
      <c r="AE2903">
        <v>0</v>
      </c>
      <c r="AG2903">
        <v>0</v>
      </c>
    </row>
    <row r="2904" spans="31:33">
      <c r="AE2904">
        <v>0</v>
      </c>
      <c r="AG2904">
        <v>0</v>
      </c>
    </row>
    <row r="2905" spans="31:33">
      <c r="AE2905">
        <v>0</v>
      </c>
      <c r="AG2905">
        <v>0</v>
      </c>
    </row>
    <row r="2906" spans="31:33">
      <c r="AE2906">
        <v>0</v>
      </c>
      <c r="AG2906">
        <v>0</v>
      </c>
    </row>
    <row r="2907" spans="31:33">
      <c r="AE2907">
        <v>0</v>
      </c>
      <c r="AG2907">
        <v>0</v>
      </c>
    </row>
    <row r="2908" spans="31:33">
      <c r="AE2908">
        <v>0</v>
      </c>
      <c r="AG2908">
        <v>0</v>
      </c>
    </row>
    <row r="2909" spans="31:33">
      <c r="AE2909">
        <v>0</v>
      </c>
      <c r="AG2909">
        <v>0</v>
      </c>
    </row>
    <row r="2910" spans="31:33">
      <c r="AE2910">
        <v>0</v>
      </c>
      <c r="AG2910">
        <v>0</v>
      </c>
    </row>
    <row r="2911" spans="31:33">
      <c r="AE2911">
        <v>0</v>
      </c>
      <c r="AG2911">
        <v>0</v>
      </c>
    </row>
    <row r="2912" spans="31:33">
      <c r="AE2912">
        <v>0</v>
      </c>
      <c r="AG2912">
        <v>0</v>
      </c>
    </row>
    <row r="2913" spans="31:33">
      <c r="AE2913">
        <v>0</v>
      </c>
      <c r="AG2913">
        <v>0</v>
      </c>
    </row>
    <row r="2914" spans="31:33">
      <c r="AE2914">
        <v>0</v>
      </c>
      <c r="AG2914">
        <v>0</v>
      </c>
    </row>
    <row r="2915" spans="31:33">
      <c r="AE2915">
        <v>0</v>
      </c>
      <c r="AG2915">
        <v>0</v>
      </c>
    </row>
    <row r="2916" spans="31:33">
      <c r="AE2916">
        <v>0</v>
      </c>
      <c r="AG2916">
        <v>0</v>
      </c>
    </row>
    <row r="2917" spans="31:33">
      <c r="AE2917">
        <v>0</v>
      </c>
      <c r="AG2917">
        <v>0</v>
      </c>
    </row>
    <row r="2918" spans="31:33">
      <c r="AE2918">
        <v>0</v>
      </c>
      <c r="AG2918">
        <v>0</v>
      </c>
    </row>
    <row r="2919" spans="31:33">
      <c r="AE2919">
        <v>0</v>
      </c>
      <c r="AG2919">
        <v>0</v>
      </c>
    </row>
    <row r="2920" spans="31:33">
      <c r="AE2920">
        <v>0</v>
      </c>
      <c r="AG2920">
        <v>0</v>
      </c>
    </row>
    <row r="2921" spans="31:33">
      <c r="AE2921">
        <v>0</v>
      </c>
      <c r="AG2921">
        <v>0</v>
      </c>
    </row>
    <row r="2922" spans="31:33">
      <c r="AE2922">
        <v>0</v>
      </c>
      <c r="AG2922">
        <v>0</v>
      </c>
    </row>
    <row r="2923" spans="31:33">
      <c r="AE2923">
        <v>0</v>
      </c>
      <c r="AG2923">
        <v>0</v>
      </c>
    </row>
    <row r="2924" spans="31:33">
      <c r="AE2924">
        <v>0</v>
      </c>
      <c r="AG2924">
        <v>0</v>
      </c>
    </row>
    <row r="2925" spans="31:33">
      <c r="AE2925">
        <v>0</v>
      </c>
      <c r="AG2925">
        <v>0</v>
      </c>
    </row>
    <row r="2926" spans="31:33">
      <c r="AE2926">
        <v>0</v>
      </c>
      <c r="AG2926">
        <v>0</v>
      </c>
    </row>
    <row r="2927" spans="31:33">
      <c r="AE2927">
        <v>0</v>
      </c>
      <c r="AG2927">
        <v>0</v>
      </c>
    </row>
    <row r="2928" spans="31:33">
      <c r="AE2928">
        <v>0</v>
      </c>
      <c r="AG2928">
        <v>0</v>
      </c>
    </row>
    <row r="2929" spans="31:33">
      <c r="AE2929">
        <v>0</v>
      </c>
      <c r="AG2929">
        <v>0</v>
      </c>
    </row>
    <row r="2930" spans="31:33">
      <c r="AE2930">
        <v>0</v>
      </c>
      <c r="AG2930">
        <v>0</v>
      </c>
    </row>
    <row r="2931" spans="31:33">
      <c r="AE2931">
        <v>0</v>
      </c>
      <c r="AG2931">
        <v>0</v>
      </c>
    </row>
    <row r="2932" spans="31:33">
      <c r="AE2932">
        <v>0</v>
      </c>
      <c r="AG2932">
        <v>0</v>
      </c>
    </row>
    <row r="2933" spans="31:33">
      <c r="AE2933">
        <v>0</v>
      </c>
      <c r="AG2933">
        <v>0</v>
      </c>
    </row>
    <row r="2934" spans="31:33">
      <c r="AE2934">
        <v>0</v>
      </c>
      <c r="AG2934">
        <v>0</v>
      </c>
    </row>
    <row r="2935" spans="31:33">
      <c r="AE2935">
        <v>0</v>
      </c>
      <c r="AG2935">
        <v>0</v>
      </c>
    </row>
    <row r="2936" spans="31:33">
      <c r="AE2936">
        <v>0</v>
      </c>
      <c r="AG2936">
        <v>0</v>
      </c>
    </row>
    <row r="2937" spans="31:33">
      <c r="AE2937">
        <v>0</v>
      </c>
      <c r="AG2937">
        <v>0</v>
      </c>
    </row>
    <row r="2938" spans="31:33">
      <c r="AE2938">
        <v>0</v>
      </c>
      <c r="AG2938">
        <v>0</v>
      </c>
    </row>
    <row r="2939" spans="31:33">
      <c r="AE2939">
        <v>0</v>
      </c>
      <c r="AG2939">
        <v>0</v>
      </c>
    </row>
    <row r="2940" spans="31:33">
      <c r="AE2940">
        <v>0</v>
      </c>
      <c r="AG2940">
        <v>0</v>
      </c>
    </row>
    <row r="2941" spans="31:33">
      <c r="AE2941">
        <v>0</v>
      </c>
      <c r="AG2941">
        <v>0</v>
      </c>
    </row>
    <row r="2942" spans="31:33">
      <c r="AE2942">
        <v>0</v>
      </c>
      <c r="AG2942">
        <v>0</v>
      </c>
    </row>
    <row r="2943" spans="31:33">
      <c r="AE2943">
        <v>0</v>
      </c>
      <c r="AG2943">
        <v>0</v>
      </c>
    </row>
    <row r="2944" spans="31:33">
      <c r="AE2944">
        <v>0</v>
      </c>
      <c r="AG2944">
        <v>0</v>
      </c>
    </row>
    <row r="2945" spans="31:33">
      <c r="AE2945">
        <v>0</v>
      </c>
      <c r="AG2945">
        <v>0</v>
      </c>
    </row>
    <row r="2946" spans="31:33">
      <c r="AE2946">
        <v>0</v>
      </c>
      <c r="AG2946">
        <v>0</v>
      </c>
    </row>
    <row r="2947" spans="31:33">
      <c r="AE2947">
        <v>0</v>
      </c>
      <c r="AG2947">
        <v>0</v>
      </c>
    </row>
    <row r="2948" spans="31:33">
      <c r="AE2948">
        <v>0</v>
      </c>
      <c r="AG2948">
        <v>0</v>
      </c>
    </row>
    <row r="2949" spans="31:33">
      <c r="AE2949">
        <v>0</v>
      </c>
      <c r="AG2949">
        <v>0</v>
      </c>
    </row>
    <row r="2950" spans="31:33">
      <c r="AE2950">
        <v>0</v>
      </c>
      <c r="AG2950">
        <v>0</v>
      </c>
    </row>
    <row r="2951" spans="31:33">
      <c r="AE2951">
        <v>0</v>
      </c>
      <c r="AG2951">
        <v>0</v>
      </c>
    </row>
    <row r="2952" spans="31:33">
      <c r="AE2952">
        <v>0</v>
      </c>
      <c r="AG2952">
        <v>0</v>
      </c>
    </row>
    <row r="2953" spans="31:33">
      <c r="AE2953">
        <v>0</v>
      </c>
      <c r="AG2953">
        <v>0</v>
      </c>
    </row>
    <row r="2954" spans="31:33">
      <c r="AE2954">
        <v>0</v>
      </c>
      <c r="AG2954">
        <v>0</v>
      </c>
    </row>
    <row r="2955" spans="31:33">
      <c r="AE2955">
        <v>0</v>
      </c>
      <c r="AG2955">
        <v>0</v>
      </c>
    </row>
    <row r="2956" spans="31:33">
      <c r="AE2956">
        <v>0</v>
      </c>
      <c r="AG2956">
        <v>0</v>
      </c>
    </row>
    <row r="2957" spans="31:33">
      <c r="AE2957">
        <v>0</v>
      </c>
      <c r="AG2957">
        <v>0</v>
      </c>
    </row>
    <row r="2958" spans="31:33">
      <c r="AE2958">
        <v>0</v>
      </c>
      <c r="AG2958">
        <v>0</v>
      </c>
    </row>
    <row r="2959" spans="31:33">
      <c r="AE2959">
        <v>0</v>
      </c>
      <c r="AG2959">
        <v>0</v>
      </c>
    </row>
    <row r="2960" spans="31:33">
      <c r="AE2960">
        <v>0</v>
      </c>
      <c r="AG2960">
        <v>0</v>
      </c>
    </row>
    <row r="2961" spans="31:33">
      <c r="AE2961">
        <v>0</v>
      </c>
      <c r="AG2961">
        <v>0</v>
      </c>
    </row>
    <row r="2962" spans="31:33">
      <c r="AE2962">
        <v>0</v>
      </c>
      <c r="AG2962">
        <v>0</v>
      </c>
    </row>
    <row r="2963" spans="31:33">
      <c r="AE2963">
        <v>0</v>
      </c>
      <c r="AG2963">
        <v>0</v>
      </c>
    </row>
    <row r="2964" spans="31:33">
      <c r="AE2964">
        <v>0</v>
      </c>
      <c r="AG2964">
        <v>0</v>
      </c>
    </row>
    <row r="2965" spans="31:33">
      <c r="AE2965">
        <v>0</v>
      </c>
      <c r="AG2965">
        <v>0</v>
      </c>
    </row>
    <row r="2966" spans="31:33">
      <c r="AE2966">
        <v>0</v>
      </c>
      <c r="AG2966">
        <v>0</v>
      </c>
    </row>
    <row r="2967" spans="31:33">
      <c r="AE2967">
        <v>0</v>
      </c>
      <c r="AG2967">
        <v>0</v>
      </c>
    </row>
    <row r="2968" spans="31:33">
      <c r="AE2968">
        <v>0</v>
      </c>
      <c r="AG2968">
        <v>0</v>
      </c>
    </row>
    <row r="2969" spans="31:33">
      <c r="AE2969">
        <v>0</v>
      </c>
      <c r="AG2969">
        <v>0</v>
      </c>
    </row>
    <row r="2970" spans="31:33">
      <c r="AE2970">
        <v>0</v>
      </c>
      <c r="AG2970">
        <v>0</v>
      </c>
    </row>
    <row r="2971" spans="31:33">
      <c r="AE2971">
        <v>0</v>
      </c>
      <c r="AG2971">
        <v>0</v>
      </c>
    </row>
    <row r="2972" spans="31:33">
      <c r="AE2972">
        <v>0</v>
      </c>
      <c r="AG2972">
        <v>0</v>
      </c>
    </row>
    <row r="2973" spans="31:33">
      <c r="AE2973">
        <v>0</v>
      </c>
      <c r="AG2973">
        <v>0</v>
      </c>
    </row>
    <row r="2974" spans="31:33">
      <c r="AE2974">
        <v>0</v>
      </c>
      <c r="AG2974">
        <v>0</v>
      </c>
    </row>
    <row r="2975" spans="31:33">
      <c r="AE2975">
        <v>0</v>
      </c>
      <c r="AG2975">
        <v>0</v>
      </c>
    </row>
    <row r="2976" spans="31:33">
      <c r="AE2976">
        <v>0</v>
      </c>
      <c r="AG2976">
        <v>0</v>
      </c>
    </row>
    <row r="2977" spans="31:33">
      <c r="AE2977">
        <v>0</v>
      </c>
      <c r="AG2977">
        <v>0</v>
      </c>
    </row>
    <row r="2978" spans="31:33">
      <c r="AE2978">
        <v>0</v>
      </c>
      <c r="AG2978">
        <v>0</v>
      </c>
    </row>
    <row r="2979" spans="31:33">
      <c r="AE2979">
        <v>0</v>
      </c>
      <c r="AG2979">
        <v>0</v>
      </c>
    </row>
    <row r="2980" spans="31:33">
      <c r="AE2980">
        <v>0</v>
      </c>
      <c r="AG2980">
        <v>0</v>
      </c>
    </row>
    <row r="2981" spans="31:33">
      <c r="AE2981">
        <v>0</v>
      </c>
      <c r="AG2981">
        <v>0</v>
      </c>
    </row>
    <row r="2982" spans="31:33">
      <c r="AE2982">
        <v>0</v>
      </c>
      <c r="AG2982">
        <v>0</v>
      </c>
    </row>
    <row r="2983" spans="31:33">
      <c r="AE2983">
        <v>0</v>
      </c>
      <c r="AG2983">
        <v>0</v>
      </c>
    </row>
    <row r="2984" spans="31:33">
      <c r="AE2984">
        <v>0</v>
      </c>
      <c r="AG2984">
        <v>0</v>
      </c>
    </row>
    <row r="2985" spans="31:33">
      <c r="AE2985">
        <v>0</v>
      </c>
      <c r="AG2985">
        <v>0</v>
      </c>
    </row>
    <row r="2986" spans="31:33">
      <c r="AE2986">
        <v>0</v>
      </c>
      <c r="AG2986">
        <v>0</v>
      </c>
    </row>
    <row r="2987" spans="31:33">
      <c r="AE2987">
        <v>0</v>
      </c>
      <c r="AG2987">
        <v>0</v>
      </c>
    </row>
    <row r="2988" spans="31:33">
      <c r="AE2988">
        <v>0</v>
      </c>
      <c r="AG2988">
        <v>0</v>
      </c>
    </row>
    <row r="2989" spans="31:33">
      <c r="AE2989">
        <v>0</v>
      </c>
      <c r="AG2989">
        <v>0</v>
      </c>
    </row>
    <row r="2990" spans="31:33">
      <c r="AE2990">
        <v>0</v>
      </c>
      <c r="AG2990">
        <v>0</v>
      </c>
    </row>
    <row r="2991" spans="31:33">
      <c r="AE2991">
        <v>0</v>
      </c>
      <c r="AG2991">
        <v>0</v>
      </c>
    </row>
    <row r="2992" spans="31:33">
      <c r="AE2992">
        <v>0</v>
      </c>
      <c r="AG2992">
        <v>0</v>
      </c>
    </row>
    <row r="2993" spans="31:33">
      <c r="AE2993">
        <v>0</v>
      </c>
      <c r="AG2993">
        <v>0</v>
      </c>
    </row>
    <row r="2994" spans="31:33">
      <c r="AE2994">
        <v>0</v>
      </c>
      <c r="AG2994">
        <v>0</v>
      </c>
    </row>
    <row r="2995" spans="31:33">
      <c r="AE2995">
        <v>0</v>
      </c>
      <c r="AG2995">
        <v>0</v>
      </c>
    </row>
    <row r="2996" spans="31:33">
      <c r="AE2996">
        <v>0</v>
      </c>
      <c r="AG2996">
        <v>0</v>
      </c>
    </row>
    <row r="2997" spans="31:33">
      <c r="AE2997">
        <v>0</v>
      </c>
      <c r="AG2997">
        <v>0</v>
      </c>
    </row>
    <row r="2998" spans="31:33">
      <c r="AE2998">
        <v>0</v>
      </c>
      <c r="AG2998">
        <v>0</v>
      </c>
    </row>
    <row r="2999" spans="31:33">
      <c r="AE2999">
        <v>0</v>
      </c>
      <c r="AG2999">
        <v>0</v>
      </c>
    </row>
    <row r="3000" spans="31:33">
      <c r="AE3000">
        <v>0</v>
      </c>
      <c r="AG3000">
        <v>0</v>
      </c>
    </row>
    <row r="3001" spans="31:33">
      <c r="AE3001">
        <v>0</v>
      </c>
      <c r="AG3001">
        <v>0</v>
      </c>
    </row>
    <row r="3002" spans="31:33">
      <c r="AE3002">
        <v>0</v>
      </c>
      <c r="AG3002">
        <v>0</v>
      </c>
    </row>
    <row r="3003" spans="31:33">
      <c r="AE3003">
        <v>0</v>
      </c>
      <c r="AG3003">
        <v>0</v>
      </c>
    </row>
    <row r="3004" spans="31:33">
      <c r="AE3004">
        <v>0</v>
      </c>
      <c r="AG3004">
        <v>0</v>
      </c>
    </row>
    <row r="3005" spans="31:33">
      <c r="AE3005">
        <v>0</v>
      </c>
      <c r="AG3005">
        <v>0</v>
      </c>
    </row>
    <row r="3006" spans="31:33">
      <c r="AE3006">
        <v>0</v>
      </c>
      <c r="AG3006">
        <v>0</v>
      </c>
    </row>
    <row r="3007" spans="31:33">
      <c r="AE3007">
        <v>0</v>
      </c>
      <c r="AG3007">
        <v>0</v>
      </c>
    </row>
    <row r="3008" spans="31:33">
      <c r="AE3008">
        <v>0</v>
      </c>
      <c r="AG3008">
        <v>0</v>
      </c>
    </row>
    <row r="3009" spans="31:33">
      <c r="AE3009">
        <v>0</v>
      </c>
      <c r="AG3009">
        <v>0</v>
      </c>
    </row>
    <row r="3010" spans="31:33">
      <c r="AE3010">
        <v>0</v>
      </c>
      <c r="AG3010">
        <v>0</v>
      </c>
    </row>
    <row r="3011" spans="31:33">
      <c r="AE3011">
        <v>0</v>
      </c>
      <c r="AG3011">
        <v>0</v>
      </c>
    </row>
    <row r="3012" spans="31:33">
      <c r="AE3012">
        <v>0</v>
      </c>
      <c r="AG3012">
        <v>0</v>
      </c>
    </row>
    <row r="3013" spans="31:33">
      <c r="AE3013">
        <v>0</v>
      </c>
      <c r="AG3013">
        <v>0</v>
      </c>
    </row>
    <row r="3014" spans="31:33">
      <c r="AE3014">
        <v>0</v>
      </c>
      <c r="AG3014">
        <v>0</v>
      </c>
    </row>
    <row r="3015" spans="31:33">
      <c r="AE3015">
        <v>0</v>
      </c>
      <c r="AG3015">
        <v>0</v>
      </c>
    </row>
    <row r="3016" spans="31:33">
      <c r="AE3016">
        <v>0</v>
      </c>
      <c r="AG3016">
        <v>0</v>
      </c>
    </row>
    <row r="3017" spans="31:33">
      <c r="AE3017">
        <v>0</v>
      </c>
      <c r="AG3017">
        <v>0</v>
      </c>
    </row>
    <row r="3018" spans="31:33">
      <c r="AE3018">
        <v>0</v>
      </c>
      <c r="AG3018">
        <v>0</v>
      </c>
    </row>
    <row r="3019" spans="31:33">
      <c r="AE3019">
        <v>0</v>
      </c>
      <c r="AG3019">
        <v>0</v>
      </c>
    </row>
    <row r="3020" spans="31:33">
      <c r="AE3020">
        <v>0</v>
      </c>
      <c r="AG3020">
        <v>0</v>
      </c>
    </row>
    <row r="3021" spans="31:33">
      <c r="AE3021">
        <v>0</v>
      </c>
      <c r="AG3021">
        <v>0</v>
      </c>
    </row>
    <row r="3022" spans="31:33">
      <c r="AE3022">
        <v>0</v>
      </c>
      <c r="AG3022">
        <v>0</v>
      </c>
    </row>
    <row r="3023" spans="31:33">
      <c r="AE3023">
        <v>0</v>
      </c>
      <c r="AG3023">
        <v>0</v>
      </c>
    </row>
    <row r="3024" spans="31:33">
      <c r="AE3024">
        <v>0</v>
      </c>
      <c r="AG3024">
        <v>0</v>
      </c>
    </row>
    <row r="3025" spans="31:33">
      <c r="AE3025">
        <v>0</v>
      </c>
      <c r="AG3025">
        <v>0</v>
      </c>
    </row>
    <row r="3026" spans="31:33">
      <c r="AE3026">
        <v>0</v>
      </c>
      <c r="AG3026">
        <v>0</v>
      </c>
    </row>
    <row r="3027" spans="31:33">
      <c r="AE3027">
        <v>0</v>
      </c>
      <c r="AG3027">
        <v>0</v>
      </c>
    </row>
    <row r="3028" spans="31:33">
      <c r="AE3028">
        <v>0</v>
      </c>
      <c r="AG3028">
        <v>0</v>
      </c>
    </row>
    <row r="3029" spans="31:33">
      <c r="AE3029">
        <v>0</v>
      </c>
      <c r="AG3029">
        <v>0</v>
      </c>
    </row>
    <row r="3030" spans="31:33">
      <c r="AE3030">
        <v>0</v>
      </c>
      <c r="AG3030">
        <v>0</v>
      </c>
    </row>
    <row r="3031" spans="31:33">
      <c r="AE3031">
        <v>0</v>
      </c>
      <c r="AG3031">
        <v>0</v>
      </c>
    </row>
    <row r="3032" spans="31:33">
      <c r="AE3032">
        <v>0</v>
      </c>
      <c r="AG3032">
        <v>0</v>
      </c>
    </row>
    <row r="3033" spans="31:33">
      <c r="AE3033">
        <v>0</v>
      </c>
      <c r="AG3033">
        <v>0</v>
      </c>
    </row>
    <row r="3034" spans="31:33">
      <c r="AE3034">
        <v>0</v>
      </c>
      <c r="AG3034">
        <v>0</v>
      </c>
    </row>
    <row r="3035" spans="31:33">
      <c r="AE3035">
        <v>0</v>
      </c>
      <c r="AG3035">
        <v>0</v>
      </c>
    </row>
    <row r="3036" spans="31:33">
      <c r="AE3036">
        <v>0</v>
      </c>
      <c r="AG3036">
        <v>0</v>
      </c>
    </row>
    <row r="3037" spans="31:33">
      <c r="AE3037">
        <v>0</v>
      </c>
      <c r="AG3037">
        <v>0</v>
      </c>
    </row>
    <row r="3038" spans="31:33">
      <c r="AE3038">
        <v>0</v>
      </c>
      <c r="AG3038">
        <v>0</v>
      </c>
    </row>
    <row r="3039" spans="31:33">
      <c r="AE3039">
        <v>0</v>
      </c>
      <c r="AG3039">
        <v>0</v>
      </c>
    </row>
    <row r="3040" spans="31:33">
      <c r="AE3040">
        <v>0</v>
      </c>
      <c r="AG3040">
        <v>0</v>
      </c>
    </row>
    <row r="3041" spans="31:33">
      <c r="AE3041">
        <v>0</v>
      </c>
      <c r="AG3041">
        <v>0</v>
      </c>
    </row>
    <row r="3042" spans="31:33">
      <c r="AE3042">
        <v>0</v>
      </c>
      <c r="AG3042">
        <v>0</v>
      </c>
    </row>
    <row r="3043" spans="31:33">
      <c r="AE3043">
        <v>0</v>
      </c>
      <c r="AG3043">
        <v>0</v>
      </c>
    </row>
    <row r="3044" spans="31:33">
      <c r="AE3044">
        <v>0</v>
      </c>
      <c r="AG3044">
        <v>0</v>
      </c>
    </row>
    <row r="3045" spans="31:33">
      <c r="AE3045">
        <v>0</v>
      </c>
      <c r="AG3045">
        <v>0</v>
      </c>
    </row>
    <row r="3046" spans="31:33">
      <c r="AE3046" s="31">
        <v>-22861.57</v>
      </c>
      <c r="AG3046" s="31">
        <v>-22861.57</v>
      </c>
    </row>
    <row r="3047" spans="31:33">
      <c r="AE3047" s="31">
        <v>5940.06</v>
      </c>
      <c r="AG3047" s="31">
        <v>5940.06</v>
      </c>
    </row>
    <row r="3048" spans="31:33">
      <c r="AE3048">
        <v>0</v>
      </c>
      <c r="AG3048">
        <v>0</v>
      </c>
    </row>
    <row r="3049" spans="31:33">
      <c r="AE3049">
        <v>0</v>
      </c>
      <c r="AG3049">
        <v>0</v>
      </c>
    </row>
    <row r="3050" spans="31:33">
      <c r="AE3050">
        <v>0</v>
      </c>
      <c r="AG3050">
        <v>0</v>
      </c>
    </row>
    <row r="3051" spans="31:33">
      <c r="AE3051">
        <v>0</v>
      </c>
      <c r="AG3051">
        <v>0</v>
      </c>
    </row>
    <row r="3052" spans="31:33">
      <c r="AE3052">
        <v>0</v>
      </c>
      <c r="AG3052">
        <v>0</v>
      </c>
    </row>
    <row r="3053" spans="31:33">
      <c r="AE3053">
        <v>0</v>
      </c>
      <c r="AG3053">
        <v>0</v>
      </c>
    </row>
    <row r="3054" spans="31:33">
      <c r="AE3054">
        <v>0</v>
      </c>
      <c r="AG3054">
        <v>0</v>
      </c>
    </row>
    <row r="3055" spans="31:33">
      <c r="AE3055">
        <v>0</v>
      </c>
      <c r="AG3055">
        <v>0</v>
      </c>
    </row>
    <row r="3056" spans="31:33">
      <c r="AE3056">
        <v>0</v>
      </c>
      <c r="AG3056">
        <v>0</v>
      </c>
    </row>
    <row r="3057" spans="31:33">
      <c r="AE3057">
        <v>0</v>
      </c>
      <c r="AG3057">
        <v>0</v>
      </c>
    </row>
    <row r="3058" spans="31:33">
      <c r="AE3058">
        <v>0</v>
      </c>
      <c r="AG3058">
        <v>0</v>
      </c>
    </row>
    <row r="3059" spans="31:33">
      <c r="AE3059">
        <v>0</v>
      </c>
      <c r="AG3059">
        <v>0</v>
      </c>
    </row>
    <row r="3060" spans="31:33">
      <c r="AE3060">
        <v>0</v>
      </c>
      <c r="AG3060">
        <v>0</v>
      </c>
    </row>
    <row r="3061" spans="31:33">
      <c r="AE3061">
        <v>0</v>
      </c>
      <c r="AG3061">
        <v>0</v>
      </c>
    </row>
    <row r="3062" spans="31:33">
      <c r="AE3062">
        <v>0</v>
      </c>
      <c r="AG3062">
        <v>0</v>
      </c>
    </row>
    <row r="3063" spans="31:33">
      <c r="AE3063">
        <v>0</v>
      </c>
      <c r="AG3063">
        <v>0</v>
      </c>
    </row>
    <row r="3064" spans="31:33">
      <c r="AE3064">
        <v>0</v>
      </c>
      <c r="AG3064">
        <v>0</v>
      </c>
    </row>
    <row r="3065" spans="31:33">
      <c r="AE3065">
        <v>0</v>
      </c>
      <c r="AG3065">
        <v>0</v>
      </c>
    </row>
    <row r="3066" spans="31:33">
      <c r="AE3066">
        <v>0</v>
      </c>
      <c r="AG3066">
        <v>0</v>
      </c>
    </row>
    <row r="3067" spans="31:33">
      <c r="AE3067">
        <v>0</v>
      </c>
      <c r="AG3067">
        <v>0</v>
      </c>
    </row>
    <row r="3068" spans="31:33">
      <c r="AE3068">
        <v>0</v>
      </c>
      <c r="AG3068">
        <v>0</v>
      </c>
    </row>
    <row r="3069" spans="31:33">
      <c r="AE3069">
        <v>0</v>
      </c>
      <c r="AG3069">
        <v>0</v>
      </c>
    </row>
    <row r="3070" spans="31:33">
      <c r="AE3070">
        <v>0</v>
      </c>
      <c r="AG3070">
        <v>0</v>
      </c>
    </row>
    <row r="3071" spans="31:33">
      <c r="AE3071">
        <v>0</v>
      </c>
      <c r="AG3071">
        <v>0</v>
      </c>
    </row>
    <row r="3072" spans="31:33">
      <c r="AE3072">
        <v>0</v>
      </c>
      <c r="AG3072">
        <v>0</v>
      </c>
    </row>
    <row r="3073" spans="31:33">
      <c r="AE3073">
        <v>0</v>
      </c>
      <c r="AG3073">
        <v>0</v>
      </c>
    </row>
    <row r="3074" spans="31:33">
      <c r="AE3074">
        <v>0</v>
      </c>
      <c r="AG3074">
        <v>0</v>
      </c>
    </row>
    <row r="3075" spans="31:33">
      <c r="AE3075">
        <v>0</v>
      </c>
      <c r="AG3075">
        <v>0</v>
      </c>
    </row>
    <row r="3076" spans="31:33">
      <c r="AE3076">
        <v>0</v>
      </c>
      <c r="AG3076">
        <v>0</v>
      </c>
    </row>
    <row r="3077" spans="31:33">
      <c r="AE3077">
        <v>0</v>
      </c>
      <c r="AG3077">
        <v>0</v>
      </c>
    </row>
    <row r="3078" spans="31:33">
      <c r="AE3078">
        <v>0</v>
      </c>
      <c r="AG3078">
        <v>0</v>
      </c>
    </row>
    <row r="3079" spans="31:33">
      <c r="AE3079">
        <v>0</v>
      </c>
      <c r="AG3079">
        <v>0</v>
      </c>
    </row>
    <row r="3080" spans="31:33">
      <c r="AE3080">
        <v>0</v>
      </c>
      <c r="AG3080">
        <v>0</v>
      </c>
    </row>
    <row r="3081" spans="31:33">
      <c r="AE3081">
        <v>0</v>
      </c>
      <c r="AG3081">
        <v>0</v>
      </c>
    </row>
    <row r="3082" spans="31:33">
      <c r="AE3082">
        <v>0</v>
      </c>
      <c r="AG3082">
        <v>0</v>
      </c>
    </row>
    <row r="3083" spans="31:33">
      <c r="AE3083">
        <v>0</v>
      </c>
      <c r="AG3083">
        <v>0</v>
      </c>
    </row>
    <row r="3084" spans="31:33">
      <c r="AE3084">
        <v>0</v>
      </c>
      <c r="AG3084">
        <v>0</v>
      </c>
    </row>
    <row r="3085" spans="31:33">
      <c r="AE3085">
        <v>0</v>
      </c>
      <c r="AG3085">
        <v>0</v>
      </c>
    </row>
    <row r="3086" spans="31:33">
      <c r="AE3086">
        <v>0</v>
      </c>
      <c r="AG3086">
        <v>0</v>
      </c>
    </row>
    <row r="3087" spans="31:33">
      <c r="AE3087">
        <v>0</v>
      </c>
      <c r="AG3087">
        <v>0</v>
      </c>
    </row>
    <row r="3088" spans="31:33">
      <c r="AE3088">
        <v>0</v>
      </c>
      <c r="AG3088">
        <v>0</v>
      </c>
    </row>
    <row r="3089" spans="31:33">
      <c r="AE3089">
        <v>0</v>
      </c>
      <c r="AG3089">
        <v>0</v>
      </c>
    </row>
    <row r="3090" spans="31:33">
      <c r="AE3090">
        <v>0</v>
      </c>
      <c r="AG3090">
        <v>0</v>
      </c>
    </row>
    <row r="3091" spans="31:33">
      <c r="AE3091">
        <v>0</v>
      </c>
      <c r="AG3091">
        <v>0</v>
      </c>
    </row>
    <row r="3092" spans="31:33">
      <c r="AE3092">
        <v>0</v>
      </c>
      <c r="AG3092">
        <v>0</v>
      </c>
    </row>
    <row r="3093" spans="31:33">
      <c r="AE3093">
        <v>0</v>
      </c>
      <c r="AG3093">
        <v>0</v>
      </c>
    </row>
    <row r="3094" spans="31:33">
      <c r="AE3094">
        <v>0</v>
      </c>
      <c r="AG3094">
        <v>0</v>
      </c>
    </row>
    <row r="3095" spans="31:33">
      <c r="AE3095">
        <v>0</v>
      </c>
      <c r="AG3095">
        <v>0</v>
      </c>
    </row>
    <row r="3096" spans="31:33">
      <c r="AE3096">
        <v>0</v>
      </c>
      <c r="AG3096">
        <v>0</v>
      </c>
    </row>
    <row r="3097" spans="31:33">
      <c r="AE3097">
        <v>0</v>
      </c>
      <c r="AG3097">
        <v>0</v>
      </c>
    </row>
    <row r="3098" spans="31:33">
      <c r="AE3098">
        <v>0</v>
      </c>
      <c r="AG3098">
        <v>0</v>
      </c>
    </row>
    <row r="3099" spans="31:33">
      <c r="AE3099" s="31">
        <v>-528530048.52999997</v>
      </c>
      <c r="AG3099" s="31">
        <v>-666305316.40999997</v>
      </c>
    </row>
    <row r="3100" spans="31:33">
      <c r="AE3100">
        <v>0</v>
      </c>
      <c r="AG3100">
        <v>0</v>
      </c>
    </row>
    <row r="3101" spans="31:33">
      <c r="AE3101">
        <v>0</v>
      </c>
      <c r="AG3101">
        <v>0</v>
      </c>
    </row>
    <row r="3102" spans="31:33">
      <c r="AE3102">
        <v>0</v>
      </c>
      <c r="AG3102">
        <v>0</v>
      </c>
    </row>
    <row r="3103" spans="31:33">
      <c r="AE3103">
        <v>0</v>
      </c>
      <c r="AG3103">
        <v>0</v>
      </c>
    </row>
    <row r="3104" spans="31:33">
      <c r="AE3104">
        <v>0</v>
      </c>
      <c r="AG3104">
        <v>0</v>
      </c>
    </row>
    <row r="3105" spans="31:33">
      <c r="AE3105">
        <v>0</v>
      </c>
      <c r="AG3105">
        <v>0</v>
      </c>
    </row>
    <row r="3106" spans="31:33">
      <c r="AE3106">
        <v>0</v>
      </c>
      <c r="AG3106">
        <v>0</v>
      </c>
    </row>
    <row r="3107" spans="31:33">
      <c r="AE3107">
        <v>0</v>
      </c>
      <c r="AG3107">
        <v>0</v>
      </c>
    </row>
    <row r="3108" spans="31:33">
      <c r="AE3108">
        <v>0</v>
      </c>
      <c r="AG3108">
        <v>0</v>
      </c>
    </row>
    <row r="3109" spans="31:33">
      <c r="AE3109">
        <v>0</v>
      </c>
      <c r="AG3109">
        <v>0</v>
      </c>
    </row>
    <row r="3110" spans="31:33">
      <c r="AE3110">
        <v>0</v>
      </c>
      <c r="AG3110">
        <v>0</v>
      </c>
    </row>
    <row r="3111" spans="31:33">
      <c r="AE3111">
        <v>0</v>
      </c>
      <c r="AG3111">
        <v>0</v>
      </c>
    </row>
    <row r="3112" spans="31:33">
      <c r="AE3112">
        <v>0</v>
      </c>
      <c r="AG3112">
        <v>0</v>
      </c>
    </row>
    <row r="3113" spans="31:33">
      <c r="AE3113">
        <v>0</v>
      </c>
      <c r="AG3113">
        <v>0</v>
      </c>
    </row>
    <row r="3114" spans="31:33">
      <c r="AE3114">
        <v>0</v>
      </c>
      <c r="AG3114">
        <v>0</v>
      </c>
    </row>
    <row r="3115" spans="31:33">
      <c r="AE3115">
        <v>0</v>
      </c>
      <c r="AG3115">
        <v>0</v>
      </c>
    </row>
    <row r="3116" spans="31:33">
      <c r="AE3116">
        <v>0</v>
      </c>
      <c r="AG3116">
        <v>0</v>
      </c>
    </row>
    <row r="3117" spans="31:33">
      <c r="AE3117">
        <v>0</v>
      </c>
      <c r="AG3117">
        <v>0</v>
      </c>
    </row>
    <row r="3118" spans="31:33">
      <c r="AE3118">
        <v>0</v>
      </c>
      <c r="AG3118">
        <v>0</v>
      </c>
    </row>
    <row r="3119" spans="31:33">
      <c r="AE3119">
        <v>0</v>
      </c>
      <c r="AG3119">
        <v>0</v>
      </c>
    </row>
    <row r="3120" spans="31:33">
      <c r="AE3120">
        <v>0</v>
      </c>
      <c r="AG3120">
        <v>0</v>
      </c>
    </row>
    <row r="3121" spans="31:33">
      <c r="AE3121">
        <v>0</v>
      </c>
      <c r="AG3121">
        <v>0</v>
      </c>
    </row>
    <row r="3122" spans="31:33">
      <c r="AE3122">
        <v>0</v>
      </c>
      <c r="AG3122">
        <v>0</v>
      </c>
    </row>
    <row r="3123" spans="31:33">
      <c r="AE3123">
        <v>0</v>
      </c>
      <c r="AG3123">
        <v>0</v>
      </c>
    </row>
    <row r="3124" spans="31:33">
      <c r="AE3124">
        <v>0</v>
      </c>
      <c r="AG3124">
        <v>0</v>
      </c>
    </row>
    <row r="3125" spans="31:33">
      <c r="AE3125">
        <v>0</v>
      </c>
      <c r="AG3125">
        <v>0</v>
      </c>
    </row>
    <row r="3126" spans="31:33">
      <c r="AE3126">
        <v>0</v>
      </c>
      <c r="AG3126">
        <v>0</v>
      </c>
    </row>
    <row r="3127" spans="31:33">
      <c r="AE3127">
        <v>0</v>
      </c>
      <c r="AG3127">
        <v>0</v>
      </c>
    </row>
    <row r="3128" spans="31:33">
      <c r="AE3128">
        <v>0</v>
      </c>
      <c r="AG3128">
        <v>0</v>
      </c>
    </row>
    <row r="3129" spans="31:33">
      <c r="AE3129">
        <v>0</v>
      </c>
      <c r="AG3129">
        <v>0</v>
      </c>
    </row>
    <row r="3130" spans="31:33">
      <c r="AE3130">
        <v>0</v>
      </c>
      <c r="AG3130">
        <v>0</v>
      </c>
    </row>
    <row r="3131" spans="31:33">
      <c r="AE3131">
        <v>0</v>
      </c>
      <c r="AG3131">
        <v>0</v>
      </c>
    </row>
    <row r="3132" spans="31:33">
      <c r="AE3132">
        <v>0</v>
      </c>
      <c r="AG3132">
        <v>0</v>
      </c>
    </row>
    <row r="3133" spans="31:33">
      <c r="AE3133">
        <v>0</v>
      </c>
      <c r="AG3133">
        <v>0</v>
      </c>
    </row>
    <row r="3134" spans="31:33">
      <c r="AE3134">
        <v>0</v>
      </c>
      <c r="AG3134">
        <v>0</v>
      </c>
    </row>
    <row r="3135" spans="31:33">
      <c r="AE3135">
        <v>0</v>
      </c>
      <c r="AG3135">
        <v>0</v>
      </c>
    </row>
    <row r="3136" spans="31:33">
      <c r="AE3136">
        <v>0</v>
      </c>
      <c r="AG3136">
        <v>0</v>
      </c>
    </row>
    <row r="3137" spans="31:33">
      <c r="AE3137">
        <v>0</v>
      </c>
      <c r="AG3137">
        <v>0</v>
      </c>
    </row>
    <row r="3138" spans="31:33">
      <c r="AE3138">
        <v>0</v>
      </c>
      <c r="AG3138">
        <v>0</v>
      </c>
    </row>
    <row r="3139" spans="31:33">
      <c r="AE3139">
        <v>0</v>
      </c>
      <c r="AG3139">
        <v>0</v>
      </c>
    </row>
    <row r="3140" spans="31:33">
      <c r="AE3140">
        <v>0</v>
      </c>
      <c r="AG3140">
        <v>0</v>
      </c>
    </row>
    <row r="3141" spans="31:33">
      <c r="AE3141">
        <v>0</v>
      </c>
      <c r="AG3141">
        <v>0</v>
      </c>
    </row>
    <row r="3142" spans="31:33">
      <c r="AE3142">
        <v>0</v>
      </c>
      <c r="AG3142">
        <v>0</v>
      </c>
    </row>
    <row r="3143" spans="31:33">
      <c r="AE3143">
        <v>0</v>
      </c>
      <c r="AG3143">
        <v>0</v>
      </c>
    </row>
    <row r="3144" spans="31:33">
      <c r="AE3144">
        <v>0</v>
      </c>
      <c r="AG3144">
        <v>0</v>
      </c>
    </row>
    <row r="3145" spans="31:33">
      <c r="AE3145">
        <v>0</v>
      </c>
      <c r="AG3145">
        <v>0</v>
      </c>
    </row>
    <row r="3146" spans="31:33">
      <c r="AE3146">
        <v>0</v>
      </c>
      <c r="AG3146">
        <v>0</v>
      </c>
    </row>
    <row r="3147" spans="31:33">
      <c r="AE3147">
        <v>0</v>
      </c>
      <c r="AG3147">
        <v>0</v>
      </c>
    </row>
    <row r="3148" spans="31:33">
      <c r="AE3148">
        <v>0</v>
      </c>
      <c r="AG3148">
        <v>0</v>
      </c>
    </row>
    <row r="3149" spans="31:33">
      <c r="AE3149">
        <v>0</v>
      </c>
      <c r="AG3149">
        <v>0</v>
      </c>
    </row>
    <row r="3150" spans="31:33">
      <c r="AE3150">
        <v>0</v>
      </c>
      <c r="AG3150">
        <v>0</v>
      </c>
    </row>
    <row r="3151" spans="31:33">
      <c r="AE3151">
        <v>0</v>
      </c>
      <c r="AG3151">
        <v>0</v>
      </c>
    </row>
    <row r="3152" spans="31:33">
      <c r="AE3152">
        <v>0</v>
      </c>
      <c r="AG3152" s="31">
        <v>166641.15</v>
      </c>
    </row>
    <row r="3153" spans="31:33">
      <c r="AE3153">
        <v>0</v>
      </c>
      <c r="AG3153">
        <v>0</v>
      </c>
    </row>
    <row r="3154" spans="31:33">
      <c r="AE3154">
        <v>0</v>
      </c>
      <c r="AG3154">
        <v>0</v>
      </c>
    </row>
    <row r="3155" spans="31:33">
      <c r="AE3155">
        <v>0</v>
      </c>
      <c r="AG3155">
        <v>0</v>
      </c>
    </row>
    <row r="3156" spans="31:33">
      <c r="AE3156">
        <v>0</v>
      </c>
      <c r="AG3156">
        <v>0</v>
      </c>
    </row>
    <row r="3157" spans="31:33">
      <c r="AE3157">
        <v>0</v>
      </c>
      <c r="AG3157">
        <v>0</v>
      </c>
    </row>
    <row r="3158" spans="31:33">
      <c r="AE3158">
        <v>0</v>
      </c>
      <c r="AG3158">
        <v>0</v>
      </c>
    </row>
    <row r="3159" spans="31:33">
      <c r="AE3159">
        <v>0</v>
      </c>
      <c r="AG3159">
        <v>0</v>
      </c>
    </row>
    <row r="3160" spans="31:33">
      <c r="AE3160">
        <v>0</v>
      </c>
      <c r="AG3160">
        <v>0</v>
      </c>
    </row>
    <row r="3161" spans="31:33">
      <c r="AE3161">
        <v>0</v>
      </c>
      <c r="AG3161">
        <v>0</v>
      </c>
    </row>
    <row r="3162" spans="31:33">
      <c r="AE3162">
        <v>0</v>
      </c>
      <c r="AG3162">
        <v>0</v>
      </c>
    </row>
    <row r="3163" spans="31:33">
      <c r="AE3163">
        <v>0</v>
      </c>
      <c r="AG3163">
        <v>0</v>
      </c>
    </row>
    <row r="3164" spans="31:33">
      <c r="AE3164">
        <v>0</v>
      </c>
      <c r="AG3164">
        <v>0</v>
      </c>
    </row>
    <row r="3165" spans="31:33">
      <c r="AE3165">
        <v>0</v>
      </c>
      <c r="AG3165">
        <v>0</v>
      </c>
    </row>
    <row r="3166" spans="31:33">
      <c r="AE3166">
        <v>0</v>
      </c>
      <c r="AG3166">
        <v>0</v>
      </c>
    </row>
    <row r="3167" spans="31:33">
      <c r="AE3167">
        <v>0</v>
      </c>
      <c r="AG3167">
        <v>0</v>
      </c>
    </row>
    <row r="3168" spans="31:33">
      <c r="AE3168">
        <v>0</v>
      </c>
      <c r="AG3168">
        <v>0</v>
      </c>
    </row>
    <row r="3169" spans="31:33">
      <c r="AE3169">
        <v>0</v>
      </c>
      <c r="AG3169">
        <v>0</v>
      </c>
    </row>
    <row r="3170" spans="31:33">
      <c r="AE3170">
        <v>0</v>
      </c>
      <c r="AG3170">
        <v>0</v>
      </c>
    </row>
    <row r="3171" spans="31:33">
      <c r="AE3171">
        <v>0</v>
      </c>
      <c r="AG3171">
        <v>0</v>
      </c>
    </row>
    <row r="3172" spans="31:33">
      <c r="AE3172">
        <v>0</v>
      </c>
      <c r="AG3172">
        <v>0</v>
      </c>
    </row>
    <row r="3173" spans="31:33">
      <c r="AE3173">
        <v>0</v>
      </c>
      <c r="AG3173">
        <v>0</v>
      </c>
    </row>
    <row r="3174" spans="31:33">
      <c r="AE3174">
        <v>0</v>
      </c>
      <c r="AG3174">
        <v>0</v>
      </c>
    </row>
    <row r="3175" spans="31:33">
      <c r="AE3175">
        <v>0</v>
      </c>
      <c r="AG3175">
        <v>0</v>
      </c>
    </row>
    <row r="3176" spans="31:33">
      <c r="AE3176">
        <v>0</v>
      </c>
      <c r="AG3176">
        <v>0</v>
      </c>
    </row>
    <row r="3177" spans="31:33">
      <c r="AE3177">
        <v>0</v>
      </c>
      <c r="AG3177">
        <v>0</v>
      </c>
    </row>
    <row r="3178" spans="31:33">
      <c r="AE3178">
        <v>0</v>
      </c>
      <c r="AG3178">
        <v>0</v>
      </c>
    </row>
    <row r="3179" spans="31:33">
      <c r="AE3179">
        <v>0</v>
      </c>
      <c r="AG3179">
        <v>0</v>
      </c>
    </row>
    <row r="3180" spans="31:33">
      <c r="AE3180">
        <v>0</v>
      </c>
      <c r="AG3180">
        <v>0</v>
      </c>
    </row>
    <row r="3181" spans="31:33">
      <c r="AE3181">
        <v>0</v>
      </c>
      <c r="AG3181">
        <v>0</v>
      </c>
    </row>
    <row r="3182" spans="31:33">
      <c r="AE3182">
        <v>0</v>
      </c>
      <c r="AG3182">
        <v>0</v>
      </c>
    </row>
    <row r="3183" spans="31:33">
      <c r="AE3183">
        <v>0</v>
      </c>
      <c r="AG3183">
        <v>0</v>
      </c>
    </row>
    <row r="3184" spans="31:33">
      <c r="AE3184">
        <v>0</v>
      </c>
      <c r="AG3184">
        <v>0</v>
      </c>
    </row>
    <row r="3185" spans="31:33">
      <c r="AE3185">
        <v>0</v>
      </c>
      <c r="AG3185">
        <v>0</v>
      </c>
    </row>
    <row r="3186" spans="31:33">
      <c r="AE3186">
        <v>0</v>
      </c>
      <c r="AG3186">
        <v>0</v>
      </c>
    </row>
    <row r="3187" spans="31:33">
      <c r="AE3187">
        <v>0</v>
      </c>
      <c r="AG3187">
        <v>0</v>
      </c>
    </row>
    <row r="3188" spans="31:33">
      <c r="AE3188">
        <v>0</v>
      </c>
      <c r="AG3188">
        <v>0</v>
      </c>
    </row>
    <row r="3189" spans="31:33">
      <c r="AE3189">
        <v>0</v>
      </c>
      <c r="AG3189">
        <v>0</v>
      </c>
    </row>
    <row r="3190" spans="31:33">
      <c r="AE3190">
        <v>0</v>
      </c>
      <c r="AG3190">
        <v>0</v>
      </c>
    </row>
    <row r="3191" spans="31:33">
      <c r="AE3191">
        <v>0</v>
      </c>
      <c r="AG3191">
        <v>0</v>
      </c>
    </row>
    <row r="3192" spans="31:33">
      <c r="AE3192">
        <v>0</v>
      </c>
      <c r="AG3192">
        <v>0</v>
      </c>
    </row>
    <row r="3193" spans="31:33">
      <c r="AE3193">
        <v>0</v>
      </c>
      <c r="AG3193">
        <v>0</v>
      </c>
    </row>
    <row r="3194" spans="31:33">
      <c r="AE3194">
        <v>0</v>
      </c>
      <c r="AG3194">
        <v>0</v>
      </c>
    </row>
    <row r="3195" spans="31:33">
      <c r="AE3195">
        <v>0</v>
      </c>
      <c r="AG3195">
        <v>0</v>
      </c>
    </row>
    <row r="3196" spans="31:33">
      <c r="AE3196">
        <v>0</v>
      </c>
      <c r="AG3196">
        <v>0</v>
      </c>
    </row>
    <row r="3197" spans="31:33">
      <c r="AE3197">
        <v>0</v>
      </c>
      <c r="AG3197">
        <v>0</v>
      </c>
    </row>
    <row r="3198" spans="31:33">
      <c r="AE3198">
        <v>0</v>
      </c>
      <c r="AG3198">
        <v>0</v>
      </c>
    </row>
    <row r="3199" spans="31:33">
      <c r="AE3199">
        <v>0</v>
      </c>
      <c r="AG3199">
        <v>0</v>
      </c>
    </row>
    <row r="3200" spans="31:33">
      <c r="AE3200">
        <v>0</v>
      </c>
      <c r="AG3200">
        <v>0</v>
      </c>
    </row>
    <row r="3201" spans="31:33">
      <c r="AE3201">
        <v>0</v>
      </c>
      <c r="AG3201">
        <v>0</v>
      </c>
    </row>
    <row r="3202" spans="31:33">
      <c r="AE3202">
        <v>0</v>
      </c>
      <c r="AG3202">
        <v>0</v>
      </c>
    </row>
    <row r="3203" spans="31:33">
      <c r="AE3203">
        <v>0</v>
      </c>
      <c r="AG3203">
        <v>0</v>
      </c>
    </row>
    <row r="3204" spans="31:33">
      <c r="AE3204">
        <v>0</v>
      </c>
      <c r="AG3204">
        <v>0</v>
      </c>
    </row>
    <row r="3205" spans="31:33">
      <c r="AE3205">
        <v>0</v>
      </c>
      <c r="AG3205">
        <v>0</v>
      </c>
    </row>
    <row r="3206" spans="31:33">
      <c r="AE3206">
        <v>0</v>
      </c>
      <c r="AG3206">
        <v>0</v>
      </c>
    </row>
    <row r="3207" spans="31:33">
      <c r="AE3207">
        <v>0</v>
      </c>
      <c r="AG3207">
        <v>0</v>
      </c>
    </row>
    <row r="3208" spans="31:33">
      <c r="AE3208">
        <v>0</v>
      </c>
      <c r="AG3208">
        <v>0</v>
      </c>
    </row>
    <row r="3209" spans="31:33">
      <c r="AE3209">
        <v>0</v>
      </c>
      <c r="AG3209">
        <v>0</v>
      </c>
    </row>
    <row r="3210" spans="31:33">
      <c r="AE3210">
        <v>0</v>
      </c>
      <c r="AG3210">
        <v>0</v>
      </c>
    </row>
    <row r="3211" spans="31:33">
      <c r="AE3211">
        <v>0</v>
      </c>
      <c r="AG3211">
        <v>0</v>
      </c>
    </row>
    <row r="3212" spans="31:33">
      <c r="AE3212">
        <v>0</v>
      </c>
      <c r="AG3212">
        <v>0</v>
      </c>
    </row>
    <row r="3213" spans="31:33">
      <c r="AE3213">
        <v>0</v>
      </c>
      <c r="AG3213">
        <v>0</v>
      </c>
    </row>
    <row r="3214" spans="31:33">
      <c r="AE3214">
        <v>0</v>
      </c>
      <c r="AG3214">
        <v>0</v>
      </c>
    </row>
    <row r="3215" spans="31:33">
      <c r="AE3215">
        <v>0</v>
      </c>
      <c r="AG3215">
        <v>0</v>
      </c>
    </row>
    <row r="3216" spans="31:33">
      <c r="AE3216">
        <v>0</v>
      </c>
      <c r="AG3216">
        <v>0</v>
      </c>
    </row>
    <row r="3217" spans="31:33">
      <c r="AE3217">
        <v>0</v>
      </c>
      <c r="AG3217">
        <v>0</v>
      </c>
    </row>
    <row r="3218" spans="31:33">
      <c r="AE3218">
        <v>0</v>
      </c>
      <c r="AG3218">
        <v>0</v>
      </c>
    </row>
    <row r="3219" spans="31:33">
      <c r="AE3219">
        <v>0</v>
      </c>
      <c r="AG3219">
        <v>0</v>
      </c>
    </row>
    <row r="3220" spans="31:33">
      <c r="AE3220">
        <v>0</v>
      </c>
      <c r="AG3220">
        <v>0</v>
      </c>
    </row>
    <row r="3221" spans="31:33">
      <c r="AE3221">
        <v>0</v>
      </c>
      <c r="AG3221">
        <v>0</v>
      </c>
    </row>
    <row r="3222" spans="31:33">
      <c r="AE3222">
        <v>0</v>
      </c>
      <c r="AG3222">
        <v>0</v>
      </c>
    </row>
    <row r="3223" spans="31:33">
      <c r="AE3223">
        <v>0</v>
      </c>
      <c r="AG3223">
        <v>0</v>
      </c>
    </row>
    <row r="3224" spans="31:33">
      <c r="AE3224">
        <v>0</v>
      </c>
      <c r="AG3224">
        <v>0</v>
      </c>
    </row>
    <row r="3225" spans="31:33">
      <c r="AE3225">
        <v>0</v>
      </c>
      <c r="AG3225">
        <v>0</v>
      </c>
    </row>
    <row r="3226" spans="31:33">
      <c r="AE3226">
        <v>0</v>
      </c>
      <c r="AG3226">
        <v>0</v>
      </c>
    </row>
    <row r="3227" spans="31:33">
      <c r="AE3227">
        <v>0</v>
      </c>
      <c r="AG3227">
        <v>0</v>
      </c>
    </row>
    <row r="3228" spans="31:33">
      <c r="AE3228">
        <v>0</v>
      </c>
      <c r="AG3228">
        <v>0</v>
      </c>
    </row>
    <row r="3229" spans="31:33">
      <c r="AE3229">
        <v>0</v>
      </c>
      <c r="AG3229">
        <v>0</v>
      </c>
    </row>
    <row r="3230" spans="31:33">
      <c r="AE3230">
        <v>0</v>
      </c>
      <c r="AG3230">
        <v>0</v>
      </c>
    </row>
    <row r="3231" spans="31:33">
      <c r="AE3231">
        <v>0</v>
      </c>
      <c r="AG3231">
        <v>0</v>
      </c>
    </row>
    <row r="3232" spans="31:33">
      <c r="AE3232">
        <v>0</v>
      </c>
      <c r="AG3232">
        <v>0</v>
      </c>
    </row>
    <row r="3233" spans="31:33">
      <c r="AE3233">
        <v>0</v>
      </c>
      <c r="AG3233">
        <v>0</v>
      </c>
    </row>
    <row r="3234" spans="31:33">
      <c r="AE3234">
        <v>0</v>
      </c>
      <c r="AG3234">
        <v>0</v>
      </c>
    </row>
    <row r="3235" spans="31:33">
      <c r="AE3235">
        <v>0</v>
      </c>
      <c r="AG3235">
        <v>0</v>
      </c>
    </row>
    <row r="3236" spans="31:33">
      <c r="AE3236">
        <v>0</v>
      </c>
      <c r="AG3236">
        <v>0</v>
      </c>
    </row>
    <row r="3237" spans="31:33">
      <c r="AE3237">
        <v>0</v>
      </c>
      <c r="AG3237">
        <v>0</v>
      </c>
    </row>
    <row r="3238" spans="31:33">
      <c r="AE3238">
        <v>0</v>
      </c>
      <c r="AG3238">
        <v>0</v>
      </c>
    </row>
    <row r="3239" spans="31:33">
      <c r="AE3239">
        <v>0</v>
      </c>
      <c r="AG3239">
        <v>0</v>
      </c>
    </row>
    <row r="3240" spans="31:33">
      <c r="AE3240">
        <v>0</v>
      </c>
      <c r="AG3240">
        <v>0</v>
      </c>
    </row>
    <row r="3241" spans="31:33">
      <c r="AE3241">
        <v>0</v>
      </c>
      <c r="AG3241">
        <v>0</v>
      </c>
    </row>
    <row r="3242" spans="31:33">
      <c r="AE3242">
        <v>0</v>
      </c>
      <c r="AG3242">
        <v>0</v>
      </c>
    </row>
    <row r="3243" spans="31:33">
      <c r="AE3243">
        <v>0</v>
      </c>
      <c r="AG3243">
        <v>0</v>
      </c>
    </row>
    <row r="3244" spans="31:33">
      <c r="AE3244" s="31">
        <v>5844.39</v>
      </c>
      <c r="AG3244">
        <v>0</v>
      </c>
    </row>
    <row r="3245" spans="31:33">
      <c r="AE3245">
        <v>0</v>
      </c>
      <c r="AG3245">
        <v>0</v>
      </c>
    </row>
    <row r="3246" spans="31:33">
      <c r="AE3246">
        <v>0</v>
      </c>
      <c r="AG3246">
        <v>0</v>
      </c>
    </row>
    <row r="3247" spans="31:33">
      <c r="AE3247">
        <v>0</v>
      </c>
      <c r="AG3247">
        <v>0</v>
      </c>
    </row>
    <row r="3248" spans="31:33">
      <c r="AE3248">
        <v>0</v>
      </c>
      <c r="AG3248">
        <v>0</v>
      </c>
    </row>
    <row r="3249" spans="31:33">
      <c r="AE3249">
        <v>0</v>
      </c>
      <c r="AG3249">
        <v>0</v>
      </c>
    </row>
    <row r="3250" spans="31:33">
      <c r="AE3250">
        <v>0</v>
      </c>
      <c r="AG3250">
        <v>0</v>
      </c>
    </row>
    <row r="3251" spans="31:33">
      <c r="AE3251">
        <v>0</v>
      </c>
      <c r="AG3251">
        <v>0</v>
      </c>
    </row>
    <row r="3252" spans="31:33">
      <c r="AE3252">
        <v>0</v>
      </c>
      <c r="AG3252">
        <v>0</v>
      </c>
    </row>
    <row r="3253" spans="31:33">
      <c r="AE3253">
        <v>0</v>
      </c>
      <c r="AG3253">
        <v>0</v>
      </c>
    </row>
    <row r="3254" spans="31:33">
      <c r="AE3254">
        <v>0</v>
      </c>
      <c r="AG3254">
        <v>0</v>
      </c>
    </row>
    <row r="3255" spans="31:33">
      <c r="AE3255">
        <v>0</v>
      </c>
      <c r="AG3255">
        <v>0</v>
      </c>
    </row>
    <row r="3256" spans="31:33">
      <c r="AE3256">
        <v>0</v>
      </c>
      <c r="AG3256">
        <v>0</v>
      </c>
    </row>
    <row r="3257" spans="31:33">
      <c r="AE3257" s="31">
        <v>160796.76</v>
      </c>
      <c r="AG3257">
        <v>0</v>
      </c>
    </row>
    <row r="3258" spans="31:33">
      <c r="AE3258">
        <v>0</v>
      </c>
      <c r="AG3258">
        <v>0</v>
      </c>
    </row>
    <row r="3259" spans="31:33">
      <c r="AE3259">
        <v>0</v>
      </c>
      <c r="AG3259">
        <v>0</v>
      </c>
    </row>
    <row r="3260" spans="31:33">
      <c r="AE3260">
        <v>0</v>
      </c>
      <c r="AG3260">
        <v>0</v>
      </c>
    </row>
    <row r="3261" spans="31:33">
      <c r="AE3261">
        <v>0</v>
      </c>
      <c r="AG3261">
        <v>0</v>
      </c>
    </row>
    <row r="3262" spans="31:33">
      <c r="AE3262">
        <v>0</v>
      </c>
      <c r="AG3262">
        <v>0</v>
      </c>
    </row>
    <row r="3263" spans="31:33">
      <c r="AE3263">
        <v>0</v>
      </c>
      <c r="AG3263">
        <v>0</v>
      </c>
    </row>
    <row r="3264" spans="31:33">
      <c r="AE3264">
        <v>0</v>
      </c>
      <c r="AG3264">
        <v>0</v>
      </c>
    </row>
    <row r="3265" spans="31:33">
      <c r="AE3265">
        <v>0</v>
      </c>
      <c r="AG3265">
        <v>0</v>
      </c>
    </row>
    <row r="3266" spans="31:33">
      <c r="AE3266">
        <v>0</v>
      </c>
      <c r="AG3266">
        <v>0</v>
      </c>
    </row>
    <row r="3267" spans="31:33">
      <c r="AE3267">
        <v>0</v>
      </c>
      <c r="AG3267">
        <v>0</v>
      </c>
    </row>
    <row r="3268" spans="31:33">
      <c r="AE3268">
        <v>0</v>
      </c>
      <c r="AG3268">
        <v>0</v>
      </c>
    </row>
    <row r="3269" spans="31:33">
      <c r="AE3269">
        <v>0</v>
      </c>
      <c r="AG3269">
        <v>0</v>
      </c>
    </row>
    <row r="3270" spans="31:33">
      <c r="AE3270">
        <v>0</v>
      </c>
      <c r="AG3270">
        <v>0</v>
      </c>
    </row>
    <row r="3271" spans="31:33">
      <c r="AE3271">
        <v>0</v>
      </c>
      <c r="AG3271">
        <v>0</v>
      </c>
    </row>
    <row r="3272" spans="31:33">
      <c r="AE3272">
        <v>0</v>
      </c>
      <c r="AG3272">
        <v>0</v>
      </c>
    </row>
    <row r="3273" spans="31:33">
      <c r="AE3273">
        <v>0</v>
      </c>
      <c r="AG3273">
        <v>0</v>
      </c>
    </row>
    <row r="3274" spans="31:33">
      <c r="AE3274">
        <v>0</v>
      </c>
      <c r="AG3274">
        <v>0</v>
      </c>
    </row>
    <row r="3275" spans="31:33">
      <c r="AE3275">
        <v>0</v>
      </c>
      <c r="AG3275">
        <v>0</v>
      </c>
    </row>
    <row r="3276" spans="31:33">
      <c r="AE3276">
        <v>0</v>
      </c>
      <c r="AG3276">
        <v>0</v>
      </c>
    </row>
    <row r="3277" spans="31:33">
      <c r="AE3277">
        <v>0</v>
      </c>
      <c r="AG3277">
        <v>0</v>
      </c>
    </row>
    <row r="3278" spans="31:33">
      <c r="AE3278">
        <v>0</v>
      </c>
      <c r="AG3278">
        <v>0</v>
      </c>
    </row>
    <row r="3279" spans="31:33">
      <c r="AE3279">
        <v>0</v>
      </c>
      <c r="AG3279">
        <v>0</v>
      </c>
    </row>
    <row r="3280" spans="31:33">
      <c r="AE3280">
        <v>0</v>
      </c>
      <c r="AG3280">
        <v>0</v>
      </c>
    </row>
    <row r="3281" spans="31:33">
      <c r="AE3281">
        <v>0</v>
      </c>
      <c r="AG3281">
        <v>0</v>
      </c>
    </row>
    <row r="3282" spans="31:33">
      <c r="AE3282">
        <v>0</v>
      </c>
      <c r="AG3282">
        <v>0</v>
      </c>
    </row>
    <row r="3283" spans="31:33">
      <c r="AE3283">
        <v>0</v>
      </c>
      <c r="AG3283">
        <v>0</v>
      </c>
    </row>
    <row r="3284" spans="31:33">
      <c r="AE3284">
        <v>0</v>
      </c>
      <c r="AG3284">
        <v>0</v>
      </c>
    </row>
    <row r="3285" spans="31:33">
      <c r="AE3285">
        <v>0</v>
      </c>
      <c r="AG3285">
        <v>0</v>
      </c>
    </row>
    <row r="3286" spans="31:33">
      <c r="AE3286">
        <v>0</v>
      </c>
      <c r="AG3286">
        <v>0</v>
      </c>
    </row>
    <row r="3287" spans="31:33">
      <c r="AE3287">
        <v>0</v>
      </c>
      <c r="AG3287">
        <v>0</v>
      </c>
    </row>
    <row r="3288" spans="31:33">
      <c r="AE3288">
        <v>0</v>
      </c>
      <c r="AG3288">
        <v>0</v>
      </c>
    </row>
    <row r="3289" spans="31:33">
      <c r="AE3289">
        <v>0</v>
      </c>
      <c r="AG3289">
        <v>0</v>
      </c>
    </row>
    <row r="3290" spans="31:33">
      <c r="AE3290">
        <v>0</v>
      </c>
      <c r="AG3290">
        <v>0</v>
      </c>
    </row>
    <row r="3291" spans="31:33">
      <c r="AE3291">
        <v>0</v>
      </c>
      <c r="AG3291">
        <v>0</v>
      </c>
    </row>
    <row r="3292" spans="31:33">
      <c r="AE3292">
        <v>0</v>
      </c>
      <c r="AG3292">
        <v>0</v>
      </c>
    </row>
    <row r="3293" spans="31:33">
      <c r="AE3293">
        <v>0</v>
      </c>
      <c r="AG3293">
        <v>0</v>
      </c>
    </row>
    <row r="3294" spans="31:33">
      <c r="AE3294">
        <v>0</v>
      </c>
      <c r="AG3294">
        <v>0</v>
      </c>
    </row>
    <row r="3295" spans="31:33">
      <c r="AE3295">
        <v>0</v>
      </c>
      <c r="AG3295">
        <v>0</v>
      </c>
    </row>
    <row r="3296" spans="31:33">
      <c r="AE3296">
        <v>0</v>
      </c>
      <c r="AG3296">
        <v>0</v>
      </c>
    </row>
    <row r="3297" spans="31:33">
      <c r="AE3297">
        <v>0</v>
      </c>
      <c r="AG3297">
        <v>0</v>
      </c>
    </row>
    <row r="3298" spans="31:33">
      <c r="AE3298">
        <v>0</v>
      </c>
      <c r="AG3298">
        <v>0</v>
      </c>
    </row>
    <row r="3299" spans="31:33">
      <c r="AE3299">
        <v>0</v>
      </c>
      <c r="AG3299">
        <v>0</v>
      </c>
    </row>
    <row r="3300" spans="31:33">
      <c r="AE3300">
        <v>0</v>
      </c>
      <c r="AG3300">
        <v>0</v>
      </c>
    </row>
    <row r="3301" spans="31:33">
      <c r="AE3301">
        <v>0</v>
      </c>
      <c r="AG3301">
        <v>0</v>
      </c>
    </row>
    <row r="3302" spans="31:33">
      <c r="AE3302">
        <v>0</v>
      </c>
      <c r="AG3302">
        <v>0</v>
      </c>
    </row>
    <row r="3303" spans="31:33">
      <c r="AE3303">
        <v>0</v>
      </c>
      <c r="AG3303">
        <v>0</v>
      </c>
    </row>
    <row r="3304" spans="31:33">
      <c r="AE3304">
        <v>0</v>
      </c>
      <c r="AG3304">
        <v>0</v>
      </c>
    </row>
    <row r="3305" spans="31:33">
      <c r="AE3305">
        <v>0</v>
      </c>
      <c r="AG3305">
        <v>0</v>
      </c>
    </row>
    <row r="3306" spans="31:33">
      <c r="AE3306">
        <v>0</v>
      </c>
      <c r="AG3306">
        <v>0</v>
      </c>
    </row>
    <row r="3307" spans="31:33">
      <c r="AE3307">
        <v>0</v>
      </c>
      <c r="AG3307">
        <v>0</v>
      </c>
    </row>
    <row r="3308" spans="31:33">
      <c r="AE3308">
        <v>0</v>
      </c>
      <c r="AG3308">
        <v>0</v>
      </c>
    </row>
    <row r="3309" spans="31:33">
      <c r="AE3309">
        <v>0</v>
      </c>
      <c r="AG3309">
        <v>0</v>
      </c>
    </row>
    <row r="3310" spans="31:33">
      <c r="AE3310">
        <v>0</v>
      </c>
      <c r="AG3310">
        <v>0</v>
      </c>
    </row>
    <row r="3311" spans="31:33">
      <c r="AE3311">
        <v>0</v>
      </c>
      <c r="AG3311">
        <v>0</v>
      </c>
    </row>
    <row r="3312" spans="31:33">
      <c r="AE3312">
        <v>0</v>
      </c>
      <c r="AG3312">
        <v>0</v>
      </c>
    </row>
    <row r="3313" spans="31:33">
      <c r="AE3313">
        <v>0</v>
      </c>
      <c r="AG3313">
        <v>0</v>
      </c>
    </row>
    <row r="3314" spans="31:33">
      <c r="AE3314" s="31">
        <v>-2636738.33</v>
      </c>
      <c r="AG3314" s="31">
        <v>-2688944.33</v>
      </c>
    </row>
    <row r="3315" spans="31:33">
      <c r="AE3315">
        <v>0</v>
      </c>
      <c r="AG3315">
        <v>0</v>
      </c>
    </row>
    <row r="3316" spans="31:33">
      <c r="AE3316" s="31">
        <v>-60221.04</v>
      </c>
      <c r="AG3316" s="31">
        <v>-30110.52</v>
      </c>
    </row>
    <row r="3317" spans="31:33">
      <c r="AE3317">
        <v>0</v>
      </c>
      <c r="AG3317">
        <v>0</v>
      </c>
    </row>
    <row r="3318" spans="31:33">
      <c r="AE3318">
        <v>0</v>
      </c>
      <c r="AG3318">
        <v>0</v>
      </c>
    </row>
    <row r="3319" spans="31:33">
      <c r="AE3319">
        <v>0</v>
      </c>
      <c r="AG3319">
        <v>0</v>
      </c>
    </row>
    <row r="3320" spans="31:33">
      <c r="AE3320">
        <v>0</v>
      </c>
      <c r="AG3320">
        <v>0</v>
      </c>
    </row>
    <row r="3321" spans="31:33">
      <c r="AE3321">
        <v>0</v>
      </c>
      <c r="AG3321">
        <v>0</v>
      </c>
    </row>
    <row r="3322" spans="31:33">
      <c r="AE3322">
        <v>0</v>
      </c>
      <c r="AG3322">
        <v>0</v>
      </c>
    </row>
    <row r="3323" spans="31:33">
      <c r="AE3323" s="31">
        <v>-109332.01</v>
      </c>
      <c r="AG3323" s="31">
        <v>-182191.07</v>
      </c>
    </row>
    <row r="3324" spans="31:33">
      <c r="AE3324" s="31">
        <v>-388508.54</v>
      </c>
      <c r="AG3324" s="31">
        <v>-113594.1</v>
      </c>
    </row>
    <row r="3325" spans="31:33">
      <c r="AE3325" s="31">
        <v>114449.66</v>
      </c>
      <c r="AG3325" s="31">
        <v>-56117.84</v>
      </c>
    </row>
    <row r="3326" spans="31:33">
      <c r="AE3326" s="31">
        <v>-1239.73</v>
      </c>
      <c r="AG3326" s="31">
        <v>229066.02</v>
      </c>
    </row>
    <row r="3327" spans="31:33">
      <c r="AE3327" s="31">
        <v>-330971.57</v>
      </c>
      <c r="AG3327" s="31">
        <v>-407194.61</v>
      </c>
    </row>
    <row r="3328" spans="31:33">
      <c r="AE3328" s="31">
        <v>120970.67</v>
      </c>
      <c r="AG3328" s="31">
        <v>321026.73</v>
      </c>
    </row>
    <row r="3329" spans="31:33">
      <c r="AE3329">
        <v>0</v>
      </c>
      <c r="AG3329">
        <v>0</v>
      </c>
    </row>
    <row r="3330" spans="31:33">
      <c r="AE3330">
        <v>0</v>
      </c>
      <c r="AG3330">
        <v>0</v>
      </c>
    </row>
    <row r="3331" spans="31:33">
      <c r="AE3331" s="31">
        <v>-247431.24</v>
      </c>
      <c r="AG3331" s="31">
        <v>-624062.53</v>
      </c>
    </row>
    <row r="3332" spans="31:33">
      <c r="AE3332">
        <v>0</v>
      </c>
      <c r="AG3332">
        <v>0</v>
      </c>
    </row>
    <row r="3333" spans="31:33">
      <c r="AE3333">
        <v>0</v>
      </c>
      <c r="AG3333">
        <v>0</v>
      </c>
    </row>
    <row r="3334" spans="31:33">
      <c r="AE3334">
        <v>0</v>
      </c>
      <c r="AG3334">
        <v>0</v>
      </c>
    </row>
    <row r="3335" spans="31:33">
      <c r="AE3335" s="31">
        <v>30110.52</v>
      </c>
      <c r="AG3335">
        <v>0</v>
      </c>
    </row>
    <row r="3336" spans="31:33">
      <c r="AE3336">
        <v>0</v>
      </c>
      <c r="AG3336">
        <v>0</v>
      </c>
    </row>
    <row r="3337" spans="31:33">
      <c r="AE3337">
        <v>0</v>
      </c>
      <c r="AG3337">
        <v>0</v>
      </c>
    </row>
    <row r="3338" spans="31:33">
      <c r="AE3338">
        <v>0</v>
      </c>
      <c r="AG3338">
        <v>0</v>
      </c>
    </row>
    <row r="3339" spans="31:33">
      <c r="AE3339">
        <v>0</v>
      </c>
      <c r="AG3339">
        <v>0</v>
      </c>
    </row>
    <row r="3340" spans="31:33">
      <c r="AE3340">
        <v>0</v>
      </c>
      <c r="AG3340">
        <v>0</v>
      </c>
    </row>
    <row r="3341" spans="31:33">
      <c r="AE3341">
        <v>0</v>
      </c>
      <c r="AG3341">
        <v>0</v>
      </c>
    </row>
    <row r="3342" spans="31:33">
      <c r="AE3342" s="31">
        <v>1450543.76</v>
      </c>
      <c r="AG3342" s="31">
        <v>1159731.6499999999</v>
      </c>
    </row>
    <row r="3343" spans="31:33">
      <c r="AE3343">
        <v>0</v>
      </c>
      <c r="AG3343" s="31">
        <v>-30110.52</v>
      </c>
    </row>
    <row r="3344" spans="31:33">
      <c r="AE3344" s="31">
        <v>-30110.52</v>
      </c>
      <c r="AG3344">
        <v>0</v>
      </c>
    </row>
    <row r="3345" spans="31:33">
      <c r="AE3345">
        <v>0</v>
      </c>
      <c r="AG3345">
        <v>0</v>
      </c>
    </row>
    <row r="3346" spans="31:33">
      <c r="AE3346">
        <v>0</v>
      </c>
      <c r="AG3346">
        <v>0</v>
      </c>
    </row>
    <row r="3347" spans="31:33">
      <c r="AE3347" s="31">
        <v>-83564.05</v>
      </c>
      <c r="AG3347" s="31">
        <v>-54173.88</v>
      </c>
    </row>
    <row r="3348" spans="31:33">
      <c r="AE3348">
        <v>0</v>
      </c>
      <c r="AG3348">
        <v>0</v>
      </c>
    </row>
    <row r="3349" spans="31:33">
      <c r="AE3349">
        <v>0</v>
      </c>
      <c r="AG3349">
        <v>0</v>
      </c>
    </row>
    <row r="3350" spans="31:33">
      <c r="AE3350">
        <v>0</v>
      </c>
      <c r="AG3350">
        <v>0</v>
      </c>
    </row>
    <row r="3351" spans="31:33">
      <c r="AE3351">
        <v>0</v>
      </c>
      <c r="AG3351">
        <v>0</v>
      </c>
    </row>
    <row r="3352" spans="31:33">
      <c r="AE3352">
        <v>0</v>
      </c>
      <c r="AG3352">
        <v>0</v>
      </c>
    </row>
    <row r="3353" spans="31:33">
      <c r="AE3353">
        <v>0</v>
      </c>
      <c r="AG3353">
        <v>0</v>
      </c>
    </row>
    <row r="3354" spans="31:33">
      <c r="AE3354">
        <v>0</v>
      </c>
      <c r="AG3354">
        <v>0</v>
      </c>
    </row>
    <row r="3355" spans="31:33">
      <c r="AE3355">
        <v>0</v>
      </c>
      <c r="AG3355">
        <v>0</v>
      </c>
    </row>
    <row r="3356" spans="31:33">
      <c r="AE3356">
        <v>0</v>
      </c>
      <c r="AG3356">
        <v>0</v>
      </c>
    </row>
    <row r="3357" spans="31:33">
      <c r="AE3357">
        <v>0</v>
      </c>
      <c r="AG3357">
        <v>0</v>
      </c>
    </row>
    <row r="3358" spans="31:33">
      <c r="AE3358">
        <v>0</v>
      </c>
      <c r="AG3358">
        <v>0</v>
      </c>
    </row>
    <row r="3359" spans="31:33">
      <c r="AE3359">
        <v>0</v>
      </c>
      <c r="AG3359">
        <v>0</v>
      </c>
    </row>
    <row r="3360" spans="31:33">
      <c r="AE3360">
        <v>0</v>
      </c>
      <c r="AG3360">
        <v>0</v>
      </c>
    </row>
    <row r="3361" spans="31:33">
      <c r="AE3361">
        <v>0</v>
      </c>
      <c r="AG3361">
        <v>0</v>
      </c>
    </row>
    <row r="3362" spans="31:33">
      <c r="AE3362">
        <v>0</v>
      </c>
      <c r="AG3362">
        <v>0</v>
      </c>
    </row>
    <row r="3363" spans="31:33">
      <c r="AE3363">
        <v>0</v>
      </c>
      <c r="AG3363">
        <v>0</v>
      </c>
    </row>
    <row r="3364" spans="31:33">
      <c r="AE3364">
        <v>0</v>
      </c>
      <c r="AG3364">
        <v>0</v>
      </c>
    </row>
    <row r="3365" spans="31:33">
      <c r="AE3365">
        <v>0</v>
      </c>
      <c r="AG3365">
        <v>0</v>
      </c>
    </row>
    <row r="3366" spans="31:33">
      <c r="AE3366">
        <v>0</v>
      </c>
      <c r="AG3366">
        <v>0</v>
      </c>
    </row>
    <row r="3367" spans="31:33">
      <c r="AE3367">
        <v>0</v>
      </c>
      <c r="AG3367">
        <v>0</v>
      </c>
    </row>
    <row r="3368" spans="31:33">
      <c r="AE3368">
        <v>0</v>
      </c>
      <c r="AG3368">
        <v>0</v>
      </c>
    </row>
    <row r="3369" spans="31:33">
      <c r="AE3369">
        <v>0</v>
      </c>
      <c r="AG3369">
        <v>0</v>
      </c>
    </row>
    <row r="3370" spans="31:33">
      <c r="AE3370">
        <v>0</v>
      </c>
      <c r="AG3370">
        <v>0</v>
      </c>
    </row>
    <row r="3371" spans="31:33">
      <c r="AE3371">
        <v>0</v>
      </c>
      <c r="AG3371">
        <v>0</v>
      </c>
    </row>
    <row r="3372" spans="31:33">
      <c r="AE3372">
        <v>0</v>
      </c>
      <c r="AG3372">
        <v>0</v>
      </c>
    </row>
    <row r="3373" spans="31:33">
      <c r="AE3373">
        <v>0</v>
      </c>
      <c r="AG3373">
        <v>0</v>
      </c>
    </row>
    <row r="3374" spans="31:33">
      <c r="AE3374">
        <v>0</v>
      </c>
      <c r="AG3374">
        <v>0</v>
      </c>
    </row>
    <row r="3375" spans="31:33">
      <c r="AE3375">
        <v>0</v>
      </c>
      <c r="AG3375">
        <v>0</v>
      </c>
    </row>
    <row r="3376" spans="31:33">
      <c r="AE3376" s="31">
        <v>-7314854.7000000002</v>
      </c>
      <c r="AG3376" s="31">
        <v>-7430888.6900000004</v>
      </c>
    </row>
    <row r="3377" spans="31:33">
      <c r="AE3377">
        <v>0</v>
      </c>
      <c r="AG3377">
        <v>0</v>
      </c>
    </row>
    <row r="3378" spans="31:33">
      <c r="AE3378" s="31">
        <v>3550</v>
      </c>
      <c r="AG3378" s="31">
        <v>3550</v>
      </c>
    </row>
    <row r="3379" spans="31:33">
      <c r="AE3379">
        <v>0</v>
      </c>
      <c r="AG3379">
        <v>0</v>
      </c>
    </row>
    <row r="3380" spans="31:33">
      <c r="AE3380">
        <v>0</v>
      </c>
      <c r="AG3380">
        <v>0</v>
      </c>
    </row>
    <row r="3381" spans="31:33">
      <c r="AE3381" s="31">
        <v>373877.53</v>
      </c>
      <c r="AG3381" s="31">
        <v>174834.69</v>
      </c>
    </row>
    <row r="3382" spans="31:33">
      <c r="AE3382" s="31">
        <v>-235482.69</v>
      </c>
      <c r="AG3382" s="31">
        <v>-105391.54</v>
      </c>
    </row>
    <row r="3383" spans="31:33">
      <c r="AE3383">
        <v>0</v>
      </c>
      <c r="AG3383">
        <v>0</v>
      </c>
    </row>
    <row r="3384" spans="31:33">
      <c r="AE3384">
        <v>0</v>
      </c>
      <c r="AG3384">
        <v>0</v>
      </c>
    </row>
    <row r="3385" spans="31:33">
      <c r="AE3385">
        <v>0</v>
      </c>
      <c r="AG3385">
        <v>0</v>
      </c>
    </row>
    <row r="3386" spans="31:33">
      <c r="AE3386">
        <v>0</v>
      </c>
      <c r="AG3386">
        <v>0</v>
      </c>
    </row>
    <row r="3387" spans="31:33">
      <c r="AE3387">
        <v>0</v>
      </c>
      <c r="AG3387">
        <v>0</v>
      </c>
    </row>
    <row r="3388" spans="31:33">
      <c r="AE3388">
        <v>0</v>
      </c>
      <c r="AG3388">
        <v>0</v>
      </c>
    </row>
    <row r="3389" spans="31:33">
      <c r="AE3389">
        <v>0</v>
      </c>
      <c r="AG3389">
        <v>0</v>
      </c>
    </row>
    <row r="3390" spans="31:33">
      <c r="AE3390">
        <v>0</v>
      </c>
      <c r="AG3390">
        <v>0</v>
      </c>
    </row>
    <row r="3391" spans="31:33">
      <c r="AE3391">
        <v>0</v>
      </c>
      <c r="AG3391">
        <v>0</v>
      </c>
    </row>
    <row r="3392" spans="31:33">
      <c r="AE3392" s="31">
        <v>-2998005.72</v>
      </c>
      <c r="AG3392" s="31">
        <v>-1333394.42</v>
      </c>
    </row>
    <row r="3393" spans="31:33">
      <c r="AE3393">
        <v>0</v>
      </c>
      <c r="AG3393">
        <v>0</v>
      </c>
    </row>
    <row r="3394" spans="31:33">
      <c r="AE3394">
        <v>0</v>
      </c>
      <c r="AG3394">
        <v>0</v>
      </c>
    </row>
    <row r="3395" spans="31:33">
      <c r="AE3395">
        <v>0</v>
      </c>
      <c r="AG3395">
        <v>0</v>
      </c>
    </row>
    <row r="3396" spans="31:33">
      <c r="AE3396">
        <v>0</v>
      </c>
      <c r="AG3396">
        <v>0</v>
      </c>
    </row>
    <row r="3397" spans="31:33">
      <c r="AE3397">
        <v>0</v>
      </c>
      <c r="AG3397">
        <v>0</v>
      </c>
    </row>
    <row r="3398" spans="31:33">
      <c r="AE3398">
        <v>0</v>
      </c>
      <c r="AG3398">
        <v>0</v>
      </c>
    </row>
    <row r="3399" spans="31:33">
      <c r="AE3399">
        <v>0</v>
      </c>
      <c r="AG3399">
        <v>0</v>
      </c>
    </row>
    <row r="3400" spans="31:33">
      <c r="AE3400">
        <v>0</v>
      </c>
      <c r="AG3400">
        <v>0</v>
      </c>
    </row>
    <row r="3401" spans="31:33">
      <c r="AE3401" s="31">
        <v>-644452.03</v>
      </c>
      <c r="AG3401" s="31">
        <v>-1304178.1200000001</v>
      </c>
    </row>
    <row r="3402" spans="31:33">
      <c r="AE3402">
        <v>0</v>
      </c>
      <c r="AG3402">
        <v>0</v>
      </c>
    </row>
    <row r="3403" spans="31:33">
      <c r="AE3403">
        <v>0</v>
      </c>
      <c r="AG3403">
        <v>0</v>
      </c>
    </row>
    <row r="3404" spans="31:33">
      <c r="AE3404">
        <v>0</v>
      </c>
      <c r="AG3404">
        <v>0</v>
      </c>
    </row>
    <row r="3405" spans="31:33">
      <c r="AE3405" s="31">
        <v>-3147.43</v>
      </c>
      <c r="AG3405" s="31">
        <v>-3147.43</v>
      </c>
    </row>
    <row r="3406" spans="31:33">
      <c r="AE3406">
        <v>0</v>
      </c>
      <c r="AG3406">
        <v>0</v>
      </c>
    </row>
    <row r="3407" spans="31:33">
      <c r="AE3407">
        <v>0</v>
      </c>
      <c r="AG3407">
        <v>0</v>
      </c>
    </row>
    <row r="3408" spans="31:33">
      <c r="AE3408" s="31">
        <v>-4154.45</v>
      </c>
      <c r="AG3408" s="31">
        <v>-4154.45</v>
      </c>
    </row>
    <row r="3409" spans="31:33">
      <c r="AE3409">
        <v>0</v>
      </c>
      <c r="AG3409">
        <v>0</v>
      </c>
    </row>
    <row r="3410" spans="31:33">
      <c r="AE3410">
        <v>0</v>
      </c>
      <c r="AG3410">
        <v>0</v>
      </c>
    </row>
    <row r="3411" spans="31:33">
      <c r="AE3411">
        <v>0</v>
      </c>
      <c r="AG3411">
        <v>0</v>
      </c>
    </row>
    <row r="3412" spans="31:33">
      <c r="AE3412">
        <v>0</v>
      </c>
      <c r="AG3412">
        <v>0</v>
      </c>
    </row>
    <row r="3413" spans="31:33">
      <c r="AE3413" s="31">
        <v>7486.18</v>
      </c>
      <c r="AG3413" s="31">
        <v>7486.18</v>
      </c>
    </row>
    <row r="3414" spans="31:33">
      <c r="AE3414">
        <v>0</v>
      </c>
      <c r="AG3414">
        <v>0</v>
      </c>
    </row>
    <row r="3415" spans="31:33">
      <c r="AE3415">
        <v>0</v>
      </c>
      <c r="AG3415">
        <v>0</v>
      </c>
    </row>
    <row r="3416" spans="31:33">
      <c r="AE3416" s="31">
        <v>-5320.58</v>
      </c>
      <c r="AG3416" s="31">
        <v>-5320.58</v>
      </c>
    </row>
    <row r="3417" spans="31:33">
      <c r="AE3417">
        <v>0</v>
      </c>
      <c r="AG3417">
        <v>0</v>
      </c>
    </row>
    <row r="3418" spans="31:33">
      <c r="AE3418" s="31">
        <v>-817971.04</v>
      </c>
      <c r="AG3418" s="31">
        <v>-1126769.1100000001</v>
      </c>
    </row>
    <row r="3419" spans="31:33">
      <c r="AE3419" s="31">
        <v>-2625.19</v>
      </c>
      <c r="AG3419" s="31">
        <v>-2447.09</v>
      </c>
    </row>
    <row r="3420" spans="31:33">
      <c r="AE3420" s="31">
        <v>-20767102.760000002</v>
      </c>
      <c r="AG3420" s="31">
        <v>-31501566.09</v>
      </c>
    </row>
    <row r="3421" spans="31:33">
      <c r="AE3421">
        <v>0</v>
      </c>
      <c r="AG3421">
        <v>0</v>
      </c>
    </row>
    <row r="3422" spans="31:33">
      <c r="AE3422" s="31">
        <v>-8457493.9399999995</v>
      </c>
      <c r="AG3422" s="31">
        <v>-7855553.4299999997</v>
      </c>
    </row>
    <row r="3423" spans="31:33">
      <c r="AE3423">
        <v>0</v>
      </c>
      <c r="AG3423">
        <v>0</v>
      </c>
    </row>
    <row r="3424" spans="31:33">
      <c r="AE3424">
        <v>0</v>
      </c>
      <c r="AG3424">
        <v>0</v>
      </c>
    </row>
    <row r="3425" spans="31:33">
      <c r="AE3425">
        <v>0</v>
      </c>
      <c r="AG3425">
        <v>0</v>
      </c>
    </row>
    <row r="3426" spans="31:33">
      <c r="AE3426">
        <v>0</v>
      </c>
      <c r="AG3426">
        <v>0</v>
      </c>
    </row>
    <row r="3427" spans="31:33">
      <c r="AE3427">
        <v>0</v>
      </c>
      <c r="AG3427">
        <v>0</v>
      </c>
    </row>
    <row r="3428" spans="31:33">
      <c r="AE3428">
        <v>0</v>
      </c>
      <c r="AG3428">
        <v>0</v>
      </c>
    </row>
    <row r="3429" spans="31:33">
      <c r="AE3429">
        <v>0</v>
      </c>
      <c r="AG3429">
        <v>0</v>
      </c>
    </row>
    <row r="3430" spans="31:33">
      <c r="AE3430">
        <v>0</v>
      </c>
      <c r="AG3430">
        <v>0</v>
      </c>
    </row>
    <row r="3431" spans="31:33">
      <c r="AE3431">
        <v>0</v>
      </c>
      <c r="AG3431">
        <v>0</v>
      </c>
    </row>
    <row r="3432" spans="31:33">
      <c r="AE3432">
        <v>0</v>
      </c>
      <c r="AG3432">
        <v>0</v>
      </c>
    </row>
    <row r="3433" spans="31:33">
      <c r="AE3433">
        <v>974.94</v>
      </c>
      <c r="AG3433">
        <v>974.94</v>
      </c>
    </row>
    <row r="3434" spans="31:33">
      <c r="AE3434">
        <v>0</v>
      </c>
      <c r="AG3434">
        <v>0</v>
      </c>
    </row>
    <row r="3435" spans="31:33">
      <c r="AE3435" s="31">
        <v>-1259.69</v>
      </c>
      <c r="AG3435" s="31">
        <v>-1259.69</v>
      </c>
    </row>
    <row r="3436" spans="31:33">
      <c r="AE3436" s="31">
        <v>11836.5</v>
      </c>
      <c r="AG3436" s="31">
        <v>6733.32</v>
      </c>
    </row>
    <row r="3437" spans="31:33">
      <c r="AE3437">
        <v>0</v>
      </c>
      <c r="AG3437">
        <v>0</v>
      </c>
    </row>
    <row r="3438" spans="31:33">
      <c r="AE3438" s="31">
        <v>599784.15</v>
      </c>
      <c r="AG3438" s="31">
        <v>439406.25</v>
      </c>
    </row>
    <row r="3439" spans="31:33">
      <c r="AE3439" s="31">
        <v>-1279</v>
      </c>
      <c r="AG3439" s="31">
        <v>-1279</v>
      </c>
    </row>
    <row r="3440" spans="31:33">
      <c r="AE3440">
        <v>0</v>
      </c>
      <c r="AG3440">
        <v>0</v>
      </c>
    </row>
    <row r="3441" spans="31:33">
      <c r="AE3441" s="31">
        <v>-3589.64</v>
      </c>
      <c r="AG3441" s="31">
        <v>-3589.64</v>
      </c>
    </row>
    <row r="3442" spans="31:33">
      <c r="AE3442" s="31">
        <v>135711.88</v>
      </c>
      <c r="AG3442" s="31">
        <v>109957.68</v>
      </c>
    </row>
    <row r="3443" spans="31:33">
      <c r="AE3443" s="31">
        <v>-5984.96</v>
      </c>
      <c r="AG3443" s="31">
        <v>-5984.96</v>
      </c>
    </row>
    <row r="3444" spans="31:33">
      <c r="AE3444" s="31">
        <v>-18482.64</v>
      </c>
      <c r="AG3444" s="31">
        <v>-18144.13</v>
      </c>
    </row>
    <row r="3445" spans="31:33">
      <c r="AE3445">
        <v>2</v>
      </c>
      <c r="AG3445">
        <v>2</v>
      </c>
    </row>
    <row r="3446" spans="31:33">
      <c r="AE3446" s="31">
        <v>-5194423.79</v>
      </c>
      <c r="AG3446" s="31">
        <v>-6447419.6200000001</v>
      </c>
    </row>
    <row r="3447" spans="31:33">
      <c r="AE3447">
        <v>0</v>
      </c>
      <c r="AG3447">
        <v>0</v>
      </c>
    </row>
    <row r="3448" spans="31:33">
      <c r="AE3448">
        <v>0</v>
      </c>
      <c r="AG3448">
        <v>0</v>
      </c>
    </row>
    <row r="3449" spans="31:33">
      <c r="AE3449">
        <v>0</v>
      </c>
      <c r="AG3449">
        <v>0</v>
      </c>
    </row>
    <row r="3450" spans="31:33">
      <c r="AE3450">
        <v>0</v>
      </c>
      <c r="AG3450">
        <v>0</v>
      </c>
    </row>
    <row r="3451" spans="31:33">
      <c r="AE3451">
        <v>0</v>
      </c>
      <c r="AG3451">
        <v>0</v>
      </c>
    </row>
    <row r="3452" spans="31:33">
      <c r="AE3452">
        <v>0</v>
      </c>
      <c r="AG3452">
        <v>0</v>
      </c>
    </row>
    <row r="3453" spans="31:33">
      <c r="AE3453">
        <v>0</v>
      </c>
      <c r="AG3453">
        <v>0</v>
      </c>
    </row>
    <row r="3454" spans="31:33">
      <c r="AE3454">
        <v>0</v>
      </c>
      <c r="AG3454">
        <v>0</v>
      </c>
    </row>
    <row r="3455" spans="31:33">
      <c r="AE3455">
        <v>0</v>
      </c>
      <c r="AG3455">
        <v>0</v>
      </c>
    </row>
    <row r="3456" spans="31:33">
      <c r="AE3456">
        <v>-375.4</v>
      </c>
      <c r="AG3456">
        <v>-375.4</v>
      </c>
    </row>
    <row r="3457" spans="31:33">
      <c r="AE3457">
        <v>0</v>
      </c>
      <c r="AG3457">
        <v>0</v>
      </c>
    </row>
    <row r="3458" spans="31:33">
      <c r="AE3458">
        <v>0</v>
      </c>
      <c r="AG3458">
        <v>0</v>
      </c>
    </row>
    <row r="3459" spans="31:33">
      <c r="AE3459">
        <v>0</v>
      </c>
      <c r="AG3459">
        <v>0</v>
      </c>
    </row>
    <row r="3460" spans="31:33">
      <c r="AE3460">
        <v>0</v>
      </c>
      <c r="AG3460">
        <v>0</v>
      </c>
    </row>
    <row r="3461" spans="31:33">
      <c r="AE3461">
        <v>0</v>
      </c>
      <c r="AG3461">
        <v>0</v>
      </c>
    </row>
    <row r="3462" spans="31:33">
      <c r="AE3462">
        <v>0</v>
      </c>
      <c r="AG3462">
        <v>0</v>
      </c>
    </row>
    <row r="3463" spans="31:33">
      <c r="AE3463">
        <v>0</v>
      </c>
      <c r="AG3463">
        <v>0</v>
      </c>
    </row>
    <row r="3464" spans="31:33">
      <c r="AE3464">
        <v>0</v>
      </c>
      <c r="AG3464">
        <v>0</v>
      </c>
    </row>
    <row r="3465" spans="31:33">
      <c r="AE3465">
        <v>0</v>
      </c>
      <c r="AG3465">
        <v>0</v>
      </c>
    </row>
    <row r="3466" spans="31:33">
      <c r="AE3466">
        <v>0</v>
      </c>
      <c r="AG3466">
        <v>0</v>
      </c>
    </row>
    <row r="3467" spans="31:33">
      <c r="AE3467">
        <v>0</v>
      </c>
      <c r="AG3467">
        <v>0</v>
      </c>
    </row>
    <row r="3468" spans="31:33">
      <c r="AE3468">
        <v>0</v>
      </c>
      <c r="AG3468">
        <v>0</v>
      </c>
    </row>
    <row r="3469" spans="31:33">
      <c r="AE3469" s="31">
        <v>-519403.77</v>
      </c>
      <c r="AG3469" s="31">
        <v>-641328.28</v>
      </c>
    </row>
    <row r="3470" spans="31:33">
      <c r="AE3470">
        <v>0</v>
      </c>
      <c r="AG3470">
        <v>0</v>
      </c>
    </row>
    <row r="3471" spans="31:33">
      <c r="AE3471">
        <v>0</v>
      </c>
      <c r="AG3471">
        <v>0</v>
      </c>
    </row>
    <row r="3472" spans="31:33">
      <c r="AE3472">
        <v>0</v>
      </c>
      <c r="AG3472">
        <v>0</v>
      </c>
    </row>
    <row r="3473" spans="31:33">
      <c r="AE3473">
        <v>0</v>
      </c>
      <c r="AG3473">
        <v>0</v>
      </c>
    </row>
    <row r="3474" spans="31:33">
      <c r="AE3474" s="31">
        <v>200925.43</v>
      </c>
      <c r="AG3474" s="31">
        <v>394166.21</v>
      </c>
    </row>
    <row r="3475" spans="31:33">
      <c r="AE3475">
        <v>0</v>
      </c>
      <c r="AG3475">
        <v>0</v>
      </c>
    </row>
    <row r="3476" spans="31:33">
      <c r="AE3476">
        <v>0</v>
      </c>
      <c r="AG3476">
        <v>0</v>
      </c>
    </row>
    <row r="3477" spans="31:33">
      <c r="AE3477">
        <v>0</v>
      </c>
      <c r="AG3477">
        <v>0</v>
      </c>
    </row>
    <row r="3478" spans="31:33">
      <c r="AE3478">
        <v>0</v>
      </c>
      <c r="AG3478">
        <v>0</v>
      </c>
    </row>
    <row r="3479" spans="31:33">
      <c r="AE3479">
        <v>0</v>
      </c>
      <c r="AG3479">
        <v>0</v>
      </c>
    </row>
    <row r="3480" spans="31:33">
      <c r="AE3480" s="31">
        <v>-3369937.02</v>
      </c>
      <c r="AG3480" s="31">
        <v>-4224876.57</v>
      </c>
    </row>
    <row r="3481" spans="31:33">
      <c r="AE3481">
        <v>0</v>
      </c>
      <c r="AG3481">
        <v>0</v>
      </c>
    </row>
    <row r="3482" spans="31:33">
      <c r="AE3482">
        <v>0</v>
      </c>
      <c r="AG3482">
        <v>0</v>
      </c>
    </row>
    <row r="3483" spans="31:33">
      <c r="AE3483">
        <v>0</v>
      </c>
      <c r="AG3483">
        <v>0</v>
      </c>
    </row>
    <row r="3484" spans="31:33">
      <c r="AE3484">
        <v>0</v>
      </c>
      <c r="AG3484">
        <v>0</v>
      </c>
    </row>
    <row r="3485" spans="31:33">
      <c r="AE3485">
        <v>0</v>
      </c>
      <c r="AG3485">
        <v>0</v>
      </c>
    </row>
    <row r="3486" spans="31:33">
      <c r="AE3486">
        <v>0</v>
      </c>
      <c r="AG3486">
        <v>0</v>
      </c>
    </row>
    <row r="3487" spans="31:33">
      <c r="AE3487">
        <v>0</v>
      </c>
      <c r="AG3487">
        <v>0</v>
      </c>
    </row>
    <row r="3488" spans="31:33">
      <c r="AE3488" s="31">
        <v>-68185.94</v>
      </c>
      <c r="AG3488" s="31">
        <v>-1008997.3</v>
      </c>
    </row>
    <row r="3489" spans="31:33">
      <c r="AE3489">
        <v>0</v>
      </c>
      <c r="AG3489">
        <v>0</v>
      </c>
    </row>
    <row r="3490" spans="31:33">
      <c r="AE3490">
        <v>0</v>
      </c>
      <c r="AG3490">
        <v>0</v>
      </c>
    </row>
    <row r="3491" spans="31:33">
      <c r="AE3491">
        <v>0</v>
      </c>
      <c r="AG3491">
        <v>0</v>
      </c>
    </row>
    <row r="3492" spans="31:33">
      <c r="AE3492">
        <v>0</v>
      </c>
      <c r="AG3492">
        <v>0</v>
      </c>
    </row>
    <row r="3493" spans="31:33">
      <c r="AE3493" s="31">
        <v>-6742302.0700000003</v>
      </c>
      <c r="AG3493" s="31">
        <v>-7004730.8300000001</v>
      </c>
    </row>
    <row r="3494" spans="31:33">
      <c r="AE3494">
        <v>0</v>
      </c>
      <c r="AG3494">
        <v>0</v>
      </c>
    </row>
    <row r="3495" spans="31:33">
      <c r="AE3495">
        <v>0</v>
      </c>
      <c r="AG3495">
        <v>0</v>
      </c>
    </row>
    <row r="3496" spans="31:33">
      <c r="AE3496">
        <v>0</v>
      </c>
      <c r="AG3496">
        <v>0</v>
      </c>
    </row>
    <row r="3497" spans="31:33">
      <c r="AE3497">
        <v>0</v>
      </c>
      <c r="AG3497">
        <v>11.86</v>
      </c>
    </row>
    <row r="3498" spans="31:33">
      <c r="AE3498">
        <v>0</v>
      </c>
      <c r="AG3498">
        <v>0</v>
      </c>
    </row>
    <row r="3499" spans="31:33">
      <c r="AE3499">
        <v>0</v>
      </c>
      <c r="AG3499">
        <v>0</v>
      </c>
    </row>
    <row r="3500" spans="31:33">
      <c r="AE3500">
        <v>0</v>
      </c>
      <c r="AG3500">
        <v>0</v>
      </c>
    </row>
    <row r="3501" spans="31:33">
      <c r="AE3501">
        <v>0</v>
      </c>
      <c r="AG3501">
        <v>0</v>
      </c>
    </row>
    <row r="3502" spans="31:33">
      <c r="AE3502">
        <v>0</v>
      </c>
      <c r="AG3502">
        <v>0</v>
      </c>
    </row>
    <row r="3503" spans="31:33">
      <c r="AE3503">
        <v>0</v>
      </c>
      <c r="AG3503">
        <v>0</v>
      </c>
    </row>
    <row r="3504" spans="31:33">
      <c r="AE3504">
        <v>0</v>
      </c>
      <c r="AG3504">
        <v>0</v>
      </c>
    </row>
    <row r="3505" spans="31:33">
      <c r="AE3505">
        <v>0</v>
      </c>
      <c r="AG3505">
        <v>0</v>
      </c>
    </row>
    <row r="3506" spans="31:33">
      <c r="AE3506">
        <v>0</v>
      </c>
      <c r="AG3506">
        <v>0</v>
      </c>
    </row>
    <row r="3507" spans="31:33">
      <c r="AE3507">
        <v>0</v>
      </c>
      <c r="AG3507">
        <v>0</v>
      </c>
    </row>
    <row r="3508" spans="31:33">
      <c r="AE3508">
        <v>0</v>
      </c>
      <c r="AG3508">
        <v>0</v>
      </c>
    </row>
    <row r="3509" spans="31:33">
      <c r="AE3509">
        <v>0</v>
      </c>
      <c r="AG3509">
        <v>0</v>
      </c>
    </row>
    <row r="3510" spans="31:33">
      <c r="AE3510">
        <v>0</v>
      </c>
      <c r="AG3510">
        <v>0</v>
      </c>
    </row>
    <row r="3511" spans="31:33">
      <c r="AE3511">
        <v>0</v>
      </c>
      <c r="AG3511">
        <v>0</v>
      </c>
    </row>
    <row r="3512" spans="31:33">
      <c r="AE3512">
        <v>0</v>
      </c>
      <c r="AG3512">
        <v>0</v>
      </c>
    </row>
    <row r="3513" spans="31:33">
      <c r="AE3513">
        <v>0</v>
      </c>
      <c r="AG3513">
        <v>0</v>
      </c>
    </row>
    <row r="3514" spans="31:33">
      <c r="AE3514">
        <v>0</v>
      </c>
      <c r="AG3514">
        <v>0</v>
      </c>
    </row>
    <row r="3515" spans="31:33">
      <c r="AE3515">
        <v>0</v>
      </c>
      <c r="AG3515">
        <v>0</v>
      </c>
    </row>
    <row r="3516" spans="31:33">
      <c r="AE3516">
        <v>0</v>
      </c>
      <c r="AG3516">
        <v>0</v>
      </c>
    </row>
    <row r="3517" spans="31:33">
      <c r="AE3517">
        <v>0</v>
      </c>
      <c r="AG3517">
        <v>0</v>
      </c>
    </row>
    <row r="3518" spans="31:33">
      <c r="AE3518">
        <v>0</v>
      </c>
      <c r="AG3518">
        <v>0</v>
      </c>
    </row>
    <row r="3519" spans="31:33">
      <c r="AE3519">
        <v>0</v>
      </c>
      <c r="AG3519">
        <v>0</v>
      </c>
    </row>
    <row r="3520" spans="31:33">
      <c r="AE3520">
        <v>0</v>
      </c>
      <c r="AG3520">
        <v>0</v>
      </c>
    </row>
    <row r="3521" spans="31:33">
      <c r="AE3521">
        <v>0</v>
      </c>
      <c r="AG3521">
        <v>0</v>
      </c>
    </row>
    <row r="3522" spans="31:33">
      <c r="AE3522">
        <v>0</v>
      </c>
      <c r="AG3522">
        <v>0</v>
      </c>
    </row>
    <row r="3523" spans="31:33">
      <c r="AE3523">
        <v>0</v>
      </c>
      <c r="AG3523">
        <v>0</v>
      </c>
    </row>
    <row r="3524" spans="31:33">
      <c r="AE3524">
        <v>0</v>
      </c>
      <c r="AG3524">
        <v>0</v>
      </c>
    </row>
    <row r="3525" spans="31:33">
      <c r="AE3525">
        <v>0</v>
      </c>
      <c r="AG3525">
        <v>0</v>
      </c>
    </row>
    <row r="3526" spans="31:33">
      <c r="AE3526">
        <v>0</v>
      </c>
      <c r="AG3526">
        <v>0</v>
      </c>
    </row>
    <row r="3527" spans="31:33">
      <c r="AE3527">
        <v>0</v>
      </c>
      <c r="AG3527">
        <v>0</v>
      </c>
    </row>
    <row r="3528" spans="31:33">
      <c r="AE3528">
        <v>0</v>
      </c>
      <c r="AG3528">
        <v>0</v>
      </c>
    </row>
    <row r="3529" spans="31:33">
      <c r="AE3529">
        <v>0</v>
      </c>
      <c r="AG3529">
        <v>0</v>
      </c>
    </row>
    <row r="3530" spans="31:33">
      <c r="AE3530">
        <v>0</v>
      </c>
      <c r="AG3530">
        <v>0</v>
      </c>
    </row>
    <row r="3531" spans="31:33">
      <c r="AE3531" s="31">
        <v>3596.22</v>
      </c>
      <c r="AG3531" s="31">
        <v>3596.22</v>
      </c>
    </row>
    <row r="3532" spans="31:33">
      <c r="AE3532">
        <v>0</v>
      </c>
      <c r="AG3532">
        <v>0</v>
      </c>
    </row>
    <row r="3533" spans="31:33">
      <c r="AE3533">
        <v>0</v>
      </c>
      <c r="AG3533">
        <v>0</v>
      </c>
    </row>
    <row r="3534" spans="31:33">
      <c r="AE3534">
        <v>0</v>
      </c>
      <c r="AG3534">
        <v>0</v>
      </c>
    </row>
    <row r="3535" spans="31:33">
      <c r="AE3535">
        <v>0</v>
      </c>
      <c r="AG3535">
        <v>0</v>
      </c>
    </row>
    <row r="3536" spans="31:33">
      <c r="AE3536">
        <v>0</v>
      </c>
      <c r="AG3536">
        <v>0</v>
      </c>
    </row>
    <row r="3537" spans="31:33">
      <c r="AE3537">
        <v>0</v>
      </c>
      <c r="AG3537">
        <v>0</v>
      </c>
    </row>
    <row r="3538" spans="31:33">
      <c r="AE3538">
        <v>0</v>
      </c>
      <c r="AG3538">
        <v>0</v>
      </c>
    </row>
    <row r="3539" spans="31:33">
      <c r="AE3539">
        <v>0</v>
      </c>
      <c r="AG3539">
        <v>0</v>
      </c>
    </row>
    <row r="3540" spans="31:33">
      <c r="AE3540">
        <v>0</v>
      </c>
      <c r="AG3540">
        <v>0</v>
      </c>
    </row>
    <row r="3541" spans="31:33">
      <c r="AE3541">
        <v>0</v>
      </c>
      <c r="AG3541">
        <v>0</v>
      </c>
    </row>
    <row r="3542" spans="31:33">
      <c r="AE3542" s="31">
        <v>23896.62</v>
      </c>
      <c r="AG3542" s="31">
        <v>167374.19</v>
      </c>
    </row>
    <row r="3543" spans="31:33">
      <c r="AE3543">
        <v>0</v>
      </c>
      <c r="AG3543">
        <v>0</v>
      </c>
    </row>
    <row r="3544" spans="31:33">
      <c r="AE3544">
        <v>0</v>
      </c>
      <c r="AG3544">
        <v>0</v>
      </c>
    </row>
    <row r="3545" spans="31:33">
      <c r="AE3545">
        <v>0</v>
      </c>
      <c r="AG3545">
        <v>0</v>
      </c>
    </row>
    <row r="3546" spans="31:33">
      <c r="AE3546">
        <v>0</v>
      </c>
      <c r="AG3546">
        <v>0</v>
      </c>
    </row>
    <row r="3547" spans="31:33">
      <c r="AE3547">
        <v>0</v>
      </c>
      <c r="AG3547">
        <v>0</v>
      </c>
    </row>
    <row r="3548" spans="31:33">
      <c r="AE3548">
        <v>0</v>
      </c>
      <c r="AG3548">
        <v>0</v>
      </c>
    </row>
    <row r="3549" spans="31:33">
      <c r="AE3549">
        <v>0</v>
      </c>
      <c r="AG3549">
        <v>0</v>
      </c>
    </row>
    <row r="3550" spans="31:33">
      <c r="AE3550">
        <v>0</v>
      </c>
      <c r="AG3550">
        <v>0</v>
      </c>
    </row>
    <row r="3551" spans="31:33">
      <c r="AE3551">
        <v>0</v>
      </c>
      <c r="AG3551">
        <v>0</v>
      </c>
    </row>
    <row r="3552" spans="31:33">
      <c r="AE3552">
        <v>0</v>
      </c>
      <c r="AG3552">
        <v>0</v>
      </c>
    </row>
    <row r="3553" spans="31:33">
      <c r="AE3553">
        <v>0</v>
      </c>
      <c r="AG3553">
        <v>0</v>
      </c>
    </row>
    <row r="3554" spans="31:33">
      <c r="AE3554">
        <v>0</v>
      </c>
      <c r="AG3554">
        <v>0</v>
      </c>
    </row>
    <row r="3555" spans="31:33">
      <c r="AE3555">
        <v>0</v>
      </c>
      <c r="AG3555">
        <v>0</v>
      </c>
    </row>
    <row r="3556" spans="31:33">
      <c r="AE3556">
        <v>0</v>
      </c>
      <c r="AG3556">
        <v>0</v>
      </c>
    </row>
    <row r="3557" spans="31:33">
      <c r="AE3557">
        <v>0</v>
      </c>
      <c r="AG3557">
        <v>0</v>
      </c>
    </row>
    <row r="3558" spans="31:33">
      <c r="AE3558">
        <v>0</v>
      </c>
      <c r="AG3558">
        <v>0</v>
      </c>
    </row>
    <row r="3559" spans="31:33">
      <c r="AE3559">
        <v>0</v>
      </c>
      <c r="AG3559">
        <v>0</v>
      </c>
    </row>
    <row r="3560" spans="31:33">
      <c r="AE3560">
        <v>0</v>
      </c>
      <c r="AG3560">
        <v>0</v>
      </c>
    </row>
    <row r="3561" spans="31:33">
      <c r="AE3561">
        <v>0</v>
      </c>
      <c r="AG3561">
        <v>0</v>
      </c>
    </row>
    <row r="3562" spans="31:33">
      <c r="AE3562">
        <v>0</v>
      </c>
      <c r="AG3562">
        <v>0</v>
      </c>
    </row>
    <row r="3563" spans="31:33">
      <c r="AE3563">
        <v>0</v>
      </c>
      <c r="AG3563">
        <v>0</v>
      </c>
    </row>
    <row r="3564" spans="31:33">
      <c r="AE3564">
        <v>0</v>
      </c>
      <c r="AG3564">
        <v>0</v>
      </c>
    </row>
    <row r="3565" spans="31:33">
      <c r="AE3565">
        <v>0</v>
      </c>
      <c r="AG3565">
        <v>0</v>
      </c>
    </row>
    <row r="3566" spans="31:33">
      <c r="AE3566">
        <v>0</v>
      </c>
      <c r="AG3566">
        <v>0</v>
      </c>
    </row>
    <row r="3567" spans="31:33">
      <c r="AE3567">
        <v>0</v>
      </c>
      <c r="AG3567">
        <v>0</v>
      </c>
    </row>
    <row r="3568" spans="31:33">
      <c r="AE3568">
        <v>0</v>
      </c>
      <c r="AG3568">
        <v>0</v>
      </c>
    </row>
    <row r="3569" spans="31:33">
      <c r="AE3569">
        <v>0</v>
      </c>
      <c r="AG3569">
        <v>0</v>
      </c>
    </row>
    <row r="3570" spans="31:33">
      <c r="AE3570">
        <v>0</v>
      </c>
      <c r="AG3570">
        <v>0</v>
      </c>
    </row>
    <row r="3571" spans="31:33">
      <c r="AE3571">
        <v>0</v>
      </c>
      <c r="AG3571">
        <v>0</v>
      </c>
    </row>
    <row r="3572" spans="31:33">
      <c r="AE3572">
        <v>0</v>
      </c>
      <c r="AG3572">
        <v>0</v>
      </c>
    </row>
    <row r="3573" spans="31:33">
      <c r="AE3573">
        <v>0</v>
      </c>
      <c r="AG3573">
        <v>0</v>
      </c>
    </row>
    <row r="3574" spans="31:33">
      <c r="AE3574" s="31">
        <v>-10886709.800000001</v>
      </c>
      <c r="AG3574" s="31">
        <v>-11676076.619999999</v>
      </c>
    </row>
    <row r="3575" spans="31:33">
      <c r="AE3575" s="31">
        <v>376311977.77999997</v>
      </c>
      <c r="AG3575" s="31">
        <v>376311959.50999999</v>
      </c>
    </row>
    <row r="3576" spans="31:33">
      <c r="AE3576">
        <v>0</v>
      </c>
      <c r="AG3576">
        <v>0</v>
      </c>
    </row>
    <row r="3577" spans="31:33">
      <c r="AE3577">
        <v>-6.43</v>
      </c>
      <c r="AG3577">
        <v>-6.43</v>
      </c>
    </row>
    <row r="3578" spans="31:33">
      <c r="AE3578">
        <v>0</v>
      </c>
      <c r="AG3578">
        <v>0</v>
      </c>
    </row>
    <row r="3579" spans="31:33">
      <c r="AE3579">
        <v>0</v>
      </c>
      <c r="AG3579">
        <v>0</v>
      </c>
    </row>
    <row r="3580" spans="31:33">
      <c r="AE3580">
        <v>0</v>
      </c>
      <c r="AG3580">
        <v>0</v>
      </c>
    </row>
    <row r="3581" spans="31:33">
      <c r="AE3581">
        <v>0</v>
      </c>
      <c r="AG3581">
        <v>0</v>
      </c>
    </row>
    <row r="3582" spans="31:33">
      <c r="AE3582">
        <v>0</v>
      </c>
      <c r="AG3582">
        <v>0</v>
      </c>
    </row>
    <row r="3583" spans="31:33">
      <c r="AE3583">
        <v>0</v>
      </c>
      <c r="AG3583">
        <v>0</v>
      </c>
    </row>
    <row r="3584" spans="31:33">
      <c r="AE3584">
        <v>0</v>
      </c>
      <c r="AG3584">
        <v>0</v>
      </c>
    </row>
    <row r="3585" spans="31:33">
      <c r="AE3585">
        <v>0</v>
      </c>
      <c r="AG3585">
        <v>0</v>
      </c>
    </row>
    <row r="3586" spans="31:33">
      <c r="AE3586">
        <v>0</v>
      </c>
      <c r="AG3586">
        <v>0</v>
      </c>
    </row>
    <row r="3587" spans="31:33">
      <c r="AE3587">
        <v>0</v>
      </c>
      <c r="AG3587">
        <v>0</v>
      </c>
    </row>
    <row r="3588" spans="31:33">
      <c r="AE3588">
        <v>0</v>
      </c>
      <c r="AG3588">
        <v>0</v>
      </c>
    </row>
    <row r="3589" spans="31:33">
      <c r="AE3589">
        <v>0</v>
      </c>
      <c r="AG3589">
        <v>0</v>
      </c>
    </row>
    <row r="3590" spans="31:33">
      <c r="AE3590">
        <v>0</v>
      </c>
      <c r="AG3590">
        <v>0</v>
      </c>
    </row>
    <row r="3591" spans="31:33">
      <c r="AE3591">
        <v>0</v>
      </c>
      <c r="AG3591">
        <v>0</v>
      </c>
    </row>
    <row r="3592" spans="31:33">
      <c r="AE3592" s="31">
        <v>847899.68</v>
      </c>
      <c r="AG3592" s="31">
        <v>902811.73</v>
      </c>
    </row>
    <row r="3593" spans="31:33">
      <c r="AE3593">
        <v>0</v>
      </c>
      <c r="AG3593">
        <v>0</v>
      </c>
    </row>
    <row r="3594" spans="31:33">
      <c r="AE3594">
        <v>0</v>
      </c>
      <c r="AG3594">
        <v>0</v>
      </c>
    </row>
    <row r="3595" spans="31:33">
      <c r="AE3595">
        <v>0</v>
      </c>
      <c r="AG3595">
        <v>0</v>
      </c>
    </row>
    <row r="3596" spans="31:33">
      <c r="AE3596">
        <v>0</v>
      </c>
      <c r="AG3596">
        <v>0</v>
      </c>
    </row>
    <row r="3597" spans="31:33">
      <c r="AE3597">
        <v>0</v>
      </c>
      <c r="AG3597">
        <v>0</v>
      </c>
    </row>
    <row r="3598" spans="31:33">
      <c r="AE3598">
        <v>0</v>
      </c>
      <c r="AG3598">
        <v>0</v>
      </c>
    </row>
    <row r="3599" spans="31:33">
      <c r="AE3599">
        <v>0</v>
      </c>
      <c r="AG3599">
        <v>0</v>
      </c>
    </row>
    <row r="3600" spans="31:33">
      <c r="AE3600">
        <v>0</v>
      </c>
      <c r="AG3600">
        <v>0</v>
      </c>
    </row>
    <row r="3601" spans="31:33">
      <c r="AE3601">
        <v>0</v>
      </c>
      <c r="AG3601">
        <v>0</v>
      </c>
    </row>
    <row r="3602" spans="31:33">
      <c r="AE3602">
        <v>0</v>
      </c>
      <c r="AG3602">
        <v>0</v>
      </c>
    </row>
    <row r="3603" spans="31:33">
      <c r="AE3603">
        <v>0</v>
      </c>
      <c r="AG3603">
        <v>0</v>
      </c>
    </row>
    <row r="3604" spans="31:33">
      <c r="AE3604">
        <v>0</v>
      </c>
      <c r="AG3604">
        <v>0</v>
      </c>
    </row>
    <row r="3605" spans="31:33">
      <c r="AE3605">
        <v>0</v>
      </c>
      <c r="AG3605">
        <v>0</v>
      </c>
    </row>
    <row r="3606" spans="31:33">
      <c r="AE3606">
        <v>0</v>
      </c>
      <c r="AG3606">
        <v>0</v>
      </c>
    </row>
    <row r="3607" spans="31:33">
      <c r="AE3607" s="31">
        <v>-1699323.53</v>
      </c>
      <c r="AG3607" s="31">
        <v>-2988328.31</v>
      </c>
    </row>
    <row r="3608" spans="31:33">
      <c r="AE3608">
        <v>0</v>
      </c>
      <c r="AG3608">
        <v>0</v>
      </c>
    </row>
    <row r="3609" spans="31:33">
      <c r="AE3609">
        <v>0</v>
      </c>
      <c r="AG3609">
        <v>0</v>
      </c>
    </row>
    <row r="3610" spans="31:33">
      <c r="AE3610">
        <v>0</v>
      </c>
      <c r="AG3610">
        <v>0</v>
      </c>
    </row>
    <row r="3611" spans="31:33">
      <c r="AE3611">
        <v>0</v>
      </c>
      <c r="AG3611">
        <v>0</v>
      </c>
    </row>
    <row r="3612" spans="31:33">
      <c r="AE3612">
        <v>0</v>
      </c>
      <c r="AG3612">
        <v>0</v>
      </c>
    </row>
    <row r="3613" spans="31:33">
      <c r="AE3613">
        <v>0</v>
      </c>
      <c r="AG3613">
        <v>0</v>
      </c>
    </row>
    <row r="3614" spans="31:33">
      <c r="AE3614">
        <v>0</v>
      </c>
      <c r="AG3614">
        <v>0</v>
      </c>
    </row>
    <row r="3615" spans="31:33">
      <c r="AE3615">
        <v>0</v>
      </c>
      <c r="AG3615">
        <v>0</v>
      </c>
    </row>
    <row r="3616" spans="31:33">
      <c r="AE3616">
        <v>0</v>
      </c>
      <c r="AG3616">
        <v>0</v>
      </c>
    </row>
    <row r="3617" spans="31:33">
      <c r="AE3617">
        <v>0</v>
      </c>
      <c r="AG3617">
        <v>0</v>
      </c>
    </row>
    <row r="3618" spans="31:33">
      <c r="AE3618">
        <v>0</v>
      </c>
      <c r="AG3618">
        <v>0</v>
      </c>
    </row>
    <row r="3619" spans="31:33">
      <c r="AE3619">
        <v>0</v>
      </c>
      <c r="AG3619">
        <v>0</v>
      </c>
    </row>
    <row r="3620" spans="31:33">
      <c r="AE3620">
        <v>0</v>
      </c>
      <c r="AG3620">
        <v>0</v>
      </c>
    </row>
    <row r="3621" spans="31:33">
      <c r="AE3621">
        <v>0</v>
      </c>
      <c r="AG3621">
        <v>0</v>
      </c>
    </row>
    <row r="3622" spans="31:33">
      <c r="AE3622">
        <v>0</v>
      </c>
      <c r="AG3622">
        <v>0</v>
      </c>
    </row>
    <row r="3623" spans="31:33">
      <c r="AE3623">
        <v>0</v>
      </c>
      <c r="AG3623">
        <v>0</v>
      </c>
    </row>
    <row r="3624" spans="31:33">
      <c r="AE3624">
        <v>0</v>
      </c>
      <c r="AG3624">
        <v>0</v>
      </c>
    </row>
    <row r="3625" spans="31:33">
      <c r="AE3625">
        <v>0</v>
      </c>
      <c r="AG3625">
        <v>0</v>
      </c>
    </row>
    <row r="3626" spans="31:33">
      <c r="AE3626">
        <v>0</v>
      </c>
      <c r="AG3626">
        <v>0</v>
      </c>
    </row>
    <row r="3627" spans="31:33">
      <c r="AE3627" s="31">
        <v>12681.69</v>
      </c>
      <c r="AG3627" s="31">
        <v>-97990.2</v>
      </c>
    </row>
    <row r="3628" spans="31:33">
      <c r="AE3628">
        <v>0</v>
      </c>
      <c r="AG3628">
        <v>0</v>
      </c>
    </row>
    <row r="3629" spans="31:33">
      <c r="AE3629">
        <v>0</v>
      </c>
      <c r="AG3629">
        <v>0</v>
      </c>
    </row>
    <row r="3630" spans="31:33">
      <c r="AE3630">
        <v>0</v>
      </c>
      <c r="AG3630">
        <v>0</v>
      </c>
    </row>
    <row r="3631" spans="31:33">
      <c r="AE3631">
        <v>0</v>
      </c>
      <c r="AG3631">
        <v>0</v>
      </c>
    </row>
    <row r="3632" spans="31:33">
      <c r="AE3632">
        <v>0</v>
      </c>
      <c r="AG3632">
        <v>0</v>
      </c>
    </row>
    <row r="3633" spans="31:33">
      <c r="AE3633" s="31">
        <v>90971.81</v>
      </c>
      <c r="AG3633" s="31">
        <v>108150.32</v>
      </c>
    </row>
    <row r="3634" spans="31:33">
      <c r="AE3634">
        <v>0</v>
      </c>
      <c r="AG3634">
        <v>0</v>
      </c>
    </row>
    <row r="3635" spans="31:33">
      <c r="AE3635">
        <v>0</v>
      </c>
      <c r="AG3635">
        <v>0</v>
      </c>
    </row>
    <row r="3636" spans="31:33">
      <c r="AE3636">
        <v>0</v>
      </c>
      <c r="AG3636">
        <v>0</v>
      </c>
    </row>
    <row r="3637" spans="31:33">
      <c r="AE3637">
        <v>0</v>
      </c>
      <c r="AG3637">
        <v>0</v>
      </c>
    </row>
    <row r="3638" spans="31:33">
      <c r="AE3638">
        <v>0</v>
      </c>
      <c r="AG3638">
        <v>0</v>
      </c>
    </row>
    <row r="3639" spans="31:33">
      <c r="AE3639">
        <v>0</v>
      </c>
      <c r="AG3639">
        <v>0</v>
      </c>
    </row>
    <row r="3640" spans="31:33">
      <c r="AE3640">
        <v>0</v>
      </c>
      <c r="AG3640">
        <v>0</v>
      </c>
    </row>
    <row r="3641" spans="31:33">
      <c r="AE3641">
        <v>0</v>
      </c>
      <c r="AG3641">
        <v>0</v>
      </c>
    </row>
    <row r="3642" spans="31:33">
      <c r="AE3642">
        <v>0</v>
      </c>
      <c r="AG3642">
        <v>0</v>
      </c>
    </row>
    <row r="3643" spans="31:33">
      <c r="AE3643">
        <v>0</v>
      </c>
      <c r="AG3643">
        <v>0</v>
      </c>
    </row>
    <row r="3644" spans="31:33">
      <c r="AE3644">
        <v>0</v>
      </c>
      <c r="AG3644">
        <v>0</v>
      </c>
    </row>
    <row r="3645" spans="31:33">
      <c r="AE3645">
        <v>0</v>
      </c>
      <c r="AG3645">
        <v>0</v>
      </c>
    </row>
    <row r="3646" spans="31:33">
      <c r="AE3646">
        <v>0</v>
      </c>
      <c r="AG3646">
        <v>0</v>
      </c>
    </row>
    <row r="3647" spans="31:33">
      <c r="AE3647">
        <v>0</v>
      </c>
      <c r="AG3647">
        <v>0</v>
      </c>
    </row>
    <row r="3648" spans="31:33">
      <c r="AE3648">
        <v>0</v>
      </c>
      <c r="AG3648">
        <v>0</v>
      </c>
    </row>
    <row r="3649" spans="31:33">
      <c r="AE3649">
        <v>0</v>
      </c>
      <c r="AG3649">
        <v>0</v>
      </c>
    </row>
    <row r="3650" spans="31:33">
      <c r="AE3650" s="31">
        <v>11267334.859999999</v>
      </c>
      <c r="AG3650" s="31">
        <v>11267512.029999999</v>
      </c>
    </row>
    <row r="3651" spans="31:33">
      <c r="AE3651">
        <v>0</v>
      </c>
      <c r="AG3651">
        <v>0</v>
      </c>
    </row>
    <row r="3652" spans="31:33">
      <c r="AE3652" s="31">
        <v>27810326.059999999</v>
      </c>
      <c r="AG3652" s="31">
        <v>14552609.43</v>
      </c>
    </row>
    <row r="3653" spans="31:33">
      <c r="AE3653">
        <v>0</v>
      </c>
      <c r="AG3653">
        <v>0</v>
      </c>
    </row>
    <row r="3654" spans="31:33">
      <c r="AE3654">
        <v>0</v>
      </c>
      <c r="AG3654">
        <v>0</v>
      </c>
    </row>
    <row r="3655" spans="31:33">
      <c r="AE3655">
        <v>0</v>
      </c>
      <c r="AG3655">
        <v>0</v>
      </c>
    </row>
    <row r="3656" spans="31:33">
      <c r="AE3656">
        <v>0</v>
      </c>
      <c r="AG3656">
        <v>0</v>
      </c>
    </row>
    <row r="3657" spans="31:33">
      <c r="AE3657">
        <v>0</v>
      </c>
      <c r="AG3657">
        <v>0</v>
      </c>
    </row>
    <row r="3658" spans="31:33">
      <c r="AE3658">
        <v>0</v>
      </c>
      <c r="AG3658">
        <v>0</v>
      </c>
    </row>
    <row r="3659" spans="31:33">
      <c r="AE3659">
        <v>0</v>
      </c>
      <c r="AG3659">
        <v>0</v>
      </c>
    </row>
    <row r="3660" spans="31:33">
      <c r="AE3660">
        <v>0</v>
      </c>
      <c r="AG3660">
        <v>0</v>
      </c>
    </row>
    <row r="3661" spans="31:33">
      <c r="AE3661">
        <v>0</v>
      </c>
      <c r="AG3661">
        <v>0</v>
      </c>
    </row>
    <row r="3662" spans="31:33">
      <c r="AE3662">
        <v>0</v>
      </c>
      <c r="AG3662">
        <v>0</v>
      </c>
    </row>
    <row r="3663" spans="31:33">
      <c r="AE3663">
        <v>0</v>
      </c>
      <c r="AG3663">
        <v>0</v>
      </c>
    </row>
    <row r="3664" spans="31:33">
      <c r="AE3664">
        <v>0</v>
      </c>
      <c r="AG3664">
        <v>0</v>
      </c>
    </row>
    <row r="3665" spans="31:33">
      <c r="AE3665">
        <v>0</v>
      </c>
      <c r="AG3665">
        <v>0</v>
      </c>
    </row>
    <row r="3666" spans="31:33">
      <c r="AE3666">
        <v>0</v>
      </c>
      <c r="AG3666">
        <v>0</v>
      </c>
    </row>
    <row r="3667" spans="31:33">
      <c r="AE3667">
        <v>0</v>
      </c>
      <c r="AG3667">
        <v>0</v>
      </c>
    </row>
    <row r="3668" spans="31:33">
      <c r="AE3668">
        <v>0</v>
      </c>
      <c r="AG3668">
        <v>0</v>
      </c>
    </row>
    <row r="3669" spans="31:33">
      <c r="AE3669">
        <v>0</v>
      </c>
      <c r="AG3669">
        <v>0</v>
      </c>
    </row>
    <row r="3670" spans="31:33">
      <c r="AE3670">
        <v>0</v>
      </c>
      <c r="AG3670">
        <v>0</v>
      </c>
    </row>
    <row r="3671" spans="31:33">
      <c r="AE3671">
        <v>0</v>
      </c>
      <c r="AG3671">
        <v>0</v>
      </c>
    </row>
    <row r="3672" spans="31:33">
      <c r="AE3672" s="31">
        <v>-1670794.01</v>
      </c>
      <c r="AG3672" s="31">
        <v>-88515.81</v>
      </c>
    </row>
    <row r="3673" spans="31:33">
      <c r="AE3673">
        <v>0</v>
      </c>
      <c r="AG3673">
        <v>0</v>
      </c>
    </row>
    <row r="3674" spans="31:33">
      <c r="AE3674">
        <v>0</v>
      </c>
      <c r="AG3674">
        <v>0</v>
      </c>
    </row>
    <row r="3675" spans="31:33">
      <c r="AE3675">
        <v>0</v>
      </c>
      <c r="AG3675">
        <v>0</v>
      </c>
    </row>
    <row r="3676" spans="31:33">
      <c r="AE3676">
        <v>0</v>
      </c>
      <c r="AG3676">
        <v>0</v>
      </c>
    </row>
    <row r="3677" spans="31:33">
      <c r="AE3677">
        <v>0</v>
      </c>
      <c r="AG3677">
        <v>0</v>
      </c>
    </row>
    <row r="3678" spans="31:33">
      <c r="AE3678">
        <v>0</v>
      </c>
      <c r="AG3678">
        <v>0</v>
      </c>
    </row>
    <row r="3679" spans="31:33">
      <c r="AE3679">
        <v>0</v>
      </c>
      <c r="AG3679">
        <v>0</v>
      </c>
    </row>
    <row r="3680" spans="31:33">
      <c r="AE3680">
        <v>0</v>
      </c>
      <c r="AG3680">
        <v>0</v>
      </c>
    </row>
    <row r="3681" spans="31:33">
      <c r="AE3681" s="31">
        <v>-14888976.550000001</v>
      </c>
      <c r="AG3681" s="31">
        <v>-16313710.93</v>
      </c>
    </row>
    <row r="3682" spans="31:33">
      <c r="AE3682">
        <v>-258.57</v>
      </c>
      <c r="AG3682">
        <v>-258.57</v>
      </c>
    </row>
    <row r="3683" spans="31:33">
      <c r="AE3683">
        <v>0</v>
      </c>
      <c r="AG3683">
        <v>0</v>
      </c>
    </row>
    <row r="3684" spans="31:33">
      <c r="AE3684">
        <v>0</v>
      </c>
      <c r="AG3684">
        <v>0</v>
      </c>
    </row>
    <row r="3685" spans="31:33">
      <c r="AE3685">
        <v>0</v>
      </c>
      <c r="AG3685">
        <v>0</v>
      </c>
    </row>
    <row r="3686" spans="31:33">
      <c r="AE3686">
        <v>0</v>
      </c>
      <c r="AG3686">
        <v>0</v>
      </c>
    </row>
    <row r="3687" spans="31:33">
      <c r="AE3687">
        <v>0</v>
      </c>
      <c r="AG3687">
        <v>0</v>
      </c>
    </row>
    <row r="3688" spans="31:33">
      <c r="AE3688">
        <v>0</v>
      </c>
      <c r="AG3688">
        <v>0</v>
      </c>
    </row>
    <row r="3689" spans="31:33">
      <c r="AE3689">
        <v>0</v>
      </c>
      <c r="AG3689">
        <v>0</v>
      </c>
    </row>
    <row r="3690" spans="31:33">
      <c r="AE3690">
        <v>0</v>
      </c>
      <c r="AG3690">
        <v>0</v>
      </c>
    </row>
    <row r="3691" spans="31:33">
      <c r="AE3691">
        <v>0</v>
      </c>
      <c r="AG3691">
        <v>0</v>
      </c>
    </row>
    <row r="3692" spans="31:33">
      <c r="AE3692">
        <v>0</v>
      </c>
      <c r="AG3692">
        <v>0</v>
      </c>
    </row>
    <row r="3693" spans="31:33">
      <c r="AE3693">
        <v>0</v>
      </c>
      <c r="AG3693">
        <v>0</v>
      </c>
    </row>
    <row r="3694" spans="31:33">
      <c r="AE3694">
        <v>0</v>
      </c>
      <c r="AG3694">
        <v>0</v>
      </c>
    </row>
    <row r="3695" spans="31:33">
      <c r="AE3695">
        <v>0</v>
      </c>
      <c r="AG3695">
        <v>0</v>
      </c>
    </row>
    <row r="3696" spans="31:33">
      <c r="AE3696">
        <v>0</v>
      </c>
      <c r="AG3696">
        <v>0</v>
      </c>
    </row>
    <row r="3697" spans="31:33">
      <c r="AE3697">
        <v>0</v>
      </c>
      <c r="AG3697">
        <v>0</v>
      </c>
    </row>
    <row r="3698" spans="31:33">
      <c r="AE3698">
        <v>0</v>
      </c>
      <c r="AG3698">
        <v>0</v>
      </c>
    </row>
    <row r="3699" spans="31:33">
      <c r="AE3699">
        <v>0</v>
      </c>
      <c r="AG3699">
        <v>0</v>
      </c>
    </row>
    <row r="3700" spans="31:33">
      <c r="AE3700">
        <v>0</v>
      </c>
      <c r="AG3700">
        <v>0</v>
      </c>
    </row>
    <row r="3701" spans="31:33">
      <c r="AE3701" s="31">
        <v>-3881.99</v>
      </c>
      <c r="AG3701" s="31">
        <v>-4591.1899999999996</v>
      </c>
    </row>
    <row r="3702" spans="31:33">
      <c r="AE3702">
        <v>0</v>
      </c>
      <c r="AG3702">
        <v>0</v>
      </c>
    </row>
    <row r="3703" spans="31:33">
      <c r="AE3703">
        <v>0</v>
      </c>
      <c r="AG3703">
        <v>0</v>
      </c>
    </row>
    <row r="3704" spans="31:33">
      <c r="AE3704">
        <v>0</v>
      </c>
      <c r="AG3704">
        <v>0</v>
      </c>
    </row>
    <row r="3705" spans="31:33">
      <c r="AE3705">
        <v>0</v>
      </c>
      <c r="AG3705">
        <v>0</v>
      </c>
    </row>
    <row r="3706" spans="31:33">
      <c r="AE3706">
        <v>0</v>
      </c>
      <c r="AG3706">
        <v>0</v>
      </c>
    </row>
    <row r="3707" spans="31:33">
      <c r="AE3707">
        <v>0</v>
      </c>
      <c r="AG3707">
        <v>0</v>
      </c>
    </row>
    <row r="3708" spans="31:33">
      <c r="AE3708">
        <v>0</v>
      </c>
      <c r="AG3708">
        <v>0</v>
      </c>
    </row>
    <row r="3709" spans="31:33">
      <c r="AE3709">
        <v>0</v>
      </c>
      <c r="AG3709">
        <v>0</v>
      </c>
    </row>
    <row r="3710" spans="31:33">
      <c r="AE3710">
        <v>0</v>
      </c>
      <c r="AG3710">
        <v>0</v>
      </c>
    </row>
    <row r="3711" spans="31:33">
      <c r="AE3711">
        <v>0</v>
      </c>
      <c r="AG3711">
        <v>0</v>
      </c>
    </row>
    <row r="3712" spans="31:33">
      <c r="AE3712">
        <v>0</v>
      </c>
      <c r="AG3712">
        <v>0</v>
      </c>
    </row>
    <row r="3713" spans="31:33">
      <c r="AE3713">
        <v>0</v>
      </c>
      <c r="AG3713">
        <v>0</v>
      </c>
    </row>
    <row r="3714" spans="31:33">
      <c r="AE3714">
        <v>0</v>
      </c>
      <c r="AG3714">
        <v>0</v>
      </c>
    </row>
    <row r="3715" spans="31:33">
      <c r="AE3715">
        <v>0</v>
      </c>
      <c r="AG3715">
        <v>0</v>
      </c>
    </row>
    <row r="3716" spans="31:33">
      <c r="AE3716">
        <v>0</v>
      </c>
      <c r="AG3716">
        <v>0</v>
      </c>
    </row>
    <row r="3717" spans="31:33">
      <c r="AE3717">
        <v>0</v>
      </c>
      <c r="AG3717">
        <v>0</v>
      </c>
    </row>
    <row r="3718" spans="31:33">
      <c r="AE3718">
        <v>0</v>
      </c>
      <c r="AG3718">
        <v>0</v>
      </c>
    </row>
    <row r="3719" spans="31:33">
      <c r="AE3719">
        <v>0</v>
      </c>
      <c r="AG3719">
        <v>0</v>
      </c>
    </row>
    <row r="3720" spans="31:33">
      <c r="AE3720">
        <v>0</v>
      </c>
      <c r="AG3720">
        <v>0</v>
      </c>
    </row>
    <row r="3721" spans="31:33">
      <c r="AE3721">
        <v>0</v>
      </c>
      <c r="AG3721">
        <v>0</v>
      </c>
    </row>
    <row r="3722" spans="31:33">
      <c r="AE3722">
        <v>0</v>
      </c>
      <c r="AG3722">
        <v>0</v>
      </c>
    </row>
    <row r="3723" spans="31:33">
      <c r="AE3723">
        <v>0</v>
      </c>
      <c r="AG3723">
        <v>0</v>
      </c>
    </row>
    <row r="3724" spans="31:33">
      <c r="AE3724" s="31">
        <v>17361899.989999998</v>
      </c>
      <c r="AG3724" s="31">
        <v>21160907.199999999</v>
      </c>
    </row>
    <row r="3725" spans="31:33">
      <c r="AE3725">
        <v>0</v>
      </c>
      <c r="AG3725">
        <v>0</v>
      </c>
    </row>
    <row r="3726" spans="31:33">
      <c r="AE3726">
        <v>0</v>
      </c>
      <c r="AG3726">
        <v>0</v>
      </c>
    </row>
    <row r="3727" spans="31:33">
      <c r="AE3727" s="31">
        <v>124497.76</v>
      </c>
      <c r="AG3727" s="31">
        <v>124497.76</v>
      </c>
    </row>
    <row r="3728" spans="31:33">
      <c r="AE3728">
        <v>0</v>
      </c>
      <c r="AG3728">
        <v>0</v>
      </c>
    </row>
    <row r="3729" spans="31:33">
      <c r="AE3729">
        <v>0</v>
      </c>
      <c r="AG3729">
        <v>0</v>
      </c>
    </row>
    <row r="3730" spans="31:33">
      <c r="AE3730">
        <v>0</v>
      </c>
      <c r="AG3730">
        <v>0</v>
      </c>
    </row>
    <row r="3731" spans="31:33">
      <c r="AE3731" s="31">
        <v>-179648.02</v>
      </c>
      <c r="AG3731" s="31">
        <v>-500022.68</v>
      </c>
    </row>
    <row r="3732" spans="31:33">
      <c r="AE3732">
        <v>0</v>
      </c>
      <c r="AG3732">
        <v>0</v>
      </c>
    </row>
    <row r="3733" spans="31:33">
      <c r="AE3733">
        <v>0</v>
      </c>
      <c r="AG3733">
        <v>0</v>
      </c>
    </row>
    <row r="3734" spans="31:33">
      <c r="AE3734">
        <v>0</v>
      </c>
      <c r="AG3734">
        <v>0</v>
      </c>
    </row>
    <row r="3735" spans="31:33">
      <c r="AE3735">
        <v>0</v>
      </c>
      <c r="AG3735">
        <v>0</v>
      </c>
    </row>
    <row r="3736" spans="31:33">
      <c r="AE3736">
        <v>0</v>
      </c>
      <c r="AG3736">
        <v>0</v>
      </c>
    </row>
    <row r="3737" spans="31:33">
      <c r="AE3737" s="31">
        <v>38575058.840000004</v>
      </c>
      <c r="AG3737" s="31">
        <v>46799687.259999998</v>
      </c>
    </row>
    <row r="3738" spans="31:33">
      <c r="AE3738">
        <v>0</v>
      </c>
      <c r="AG3738">
        <v>0</v>
      </c>
    </row>
    <row r="3739" spans="31:33">
      <c r="AE3739">
        <v>0</v>
      </c>
      <c r="AG3739">
        <v>0</v>
      </c>
    </row>
    <row r="3740" spans="31:33">
      <c r="AE3740" s="31">
        <v>1093.22</v>
      </c>
      <c r="AG3740" s="31">
        <v>1105.73</v>
      </c>
    </row>
    <row r="3741" spans="31:33">
      <c r="AE3741">
        <v>0</v>
      </c>
      <c r="AG3741">
        <v>0</v>
      </c>
    </row>
    <row r="3742" spans="31:33">
      <c r="AE3742" s="31">
        <v>10057045</v>
      </c>
      <c r="AG3742" s="31">
        <v>12252791.289999999</v>
      </c>
    </row>
    <row r="3743" spans="31:33">
      <c r="AE3743">
        <v>0</v>
      </c>
      <c r="AG3743">
        <v>0</v>
      </c>
    </row>
    <row r="3744" spans="31:33">
      <c r="AE3744">
        <v>0</v>
      </c>
      <c r="AG3744">
        <v>0</v>
      </c>
    </row>
    <row r="3745" spans="31:33">
      <c r="AE3745">
        <v>0</v>
      </c>
      <c r="AG3745">
        <v>0</v>
      </c>
    </row>
    <row r="3746" spans="31:33">
      <c r="AE3746">
        <v>0</v>
      </c>
      <c r="AG3746">
        <v>0</v>
      </c>
    </row>
    <row r="3747" spans="31:33">
      <c r="AE3747">
        <v>0</v>
      </c>
      <c r="AG3747">
        <v>0</v>
      </c>
    </row>
    <row r="3748" spans="31:33">
      <c r="AE3748" s="31">
        <v>-1673.97</v>
      </c>
      <c r="AG3748" s="31">
        <v>-1673.97</v>
      </c>
    </row>
    <row r="3749" spans="31:33">
      <c r="AE3749">
        <v>0</v>
      </c>
      <c r="AG3749">
        <v>0</v>
      </c>
    </row>
    <row r="3750" spans="31:33">
      <c r="AE3750">
        <v>0</v>
      </c>
      <c r="AG3750">
        <v>0</v>
      </c>
    </row>
    <row r="3751" spans="31:33">
      <c r="AE3751">
        <v>0</v>
      </c>
      <c r="AG3751">
        <v>0</v>
      </c>
    </row>
    <row r="3752" spans="31:33">
      <c r="AE3752">
        <v>0</v>
      </c>
      <c r="AG3752">
        <v>0</v>
      </c>
    </row>
    <row r="3753" spans="31:33">
      <c r="AE3753">
        <v>0</v>
      </c>
      <c r="AG3753">
        <v>0</v>
      </c>
    </row>
    <row r="3754" spans="31:33">
      <c r="AE3754">
        <v>0</v>
      </c>
      <c r="AG3754">
        <v>0</v>
      </c>
    </row>
    <row r="3755" spans="31:33">
      <c r="AE3755">
        <v>0</v>
      </c>
      <c r="AG3755">
        <v>0</v>
      </c>
    </row>
    <row r="3756" spans="31:33">
      <c r="AE3756">
        <v>0</v>
      </c>
      <c r="AG3756">
        <v>0</v>
      </c>
    </row>
    <row r="3757" spans="31:33">
      <c r="AE3757">
        <v>0</v>
      </c>
      <c r="AG3757">
        <v>0</v>
      </c>
    </row>
    <row r="3758" spans="31:33">
      <c r="AE3758">
        <v>0</v>
      </c>
      <c r="AG3758">
        <v>0</v>
      </c>
    </row>
    <row r="3759" spans="31:33">
      <c r="AE3759">
        <v>0</v>
      </c>
      <c r="AG3759">
        <v>0</v>
      </c>
    </row>
    <row r="3760" spans="31:33">
      <c r="AE3760">
        <v>0</v>
      </c>
      <c r="AG3760">
        <v>0</v>
      </c>
    </row>
    <row r="3761" spans="31:33">
      <c r="AE3761">
        <v>0</v>
      </c>
      <c r="AG3761">
        <v>0</v>
      </c>
    </row>
    <row r="3762" spans="31:33">
      <c r="AE3762">
        <v>32.58</v>
      </c>
      <c r="AG3762">
        <v>32.58</v>
      </c>
    </row>
    <row r="3763" spans="31:33">
      <c r="AE3763">
        <v>0</v>
      </c>
      <c r="AG3763">
        <v>0</v>
      </c>
    </row>
    <row r="3764" spans="31:33">
      <c r="AE3764">
        <v>0</v>
      </c>
      <c r="AG3764">
        <v>0</v>
      </c>
    </row>
    <row r="3765" spans="31:33">
      <c r="AE3765">
        <v>0</v>
      </c>
      <c r="AG3765">
        <v>0</v>
      </c>
    </row>
    <row r="3766" spans="31:33">
      <c r="AE3766">
        <v>0</v>
      </c>
      <c r="AG3766">
        <v>0</v>
      </c>
    </row>
    <row r="3767" spans="31:33">
      <c r="AE3767">
        <v>0</v>
      </c>
      <c r="AG3767">
        <v>0</v>
      </c>
    </row>
    <row r="3768" spans="31:33">
      <c r="AE3768">
        <v>0</v>
      </c>
      <c r="AG3768">
        <v>0</v>
      </c>
    </row>
    <row r="3769" spans="31:33">
      <c r="AE3769">
        <v>0</v>
      </c>
      <c r="AG3769">
        <v>0</v>
      </c>
    </row>
    <row r="3770" spans="31:33">
      <c r="AE3770">
        <v>0</v>
      </c>
      <c r="AG3770">
        <v>0</v>
      </c>
    </row>
    <row r="3771" spans="31:33">
      <c r="AE3771">
        <v>0</v>
      </c>
      <c r="AG3771">
        <v>0</v>
      </c>
    </row>
    <row r="3772" spans="31:33">
      <c r="AE3772">
        <v>0</v>
      </c>
      <c r="AG3772">
        <v>0</v>
      </c>
    </row>
    <row r="3773" spans="31:33">
      <c r="AE3773">
        <v>0</v>
      </c>
      <c r="AG3773">
        <v>0</v>
      </c>
    </row>
    <row r="3774" spans="31:33">
      <c r="AE3774">
        <v>0</v>
      </c>
      <c r="AG3774">
        <v>0</v>
      </c>
    </row>
    <row r="3775" spans="31:33">
      <c r="AE3775">
        <v>0</v>
      </c>
      <c r="AG3775">
        <v>0</v>
      </c>
    </row>
    <row r="3776" spans="31:33">
      <c r="AE3776" s="31">
        <v>4800000</v>
      </c>
      <c r="AG3776" s="31">
        <v>4900000</v>
      </c>
    </row>
    <row r="3777" spans="31:33">
      <c r="AE3777">
        <v>0</v>
      </c>
      <c r="AG3777">
        <v>0</v>
      </c>
    </row>
    <row r="3778" spans="31:33">
      <c r="AE3778">
        <v>0</v>
      </c>
      <c r="AG3778">
        <v>0</v>
      </c>
    </row>
    <row r="3779" spans="31:33">
      <c r="AE3779">
        <v>0</v>
      </c>
      <c r="AG3779">
        <v>0</v>
      </c>
    </row>
    <row r="3780" spans="31:33">
      <c r="AE3780">
        <v>0</v>
      </c>
      <c r="AG3780">
        <v>0</v>
      </c>
    </row>
    <row r="3781" spans="31:33">
      <c r="AE3781" s="31">
        <v>-300000</v>
      </c>
      <c r="AG3781" s="31">
        <v>1450000</v>
      </c>
    </row>
    <row r="3782" spans="31:33">
      <c r="AE3782" s="31">
        <v>34919.480000000003</v>
      </c>
      <c r="AG3782" s="31">
        <v>34919.480000000003</v>
      </c>
    </row>
    <row r="3783" spans="31:33">
      <c r="AE3783">
        <v>0</v>
      </c>
      <c r="AG3783">
        <v>0</v>
      </c>
    </row>
    <row r="3784" spans="31:33">
      <c r="AE3784" s="31">
        <v>15786.82</v>
      </c>
      <c r="AG3784" s="31">
        <v>16750.78</v>
      </c>
    </row>
    <row r="3785" spans="31:33">
      <c r="AE3785">
        <v>0</v>
      </c>
      <c r="AG3785">
        <v>0</v>
      </c>
    </row>
    <row r="3786" spans="31:33">
      <c r="AE3786">
        <v>0</v>
      </c>
      <c r="AG3786">
        <v>0</v>
      </c>
    </row>
    <row r="3787" spans="31:33">
      <c r="AE3787">
        <v>0</v>
      </c>
      <c r="AG3787">
        <v>0</v>
      </c>
    </row>
    <row r="3788" spans="31:33">
      <c r="AE3788">
        <v>0</v>
      </c>
      <c r="AG3788">
        <v>0</v>
      </c>
    </row>
    <row r="3789" spans="31:33">
      <c r="AE3789">
        <v>0</v>
      </c>
      <c r="AG3789">
        <v>0</v>
      </c>
    </row>
    <row r="3790" spans="31:33">
      <c r="AE3790">
        <v>0</v>
      </c>
      <c r="AG3790">
        <v>0</v>
      </c>
    </row>
    <row r="3791" spans="31:33">
      <c r="AE3791">
        <v>0</v>
      </c>
      <c r="AG3791">
        <v>0</v>
      </c>
    </row>
    <row r="3792" spans="31:33">
      <c r="AE3792">
        <v>0</v>
      </c>
      <c r="AG3792">
        <v>0</v>
      </c>
    </row>
    <row r="3793" spans="31:33">
      <c r="AE3793">
        <v>0</v>
      </c>
      <c r="AG3793">
        <v>0</v>
      </c>
    </row>
    <row r="3794" spans="31:33">
      <c r="AE3794">
        <v>0</v>
      </c>
      <c r="AG3794">
        <v>0</v>
      </c>
    </row>
    <row r="3795" spans="31:33">
      <c r="AE3795">
        <v>0</v>
      </c>
      <c r="AG3795">
        <v>0</v>
      </c>
    </row>
    <row r="3796" spans="31:33">
      <c r="AE3796">
        <v>0</v>
      </c>
      <c r="AG3796">
        <v>0</v>
      </c>
    </row>
    <row r="3797" spans="31:33">
      <c r="AE3797">
        <v>0</v>
      </c>
      <c r="AG3797">
        <v>0</v>
      </c>
    </row>
    <row r="3798" spans="31:33">
      <c r="AE3798">
        <v>0</v>
      </c>
      <c r="AG3798">
        <v>0</v>
      </c>
    </row>
    <row r="3799" spans="31:33">
      <c r="AE3799">
        <v>0</v>
      </c>
      <c r="AG3799">
        <v>0</v>
      </c>
    </row>
    <row r="3800" spans="31:33">
      <c r="AE3800" s="31">
        <v>1030</v>
      </c>
      <c r="AG3800">
        <v>0</v>
      </c>
    </row>
    <row r="3801" spans="31:33">
      <c r="AE3801">
        <v>0</v>
      </c>
      <c r="AG3801">
        <v>0</v>
      </c>
    </row>
    <row r="3802" spans="31:33">
      <c r="AE3802">
        <v>0</v>
      </c>
      <c r="AG3802">
        <v>0</v>
      </c>
    </row>
    <row r="3803" spans="31:33">
      <c r="AE3803">
        <v>0</v>
      </c>
      <c r="AG3803">
        <v>0</v>
      </c>
    </row>
    <row r="3804" spans="31:33">
      <c r="AE3804">
        <v>0</v>
      </c>
      <c r="AG3804">
        <v>0</v>
      </c>
    </row>
    <row r="3805" spans="31:33">
      <c r="AE3805">
        <v>0</v>
      </c>
      <c r="AG3805">
        <v>0</v>
      </c>
    </row>
    <row r="3806" spans="31:33">
      <c r="AE3806">
        <v>0</v>
      </c>
      <c r="AG3806">
        <v>0</v>
      </c>
    </row>
    <row r="3807" spans="31:33">
      <c r="AE3807" s="31">
        <v>-3580.04</v>
      </c>
      <c r="AG3807">
        <v>-964</v>
      </c>
    </row>
    <row r="3808" spans="31:33">
      <c r="AE3808">
        <v>0</v>
      </c>
      <c r="AG3808">
        <v>0</v>
      </c>
    </row>
    <row r="3809" spans="31:33">
      <c r="AE3809">
        <v>0</v>
      </c>
      <c r="AG3809">
        <v>0</v>
      </c>
    </row>
    <row r="3810" spans="31:33">
      <c r="AE3810">
        <v>0</v>
      </c>
      <c r="AG3810">
        <v>0</v>
      </c>
    </row>
    <row r="3811" spans="31:33">
      <c r="AE3811">
        <v>0</v>
      </c>
      <c r="AG3811">
        <v>0</v>
      </c>
    </row>
    <row r="3812" spans="31:33">
      <c r="AE3812" s="31">
        <v>483249.22</v>
      </c>
      <c r="AG3812" s="31">
        <v>483249.22</v>
      </c>
    </row>
    <row r="3813" spans="31:33">
      <c r="AE3813">
        <v>0</v>
      </c>
      <c r="AG3813">
        <v>0</v>
      </c>
    </row>
    <row r="3814" spans="31:33">
      <c r="AE3814">
        <v>0</v>
      </c>
      <c r="AG3814">
        <v>0</v>
      </c>
    </row>
    <row r="3815" spans="31:33">
      <c r="AE3815">
        <v>0</v>
      </c>
      <c r="AG3815">
        <v>0</v>
      </c>
    </row>
    <row r="3816" spans="31:33">
      <c r="AE3816">
        <v>0</v>
      </c>
      <c r="AG3816">
        <v>0</v>
      </c>
    </row>
    <row r="3817" spans="31:33">
      <c r="AE3817">
        <v>0</v>
      </c>
      <c r="AG3817">
        <v>0</v>
      </c>
    </row>
    <row r="3818" spans="31:33">
      <c r="AE3818">
        <v>0</v>
      </c>
      <c r="AG3818">
        <v>0</v>
      </c>
    </row>
    <row r="3819" spans="31:33">
      <c r="AE3819">
        <v>0</v>
      </c>
      <c r="AG3819">
        <v>0</v>
      </c>
    </row>
    <row r="3820" spans="31:33">
      <c r="AE3820">
        <v>0</v>
      </c>
      <c r="AG3820">
        <v>0</v>
      </c>
    </row>
    <row r="3821" spans="31:33">
      <c r="AE3821">
        <v>0</v>
      </c>
      <c r="AG3821">
        <v>0</v>
      </c>
    </row>
    <row r="3822" spans="31:33">
      <c r="AE3822">
        <v>0</v>
      </c>
      <c r="AG3822">
        <v>0</v>
      </c>
    </row>
    <row r="3823" spans="31:33">
      <c r="AE3823">
        <v>0</v>
      </c>
      <c r="AG3823">
        <v>0</v>
      </c>
    </row>
    <row r="3824" spans="31:33">
      <c r="AE3824">
        <v>0</v>
      </c>
      <c r="AG3824">
        <v>0</v>
      </c>
    </row>
    <row r="3825" spans="31:33">
      <c r="AE3825">
        <v>0</v>
      </c>
      <c r="AG3825">
        <v>0</v>
      </c>
    </row>
    <row r="3826" spans="31:33">
      <c r="AE3826">
        <v>0</v>
      </c>
      <c r="AG3826">
        <v>0</v>
      </c>
    </row>
    <row r="3827" spans="31:33">
      <c r="AE3827">
        <v>0</v>
      </c>
      <c r="AG3827">
        <v>0</v>
      </c>
    </row>
    <row r="3828" spans="31:33">
      <c r="AE3828">
        <v>0</v>
      </c>
      <c r="AG3828">
        <v>0</v>
      </c>
    </row>
    <row r="3829" spans="31:33">
      <c r="AE3829">
        <v>0</v>
      </c>
      <c r="AG3829">
        <v>0</v>
      </c>
    </row>
    <row r="3830" spans="31:33">
      <c r="AE3830">
        <v>0</v>
      </c>
      <c r="AG3830">
        <v>0</v>
      </c>
    </row>
    <row r="3831" spans="31:33">
      <c r="AE3831" s="31">
        <v>-627349.91</v>
      </c>
      <c r="AG3831" s="31">
        <v>-787419.03</v>
      </c>
    </row>
    <row r="3832" spans="31:33">
      <c r="AE3832">
        <v>0</v>
      </c>
      <c r="AG3832">
        <v>0</v>
      </c>
    </row>
    <row r="3833" spans="31:33">
      <c r="AE3833" s="31">
        <v>-401988.82</v>
      </c>
      <c r="AG3833" s="31">
        <v>-588312.92000000004</v>
      </c>
    </row>
    <row r="3834" spans="31:33">
      <c r="AE3834">
        <v>0</v>
      </c>
      <c r="AG3834">
        <v>0</v>
      </c>
    </row>
    <row r="3835" spans="31:33">
      <c r="AE3835">
        <v>0</v>
      </c>
      <c r="AG3835">
        <v>0</v>
      </c>
    </row>
    <row r="3836" spans="31:33">
      <c r="AE3836" s="31">
        <v>-449911.8</v>
      </c>
      <c r="AG3836" s="31">
        <v>-332024.98</v>
      </c>
    </row>
    <row r="3837" spans="31:33">
      <c r="AE3837">
        <v>0</v>
      </c>
      <c r="AG3837">
        <v>0</v>
      </c>
    </row>
    <row r="3838" spans="31:33">
      <c r="AE3838">
        <v>0</v>
      </c>
      <c r="AG3838">
        <v>0</v>
      </c>
    </row>
    <row r="3839" spans="31:33">
      <c r="AE3839" s="31">
        <v>-1106835.3400000001</v>
      </c>
      <c r="AG3839" s="31">
        <v>-1328918.95</v>
      </c>
    </row>
    <row r="3840" spans="31:33">
      <c r="AE3840" s="31">
        <v>-381579.24</v>
      </c>
      <c r="AG3840" s="31">
        <v>-474727.06</v>
      </c>
    </row>
    <row r="3841" spans="31:33">
      <c r="AE3841">
        <v>0</v>
      </c>
      <c r="AG3841">
        <v>0</v>
      </c>
    </row>
    <row r="3842" spans="31:33">
      <c r="AE3842">
        <v>0</v>
      </c>
      <c r="AG3842">
        <v>0</v>
      </c>
    </row>
    <row r="3843" spans="31:33">
      <c r="AE3843" s="31">
        <v>-1099712.08</v>
      </c>
      <c r="AG3843" s="31">
        <v>-1597560.2</v>
      </c>
    </row>
    <row r="3844" spans="31:33">
      <c r="AE3844">
        <v>0</v>
      </c>
      <c r="AG3844">
        <v>0</v>
      </c>
    </row>
    <row r="3845" spans="31:33">
      <c r="AE3845">
        <v>795.87</v>
      </c>
      <c r="AG3845">
        <v>292.12</v>
      </c>
    </row>
    <row r="3846" spans="31:33">
      <c r="AE3846">
        <v>0</v>
      </c>
      <c r="AG3846">
        <v>0</v>
      </c>
    </row>
    <row r="3847" spans="31:33">
      <c r="AE3847">
        <v>0</v>
      </c>
      <c r="AG3847">
        <v>0</v>
      </c>
    </row>
    <row r="3848" spans="31:33">
      <c r="AE3848">
        <v>0</v>
      </c>
      <c r="AG3848">
        <v>0</v>
      </c>
    </row>
    <row r="3849" spans="31:33">
      <c r="AE3849">
        <v>0</v>
      </c>
      <c r="AG3849">
        <v>0</v>
      </c>
    </row>
    <row r="3850" spans="31:33">
      <c r="AE3850">
        <v>0</v>
      </c>
      <c r="AG3850">
        <v>0</v>
      </c>
    </row>
    <row r="3851" spans="31:33">
      <c r="AE3851">
        <v>0</v>
      </c>
      <c r="AG3851">
        <v>0</v>
      </c>
    </row>
    <row r="3852" spans="31:33">
      <c r="AE3852">
        <v>0</v>
      </c>
      <c r="AG3852">
        <v>0</v>
      </c>
    </row>
    <row r="3853" spans="31:33">
      <c r="AE3853">
        <v>0</v>
      </c>
      <c r="AG3853">
        <v>0</v>
      </c>
    </row>
    <row r="3854" spans="31:33">
      <c r="AE3854">
        <v>0</v>
      </c>
      <c r="AG3854">
        <v>0</v>
      </c>
    </row>
    <row r="3855" spans="31:33">
      <c r="AE3855">
        <v>0</v>
      </c>
      <c r="AG3855">
        <v>0</v>
      </c>
    </row>
    <row r="3856" spans="31:33">
      <c r="AE3856" s="31">
        <v>-347726.76</v>
      </c>
      <c r="AG3856" s="31">
        <v>-401627.7</v>
      </c>
    </row>
    <row r="3857" spans="31:33">
      <c r="AE3857">
        <v>0</v>
      </c>
      <c r="AG3857">
        <v>0</v>
      </c>
    </row>
    <row r="3858" spans="31:33">
      <c r="AE3858">
        <v>0</v>
      </c>
      <c r="AG3858">
        <v>0</v>
      </c>
    </row>
    <row r="3859" spans="31:33">
      <c r="AE3859">
        <v>0</v>
      </c>
      <c r="AG3859">
        <v>0</v>
      </c>
    </row>
    <row r="3860" spans="31:33">
      <c r="AE3860">
        <v>0</v>
      </c>
      <c r="AG3860">
        <v>0</v>
      </c>
    </row>
    <row r="3861" spans="31:33">
      <c r="AE3861">
        <v>0</v>
      </c>
      <c r="AG3861">
        <v>0</v>
      </c>
    </row>
    <row r="3862" spans="31:33">
      <c r="AE3862" s="31">
        <v>-1420433.24</v>
      </c>
      <c r="AG3862" s="31">
        <v>-1129621.1299999999</v>
      </c>
    </row>
    <row r="3863" spans="31:33">
      <c r="AE3863">
        <v>0</v>
      </c>
      <c r="AG3863">
        <v>0</v>
      </c>
    </row>
    <row r="3864" spans="31:33">
      <c r="AE3864" s="31">
        <v>-2359633.9900000002</v>
      </c>
      <c r="AG3864" s="31">
        <v>-4557753.5599999996</v>
      </c>
    </row>
    <row r="3865" spans="31:33">
      <c r="AE3865" s="31">
        <v>-2519360.04</v>
      </c>
      <c r="AG3865" s="31">
        <v>2261724.39</v>
      </c>
    </row>
    <row r="3866" spans="31:33">
      <c r="AE3866">
        <v>0</v>
      </c>
      <c r="AG3866">
        <v>0</v>
      </c>
    </row>
    <row r="3867" spans="31:33">
      <c r="AE3867">
        <v>0</v>
      </c>
      <c r="AG3867">
        <v>0</v>
      </c>
    </row>
    <row r="3868" spans="31:33">
      <c r="AE3868">
        <v>0</v>
      </c>
      <c r="AG3868">
        <v>0</v>
      </c>
    </row>
    <row r="3869" spans="31:33">
      <c r="AE3869">
        <v>0</v>
      </c>
      <c r="AG3869">
        <v>0</v>
      </c>
    </row>
    <row r="3870" spans="31:33">
      <c r="AE3870">
        <v>0</v>
      </c>
      <c r="AG3870">
        <v>0</v>
      </c>
    </row>
    <row r="3871" spans="31:33">
      <c r="AE3871">
        <v>0</v>
      </c>
      <c r="AG3871">
        <v>0</v>
      </c>
    </row>
    <row r="3872" spans="31:33">
      <c r="AE3872">
        <v>0</v>
      </c>
      <c r="AG3872">
        <v>0</v>
      </c>
    </row>
    <row r="3873" spans="31:33">
      <c r="AE3873" s="31">
        <v>20000</v>
      </c>
      <c r="AG3873" s="31">
        <v>20000</v>
      </c>
    </row>
    <row r="3874" spans="31:33">
      <c r="AE3874">
        <v>31.56</v>
      </c>
      <c r="AG3874">
        <v>31.56</v>
      </c>
    </row>
    <row r="3875" spans="31:33">
      <c r="AE3875">
        <v>0</v>
      </c>
      <c r="AG3875">
        <v>0</v>
      </c>
    </row>
    <row r="3876" spans="31:33">
      <c r="AE3876">
        <v>0</v>
      </c>
      <c r="AG3876">
        <v>0</v>
      </c>
    </row>
    <row r="3877" spans="31:33">
      <c r="AE3877">
        <v>0</v>
      </c>
      <c r="AG3877">
        <v>0</v>
      </c>
    </row>
    <row r="3878" spans="31:33">
      <c r="AE3878">
        <v>0</v>
      </c>
      <c r="AG3878">
        <v>0</v>
      </c>
    </row>
    <row r="3879" spans="31:33">
      <c r="AE3879">
        <v>0</v>
      </c>
      <c r="AG3879">
        <v>0</v>
      </c>
    </row>
    <row r="3880" spans="31:33">
      <c r="AE3880">
        <v>0</v>
      </c>
      <c r="AG3880">
        <v>0</v>
      </c>
    </row>
    <row r="3881" spans="31:33">
      <c r="AE3881">
        <v>0</v>
      </c>
      <c r="AG3881">
        <v>0</v>
      </c>
    </row>
    <row r="3882" spans="31:33">
      <c r="AE3882">
        <v>0</v>
      </c>
      <c r="AG3882">
        <v>0</v>
      </c>
    </row>
    <row r="3883" spans="31:33">
      <c r="AE3883">
        <v>0</v>
      </c>
      <c r="AG3883">
        <v>0</v>
      </c>
    </row>
    <row r="3884" spans="31:33">
      <c r="AE3884">
        <v>0</v>
      </c>
      <c r="AG3884">
        <v>0</v>
      </c>
    </row>
    <row r="3885" spans="31:33">
      <c r="AE3885">
        <v>0</v>
      </c>
      <c r="AG3885">
        <v>0</v>
      </c>
    </row>
    <row r="3886" spans="31:33">
      <c r="AE3886">
        <v>0</v>
      </c>
      <c r="AG3886">
        <v>0</v>
      </c>
    </row>
    <row r="3887" spans="31:33">
      <c r="AE3887">
        <v>0</v>
      </c>
      <c r="AG3887">
        <v>0</v>
      </c>
    </row>
    <row r="3888" spans="31:33">
      <c r="AE3888">
        <v>0</v>
      </c>
      <c r="AG3888">
        <v>0</v>
      </c>
    </row>
    <row r="3889" spans="31:33">
      <c r="AE3889">
        <v>0</v>
      </c>
      <c r="AG3889">
        <v>0</v>
      </c>
    </row>
    <row r="3890" spans="31:33">
      <c r="AE3890">
        <v>0</v>
      </c>
      <c r="AG3890">
        <v>0</v>
      </c>
    </row>
    <row r="3891" spans="31:33">
      <c r="AE3891">
        <v>0</v>
      </c>
      <c r="AG3891">
        <v>0</v>
      </c>
    </row>
    <row r="3892" spans="31:33">
      <c r="AE3892">
        <v>0</v>
      </c>
      <c r="AG3892">
        <v>0</v>
      </c>
    </row>
    <row r="3893" spans="31:33">
      <c r="AE3893">
        <v>0</v>
      </c>
      <c r="AG3893">
        <v>0</v>
      </c>
    </row>
    <row r="3894" spans="31:33">
      <c r="AE3894">
        <v>0</v>
      </c>
      <c r="AG3894">
        <v>0</v>
      </c>
    </row>
    <row r="3895" spans="31:33">
      <c r="AE3895">
        <v>0</v>
      </c>
      <c r="AG3895">
        <v>0</v>
      </c>
    </row>
    <row r="3896" spans="31:33">
      <c r="AE3896">
        <v>0</v>
      </c>
      <c r="AG3896">
        <v>0</v>
      </c>
    </row>
    <row r="3897" spans="31:33">
      <c r="AE3897">
        <v>0</v>
      </c>
      <c r="AG3897">
        <v>0</v>
      </c>
    </row>
    <row r="3898" spans="31:33">
      <c r="AE3898">
        <v>0</v>
      </c>
      <c r="AG3898">
        <v>0</v>
      </c>
    </row>
    <row r="3899" spans="31:33">
      <c r="AE3899">
        <v>0</v>
      </c>
      <c r="AG3899">
        <v>0</v>
      </c>
    </row>
    <row r="3900" spans="31:33">
      <c r="AE3900">
        <v>0</v>
      </c>
      <c r="AG3900">
        <v>0</v>
      </c>
    </row>
    <row r="3901" spans="31:33">
      <c r="AE3901">
        <v>0</v>
      </c>
      <c r="AG3901">
        <v>0</v>
      </c>
    </row>
    <row r="3902" spans="31:33">
      <c r="AE3902">
        <v>0</v>
      </c>
      <c r="AG3902">
        <v>0</v>
      </c>
    </row>
    <row r="3903" spans="31:33">
      <c r="AE3903">
        <v>0</v>
      </c>
      <c r="AG3903">
        <v>0</v>
      </c>
    </row>
    <row r="3904" spans="31:33">
      <c r="AE3904" s="31">
        <v>-76055.100000000006</v>
      </c>
      <c r="AG3904" s="31">
        <v>-15713.09</v>
      </c>
    </row>
    <row r="3905" spans="31:33">
      <c r="AE3905">
        <v>0</v>
      </c>
      <c r="AG3905">
        <v>0</v>
      </c>
    </row>
    <row r="3906" spans="31:33">
      <c r="AE3906">
        <v>0</v>
      </c>
      <c r="AG3906">
        <v>0</v>
      </c>
    </row>
    <row r="3907" spans="31:33">
      <c r="AE3907">
        <v>0</v>
      </c>
      <c r="AG3907">
        <v>0</v>
      </c>
    </row>
    <row r="3908" spans="31:33">
      <c r="AE3908">
        <v>0</v>
      </c>
      <c r="AG3908">
        <v>0</v>
      </c>
    </row>
    <row r="3909" spans="31:33">
      <c r="AE3909">
        <v>0</v>
      </c>
      <c r="AG3909">
        <v>0</v>
      </c>
    </row>
    <row r="3910" spans="31:33">
      <c r="AE3910">
        <v>0</v>
      </c>
      <c r="AG3910">
        <v>0</v>
      </c>
    </row>
    <row r="3911" spans="31:33">
      <c r="AE3911">
        <v>0</v>
      </c>
      <c r="AG3911">
        <v>0</v>
      </c>
    </row>
    <row r="3912" spans="31:33">
      <c r="AE3912">
        <v>0</v>
      </c>
      <c r="AG3912">
        <v>0</v>
      </c>
    </row>
    <row r="3913" spans="31:33">
      <c r="AE3913">
        <v>0</v>
      </c>
      <c r="AG3913">
        <v>0</v>
      </c>
    </row>
    <row r="3914" spans="31:33">
      <c r="AE3914">
        <v>0</v>
      </c>
      <c r="AG3914">
        <v>0</v>
      </c>
    </row>
    <row r="3915" spans="31:33">
      <c r="AE3915">
        <v>0</v>
      </c>
      <c r="AG3915">
        <v>0</v>
      </c>
    </row>
    <row r="3916" spans="31:33">
      <c r="AE3916">
        <v>0</v>
      </c>
      <c r="AG3916">
        <v>0</v>
      </c>
    </row>
    <row r="3917" spans="31:33">
      <c r="AE3917">
        <v>0</v>
      </c>
      <c r="AG3917">
        <v>0</v>
      </c>
    </row>
    <row r="3918" spans="31:33">
      <c r="AE3918" s="31">
        <v>37394.1</v>
      </c>
      <c r="AG3918" s="31">
        <v>37394.1</v>
      </c>
    </row>
    <row r="3919" spans="31:33">
      <c r="AE3919">
        <v>0</v>
      </c>
      <c r="AG3919">
        <v>0</v>
      </c>
    </row>
    <row r="3920" spans="31:33">
      <c r="AE3920">
        <v>0</v>
      </c>
      <c r="AG3920">
        <v>0</v>
      </c>
    </row>
    <row r="3921" spans="31:33">
      <c r="AE3921">
        <v>0</v>
      </c>
      <c r="AG3921">
        <v>0</v>
      </c>
    </row>
    <row r="3922" spans="31:33">
      <c r="AE3922">
        <v>0</v>
      </c>
      <c r="AG3922">
        <v>0</v>
      </c>
    </row>
    <row r="3923" spans="31:33">
      <c r="AE3923">
        <v>0</v>
      </c>
      <c r="AG3923">
        <v>0</v>
      </c>
    </row>
    <row r="3924" spans="31:33">
      <c r="AE3924">
        <v>0</v>
      </c>
      <c r="AG3924">
        <v>0</v>
      </c>
    </row>
    <row r="3925" spans="31:33">
      <c r="AE3925">
        <v>0</v>
      </c>
      <c r="AG3925">
        <v>0</v>
      </c>
    </row>
    <row r="3926" spans="31:33">
      <c r="AE3926">
        <v>0</v>
      </c>
      <c r="AG3926">
        <v>0</v>
      </c>
    </row>
    <row r="3927" spans="31:33">
      <c r="AE3927">
        <v>0</v>
      </c>
      <c r="AG3927">
        <v>0</v>
      </c>
    </row>
    <row r="3928" spans="31:33">
      <c r="AE3928">
        <v>0</v>
      </c>
      <c r="AG3928">
        <v>0</v>
      </c>
    </row>
    <row r="3929" spans="31:33">
      <c r="AE3929">
        <v>0</v>
      </c>
      <c r="AG3929">
        <v>0</v>
      </c>
    </row>
    <row r="3930" spans="31:33">
      <c r="AE3930">
        <v>0</v>
      </c>
      <c r="AG3930">
        <v>0</v>
      </c>
    </row>
    <row r="3931" spans="31:33">
      <c r="AE3931">
        <v>0</v>
      </c>
      <c r="AG3931">
        <v>0</v>
      </c>
    </row>
    <row r="3932" spans="31:33">
      <c r="AE3932">
        <v>0</v>
      </c>
      <c r="AG3932">
        <v>0</v>
      </c>
    </row>
    <row r="3933" spans="31:33">
      <c r="AE3933">
        <v>0</v>
      </c>
      <c r="AG3933">
        <v>0</v>
      </c>
    </row>
    <row r="3934" spans="31:33">
      <c r="AE3934">
        <v>0</v>
      </c>
      <c r="AG3934">
        <v>0</v>
      </c>
    </row>
    <row r="3935" spans="31:33">
      <c r="AE3935">
        <v>0</v>
      </c>
      <c r="AG3935">
        <v>0</v>
      </c>
    </row>
    <row r="3936" spans="31:33">
      <c r="AE3936">
        <v>0</v>
      </c>
      <c r="AG3936">
        <v>0</v>
      </c>
    </row>
    <row r="3937" spans="31:33">
      <c r="AE3937" s="31">
        <v>-182000</v>
      </c>
      <c r="AG3937">
        <v>0</v>
      </c>
    </row>
    <row r="3938" spans="31:33">
      <c r="AE3938">
        <v>0</v>
      </c>
      <c r="AG3938">
        <v>0</v>
      </c>
    </row>
    <row r="3939" spans="31:33">
      <c r="AE3939" s="31">
        <v>1063326.19</v>
      </c>
      <c r="AG3939" s="31">
        <v>1063324.79</v>
      </c>
    </row>
    <row r="3940" spans="31:33">
      <c r="AE3940" s="31">
        <v>1136134.24</v>
      </c>
      <c r="AG3940" s="31">
        <v>1136134.24</v>
      </c>
    </row>
    <row r="3941" spans="31:33">
      <c r="AE3941">
        <v>0</v>
      </c>
      <c r="AG3941">
        <v>0</v>
      </c>
    </row>
    <row r="3942" spans="31:33">
      <c r="AE3942">
        <v>0</v>
      </c>
      <c r="AG3942" s="31">
        <v>8273.52</v>
      </c>
    </row>
    <row r="3943" spans="31:33">
      <c r="AE3943" s="31">
        <v>-59457.39</v>
      </c>
      <c r="AG3943" s="31">
        <v>-65251.3</v>
      </c>
    </row>
    <row r="3944" spans="31:33">
      <c r="AE3944">
        <v>0</v>
      </c>
      <c r="AG3944">
        <v>0</v>
      </c>
    </row>
    <row r="3945" spans="31:33">
      <c r="AE3945">
        <v>0</v>
      </c>
      <c r="AG3945">
        <v>0</v>
      </c>
    </row>
    <row r="3946" spans="31:33">
      <c r="AE3946">
        <v>0</v>
      </c>
      <c r="AG3946">
        <v>0</v>
      </c>
    </row>
    <row r="3947" spans="31:33">
      <c r="AE3947">
        <v>0</v>
      </c>
      <c r="AG3947">
        <v>0</v>
      </c>
    </row>
    <row r="3948" spans="31:33">
      <c r="AE3948">
        <v>0</v>
      </c>
      <c r="AG3948">
        <v>0</v>
      </c>
    </row>
    <row r="3949" spans="31:33">
      <c r="AE3949">
        <v>0</v>
      </c>
      <c r="AG3949">
        <v>0</v>
      </c>
    </row>
    <row r="3950" spans="31:33">
      <c r="AE3950">
        <v>0</v>
      </c>
      <c r="AG3950">
        <v>0</v>
      </c>
    </row>
    <row r="3951" spans="31:33">
      <c r="AE3951">
        <v>0</v>
      </c>
      <c r="AG3951">
        <v>0</v>
      </c>
    </row>
    <row r="3952" spans="31:33">
      <c r="AE3952">
        <v>0</v>
      </c>
      <c r="AG3952">
        <v>0</v>
      </c>
    </row>
    <row r="3953" spans="31:33">
      <c r="AE3953">
        <v>0</v>
      </c>
      <c r="AG3953">
        <v>0</v>
      </c>
    </row>
    <row r="3954" spans="31:33">
      <c r="AE3954">
        <v>0</v>
      </c>
      <c r="AG3954">
        <v>0</v>
      </c>
    </row>
    <row r="3955" spans="31:33">
      <c r="AE3955">
        <v>0</v>
      </c>
      <c r="AG3955">
        <v>0</v>
      </c>
    </row>
    <row r="3956" spans="31:33">
      <c r="AE3956">
        <v>0</v>
      </c>
      <c r="AG3956">
        <v>0</v>
      </c>
    </row>
    <row r="3957" spans="31:33">
      <c r="AE3957">
        <v>0</v>
      </c>
      <c r="AG3957">
        <v>0</v>
      </c>
    </row>
    <row r="3958" spans="31:33">
      <c r="AE3958">
        <v>0</v>
      </c>
      <c r="AG3958">
        <v>0</v>
      </c>
    </row>
    <row r="3959" spans="31:33">
      <c r="AE3959">
        <v>0</v>
      </c>
      <c r="AG3959">
        <v>0</v>
      </c>
    </row>
    <row r="3960" spans="31:33">
      <c r="AE3960">
        <v>0</v>
      </c>
      <c r="AG3960">
        <v>0</v>
      </c>
    </row>
    <row r="3961" spans="31:33">
      <c r="AE3961">
        <v>0</v>
      </c>
      <c r="AG3961">
        <v>0</v>
      </c>
    </row>
    <row r="3962" spans="31:33">
      <c r="AE3962">
        <v>0</v>
      </c>
      <c r="AG3962">
        <v>0</v>
      </c>
    </row>
    <row r="3963" spans="31:33">
      <c r="AE3963">
        <v>0</v>
      </c>
      <c r="AG3963">
        <v>0</v>
      </c>
    </row>
    <row r="3964" spans="31:33">
      <c r="AE3964">
        <v>0</v>
      </c>
      <c r="AG3964">
        <v>0</v>
      </c>
    </row>
    <row r="3965" spans="31:33">
      <c r="AE3965">
        <v>0</v>
      </c>
      <c r="AG3965">
        <v>0</v>
      </c>
    </row>
    <row r="3966" spans="31:33">
      <c r="AE3966">
        <v>0</v>
      </c>
      <c r="AG3966">
        <v>0</v>
      </c>
    </row>
    <row r="3967" spans="31:33">
      <c r="AE3967">
        <v>0</v>
      </c>
      <c r="AG3967">
        <v>0</v>
      </c>
    </row>
    <row r="3968" spans="31:33">
      <c r="AE3968">
        <v>0</v>
      </c>
      <c r="AG3968">
        <v>0</v>
      </c>
    </row>
    <row r="3969" spans="31:33">
      <c r="AE3969">
        <v>0</v>
      </c>
      <c r="AG3969">
        <v>0</v>
      </c>
    </row>
    <row r="3970" spans="31:33">
      <c r="AE3970">
        <v>0</v>
      </c>
      <c r="AG3970">
        <v>0</v>
      </c>
    </row>
    <row r="3971" spans="31:33">
      <c r="AE3971">
        <v>0</v>
      </c>
      <c r="AG3971">
        <v>0</v>
      </c>
    </row>
    <row r="3972" spans="31:33">
      <c r="AE3972">
        <v>0</v>
      </c>
      <c r="AG3972">
        <v>0</v>
      </c>
    </row>
    <row r="3973" spans="31:33">
      <c r="AE3973">
        <v>0</v>
      </c>
      <c r="AG3973">
        <v>0</v>
      </c>
    </row>
    <row r="3974" spans="31:33">
      <c r="AE3974">
        <v>0</v>
      </c>
      <c r="AG3974">
        <v>0</v>
      </c>
    </row>
    <row r="3975" spans="31:33">
      <c r="AE3975">
        <v>0</v>
      </c>
      <c r="AG3975">
        <v>0</v>
      </c>
    </row>
    <row r="3976" spans="31:33">
      <c r="AE3976">
        <v>0</v>
      </c>
      <c r="AG3976">
        <v>0</v>
      </c>
    </row>
    <row r="3977" spans="31:33">
      <c r="AE3977">
        <v>0</v>
      </c>
      <c r="AG3977">
        <v>0</v>
      </c>
    </row>
    <row r="3978" spans="31:33">
      <c r="AE3978" s="31">
        <v>-11416250</v>
      </c>
      <c r="AG3978" s="31">
        <v>-9366500</v>
      </c>
    </row>
    <row r="3979" spans="31:33">
      <c r="AE3979">
        <v>0</v>
      </c>
      <c r="AG3979">
        <v>0</v>
      </c>
    </row>
    <row r="3980" spans="31:33">
      <c r="AE3980">
        <v>0</v>
      </c>
      <c r="AG3980">
        <v>0</v>
      </c>
    </row>
    <row r="3981" spans="31:33">
      <c r="AE3981">
        <v>0</v>
      </c>
      <c r="AG3981">
        <v>0</v>
      </c>
    </row>
    <row r="3982" spans="31:33">
      <c r="AE3982" s="31">
        <v>46398.879999999997</v>
      </c>
      <c r="AG3982" s="31">
        <v>48805.68</v>
      </c>
    </row>
    <row r="3983" spans="31:33">
      <c r="AE3983">
        <v>0</v>
      </c>
      <c r="AG3983">
        <v>0</v>
      </c>
    </row>
    <row r="3984" spans="31:33">
      <c r="AE3984">
        <v>0</v>
      </c>
      <c r="AG3984">
        <v>0</v>
      </c>
    </row>
    <row r="3985" spans="31:33">
      <c r="AE3985">
        <v>0</v>
      </c>
      <c r="AG3985">
        <v>0</v>
      </c>
    </row>
    <row r="3986" spans="31:33">
      <c r="AE3986">
        <v>0</v>
      </c>
      <c r="AG3986">
        <v>0</v>
      </c>
    </row>
    <row r="3987" spans="31:33">
      <c r="AE3987">
        <v>0</v>
      </c>
      <c r="AG3987">
        <v>0</v>
      </c>
    </row>
    <row r="3988" spans="31:33">
      <c r="AE3988">
        <v>0</v>
      </c>
      <c r="AG3988">
        <v>0</v>
      </c>
    </row>
    <row r="3989" spans="31:33">
      <c r="AE3989">
        <v>0</v>
      </c>
      <c r="AG3989">
        <v>0</v>
      </c>
    </row>
    <row r="3990" spans="31:33">
      <c r="AE3990">
        <v>0</v>
      </c>
      <c r="AG3990">
        <v>0</v>
      </c>
    </row>
    <row r="3991" spans="31:33">
      <c r="AE3991">
        <v>0</v>
      </c>
      <c r="AG3991">
        <v>0</v>
      </c>
    </row>
    <row r="3992" spans="31:33">
      <c r="AE3992">
        <v>0</v>
      </c>
      <c r="AG3992">
        <v>0</v>
      </c>
    </row>
    <row r="3993" spans="31:33">
      <c r="AE3993">
        <v>0</v>
      </c>
      <c r="AG3993">
        <v>0</v>
      </c>
    </row>
    <row r="3994" spans="31:33">
      <c r="AE3994">
        <v>0</v>
      </c>
      <c r="AG3994">
        <v>0</v>
      </c>
    </row>
    <row r="3995" spans="31:33">
      <c r="AE3995">
        <v>0</v>
      </c>
      <c r="AG3995">
        <v>0</v>
      </c>
    </row>
    <row r="3996" spans="31:33">
      <c r="AE3996">
        <v>0</v>
      </c>
      <c r="AG3996">
        <v>0</v>
      </c>
    </row>
    <row r="3997" spans="31:33">
      <c r="AE3997">
        <v>0</v>
      </c>
      <c r="AG3997">
        <v>0</v>
      </c>
    </row>
    <row r="3998" spans="31:33">
      <c r="AE3998">
        <v>0</v>
      </c>
      <c r="AG3998">
        <v>0</v>
      </c>
    </row>
    <row r="3999" spans="31:33">
      <c r="AE3999">
        <v>0</v>
      </c>
      <c r="AG3999">
        <v>0</v>
      </c>
    </row>
    <row r="4000" spans="31:33">
      <c r="AE4000">
        <v>0</v>
      </c>
      <c r="AG4000">
        <v>0</v>
      </c>
    </row>
    <row r="4001" spans="31:33">
      <c r="AE4001">
        <v>0</v>
      </c>
      <c r="AG4001">
        <v>0</v>
      </c>
    </row>
    <row r="4002" spans="31:33">
      <c r="AE4002">
        <v>0</v>
      </c>
      <c r="AG4002">
        <v>0</v>
      </c>
    </row>
    <row r="4003" spans="31:33">
      <c r="AE4003">
        <v>0</v>
      </c>
      <c r="AG4003">
        <v>0</v>
      </c>
    </row>
    <row r="4004" spans="31:33">
      <c r="AE4004">
        <v>0</v>
      </c>
      <c r="AG4004">
        <v>0</v>
      </c>
    </row>
    <row r="4005" spans="31:33">
      <c r="AE4005">
        <v>0</v>
      </c>
      <c r="AG4005">
        <v>0</v>
      </c>
    </row>
    <row r="4006" spans="31:33">
      <c r="AE4006">
        <v>0</v>
      </c>
      <c r="AG4006">
        <v>0</v>
      </c>
    </row>
    <row r="4007" spans="31:33">
      <c r="AE4007">
        <v>0</v>
      </c>
      <c r="AG4007">
        <v>0</v>
      </c>
    </row>
    <row r="4008" spans="31:33">
      <c r="AE4008">
        <v>0</v>
      </c>
      <c r="AG4008">
        <v>0</v>
      </c>
    </row>
    <row r="4009" spans="31:33">
      <c r="AE4009">
        <v>0</v>
      </c>
      <c r="AG4009">
        <v>0</v>
      </c>
    </row>
    <row r="4010" spans="31:33">
      <c r="AE4010">
        <v>0</v>
      </c>
      <c r="AG4010">
        <v>0</v>
      </c>
    </row>
    <row r="4011" spans="31:33">
      <c r="AE4011">
        <v>0</v>
      </c>
      <c r="AG4011">
        <v>0</v>
      </c>
    </row>
    <row r="4012" spans="31:33">
      <c r="AE4012" s="31">
        <v>11418289.199999999</v>
      </c>
      <c r="AG4012" s="31">
        <v>11418460.4</v>
      </c>
    </row>
    <row r="4013" spans="31:33">
      <c r="AE4013">
        <v>0</v>
      </c>
      <c r="AG4013">
        <v>0</v>
      </c>
    </row>
    <row r="4014" spans="31:33">
      <c r="AE4014">
        <v>0</v>
      </c>
      <c r="AG4014">
        <v>0</v>
      </c>
    </row>
    <row r="4015" spans="31:33">
      <c r="AE4015">
        <v>0</v>
      </c>
      <c r="AG4015">
        <v>0</v>
      </c>
    </row>
    <row r="4016" spans="31:33">
      <c r="AE4016">
        <v>0</v>
      </c>
      <c r="AG4016">
        <v>0</v>
      </c>
    </row>
    <row r="4017" spans="31:33">
      <c r="AE4017">
        <v>0</v>
      </c>
      <c r="AG4017">
        <v>0</v>
      </c>
    </row>
    <row r="4018" spans="31:33">
      <c r="AE4018" s="31">
        <v>34026000</v>
      </c>
      <c r="AG4018" s="31">
        <v>34026000</v>
      </c>
    </row>
    <row r="4019" spans="31:33">
      <c r="AE4019">
        <v>0</v>
      </c>
      <c r="AG4019">
        <v>0</v>
      </c>
    </row>
    <row r="4020" spans="31:33">
      <c r="AE4020" s="31">
        <v>770253.26</v>
      </c>
      <c r="AG4020" s="31">
        <v>962874.42</v>
      </c>
    </row>
    <row r="4021" spans="31:33">
      <c r="AE4021">
        <v>0</v>
      </c>
      <c r="AG4021">
        <v>0</v>
      </c>
    </row>
    <row r="4022" spans="31:33">
      <c r="AE4022">
        <v>0</v>
      </c>
      <c r="AG4022">
        <v>0</v>
      </c>
    </row>
    <row r="4023" spans="31:33">
      <c r="AE4023">
        <v>0</v>
      </c>
      <c r="AG4023">
        <v>0</v>
      </c>
    </row>
    <row r="4024" spans="31:33">
      <c r="AE4024">
        <v>0</v>
      </c>
      <c r="AG4024">
        <v>0</v>
      </c>
    </row>
    <row r="4025" spans="31:33">
      <c r="AE4025">
        <v>0</v>
      </c>
      <c r="AG4025">
        <v>0</v>
      </c>
    </row>
    <row r="4026" spans="31:33">
      <c r="AE4026" s="31">
        <v>-8181957.2999999998</v>
      </c>
      <c r="AG4026" s="31">
        <v>-8181980.9000000004</v>
      </c>
    </row>
    <row r="4027" spans="31:33">
      <c r="AE4027">
        <v>0</v>
      </c>
      <c r="AG4027">
        <v>0</v>
      </c>
    </row>
    <row r="4028" spans="31:33">
      <c r="AE4028">
        <v>0</v>
      </c>
      <c r="AG4028">
        <v>0</v>
      </c>
    </row>
    <row r="4029" spans="31:33">
      <c r="AE4029" s="31">
        <v>499600</v>
      </c>
      <c r="AG4029" s="31">
        <v>487635</v>
      </c>
    </row>
    <row r="4030" spans="31:33">
      <c r="AE4030">
        <v>0</v>
      </c>
      <c r="AG4030">
        <v>0</v>
      </c>
    </row>
    <row r="4031" spans="31:33">
      <c r="AE4031">
        <v>0</v>
      </c>
      <c r="AG4031">
        <v>0</v>
      </c>
    </row>
    <row r="4032" spans="31:33">
      <c r="AE4032">
        <v>0</v>
      </c>
      <c r="AG4032">
        <v>0</v>
      </c>
    </row>
    <row r="4033" spans="31:33">
      <c r="AE4033">
        <v>0</v>
      </c>
      <c r="AG4033">
        <v>0</v>
      </c>
    </row>
    <row r="4034" spans="31:33">
      <c r="AE4034">
        <v>0</v>
      </c>
      <c r="AG4034">
        <v>0</v>
      </c>
    </row>
    <row r="4035" spans="31:33">
      <c r="AE4035">
        <v>0</v>
      </c>
      <c r="AG4035">
        <v>0</v>
      </c>
    </row>
    <row r="4036" spans="31:33">
      <c r="AE4036" s="31">
        <v>2519360.04</v>
      </c>
      <c r="AG4036" s="31">
        <v>-2261724.39</v>
      </c>
    </row>
    <row r="4037" spans="31:33">
      <c r="AE4037">
        <v>0</v>
      </c>
      <c r="AG4037" s="31">
        <v>-62661.77</v>
      </c>
    </row>
    <row r="4038" spans="31:33">
      <c r="AE4038" s="31">
        <v>-725599.5</v>
      </c>
      <c r="AG4038" s="31">
        <v>-708531</v>
      </c>
    </row>
    <row r="4039" spans="31:33">
      <c r="AE4039">
        <v>0</v>
      </c>
      <c r="AG4039">
        <v>0</v>
      </c>
    </row>
    <row r="4040" spans="31:33">
      <c r="AE4040">
        <v>0</v>
      </c>
      <c r="AG4040">
        <v>0</v>
      </c>
    </row>
    <row r="4041" spans="31:33">
      <c r="AE4041">
        <v>0</v>
      </c>
      <c r="AG4041">
        <v>0</v>
      </c>
    </row>
    <row r="4042" spans="31:33">
      <c r="AE4042">
        <v>0</v>
      </c>
      <c r="AG4042">
        <v>0</v>
      </c>
    </row>
    <row r="4043" spans="31:33">
      <c r="AE4043">
        <v>0</v>
      </c>
      <c r="AG4043">
        <v>0</v>
      </c>
    </row>
    <row r="4044" spans="31:33">
      <c r="AE4044">
        <v>0</v>
      </c>
      <c r="AG4044">
        <v>0</v>
      </c>
    </row>
    <row r="4045" spans="31:33">
      <c r="AE4045">
        <v>0</v>
      </c>
      <c r="AG4045">
        <v>0</v>
      </c>
    </row>
    <row r="4046" spans="31:33">
      <c r="AE4046">
        <v>0</v>
      </c>
      <c r="AG4046" s="31">
        <v>96446.24</v>
      </c>
    </row>
    <row r="4047" spans="31:33">
      <c r="AE4047">
        <v>0</v>
      </c>
      <c r="AG4047">
        <v>0</v>
      </c>
    </row>
    <row r="4048" spans="31:33">
      <c r="AE4048">
        <v>0</v>
      </c>
      <c r="AG4048">
        <v>0</v>
      </c>
    </row>
    <row r="4049" spans="31:33">
      <c r="AE4049">
        <v>0</v>
      </c>
      <c r="AG4049">
        <v>0</v>
      </c>
    </row>
    <row r="4050" spans="31:33">
      <c r="AE4050">
        <v>0</v>
      </c>
      <c r="AG4050">
        <v>0</v>
      </c>
    </row>
    <row r="4051" spans="31:33">
      <c r="AE4051">
        <v>0</v>
      </c>
      <c r="AG4051">
        <v>0</v>
      </c>
    </row>
    <row r="4052" spans="31:33">
      <c r="AE4052">
        <v>0</v>
      </c>
      <c r="AG4052">
        <v>0</v>
      </c>
    </row>
    <row r="4053" spans="31:33">
      <c r="AE4053">
        <v>0</v>
      </c>
      <c r="AG4053">
        <v>0</v>
      </c>
    </row>
    <row r="4054" spans="31:33">
      <c r="AE4054">
        <v>0</v>
      </c>
      <c r="AG4054">
        <v>0</v>
      </c>
    </row>
    <row r="4055" spans="31:33">
      <c r="AE4055">
        <v>0</v>
      </c>
      <c r="AG4055">
        <v>0</v>
      </c>
    </row>
    <row r="4056" spans="31:33">
      <c r="AE4056">
        <v>0</v>
      </c>
      <c r="AG4056">
        <v>0</v>
      </c>
    </row>
    <row r="4057" spans="31:33">
      <c r="AE4057">
        <v>0</v>
      </c>
      <c r="AG4057">
        <v>0</v>
      </c>
    </row>
    <row r="4058" spans="31:33">
      <c r="AE4058">
        <v>0</v>
      </c>
      <c r="AG4058">
        <v>0</v>
      </c>
    </row>
    <row r="4059" spans="31:33">
      <c r="AE4059">
        <v>0</v>
      </c>
      <c r="AG4059">
        <v>0</v>
      </c>
    </row>
    <row r="4060" spans="31:33">
      <c r="AE4060">
        <v>0</v>
      </c>
      <c r="AG4060">
        <v>0</v>
      </c>
    </row>
    <row r="4061" spans="31:33">
      <c r="AE4061">
        <v>0</v>
      </c>
      <c r="AG4061">
        <v>0</v>
      </c>
    </row>
    <row r="4062" spans="31:33">
      <c r="AE4062">
        <v>0</v>
      </c>
      <c r="AG4062">
        <v>0</v>
      </c>
    </row>
    <row r="4063" spans="31:33">
      <c r="AE4063">
        <v>0</v>
      </c>
      <c r="AG4063">
        <v>0</v>
      </c>
    </row>
    <row r="4064" spans="31:33">
      <c r="AE4064">
        <v>0</v>
      </c>
      <c r="AG4064">
        <v>0</v>
      </c>
    </row>
    <row r="4065" spans="31:33">
      <c r="AE4065">
        <v>0</v>
      </c>
      <c r="AG4065">
        <v>0</v>
      </c>
    </row>
    <row r="4066" spans="31:33">
      <c r="AE4066">
        <v>0</v>
      </c>
      <c r="AG4066">
        <v>0</v>
      </c>
    </row>
    <row r="4067" spans="31:33">
      <c r="AE4067">
        <v>0</v>
      </c>
      <c r="AG4067">
        <v>0</v>
      </c>
    </row>
    <row r="4068" spans="31:33">
      <c r="AE4068">
        <v>0</v>
      </c>
      <c r="AG4068">
        <v>0</v>
      </c>
    </row>
    <row r="4069" spans="31:33">
      <c r="AE4069">
        <v>0</v>
      </c>
      <c r="AG4069">
        <v>0</v>
      </c>
    </row>
    <row r="4070" spans="31:33">
      <c r="AE4070">
        <v>0</v>
      </c>
      <c r="AG4070">
        <v>0</v>
      </c>
    </row>
    <row r="4071" spans="31:33">
      <c r="AE4071">
        <v>0</v>
      </c>
      <c r="AG4071">
        <v>0</v>
      </c>
    </row>
    <row r="4072" spans="31:33">
      <c r="AE4072">
        <v>0</v>
      </c>
      <c r="AG4072">
        <v>0</v>
      </c>
    </row>
    <row r="4073" spans="31:33">
      <c r="AE4073">
        <v>0</v>
      </c>
      <c r="AG4073">
        <v>0</v>
      </c>
    </row>
    <row r="4074" spans="31:33">
      <c r="AE4074">
        <v>0</v>
      </c>
      <c r="AG4074">
        <v>0</v>
      </c>
    </row>
    <row r="4075" spans="31:33">
      <c r="AE4075">
        <v>0</v>
      </c>
      <c r="AG4075">
        <v>0</v>
      </c>
    </row>
    <row r="4076" spans="31:33">
      <c r="AE4076">
        <v>0</v>
      </c>
      <c r="AG4076">
        <v>0</v>
      </c>
    </row>
    <row r="4077" spans="31:33">
      <c r="AE4077">
        <v>0</v>
      </c>
      <c r="AG4077">
        <v>0</v>
      </c>
    </row>
    <row r="4078" spans="31:33">
      <c r="AE4078">
        <v>0</v>
      </c>
      <c r="AG4078">
        <v>0</v>
      </c>
    </row>
    <row r="4079" spans="31:33">
      <c r="AE4079">
        <v>0</v>
      </c>
      <c r="AG4079">
        <v>0</v>
      </c>
    </row>
    <row r="4080" spans="31:33">
      <c r="AE4080">
        <v>0</v>
      </c>
      <c r="AG4080">
        <v>0</v>
      </c>
    </row>
    <row r="4081" spans="31:33">
      <c r="AE4081">
        <v>0</v>
      </c>
      <c r="AG4081">
        <v>0</v>
      </c>
    </row>
    <row r="4082" spans="31:33">
      <c r="AE4082">
        <v>0</v>
      </c>
      <c r="AG4082">
        <v>0</v>
      </c>
    </row>
    <row r="4083" spans="31:33">
      <c r="AE4083">
        <v>0</v>
      </c>
      <c r="AG4083">
        <v>0</v>
      </c>
    </row>
    <row r="4084" spans="31:33">
      <c r="AE4084">
        <v>0</v>
      </c>
      <c r="AG4084">
        <v>0</v>
      </c>
    </row>
    <row r="4085" spans="31:33">
      <c r="AE4085">
        <v>0</v>
      </c>
      <c r="AG4085">
        <v>0</v>
      </c>
    </row>
    <row r="4086" spans="31:33">
      <c r="AE4086">
        <v>0</v>
      </c>
      <c r="AG4086">
        <v>0</v>
      </c>
    </row>
    <row r="4087" spans="31:33">
      <c r="AE4087">
        <v>0</v>
      </c>
      <c r="AG4087">
        <v>0</v>
      </c>
    </row>
    <row r="4088" spans="31:33">
      <c r="AE4088">
        <v>0</v>
      </c>
      <c r="AG4088">
        <v>0</v>
      </c>
    </row>
    <row r="4089" spans="31:33">
      <c r="AE4089">
        <v>0</v>
      </c>
      <c r="AG4089">
        <v>0</v>
      </c>
    </row>
    <row r="4090" spans="31:33">
      <c r="AE4090">
        <v>0</v>
      </c>
      <c r="AG4090">
        <v>0</v>
      </c>
    </row>
    <row r="4091" spans="31:33">
      <c r="AE4091">
        <v>0</v>
      </c>
      <c r="AG4091">
        <v>0</v>
      </c>
    </row>
    <row r="4092" spans="31:33">
      <c r="AE4092">
        <v>0</v>
      </c>
      <c r="AG4092">
        <v>0</v>
      </c>
    </row>
    <row r="4093" spans="31:33">
      <c r="AE4093">
        <v>0</v>
      </c>
      <c r="AG4093">
        <v>0</v>
      </c>
    </row>
    <row r="4094" spans="31:33">
      <c r="AE4094">
        <v>0</v>
      </c>
      <c r="AG4094">
        <v>0</v>
      </c>
    </row>
    <row r="4095" spans="31:33">
      <c r="AE4095">
        <v>0</v>
      </c>
      <c r="AG4095">
        <v>0</v>
      </c>
    </row>
    <row r="4096" spans="31:33">
      <c r="AE4096">
        <v>0</v>
      </c>
      <c r="AG4096">
        <v>0</v>
      </c>
    </row>
    <row r="4097" spans="31:33">
      <c r="AE4097">
        <v>0</v>
      </c>
      <c r="AG4097">
        <v>0</v>
      </c>
    </row>
    <row r="4098" spans="31:33">
      <c r="AE4098">
        <v>0</v>
      </c>
      <c r="AG4098">
        <v>0</v>
      </c>
    </row>
    <row r="4099" spans="31:33">
      <c r="AE4099">
        <v>0</v>
      </c>
      <c r="AG4099">
        <v>0</v>
      </c>
    </row>
    <row r="4100" spans="31:33">
      <c r="AE4100">
        <v>0</v>
      </c>
      <c r="AG4100">
        <v>0</v>
      </c>
    </row>
    <row r="4101" spans="31:33">
      <c r="AE4101">
        <v>0</v>
      </c>
      <c r="AG4101">
        <v>0</v>
      </c>
    </row>
    <row r="4102" spans="31:33">
      <c r="AE4102">
        <v>0</v>
      </c>
      <c r="AG4102">
        <v>0</v>
      </c>
    </row>
    <row r="4103" spans="31:33">
      <c r="AE4103">
        <v>0</v>
      </c>
      <c r="AG4103">
        <v>0</v>
      </c>
    </row>
    <row r="4104" spans="31:33">
      <c r="AE4104">
        <v>0</v>
      </c>
      <c r="AG4104">
        <v>0</v>
      </c>
    </row>
    <row r="4105" spans="31:33">
      <c r="AE4105">
        <v>0</v>
      </c>
      <c r="AG4105">
        <v>0</v>
      </c>
    </row>
    <row r="4106" spans="31:33">
      <c r="AE4106">
        <v>0</v>
      </c>
      <c r="AG4106">
        <v>0</v>
      </c>
    </row>
    <row r="4107" spans="31:33">
      <c r="AE4107">
        <v>0</v>
      </c>
      <c r="AG4107">
        <v>0</v>
      </c>
    </row>
    <row r="4108" spans="31:33">
      <c r="AE4108">
        <v>0</v>
      </c>
      <c r="AG4108">
        <v>0</v>
      </c>
    </row>
    <row r="4109" spans="31:33">
      <c r="AE4109">
        <v>0</v>
      </c>
      <c r="AG4109">
        <v>0</v>
      </c>
    </row>
    <row r="4110" spans="31:33">
      <c r="AE4110">
        <v>0</v>
      </c>
      <c r="AG4110">
        <v>0</v>
      </c>
    </row>
    <row r="4111" spans="31:33">
      <c r="AE4111">
        <v>0</v>
      </c>
      <c r="AG4111">
        <v>0</v>
      </c>
    </row>
    <row r="4112" spans="31:33">
      <c r="AE4112">
        <v>0</v>
      </c>
      <c r="AG4112">
        <v>0</v>
      </c>
    </row>
    <row r="4113" spans="31:33">
      <c r="AE4113">
        <v>0</v>
      </c>
      <c r="AG4113">
        <v>0</v>
      </c>
    </row>
    <row r="4114" spans="31:33">
      <c r="AE4114">
        <v>0</v>
      </c>
      <c r="AG4114">
        <v>0</v>
      </c>
    </row>
    <row r="4115" spans="31:33">
      <c r="AE4115">
        <v>0</v>
      </c>
      <c r="AG4115">
        <v>0</v>
      </c>
    </row>
    <row r="4116" spans="31:33">
      <c r="AE4116">
        <v>0</v>
      </c>
      <c r="AG4116">
        <v>0</v>
      </c>
    </row>
    <row r="4117" spans="31:33">
      <c r="AE4117">
        <v>0</v>
      </c>
      <c r="AG4117">
        <v>0</v>
      </c>
    </row>
    <row r="4118" spans="31:33">
      <c r="AE4118">
        <v>0</v>
      </c>
      <c r="AG4118">
        <v>0</v>
      </c>
    </row>
    <row r="4119" spans="31:33">
      <c r="AE4119">
        <v>0</v>
      </c>
      <c r="AG4119">
        <v>0</v>
      </c>
    </row>
    <row r="4120" spans="31:33">
      <c r="AE4120">
        <v>0</v>
      </c>
      <c r="AG4120">
        <v>0</v>
      </c>
    </row>
    <row r="4121" spans="31:33">
      <c r="AE4121">
        <v>0</v>
      </c>
      <c r="AG4121">
        <v>0</v>
      </c>
    </row>
    <row r="4122" spans="31:33">
      <c r="AE4122">
        <v>0</v>
      </c>
      <c r="AG4122">
        <v>0</v>
      </c>
    </row>
    <row r="4123" spans="31:33">
      <c r="AE4123">
        <v>0</v>
      </c>
      <c r="AG4123">
        <v>0</v>
      </c>
    </row>
    <row r="4124" spans="31:33">
      <c r="AE4124">
        <v>0</v>
      </c>
      <c r="AG4124">
        <v>0</v>
      </c>
    </row>
    <row r="4125" spans="31:33">
      <c r="AE4125">
        <v>0</v>
      </c>
      <c r="AG4125">
        <v>0</v>
      </c>
    </row>
    <row r="4126" spans="31:33">
      <c r="AE4126">
        <v>0</v>
      </c>
      <c r="AG4126">
        <v>0</v>
      </c>
    </row>
    <row r="4127" spans="31:33">
      <c r="AE4127">
        <v>0</v>
      </c>
      <c r="AG4127">
        <v>0</v>
      </c>
    </row>
    <row r="4128" spans="31:33">
      <c r="AE4128">
        <v>0</v>
      </c>
      <c r="AG4128">
        <v>0</v>
      </c>
    </row>
    <row r="4129" spans="31:33">
      <c r="AE4129">
        <v>0</v>
      </c>
      <c r="AG4129">
        <v>0</v>
      </c>
    </row>
    <row r="4130" spans="31:33">
      <c r="AE4130">
        <v>0</v>
      </c>
      <c r="AG4130">
        <v>0</v>
      </c>
    </row>
    <row r="4131" spans="31:33">
      <c r="AE4131">
        <v>0</v>
      </c>
      <c r="AG4131">
        <v>0</v>
      </c>
    </row>
    <row r="4132" spans="31:33">
      <c r="AE4132">
        <v>0</v>
      </c>
      <c r="AG4132">
        <v>0</v>
      </c>
    </row>
    <row r="4133" spans="31:33">
      <c r="AE4133">
        <v>0</v>
      </c>
      <c r="AG4133">
        <v>0</v>
      </c>
    </row>
    <row r="4134" spans="31:33">
      <c r="AE4134">
        <v>0</v>
      </c>
      <c r="AG4134">
        <v>0</v>
      </c>
    </row>
    <row r="4135" spans="31:33">
      <c r="AE4135">
        <v>0</v>
      </c>
      <c r="AG4135">
        <v>0</v>
      </c>
    </row>
    <row r="4136" spans="31:33">
      <c r="AE4136">
        <v>0</v>
      </c>
      <c r="AG4136">
        <v>0</v>
      </c>
    </row>
    <row r="4137" spans="31:33">
      <c r="AE4137">
        <v>0</v>
      </c>
      <c r="AG4137">
        <v>0</v>
      </c>
    </row>
    <row r="4138" spans="31:33">
      <c r="AE4138" s="31">
        <v>9305961.2200000007</v>
      </c>
      <c r="AG4138" s="31">
        <v>12469277.75</v>
      </c>
    </row>
    <row r="4139" spans="31:33">
      <c r="AE4139">
        <v>0</v>
      </c>
      <c r="AG4139">
        <v>0</v>
      </c>
    </row>
    <row r="4140" spans="31:33">
      <c r="AE4140">
        <v>0</v>
      </c>
      <c r="AG4140">
        <v>0</v>
      </c>
    </row>
    <row r="4141" spans="31:33">
      <c r="AE4141" s="31">
        <v>-256002.23</v>
      </c>
      <c r="AG4141" s="31">
        <v>1780641.69</v>
      </c>
    </row>
    <row r="4142" spans="31:33">
      <c r="AE4142">
        <v>0</v>
      </c>
      <c r="AG4142">
        <v>0</v>
      </c>
    </row>
    <row r="4143" spans="31:33">
      <c r="AE4143">
        <v>0</v>
      </c>
      <c r="AG4143">
        <v>0</v>
      </c>
    </row>
    <row r="4144" spans="31:33">
      <c r="AE4144">
        <v>0</v>
      </c>
      <c r="AG4144">
        <v>0</v>
      </c>
    </row>
    <row r="4145" spans="31:33">
      <c r="AE4145">
        <v>0</v>
      </c>
      <c r="AG4145">
        <v>0</v>
      </c>
    </row>
    <row r="4146" spans="31:33">
      <c r="AE4146">
        <v>0</v>
      </c>
      <c r="AG4146">
        <v>0</v>
      </c>
    </row>
    <row r="4147" spans="31:33">
      <c r="AE4147">
        <v>0</v>
      </c>
      <c r="AG4147">
        <v>0</v>
      </c>
    </row>
    <row r="4148" spans="31:33">
      <c r="AE4148">
        <v>0</v>
      </c>
      <c r="AG4148">
        <v>0</v>
      </c>
    </row>
    <row r="4149" spans="31:33">
      <c r="AE4149">
        <v>0</v>
      </c>
      <c r="AG4149">
        <v>0</v>
      </c>
    </row>
    <row r="4150" spans="31:33">
      <c r="AE4150">
        <v>0</v>
      </c>
      <c r="AG4150">
        <v>0</v>
      </c>
    </row>
    <row r="4151" spans="31:33">
      <c r="AE4151">
        <v>0</v>
      </c>
      <c r="AG4151">
        <v>0</v>
      </c>
    </row>
    <row r="4152" spans="31:33">
      <c r="AE4152">
        <v>0</v>
      </c>
      <c r="AG4152">
        <v>0</v>
      </c>
    </row>
    <row r="4153" spans="31:33">
      <c r="AE4153">
        <v>0</v>
      </c>
      <c r="AG4153">
        <v>0</v>
      </c>
    </row>
    <row r="4154" spans="31:33">
      <c r="AE4154">
        <v>0</v>
      </c>
      <c r="AG4154">
        <v>0</v>
      </c>
    </row>
    <row r="4155" spans="31:33">
      <c r="AE4155">
        <v>0</v>
      </c>
      <c r="AG4155">
        <v>0</v>
      </c>
    </row>
    <row r="4156" spans="31:33">
      <c r="AE4156">
        <v>0</v>
      </c>
      <c r="AG4156">
        <v>0</v>
      </c>
    </row>
    <row r="4157" spans="31:33">
      <c r="AE4157">
        <v>0</v>
      </c>
      <c r="AG4157">
        <v>0</v>
      </c>
    </row>
    <row r="4158" spans="31:33">
      <c r="AE4158">
        <v>0</v>
      </c>
      <c r="AG4158">
        <v>0</v>
      </c>
    </row>
    <row r="4159" spans="31:33">
      <c r="AE4159">
        <v>0</v>
      </c>
      <c r="AG4159">
        <v>0</v>
      </c>
    </row>
    <row r="4160" spans="31:33">
      <c r="AE4160">
        <v>0</v>
      </c>
      <c r="AG4160">
        <v>0</v>
      </c>
    </row>
    <row r="4161" spans="31:33">
      <c r="AE4161">
        <v>0</v>
      </c>
      <c r="AG4161">
        <v>0</v>
      </c>
    </row>
    <row r="4162" spans="31:33">
      <c r="AE4162">
        <v>0</v>
      </c>
      <c r="AG4162">
        <v>0</v>
      </c>
    </row>
    <row r="4163" spans="31:33">
      <c r="AE4163">
        <v>0</v>
      </c>
      <c r="AG4163">
        <v>0</v>
      </c>
    </row>
    <row r="4164" spans="31:33">
      <c r="AE4164">
        <v>0</v>
      </c>
      <c r="AG4164">
        <v>0</v>
      </c>
    </row>
    <row r="4165" spans="31:33">
      <c r="AE4165">
        <v>0</v>
      </c>
      <c r="AG4165">
        <v>0</v>
      </c>
    </row>
    <row r="4166" spans="31:33">
      <c r="AE4166">
        <v>0</v>
      </c>
      <c r="AG4166">
        <v>0</v>
      </c>
    </row>
    <row r="4167" spans="31:33">
      <c r="AE4167">
        <v>0</v>
      </c>
      <c r="AG4167">
        <v>0</v>
      </c>
    </row>
    <row r="4168" spans="31:33">
      <c r="AE4168">
        <v>0</v>
      </c>
      <c r="AG4168">
        <v>0</v>
      </c>
    </row>
    <row r="4169" spans="31:33">
      <c r="AE4169">
        <v>0</v>
      </c>
      <c r="AG4169">
        <v>0</v>
      </c>
    </row>
    <row r="4170" spans="31:33">
      <c r="AE4170">
        <v>0</v>
      </c>
      <c r="AG4170">
        <v>0</v>
      </c>
    </row>
    <row r="4171" spans="31:33">
      <c r="AE4171">
        <v>0</v>
      </c>
      <c r="AG4171">
        <v>0</v>
      </c>
    </row>
    <row r="4172" spans="31:33">
      <c r="AE4172">
        <v>0</v>
      </c>
      <c r="AG4172">
        <v>0</v>
      </c>
    </row>
    <row r="4173" spans="31:33">
      <c r="AE4173">
        <v>0</v>
      </c>
      <c r="AG4173">
        <v>0</v>
      </c>
    </row>
    <row r="4174" spans="31:33">
      <c r="AE4174">
        <v>0</v>
      </c>
      <c r="AG4174">
        <v>0</v>
      </c>
    </row>
    <row r="4175" spans="31:33">
      <c r="AE4175">
        <v>0</v>
      </c>
      <c r="AG4175">
        <v>0</v>
      </c>
    </row>
    <row r="4176" spans="31:33">
      <c r="AE4176">
        <v>0</v>
      </c>
      <c r="AG4176">
        <v>0</v>
      </c>
    </row>
    <row r="4177" spans="31:33">
      <c r="AE4177">
        <v>0</v>
      </c>
      <c r="AG4177">
        <v>0</v>
      </c>
    </row>
    <row r="4178" spans="31:33">
      <c r="AE4178">
        <v>0</v>
      </c>
      <c r="AG4178">
        <v>0</v>
      </c>
    </row>
    <row r="4179" spans="31:33">
      <c r="AE4179">
        <v>0</v>
      </c>
      <c r="AG4179">
        <v>0</v>
      </c>
    </row>
    <row r="4180" spans="31:33">
      <c r="AE4180">
        <v>0</v>
      </c>
      <c r="AG4180">
        <v>0</v>
      </c>
    </row>
    <row r="4181" spans="31:33">
      <c r="AE4181">
        <v>0</v>
      </c>
      <c r="AG4181">
        <v>0</v>
      </c>
    </row>
    <row r="4182" spans="31:33">
      <c r="AE4182">
        <v>0</v>
      </c>
      <c r="AG4182">
        <v>0</v>
      </c>
    </row>
    <row r="4183" spans="31:33">
      <c r="AE4183">
        <v>0</v>
      </c>
      <c r="AG4183">
        <v>0</v>
      </c>
    </row>
    <row r="4184" spans="31:33">
      <c r="AE4184">
        <v>0</v>
      </c>
      <c r="AG4184">
        <v>0</v>
      </c>
    </row>
    <row r="4185" spans="31:33">
      <c r="AE4185">
        <v>0</v>
      </c>
      <c r="AG4185">
        <v>0</v>
      </c>
    </row>
    <row r="4186" spans="31:33">
      <c r="AE4186">
        <v>0</v>
      </c>
      <c r="AG4186">
        <v>0</v>
      </c>
    </row>
    <row r="4187" spans="31:33">
      <c r="AE4187">
        <v>0</v>
      </c>
      <c r="AG4187">
        <v>0</v>
      </c>
    </row>
    <row r="4188" spans="31:33">
      <c r="AE4188">
        <v>0</v>
      </c>
      <c r="AG4188">
        <v>0</v>
      </c>
    </row>
    <row r="4189" spans="31:33">
      <c r="AE4189" s="31">
        <v>5599165.8399999999</v>
      </c>
      <c r="AG4189" s="31">
        <v>8497686.6799999997</v>
      </c>
    </row>
    <row r="4190" spans="31:33">
      <c r="AE4190">
        <v>0</v>
      </c>
      <c r="AG4190">
        <v>0</v>
      </c>
    </row>
    <row r="4191" spans="31:33">
      <c r="AE4191">
        <v>0</v>
      </c>
      <c r="AG4191">
        <v>0</v>
      </c>
    </row>
    <row r="4192" spans="31:33">
      <c r="AE4192">
        <v>0</v>
      </c>
      <c r="AG4192">
        <v>0</v>
      </c>
    </row>
    <row r="4193" spans="31:33">
      <c r="AE4193">
        <v>0</v>
      </c>
      <c r="AG4193">
        <v>0</v>
      </c>
    </row>
    <row r="4194" spans="31:33">
      <c r="AE4194">
        <v>0</v>
      </c>
      <c r="AG4194">
        <v>0</v>
      </c>
    </row>
    <row r="4195" spans="31:33">
      <c r="AE4195">
        <v>0</v>
      </c>
      <c r="AG4195">
        <v>0</v>
      </c>
    </row>
    <row r="4196" spans="31:33">
      <c r="AE4196">
        <v>0</v>
      </c>
      <c r="AG4196">
        <v>0</v>
      </c>
    </row>
    <row r="4197" spans="31:33">
      <c r="AE4197">
        <v>0</v>
      </c>
      <c r="AG4197">
        <v>0</v>
      </c>
    </row>
    <row r="4198" spans="31:33">
      <c r="AE4198">
        <v>0</v>
      </c>
      <c r="AG4198">
        <v>0</v>
      </c>
    </row>
    <row r="4199" spans="31:33">
      <c r="AE4199">
        <v>0</v>
      </c>
      <c r="AG4199">
        <v>0</v>
      </c>
    </row>
    <row r="4200" spans="31:33">
      <c r="AE4200">
        <v>0</v>
      </c>
      <c r="AG4200">
        <v>0</v>
      </c>
    </row>
    <row r="4201" spans="31:33">
      <c r="AE4201">
        <v>0</v>
      </c>
      <c r="AG4201">
        <v>0</v>
      </c>
    </row>
    <row r="4202" spans="31:33">
      <c r="AE4202">
        <v>0</v>
      </c>
      <c r="AG4202">
        <v>0</v>
      </c>
    </row>
    <row r="4203" spans="31:33">
      <c r="AE4203" s="31">
        <v>1043</v>
      </c>
      <c r="AG4203" s="31">
        <v>1043</v>
      </c>
    </row>
    <row r="4204" spans="31:33">
      <c r="AE4204">
        <v>0</v>
      </c>
      <c r="AG4204">
        <v>0</v>
      </c>
    </row>
    <row r="4205" spans="31:33">
      <c r="AE4205">
        <v>0</v>
      </c>
      <c r="AG4205">
        <v>0</v>
      </c>
    </row>
    <row r="4206" spans="31:33">
      <c r="AE4206">
        <v>0</v>
      </c>
      <c r="AG4206">
        <v>0</v>
      </c>
    </row>
    <row r="4207" spans="31:33">
      <c r="AE4207">
        <v>0</v>
      </c>
      <c r="AG4207">
        <v>0</v>
      </c>
    </row>
    <row r="4208" spans="31:33">
      <c r="AE4208">
        <v>0</v>
      </c>
      <c r="AG4208">
        <v>0</v>
      </c>
    </row>
    <row r="4209" spans="31:33">
      <c r="AE4209">
        <v>0</v>
      </c>
      <c r="AG4209">
        <v>0</v>
      </c>
    </row>
    <row r="4210" spans="31:33">
      <c r="AE4210">
        <v>0</v>
      </c>
      <c r="AG4210">
        <v>0</v>
      </c>
    </row>
    <row r="4211" spans="31:33">
      <c r="AE4211">
        <v>0</v>
      </c>
      <c r="AG4211">
        <v>0</v>
      </c>
    </row>
    <row r="4212" spans="31:33">
      <c r="AE4212">
        <v>0</v>
      </c>
      <c r="AG4212">
        <v>0</v>
      </c>
    </row>
    <row r="4213" spans="31:33">
      <c r="AE4213">
        <v>0</v>
      </c>
      <c r="AG4213">
        <v>0</v>
      </c>
    </row>
    <row r="4214" spans="31:33">
      <c r="AE4214">
        <v>0</v>
      </c>
      <c r="AG4214">
        <v>0</v>
      </c>
    </row>
    <row r="4215" spans="31:33">
      <c r="AE4215">
        <v>0</v>
      </c>
      <c r="AG4215">
        <v>0</v>
      </c>
    </row>
    <row r="4216" spans="31:33">
      <c r="AE4216">
        <v>0</v>
      </c>
      <c r="AG4216">
        <v>0</v>
      </c>
    </row>
    <row r="4217" spans="31:33">
      <c r="AE4217">
        <v>0</v>
      </c>
      <c r="AG4217">
        <v>0</v>
      </c>
    </row>
    <row r="4218" spans="31:33">
      <c r="AE4218">
        <v>0</v>
      </c>
      <c r="AG4218">
        <v>0</v>
      </c>
    </row>
    <row r="4219" spans="31:33">
      <c r="AE4219">
        <v>0</v>
      </c>
      <c r="AG4219">
        <v>0</v>
      </c>
    </row>
    <row r="4220" spans="31:33">
      <c r="AE4220">
        <v>0</v>
      </c>
      <c r="AG4220">
        <v>0</v>
      </c>
    </row>
    <row r="4221" spans="31:33">
      <c r="AE4221">
        <v>0</v>
      </c>
      <c r="AG4221">
        <v>0</v>
      </c>
    </row>
    <row r="4222" spans="31:33">
      <c r="AE4222">
        <v>0</v>
      </c>
      <c r="AG4222">
        <v>0</v>
      </c>
    </row>
    <row r="4223" spans="31:33">
      <c r="AE4223">
        <v>0.91</v>
      </c>
      <c r="AG4223">
        <v>0.91</v>
      </c>
    </row>
    <row r="4224" spans="31:33">
      <c r="AE4224">
        <v>0</v>
      </c>
      <c r="AG4224">
        <v>0</v>
      </c>
    </row>
    <row r="4225" spans="31:33">
      <c r="AE4225">
        <v>0</v>
      </c>
      <c r="AG4225">
        <v>0</v>
      </c>
    </row>
    <row r="4226" spans="31:33">
      <c r="AE4226">
        <v>0</v>
      </c>
      <c r="AG4226">
        <v>0</v>
      </c>
    </row>
    <row r="4227" spans="31:33">
      <c r="AE4227">
        <v>0</v>
      </c>
      <c r="AG4227">
        <v>0</v>
      </c>
    </row>
    <row r="4228" spans="31:33">
      <c r="AE4228">
        <v>0</v>
      </c>
      <c r="AG4228">
        <v>0</v>
      </c>
    </row>
    <row r="4229" spans="31:33">
      <c r="AE4229">
        <v>0</v>
      </c>
      <c r="AG4229">
        <v>0</v>
      </c>
    </row>
    <row r="4230" spans="31:33">
      <c r="AE4230">
        <v>0</v>
      </c>
      <c r="AG4230">
        <v>0</v>
      </c>
    </row>
    <row r="4231" spans="31:33">
      <c r="AE4231">
        <v>0</v>
      </c>
      <c r="AG4231">
        <v>0</v>
      </c>
    </row>
    <row r="4232" spans="31:33">
      <c r="AE4232">
        <v>0</v>
      </c>
      <c r="AG4232">
        <v>0</v>
      </c>
    </row>
    <row r="4233" spans="31:33">
      <c r="AE4233">
        <v>-71.91</v>
      </c>
      <c r="AG4233">
        <v>-71.91</v>
      </c>
    </row>
    <row r="4234" spans="31:33">
      <c r="AE4234">
        <v>0</v>
      </c>
      <c r="AG4234">
        <v>0</v>
      </c>
    </row>
    <row r="4235" spans="31:33">
      <c r="AE4235">
        <v>0</v>
      </c>
      <c r="AG4235">
        <v>0</v>
      </c>
    </row>
    <row r="4236" spans="31:33">
      <c r="AE4236">
        <v>0</v>
      </c>
      <c r="AG4236">
        <v>0</v>
      </c>
    </row>
    <row r="4237" spans="31:33">
      <c r="AE4237">
        <v>0</v>
      </c>
      <c r="AG4237">
        <v>0</v>
      </c>
    </row>
    <row r="4238" spans="31:33">
      <c r="AE4238">
        <v>0</v>
      </c>
      <c r="AG4238">
        <v>0</v>
      </c>
    </row>
    <row r="4239" spans="31:33">
      <c r="AE4239">
        <v>0</v>
      </c>
      <c r="AG4239">
        <v>0</v>
      </c>
    </row>
    <row r="4240" spans="31:33">
      <c r="AE4240">
        <v>0</v>
      </c>
      <c r="AG4240">
        <v>0</v>
      </c>
    </row>
    <row r="4241" spans="31:33">
      <c r="AE4241">
        <v>0</v>
      </c>
      <c r="AG4241">
        <v>0</v>
      </c>
    </row>
    <row r="4242" spans="31:33">
      <c r="AE4242">
        <v>0</v>
      </c>
      <c r="AG4242">
        <v>0</v>
      </c>
    </row>
    <row r="4243" spans="31:33">
      <c r="AE4243">
        <v>0</v>
      </c>
      <c r="AG4243">
        <v>0</v>
      </c>
    </row>
    <row r="4244" spans="31:33">
      <c r="AE4244">
        <v>0</v>
      </c>
      <c r="AG4244">
        <v>0</v>
      </c>
    </row>
    <row r="4245" spans="31:33">
      <c r="AE4245">
        <v>0</v>
      </c>
      <c r="AG4245">
        <v>0</v>
      </c>
    </row>
    <row r="4246" spans="31:33">
      <c r="AE4246">
        <v>0</v>
      </c>
      <c r="AG4246">
        <v>0</v>
      </c>
    </row>
    <row r="4247" spans="31:33">
      <c r="AE4247">
        <v>0</v>
      </c>
      <c r="AG4247">
        <v>0</v>
      </c>
    </row>
    <row r="4248" spans="31:33">
      <c r="AE4248">
        <v>0</v>
      </c>
      <c r="AG4248">
        <v>0</v>
      </c>
    </row>
    <row r="4249" spans="31:33">
      <c r="AE4249">
        <v>0</v>
      </c>
      <c r="AG4249">
        <v>0</v>
      </c>
    </row>
    <row r="4250" spans="31:33">
      <c r="AE4250">
        <v>0</v>
      </c>
      <c r="AG4250">
        <v>0</v>
      </c>
    </row>
    <row r="4251" spans="31:33">
      <c r="AE4251">
        <v>0</v>
      </c>
      <c r="AG4251">
        <v>0</v>
      </c>
    </row>
    <row r="4252" spans="31:33">
      <c r="AE4252">
        <v>0</v>
      </c>
      <c r="AG4252">
        <v>0</v>
      </c>
    </row>
    <row r="4253" spans="31:33">
      <c r="AE4253">
        <v>0</v>
      </c>
      <c r="AG4253">
        <v>0</v>
      </c>
    </row>
    <row r="4254" spans="31:33">
      <c r="AE4254">
        <v>0</v>
      </c>
      <c r="AG4254">
        <v>0</v>
      </c>
    </row>
    <row r="4255" spans="31:33">
      <c r="AE4255">
        <v>0</v>
      </c>
      <c r="AG4255">
        <v>0</v>
      </c>
    </row>
    <row r="4256" spans="31:33">
      <c r="AE4256">
        <v>0</v>
      </c>
      <c r="AG4256">
        <v>0</v>
      </c>
    </row>
    <row r="4257" spans="31:33">
      <c r="AE4257">
        <v>0</v>
      </c>
      <c r="AG4257">
        <v>0</v>
      </c>
    </row>
    <row r="4258" spans="31:33">
      <c r="AE4258">
        <v>0</v>
      </c>
      <c r="AG4258">
        <v>0</v>
      </c>
    </row>
    <row r="4259" spans="31:33">
      <c r="AE4259">
        <v>0</v>
      </c>
      <c r="AG4259">
        <v>0</v>
      </c>
    </row>
    <row r="4260" spans="31:33">
      <c r="AE4260">
        <v>0</v>
      </c>
      <c r="AG4260">
        <v>0</v>
      </c>
    </row>
    <row r="4261" spans="31:33">
      <c r="AE4261">
        <v>0</v>
      </c>
      <c r="AG4261">
        <v>0</v>
      </c>
    </row>
    <row r="4262" spans="31:33">
      <c r="AE4262">
        <v>0</v>
      </c>
      <c r="AG4262">
        <v>0</v>
      </c>
    </row>
    <row r="4263" spans="31:33">
      <c r="AE4263">
        <v>0</v>
      </c>
      <c r="AG4263">
        <v>0</v>
      </c>
    </row>
    <row r="4264" spans="31:33">
      <c r="AE4264">
        <v>0</v>
      </c>
      <c r="AG4264">
        <v>0</v>
      </c>
    </row>
    <row r="4265" spans="31:33">
      <c r="AE4265">
        <v>0</v>
      </c>
      <c r="AG4265">
        <v>0</v>
      </c>
    </row>
    <row r="4266" spans="31:33">
      <c r="AE4266">
        <v>0</v>
      </c>
      <c r="AG4266">
        <v>0</v>
      </c>
    </row>
    <row r="4267" spans="31:33">
      <c r="AE4267">
        <v>0</v>
      </c>
      <c r="AG4267">
        <v>0</v>
      </c>
    </row>
    <row r="4268" spans="31:33">
      <c r="AE4268">
        <v>0</v>
      </c>
      <c r="AG4268">
        <v>0</v>
      </c>
    </row>
    <row r="4269" spans="31:33">
      <c r="AE4269">
        <v>0</v>
      </c>
      <c r="AG4269">
        <v>0</v>
      </c>
    </row>
    <row r="4270" spans="31:33">
      <c r="AE4270">
        <v>0</v>
      </c>
      <c r="AG4270">
        <v>0</v>
      </c>
    </row>
    <row r="4271" spans="31:33">
      <c r="AE4271">
        <v>0</v>
      </c>
      <c r="AG4271">
        <v>0</v>
      </c>
    </row>
    <row r="4272" spans="31:33">
      <c r="AE4272">
        <v>0</v>
      </c>
      <c r="AG4272">
        <v>0</v>
      </c>
    </row>
    <row r="4273" spans="31:33">
      <c r="AE4273">
        <v>0</v>
      </c>
      <c r="AG4273">
        <v>0</v>
      </c>
    </row>
    <row r="4274" spans="31:33">
      <c r="AE4274">
        <v>0</v>
      </c>
      <c r="AG4274">
        <v>0</v>
      </c>
    </row>
    <row r="4275" spans="31:33">
      <c r="AE4275">
        <v>0</v>
      </c>
      <c r="AG4275">
        <v>0</v>
      </c>
    </row>
    <row r="4276" spans="31:33">
      <c r="AE4276">
        <v>0</v>
      </c>
      <c r="AG4276">
        <v>0</v>
      </c>
    </row>
    <row r="4277" spans="31:33">
      <c r="AE4277">
        <v>0</v>
      </c>
      <c r="AG4277">
        <v>0</v>
      </c>
    </row>
    <row r="4278" spans="31:33">
      <c r="AE4278">
        <v>0</v>
      </c>
      <c r="AG4278">
        <v>0</v>
      </c>
    </row>
    <row r="4279" spans="31:33">
      <c r="AE4279">
        <v>0</v>
      </c>
      <c r="AG4279">
        <v>0</v>
      </c>
    </row>
    <row r="4280" spans="31:33">
      <c r="AE4280">
        <v>0</v>
      </c>
      <c r="AG4280">
        <v>0</v>
      </c>
    </row>
    <row r="4281" spans="31:33">
      <c r="AE4281">
        <v>0</v>
      </c>
      <c r="AG4281">
        <v>0</v>
      </c>
    </row>
    <row r="4282" spans="31:33">
      <c r="AE4282">
        <v>0</v>
      </c>
      <c r="AG4282">
        <v>0</v>
      </c>
    </row>
    <row r="4283" spans="31:33">
      <c r="AE4283">
        <v>0</v>
      </c>
      <c r="AG4283">
        <v>0</v>
      </c>
    </row>
    <row r="4284" spans="31:33">
      <c r="AE4284">
        <v>0</v>
      </c>
      <c r="AG4284">
        <v>0</v>
      </c>
    </row>
    <row r="4285" spans="31:33">
      <c r="AE4285">
        <v>0</v>
      </c>
      <c r="AG4285">
        <v>0</v>
      </c>
    </row>
    <row r="4286" spans="31:33">
      <c r="AE4286">
        <v>0</v>
      </c>
      <c r="AG4286">
        <v>0</v>
      </c>
    </row>
    <row r="4287" spans="31:33">
      <c r="AE4287">
        <v>0</v>
      </c>
      <c r="AG4287">
        <v>0</v>
      </c>
    </row>
    <row r="4288" spans="31:33">
      <c r="AE4288">
        <v>0</v>
      </c>
      <c r="AG4288">
        <v>0</v>
      </c>
    </row>
    <row r="4289" spans="31:33">
      <c r="AE4289">
        <v>0</v>
      </c>
      <c r="AG4289">
        <v>0</v>
      </c>
    </row>
    <row r="4290" spans="31:33">
      <c r="AE4290">
        <v>0</v>
      </c>
      <c r="AG4290">
        <v>0</v>
      </c>
    </row>
    <row r="4291" spans="31:33">
      <c r="AE4291">
        <v>0</v>
      </c>
      <c r="AG4291">
        <v>0</v>
      </c>
    </row>
    <row r="4292" spans="31:33">
      <c r="AE4292">
        <v>0</v>
      </c>
      <c r="AG4292">
        <v>0</v>
      </c>
    </row>
    <row r="4293" spans="31:33">
      <c r="AE4293">
        <v>0</v>
      </c>
      <c r="AG4293">
        <v>0</v>
      </c>
    </row>
    <row r="4294" spans="31:33">
      <c r="AE4294">
        <v>0</v>
      </c>
      <c r="AG4294">
        <v>0</v>
      </c>
    </row>
    <row r="4295" spans="31:33">
      <c r="AE4295">
        <v>0</v>
      </c>
      <c r="AG4295">
        <v>0</v>
      </c>
    </row>
    <row r="4296" spans="31:33">
      <c r="AE4296">
        <v>0</v>
      </c>
      <c r="AG4296">
        <v>0</v>
      </c>
    </row>
    <row r="4297" spans="31:33">
      <c r="AE4297">
        <v>0</v>
      </c>
      <c r="AG4297">
        <v>0</v>
      </c>
    </row>
    <row r="4298" spans="31:33">
      <c r="AE4298">
        <v>0</v>
      </c>
      <c r="AG4298">
        <v>0</v>
      </c>
    </row>
    <row r="4299" spans="31:33">
      <c r="AE4299">
        <v>0</v>
      </c>
      <c r="AG4299">
        <v>0</v>
      </c>
    </row>
    <row r="4300" spans="31:33">
      <c r="AE4300">
        <v>0</v>
      </c>
      <c r="AG4300">
        <v>0</v>
      </c>
    </row>
    <row r="4301" spans="31:33">
      <c r="AE4301">
        <v>0</v>
      </c>
      <c r="AG4301">
        <v>0</v>
      </c>
    </row>
    <row r="4302" spans="31:33">
      <c r="AE4302">
        <v>0</v>
      </c>
      <c r="AG4302">
        <v>0</v>
      </c>
    </row>
    <row r="4303" spans="31:33">
      <c r="AE4303">
        <v>0</v>
      </c>
      <c r="AG4303">
        <v>0</v>
      </c>
    </row>
    <row r="4304" spans="31:33">
      <c r="AE4304">
        <v>0</v>
      </c>
      <c r="AG4304">
        <v>0</v>
      </c>
    </row>
    <row r="4305" spans="31:33">
      <c r="AE4305">
        <v>0</v>
      </c>
      <c r="AG4305">
        <v>0</v>
      </c>
    </row>
    <row r="4306" spans="31:33">
      <c r="AE4306">
        <v>0</v>
      </c>
      <c r="AG4306">
        <v>0</v>
      </c>
    </row>
    <row r="4307" spans="31:33">
      <c r="AE4307">
        <v>0</v>
      </c>
      <c r="AG4307">
        <v>0</v>
      </c>
    </row>
    <row r="4308" spans="31:33">
      <c r="AE4308">
        <v>0</v>
      </c>
      <c r="AG4308">
        <v>0</v>
      </c>
    </row>
    <row r="4309" spans="31:33">
      <c r="AE4309">
        <v>0</v>
      </c>
      <c r="AG4309">
        <v>0</v>
      </c>
    </row>
    <row r="4310" spans="31:33">
      <c r="AE4310">
        <v>0</v>
      </c>
      <c r="AG4310">
        <v>0</v>
      </c>
    </row>
    <row r="4311" spans="31:33">
      <c r="AE4311">
        <v>0</v>
      </c>
      <c r="AG4311">
        <v>0</v>
      </c>
    </row>
    <row r="4312" spans="31:33">
      <c r="AE4312">
        <v>0</v>
      </c>
      <c r="AG4312">
        <v>0</v>
      </c>
    </row>
    <row r="4313" spans="31:33">
      <c r="AE4313">
        <v>0</v>
      </c>
      <c r="AG4313">
        <v>0</v>
      </c>
    </row>
    <row r="4314" spans="31:33">
      <c r="AE4314">
        <v>0</v>
      </c>
      <c r="AG4314">
        <v>0</v>
      </c>
    </row>
    <row r="4315" spans="31:33">
      <c r="AE4315">
        <v>0</v>
      </c>
      <c r="AG4315">
        <v>0</v>
      </c>
    </row>
    <row r="4316" spans="31:33">
      <c r="AE4316">
        <v>0</v>
      </c>
      <c r="AG4316">
        <v>0</v>
      </c>
    </row>
    <row r="4317" spans="31:33">
      <c r="AE4317">
        <v>0</v>
      </c>
      <c r="AG4317">
        <v>0</v>
      </c>
    </row>
    <row r="4318" spans="31:33">
      <c r="AE4318">
        <v>0</v>
      </c>
      <c r="AG4318">
        <v>0</v>
      </c>
    </row>
    <row r="4319" spans="31:33">
      <c r="AE4319">
        <v>0</v>
      </c>
      <c r="AG4319">
        <v>0</v>
      </c>
    </row>
    <row r="4320" spans="31:33">
      <c r="AE4320">
        <v>0</v>
      </c>
      <c r="AG4320">
        <v>0</v>
      </c>
    </row>
    <row r="4321" spans="31:33">
      <c r="AE4321">
        <v>0</v>
      </c>
      <c r="AG4321">
        <v>0</v>
      </c>
    </row>
    <row r="4322" spans="31:33">
      <c r="AE4322">
        <v>0</v>
      </c>
      <c r="AG4322">
        <v>0</v>
      </c>
    </row>
    <row r="4323" spans="31:33">
      <c r="AE4323">
        <v>0</v>
      </c>
      <c r="AG4323">
        <v>0</v>
      </c>
    </row>
    <row r="4324" spans="31:33">
      <c r="AE4324">
        <v>0</v>
      </c>
      <c r="AG4324">
        <v>0</v>
      </c>
    </row>
    <row r="4325" spans="31:33">
      <c r="AE4325">
        <v>0</v>
      </c>
      <c r="AG4325">
        <v>0</v>
      </c>
    </row>
    <row r="4326" spans="31:33">
      <c r="AE4326">
        <v>0</v>
      </c>
      <c r="AG4326">
        <v>0</v>
      </c>
    </row>
    <row r="4327" spans="31:33">
      <c r="AE4327">
        <v>0</v>
      </c>
      <c r="AG4327">
        <v>0</v>
      </c>
    </row>
    <row r="4328" spans="31:33">
      <c r="AE4328">
        <v>0</v>
      </c>
      <c r="AG4328">
        <v>0</v>
      </c>
    </row>
    <row r="4329" spans="31:33">
      <c r="AE4329">
        <v>0</v>
      </c>
      <c r="AG4329">
        <v>0</v>
      </c>
    </row>
    <row r="4330" spans="31:33">
      <c r="AE4330">
        <v>0</v>
      </c>
      <c r="AG4330">
        <v>0</v>
      </c>
    </row>
    <row r="4331" spans="31:33">
      <c r="AE4331">
        <v>0</v>
      </c>
      <c r="AG4331">
        <v>0</v>
      </c>
    </row>
    <row r="4332" spans="31:33">
      <c r="AE4332">
        <v>0</v>
      </c>
      <c r="AG4332">
        <v>0</v>
      </c>
    </row>
    <row r="4333" spans="31:33">
      <c r="AE4333">
        <v>0</v>
      </c>
      <c r="AG4333">
        <v>0</v>
      </c>
    </row>
    <row r="4334" spans="31:33">
      <c r="AE4334">
        <v>0</v>
      </c>
      <c r="AG4334">
        <v>0</v>
      </c>
    </row>
    <row r="4335" spans="31:33">
      <c r="AE4335">
        <v>0</v>
      </c>
      <c r="AG4335">
        <v>0</v>
      </c>
    </row>
    <row r="4336" spans="31:33">
      <c r="AE4336">
        <v>0</v>
      </c>
      <c r="AG4336">
        <v>0</v>
      </c>
    </row>
    <row r="4337" spans="31:33">
      <c r="AE4337">
        <v>0</v>
      </c>
      <c r="AG4337">
        <v>0</v>
      </c>
    </row>
    <row r="4338" spans="31:33">
      <c r="AE4338">
        <v>0</v>
      </c>
      <c r="AG4338">
        <v>0</v>
      </c>
    </row>
    <row r="4339" spans="31:33">
      <c r="AE4339">
        <v>0</v>
      </c>
      <c r="AG4339">
        <v>0</v>
      </c>
    </row>
    <row r="4340" spans="31:33">
      <c r="AE4340">
        <v>0</v>
      </c>
      <c r="AG4340">
        <v>0</v>
      </c>
    </row>
    <row r="4341" spans="31:33">
      <c r="AE4341">
        <v>0</v>
      </c>
      <c r="AG4341">
        <v>0</v>
      </c>
    </row>
    <row r="4342" spans="31:33">
      <c r="AE4342">
        <v>0</v>
      </c>
      <c r="AG4342">
        <v>0</v>
      </c>
    </row>
    <row r="4343" spans="31:33">
      <c r="AE4343">
        <v>0</v>
      </c>
      <c r="AG4343">
        <v>0</v>
      </c>
    </row>
    <row r="4344" spans="31:33">
      <c r="AE4344">
        <v>0</v>
      </c>
      <c r="AG4344">
        <v>0</v>
      </c>
    </row>
    <row r="4345" spans="31:33">
      <c r="AE4345">
        <v>0</v>
      </c>
      <c r="AG4345">
        <v>0</v>
      </c>
    </row>
    <row r="4346" spans="31:33">
      <c r="AE4346">
        <v>0</v>
      </c>
      <c r="AG4346">
        <v>0</v>
      </c>
    </row>
    <row r="4347" spans="31:33">
      <c r="AE4347">
        <v>0</v>
      </c>
      <c r="AG4347">
        <v>0</v>
      </c>
    </row>
    <row r="4348" spans="31:33">
      <c r="AE4348">
        <v>0</v>
      </c>
      <c r="AG4348">
        <v>0</v>
      </c>
    </row>
    <row r="4349" spans="31:33">
      <c r="AE4349">
        <v>0</v>
      </c>
      <c r="AG4349">
        <v>0</v>
      </c>
    </row>
    <row r="4350" spans="31:33">
      <c r="AE4350">
        <v>0</v>
      </c>
      <c r="AG4350">
        <v>0</v>
      </c>
    </row>
    <row r="4351" spans="31:33">
      <c r="AE4351">
        <v>0</v>
      </c>
      <c r="AG4351">
        <v>0</v>
      </c>
    </row>
    <row r="4352" spans="31:33">
      <c r="AE4352">
        <v>0</v>
      </c>
      <c r="AG4352">
        <v>0</v>
      </c>
    </row>
    <row r="4353" spans="31:33">
      <c r="AE4353">
        <v>0</v>
      </c>
      <c r="AG4353">
        <v>0</v>
      </c>
    </row>
    <row r="4354" spans="31:33">
      <c r="AE4354">
        <v>0</v>
      </c>
      <c r="AG4354">
        <v>0</v>
      </c>
    </row>
    <row r="4355" spans="31:33">
      <c r="AE4355">
        <v>0</v>
      </c>
      <c r="AG4355">
        <v>0</v>
      </c>
    </row>
    <row r="4356" spans="31:33">
      <c r="AE4356">
        <v>0</v>
      </c>
      <c r="AG4356">
        <v>0</v>
      </c>
    </row>
    <row r="4357" spans="31:33">
      <c r="AE4357">
        <v>0</v>
      </c>
      <c r="AG4357">
        <v>0</v>
      </c>
    </row>
    <row r="4358" spans="31:33">
      <c r="AE4358">
        <v>0</v>
      </c>
      <c r="AG4358">
        <v>0</v>
      </c>
    </row>
    <row r="4359" spans="31:33">
      <c r="AE4359">
        <v>0</v>
      </c>
      <c r="AG4359">
        <v>0</v>
      </c>
    </row>
    <row r="4360" spans="31:33">
      <c r="AE4360">
        <v>0</v>
      </c>
      <c r="AG4360">
        <v>0</v>
      </c>
    </row>
    <row r="4361" spans="31:33">
      <c r="AE4361">
        <v>0</v>
      </c>
      <c r="AG4361">
        <v>0</v>
      </c>
    </row>
    <row r="4362" spans="31:33">
      <c r="AE4362">
        <v>0</v>
      </c>
      <c r="AG4362">
        <v>0</v>
      </c>
    </row>
    <row r="4363" spans="31:33">
      <c r="AE4363">
        <v>0</v>
      </c>
      <c r="AG4363">
        <v>0</v>
      </c>
    </row>
    <row r="4364" spans="31:33">
      <c r="AE4364">
        <v>0</v>
      </c>
      <c r="AG4364">
        <v>0</v>
      </c>
    </row>
    <row r="4365" spans="31:33">
      <c r="AE4365">
        <v>0</v>
      </c>
      <c r="AG4365">
        <v>0</v>
      </c>
    </row>
    <row r="4366" spans="31:33">
      <c r="AE4366">
        <v>0</v>
      </c>
      <c r="AG4366">
        <v>0</v>
      </c>
    </row>
    <row r="4367" spans="31:33">
      <c r="AE4367">
        <v>0</v>
      </c>
      <c r="AG4367">
        <v>0</v>
      </c>
    </row>
    <row r="4368" spans="31:33">
      <c r="AE4368">
        <v>0</v>
      </c>
      <c r="AG4368">
        <v>0</v>
      </c>
    </row>
    <row r="4369" spans="31:33">
      <c r="AE4369">
        <v>0</v>
      </c>
      <c r="AG4369">
        <v>0</v>
      </c>
    </row>
    <row r="4370" spans="31:33">
      <c r="AE4370">
        <v>0</v>
      </c>
      <c r="AG4370">
        <v>0</v>
      </c>
    </row>
    <row r="4371" spans="31:33">
      <c r="AE4371">
        <v>0</v>
      </c>
      <c r="AG4371">
        <v>0</v>
      </c>
    </row>
    <row r="4372" spans="31:33">
      <c r="AE4372">
        <v>0</v>
      </c>
      <c r="AG4372">
        <v>0</v>
      </c>
    </row>
    <row r="4373" spans="31:33">
      <c r="AE4373">
        <v>0</v>
      </c>
      <c r="AG4373">
        <v>0</v>
      </c>
    </row>
    <row r="4374" spans="31:33">
      <c r="AE4374">
        <v>0</v>
      </c>
      <c r="AG4374">
        <v>0</v>
      </c>
    </row>
    <row r="4375" spans="31:33">
      <c r="AE4375">
        <v>0</v>
      </c>
      <c r="AG4375">
        <v>0</v>
      </c>
    </row>
    <row r="4376" spans="31:33">
      <c r="AE4376">
        <v>0</v>
      </c>
      <c r="AG4376">
        <v>0</v>
      </c>
    </row>
    <row r="4377" spans="31:33">
      <c r="AE4377">
        <v>0</v>
      </c>
      <c r="AG4377">
        <v>0</v>
      </c>
    </row>
    <row r="4378" spans="31:33">
      <c r="AE4378">
        <v>0</v>
      </c>
      <c r="AG4378">
        <v>0</v>
      </c>
    </row>
    <row r="4379" spans="31:33">
      <c r="AE4379">
        <v>0</v>
      </c>
      <c r="AG4379">
        <v>0</v>
      </c>
    </row>
    <row r="4380" spans="31:33">
      <c r="AE4380">
        <v>0</v>
      </c>
      <c r="AG4380">
        <v>0</v>
      </c>
    </row>
    <row r="4381" spans="31:33">
      <c r="AE4381">
        <v>0</v>
      </c>
      <c r="AG4381">
        <v>0</v>
      </c>
    </row>
    <row r="4382" spans="31:33">
      <c r="AE4382">
        <v>0</v>
      </c>
      <c r="AG4382">
        <v>0</v>
      </c>
    </row>
    <row r="4383" spans="31:33">
      <c r="AE4383">
        <v>0</v>
      </c>
      <c r="AG4383">
        <v>0</v>
      </c>
    </row>
    <row r="4384" spans="31:33">
      <c r="AE4384">
        <v>0</v>
      </c>
      <c r="AG4384">
        <v>0</v>
      </c>
    </row>
    <row r="4385" spans="31:33">
      <c r="AE4385">
        <v>0</v>
      </c>
      <c r="AG4385">
        <v>0</v>
      </c>
    </row>
    <row r="4386" spans="31:33">
      <c r="AE4386">
        <v>0</v>
      </c>
      <c r="AG4386">
        <v>0</v>
      </c>
    </row>
    <row r="4387" spans="31:33">
      <c r="AE4387" s="31">
        <v>-3941964</v>
      </c>
      <c r="AG4387" s="31">
        <v>-6231795.46</v>
      </c>
    </row>
    <row r="4388" spans="31:33">
      <c r="AE4388">
        <v>0</v>
      </c>
      <c r="AG4388">
        <v>0</v>
      </c>
    </row>
    <row r="4389" spans="31:33">
      <c r="AE4389">
        <v>0</v>
      </c>
      <c r="AG4389">
        <v>0</v>
      </c>
    </row>
    <row r="4390" spans="31:33">
      <c r="AE4390">
        <v>0</v>
      </c>
      <c r="AG4390">
        <v>0</v>
      </c>
    </row>
    <row r="4391" spans="31:33">
      <c r="AE4391" s="31">
        <v>503825.2</v>
      </c>
      <c r="AG4391" s="31">
        <v>503825.2</v>
      </c>
    </row>
    <row r="4392" spans="31:33">
      <c r="AE4392">
        <v>0</v>
      </c>
      <c r="AG4392">
        <v>0</v>
      </c>
    </row>
    <row r="4393" spans="31:33">
      <c r="AE4393">
        <v>0</v>
      </c>
      <c r="AG4393">
        <v>0</v>
      </c>
    </row>
    <row r="4394" spans="31:33">
      <c r="AE4394">
        <v>0</v>
      </c>
      <c r="AG4394">
        <v>0</v>
      </c>
    </row>
    <row r="4395" spans="31:33">
      <c r="AE4395">
        <v>0</v>
      </c>
      <c r="AG4395">
        <v>0</v>
      </c>
    </row>
    <row r="4396" spans="31:33">
      <c r="AE4396">
        <v>0</v>
      </c>
      <c r="AG4396">
        <v>0</v>
      </c>
    </row>
    <row r="4397" spans="31:33">
      <c r="AE4397">
        <v>0</v>
      </c>
      <c r="AG4397">
        <v>0</v>
      </c>
    </row>
    <row r="4398" spans="31:33">
      <c r="AE4398">
        <v>0</v>
      </c>
      <c r="AG4398">
        <v>0</v>
      </c>
    </row>
    <row r="4399" spans="31:33">
      <c r="AE4399">
        <v>0</v>
      </c>
      <c r="AG4399">
        <v>0</v>
      </c>
    </row>
    <row r="4400" spans="31:33">
      <c r="AE4400">
        <v>0</v>
      </c>
      <c r="AG4400">
        <v>0</v>
      </c>
    </row>
    <row r="4401" spans="31:33">
      <c r="AE4401">
        <v>0</v>
      </c>
      <c r="AG4401">
        <v>0</v>
      </c>
    </row>
    <row r="4402" spans="31:33">
      <c r="AE4402">
        <v>0</v>
      </c>
      <c r="AG4402">
        <v>0</v>
      </c>
    </row>
    <row r="4403" spans="31:33">
      <c r="AE4403">
        <v>0</v>
      </c>
      <c r="AG4403">
        <v>0</v>
      </c>
    </row>
    <row r="4404" spans="31:33">
      <c r="AE4404">
        <v>0</v>
      </c>
      <c r="AG4404">
        <v>0</v>
      </c>
    </row>
    <row r="4405" spans="31:33">
      <c r="AE4405">
        <v>0</v>
      </c>
      <c r="AG4405">
        <v>0</v>
      </c>
    </row>
    <row r="4406" spans="31:33">
      <c r="AE4406">
        <v>0</v>
      </c>
      <c r="AG4406">
        <v>0</v>
      </c>
    </row>
    <row r="4407" spans="31:33">
      <c r="AE4407">
        <v>0</v>
      </c>
      <c r="AG4407">
        <v>0</v>
      </c>
    </row>
    <row r="4408" spans="31:33">
      <c r="AE4408">
        <v>0</v>
      </c>
      <c r="AG4408">
        <v>0</v>
      </c>
    </row>
    <row r="4409" spans="31:33">
      <c r="AE4409">
        <v>0</v>
      </c>
      <c r="AG4409">
        <v>0</v>
      </c>
    </row>
    <row r="4410" spans="31:33">
      <c r="AE4410">
        <v>0</v>
      </c>
      <c r="AG4410">
        <v>0</v>
      </c>
    </row>
    <row r="4411" spans="31:33">
      <c r="AE4411">
        <v>0</v>
      </c>
      <c r="AG4411">
        <v>0</v>
      </c>
    </row>
    <row r="4412" spans="31:33">
      <c r="AE4412">
        <v>0</v>
      </c>
      <c r="AG4412">
        <v>0</v>
      </c>
    </row>
    <row r="4413" spans="31:33">
      <c r="AE4413">
        <v>0</v>
      </c>
      <c r="AG4413">
        <v>0</v>
      </c>
    </row>
    <row r="4414" spans="31:33">
      <c r="AE4414">
        <v>0</v>
      </c>
      <c r="AG4414">
        <v>0</v>
      </c>
    </row>
    <row r="4415" spans="31:33">
      <c r="AE4415">
        <v>0</v>
      </c>
      <c r="AG4415">
        <v>0</v>
      </c>
    </row>
    <row r="4416" spans="31:33">
      <c r="AE4416">
        <v>0</v>
      </c>
      <c r="AG4416">
        <v>0</v>
      </c>
    </row>
    <row r="4417" spans="31:33">
      <c r="AE4417">
        <v>0</v>
      </c>
      <c r="AG4417">
        <v>0</v>
      </c>
    </row>
    <row r="4418" spans="31:33">
      <c r="AE4418">
        <v>0</v>
      </c>
      <c r="AG4418">
        <v>0</v>
      </c>
    </row>
    <row r="4419" spans="31:33">
      <c r="AE4419">
        <v>0</v>
      </c>
      <c r="AG4419">
        <v>0</v>
      </c>
    </row>
    <row r="4420" spans="31:33">
      <c r="AE4420" s="31">
        <v>-1047863.85</v>
      </c>
      <c r="AG4420" s="31">
        <v>-1656553.23</v>
      </c>
    </row>
    <row r="4421" spans="31:33">
      <c r="AE4421">
        <v>0</v>
      </c>
      <c r="AG4421">
        <v>0</v>
      </c>
    </row>
    <row r="4422" spans="31:33">
      <c r="AE4422">
        <v>0</v>
      </c>
      <c r="AG4422">
        <v>0</v>
      </c>
    </row>
    <row r="4423" spans="31:33">
      <c r="AE4423">
        <v>0</v>
      </c>
      <c r="AG4423">
        <v>0</v>
      </c>
    </row>
    <row r="4424" spans="31:33">
      <c r="AE4424">
        <v>0</v>
      </c>
      <c r="AG4424">
        <v>0</v>
      </c>
    </row>
    <row r="4425" spans="31:33">
      <c r="AE4425">
        <v>0</v>
      </c>
      <c r="AG4425">
        <v>0</v>
      </c>
    </row>
    <row r="4426" spans="31:33">
      <c r="AE4426">
        <v>0</v>
      </c>
      <c r="AG4426">
        <v>0</v>
      </c>
    </row>
    <row r="4427" spans="31:33">
      <c r="AE4427">
        <v>0</v>
      </c>
      <c r="AG4427">
        <v>0</v>
      </c>
    </row>
    <row r="4428" spans="31:33">
      <c r="AE4428">
        <v>0</v>
      </c>
      <c r="AG4428">
        <v>0</v>
      </c>
    </row>
    <row r="4429" spans="31:33">
      <c r="AE4429">
        <v>0</v>
      </c>
      <c r="AG4429">
        <v>0</v>
      </c>
    </row>
    <row r="4430" spans="31:33">
      <c r="AE4430">
        <v>0</v>
      </c>
      <c r="AG4430">
        <v>0</v>
      </c>
    </row>
    <row r="4431" spans="31:33">
      <c r="AE4431">
        <v>0</v>
      </c>
      <c r="AG4431">
        <v>0</v>
      </c>
    </row>
    <row r="4432" spans="31:33">
      <c r="AE4432">
        <v>0</v>
      </c>
      <c r="AG4432">
        <v>0</v>
      </c>
    </row>
    <row r="4433" spans="31:33">
      <c r="AE4433">
        <v>0</v>
      </c>
      <c r="AG4433">
        <v>0</v>
      </c>
    </row>
    <row r="4434" spans="31:33">
      <c r="AE4434">
        <v>0</v>
      </c>
      <c r="AG4434">
        <v>0</v>
      </c>
    </row>
    <row r="4435" spans="31:33">
      <c r="AE4435">
        <v>0</v>
      </c>
      <c r="AG4435">
        <v>0</v>
      </c>
    </row>
    <row r="4436" spans="31:33">
      <c r="AE4436">
        <v>0</v>
      </c>
      <c r="AG4436">
        <v>0</v>
      </c>
    </row>
    <row r="4437" spans="31:33">
      <c r="AE4437" s="31">
        <v>269424.71000000002</v>
      </c>
      <c r="AG4437" s="31">
        <v>269424.71000000002</v>
      </c>
    </row>
    <row r="4438" spans="31:33">
      <c r="AE4438">
        <v>0</v>
      </c>
      <c r="AG4438">
        <v>0</v>
      </c>
    </row>
    <row r="4439" spans="31:33">
      <c r="AE4439">
        <v>0</v>
      </c>
      <c r="AG4439">
        <v>0</v>
      </c>
    </row>
    <row r="4440" spans="31:33">
      <c r="AE4440">
        <v>0</v>
      </c>
      <c r="AG4440">
        <v>0</v>
      </c>
    </row>
    <row r="4441" spans="31:33">
      <c r="AE4441">
        <v>0</v>
      </c>
      <c r="AG4441">
        <v>0</v>
      </c>
    </row>
    <row r="4442" spans="31:33">
      <c r="AE4442">
        <v>0</v>
      </c>
      <c r="AG4442">
        <v>0</v>
      </c>
    </row>
    <row r="4443" spans="31:33">
      <c r="AE4443">
        <v>0</v>
      </c>
      <c r="AG4443">
        <v>0</v>
      </c>
    </row>
    <row r="4444" spans="31:33">
      <c r="AE4444">
        <v>0</v>
      </c>
      <c r="AG4444">
        <v>0</v>
      </c>
    </row>
    <row r="4445" spans="31:33">
      <c r="AE4445">
        <v>0</v>
      </c>
      <c r="AG4445">
        <v>0</v>
      </c>
    </row>
    <row r="4446" spans="31:33">
      <c r="AE4446">
        <v>0</v>
      </c>
      <c r="AG4446">
        <v>0</v>
      </c>
    </row>
    <row r="4447" spans="31:33">
      <c r="AE4447">
        <v>0</v>
      </c>
      <c r="AG4447">
        <v>0</v>
      </c>
    </row>
    <row r="4448" spans="31:33">
      <c r="AE4448">
        <v>0</v>
      </c>
      <c r="AG4448">
        <v>0</v>
      </c>
    </row>
    <row r="4449" spans="31:33">
      <c r="AE4449">
        <v>0</v>
      </c>
      <c r="AG4449">
        <v>0</v>
      </c>
    </row>
    <row r="4450" spans="31:33">
      <c r="AE4450">
        <v>0</v>
      </c>
      <c r="AG4450">
        <v>0</v>
      </c>
    </row>
    <row r="4451" spans="31:33">
      <c r="AE4451">
        <v>0</v>
      </c>
      <c r="AG4451">
        <v>0</v>
      </c>
    </row>
    <row r="4452" spans="31:33">
      <c r="AE4452">
        <v>0</v>
      </c>
      <c r="AG4452">
        <v>0</v>
      </c>
    </row>
    <row r="4453" spans="31:33">
      <c r="AE4453">
        <v>0</v>
      </c>
      <c r="AG4453">
        <v>0</v>
      </c>
    </row>
    <row r="4454" spans="31:33">
      <c r="AE4454">
        <v>0</v>
      </c>
      <c r="AG4454">
        <v>0</v>
      </c>
    </row>
    <row r="4455" spans="31:33">
      <c r="AE4455">
        <v>0</v>
      </c>
      <c r="AG4455">
        <v>0</v>
      </c>
    </row>
    <row r="4456" spans="31:33">
      <c r="AE4456">
        <v>0</v>
      </c>
      <c r="AG4456">
        <v>0</v>
      </c>
    </row>
    <row r="4457" spans="31:33">
      <c r="AE4457">
        <v>0</v>
      </c>
      <c r="AG4457">
        <v>0</v>
      </c>
    </row>
    <row r="4458" spans="31:33">
      <c r="AE4458">
        <v>0</v>
      </c>
      <c r="AG4458">
        <v>0</v>
      </c>
    </row>
    <row r="4459" spans="31:33">
      <c r="AE4459">
        <v>0</v>
      </c>
      <c r="AG4459">
        <v>0</v>
      </c>
    </row>
    <row r="4460" spans="31:33">
      <c r="AE4460">
        <v>0</v>
      </c>
      <c r="AG4460">
        <v>0</v>
      </c>
    </row>
    <row r="4461" spans="31:33">
      <c r="AE4461">
        <v>0</v>
      </c>
      <c r="AG4461">
        <v>0</v>
      </c>
    </row>
    <row r="4462" spans="31:33">
      <c r="AE4462">
        <v>0</v>
      </c>
      <c r="AG4462">
        <v>0</v>
      </c>
    </row>
    <row r="4463" spans="31:33">
      <c r="AE4463">
        <v>0</v>
      </c>
      <c r="AG4463">
        <v>0</v>
      </c>
    </row>
    <row r="4464" spans="31:33">
      <c r="AE4464">
        <v>0</v>
      </c>
      <c r="AG4464">
        <v>0</v>
      </c>
    </row>
    <row r="4465" spans="31:33">
      <c r="AE4465">
        <v>0</v>
      </c>
      <c r="AG4465">
        <v>0</v>
      </c>
    </row>
    <row r="4466" spans="31:33">
      <c r="AE4466">
        <v>0</v>
      </c>
      <c r="AG4466">
        <v>0</v>
      </c>
    </row>
    <row r="4467" spans="31:33">
      <c r="AE4467">
        <v>0</v>
      </c>
      <c r="AG4467">
        <v>0</v>
      </c>
    </row>
    <row r="4468" spans="31:33">
      <c r="AE4468">
        <v>0</v>
      </c>
      <c r="AG4468">
        <v>0</v>
      </c>
    </row>
    <row r="4469" spans="31:33">
      <c r="AE4469">
        <v>0</v>
      </c>
      <c r="AG4469">
        <v>0</v>
      </c>
    </row>
    <row r="4470" spans="31:33">
      <c r="AE4470">
        <v>0</v>
      </c>
      <c r="AG4470">
        <v>0</v>
      </c>
    </row>
    <row r="4471" spans="31:33">
      <c r="AE4471">
        <v>0</v>
      </c>
      <c r="AG4471">
        <v>0</v>
      </c>
    </row>
    <row r="4472" spans="31:33">
      <c r="AE4472">
        <v>0</v>
      </c>
      <c r="AG4472">
        <v>0</v>
      </c>
    </row>
    <row r="4473" spans="31:33">
      <c r="AE4473">
        <v>0</v>
      </c>
      <c r="AG4473">
        <v>0</v>
      </c>
    </row>
    <row r="4474" spans="31:33">
      <c r="AE4474">
        <v>0</v>
      </c>
      <c r="AG4474">
        <v>0</v>
      </c>
    </row>
    <row r="4475" spans="31:33">
      <c r="AE4475">
        <v>0</v>
      </c>
      <c r="AG4475">
        <v>0</v>
      </c>
    </row>
    <row r="4476" spans="31:33">
      <c r="AE4476">
        <v>0</v>
      </c>
      <c r="AG4476">
        <v>0</v>
      </c>
    </row>
    <row r="4477" spans="31:33">
      <c r="AE4477">
        <v>0</v>
      </c>
      <c r="AG4477">
        <v>0</v>
      </c>
    </row>
    <row r="4478" spans="31:33">
      <c r="AE4478">
        <v>0</v>
      </c>
      <c r="AG4478">
        <v>0</v>
      </c>
    </row>
    <row r="4479" spans="31:33">
      <c r="AE4479">
        <v>0</v>
      </c>
      <c r="AG4479">
        <v>0</v>
      </c>
    </row>
    <row r="4480" spans="31:33">
      <c r="AE4480">
        <v>0</v>
      </c>
      <c r="AG4480">
        <v>0</v>
      </c>
    </row>
    <row r="4481" spans="31:33">
      <c r="AE4481">
        <v>0</v>
      </c>
      <c r="AG4481">
        <v>0</v>
      </c>
    </row>
    <row r="4482" spans="31:33">
      <c r="AE4482">
        <v>0</v>
      </c>
      <c r="AG4482">
        <v>0</v>
      </c>
    </row>
    <row r="4483" spans="31:33">
      <c r="AE4483">
        <v>0</v>
      </c>
      <c r="AG4483">
        <v>0</v>
      </c>
    </row>
    <row r="4484" spans="31:33">
      <c r="AE4484">
        <v>0</v>
      </c>
      <c r="AG4484">
        <v>0</v>
      </c>
    </row>
    <row r="4485" spans="31:33">
      <c r="AE4485">
        <v>0</v>
      </c>
      <c r="AG4485">
        <v>0</v>
      </c>
    </row>
    <row r="4486" spans="31:33">
      <c r="AE4486">
        <v>0</v>
      </c>
      <c r="AG4486">
        <v>0</v>
      </c>
    </row>
    <row r="4487" spans="31:33">
      <c r="AE4487">
        <v>0</v>
      </c>
      <c r="AG4487">
        <v>0</v>
      </c>
    </row>
    <row r="4488" spans="31:33">
      <c r="AE4488">
        <v>0</v>
      </c>
      <c r="AG4488">
        <v>0</v>
      </c>
    </row>
    <row r="4489" spans="31:33">
      <c r="AE4489">
        <v>0</v>
      </c>
      <c r="AG4489">
        <v>0</v>
      </c>
    </row>
    <row r="4490" spans="31:33">
      <c r="AE4490">
        <v>0</v>
      </c>
      <c r="AG4490">
        <v>0</v>
      </c>
    </row>
    <row r="4491" spans="31:33">
      <c r="AE4491">
        <v>0</v>
      </c>
      <c r="AG4491">
        <v>0</v>
      </c>
    </row>
    <row r="4492" spans="31:33">
      <c r="AE4492">
        <v>0</v>
      </c>
      <c r="AG4492">
        <v>0</v>
      </c>
    </row>
    <row r="4493" spans="31:33">
      <c r="AE4493">
        <v>0</v>
      </c>
      <c r="AG4493">
        <v>0</v>
      </c>
    </row>
    <row r="4494" spans="31:33">
      <c r="AE4494">
        <v>0</v>
      </c>
      <c r="AG4494">
        <v>0</v>
      </c>
    </row>
    <row r="4495" spans="31:33">
      <c r="AE4495">
        <v>0</v>
      </c>
      <c r="AG4495">
        <v>0</v>
      </c>
    </row>
    <row r="4496" spans="31:33">
      <c r="AE4496">
        <v>0</v>
      </c>
      <c r="AG4496">
        <v>0</v>
      </c>
    </row>
    <row r="4497" spans="31:33">
      <c r="AE4497">
        <v>0</v>
      </c>
      <c r="AG4497">
        <v>0</v>
      </c>
    </row>
    <row r="4498" spans="31:33">
      <c r="AE4498">
        <v>0</v>
      </c>
      <c r="AG4498">
        <v>0</v>
      </c>
    </row>
    <row r="4499" spans="31:33">
      <c r="AE4499">
        <v>0</v>
      </c>
      <c r="AG4499">
        <v>0</v>
      </c>
    </row>
    <row r="4500" spans="31:33">
      <c r="AE4500">
        <v>0</v>
      </c>
      <c r="AG4500">
        <v>0</v>
      </c>
    </row>
    <row r="4501" spans="31:33">
      <c r="AE4501">
        <v>0</v>
      </c>
      <c r="AG4501">
        <v>0</v>
      </c>
    </row>
    <row r="4502" spans="31:33">
      <c r="AE4502">
        <v>0</v>
      </c>
      <c r="AG4502">
        <v>0</v>
      </c>
    </row>
    <row r="4503" spans="31:33">
      <c r="AE4503">
        <v>0</v>
      </c>
      <c r="AG4503">
        <v>0</v>
      </c>
    </row>
    <row r="4504" spans="31:33">
      <c r="AE4504">
        <v>0</v>
      </c>
      <c r="AG4504">
        <v>0</v>
      </c>
    </row>
    <row r="4505" spans="31:33">
      <c r="AE4505">
        <v>0</v>
      </c>
      <c r="AG4505">
        <v>0</v>
      </c>
    </row>
    <row r="4506" spans="31:33">
      <c r="AE4506">
        <v>0</v>
      </c>
      <c r="AG4506">
        <v>0</v>
      </c>
    </row>
    <row r="4507" spans="31:33">
      <c r="AE4507">
        <v>0</v>
      </c>
      <c r="AG4507">
        <v>0</v>
      </c>
    </row>
    <row r="4508" spans="31:33">
      <c r="AE4508">
        <v>0</v>
      </c>
      <c r="AG4508">
        <v>0</v>
      </c>
    </row>
    <row r="4509" spans="31:33">
      <c r="AE4509">
        <v>0</v>
      </c>
      <c r="AG4509">
        <v>0</v>
      </c>
    </row>
    <row r="4510" spans="31:33">
      <c r="AE4510">
        <v>0</v>
      </c>
      <c r="AG4510">
        <v>0</v>
      </c>
    </row>
    <row r="4511" spans="31:33">
      <c r="AE4511">
        <v>0</v>
      </c>
      <c r="AG4511">
        <v>0</v>
      </c>
    </row>
    <row r="4512" spans="31:33">
      <c r="AE4512">
        <v>0</v>
      </c>
      <c r="AG4512">
        <v>0</v>
      </c>
    </row>
    <row r="4513" spans="31:33">
      <c r="AE4513">
        <v>0</v>
      </c>
      <c r="AG4513">
        <v>0</v>
      </c>
    </row>
    <row r="4514" spans="31:33">
      <c r="AE4514">
        <v>0</v>
      </c>
      <c r="AG4514">
        <v>0</v>
      </c>
    </row>
    <row r="4515" spans="31:33">
      <c r="AE4515">
        <v>0</v>
      </c>
      <c r="AG4515">
        <v>0</v>
      </c>
    </row>
    <row r="4516" spans="31:33">
      <c r="AE4516">
        <v>0</v>
      </c>
      <c r="AG4516">
        <v>0</v>
      </c>
    </row>
    <row r="4517" spans="31:33">
      <c r="AE4517">
        <v>0</v>
      </c>
      <c r="AG4517">
        <v>0</v>
      </c>
    </row>
    <row r="4518" spans="31:33">
      <c r="AE4518">
        <v>0</v>
      </c>
      <c r="AG4518">
        <v>0</v>
      </c>
    </row>
    <row r="4519" spans="31:33">
      <c r="AE4519" s="31">
        <v>1559145.47</v>
      </c>
      <c r="AG4519" s="31">
        <v>1521028.48</v>
      </c>
    </row>
    <row r="4520" spans="31:33">
      <c r="AE4520">
        <v>0</v>
      </c>
      <c r="AG4520">
        <v>0</v>
      </c>
    </row>
    <row r="4521" spans="31:33">
      <c r="AE4521">
        <v>0</v>
      </c>
      <c r="AG4521">
        <v>0</v>
      </c>
    </row>
    <row r="4522" spans="31:33">
      <c r="AE4522">
        <v>0</v>
      </c>
      <c r="AG4522">
        <v>0</v>
      </c>
    </row>
    <row r="4523" spans="31:33">
      <c r="AE4523" s="31">
        <v>72595148.760000005</v>
      </c>
      <c r="AG4523" s="31">
        <v>81632973.950000003</v>
      </c>
    </row>
    <row r="4524" spans="31:33">
      <c r="AE4524">
        <v>0</v>
      </c>
      <c r="AG4524">
        <v>0</v>
      </c>
    </row>
    <row r="4525" spans="31:33">
      <c r="AE4525">
        <v>0</v>
      </c>
      <c r="AG4525">
        <v>0</v>
      </c>
    </row>
    <row r="4526" spans="31:33">
      <c r="AE4526">
        <v>0</v>
      </c>
      <c r="AG4526">
        <v>0</v>
      </c>
    </row>
    <row r="4527" spans="31:33">
      <c r="AE4527" s="31">
        <v>-690506.28</v>
      </c>
      <c r="AG4527" s="31">
        <v>-1167347.44</v>
      </c>
    </row>
    <row r="4528" spans="31:33">
      <c r="AE4528">
        <v>0</v>
      </c>
      <c r="AG4528">
        <v>0</v>
      </c>
    </row>
    <row r="4529" spans="31:33">
      <c r="AE4529">
        <v>0</v>
      </c>
      <c r="AG4529">
        <v>0</v>
      </c>
    </row>
    <row r="4530" spans="31:33">
      <c r="AE4530">
        <v>0</v>
      </c>
      <c r="AG4530">
        <v>0</v>
      </c>
    </row>
    <row r="4531" spans="31:33">
      <c r="AE4531" s="31">
        <v>126762.77</v>
      </c>
      <c r="AG4531" s="31">
        <v>88139.39</v>
      </c>
    </row>
    <row r="4532" spans="31:33">
      <c r="AE4532">
        <v>0</v>
      </c>
      <c r="AG4532">
        <v>0</v>
      </c>
    </row>
    <row r="4533" spans="31:33">
      <c r="AE4533">
        <v>0</v>
      </c>
      <c r="AG4533">
        <v>0</v>
      </c>
    </row>
    <row r="4534" spans="31:33">
      <c r="AE4534">
        <v>0</v>
      </c>
      <c r="AG4534">
        <v>0</v>
      </c>
    </row>
    <row r="4535" spans="31:33">
      <c r="AE4535">
        <v>0</v>
      </c>
      <c r="AG4535">
        <v>0</v>
      </c>
    </row>
    <row r="4536" spans="31:33">
      <c r="AE4536">
        <v>0</v>
      </c>
      <c r="AG4536">
        <v>0</v>
      </c>
    </row>
    <row r="4537" spans="31:33">
      <c r="AE4537">
        <v>0</v>
      </c>
      <c r="AG4537">
        <v>0</v>
      </c>
    </row>
    <row r="4538" spans="31:33">
      <c r="AE4538">
        <v>0</v>
      </c>
      <c r="AG4538">
        <v>0</v>
      </c>
    </row>
    <row r="4539" spans="31:33">
      <c r="AE4539">
        <v>0</v>
      </c>
      <c r="AG4539">
        <v>0</v>
      </c>
    </row>
    <row r="4540" spans="31:33">
      <c r="AE4540">
        <v>0</v>
      </c>
      <c r="AG4540">
        <v>0</v>
      </c>
    </row>
    <row r="4541" spans="31:33">
      <c r="AE4541">
        <v>0</v>
      </c>
      <c r="AG4541">
        <v>0</v>
      </c>
    </row>
    <row r="4542" spans="31:33">
      <c r="AE4542">
        <v>0</v>
      </c>
      <c r="AG4542">
        <v>0</v>
      </c>
    </row>
    <row r="4543" spans="31:33">
      <c r="AE4543">
        <v>0</v>
      </c>
      <c r="AG4543">
        <v>0</v>
      </c>
    </row>
    <row r="4544" spans="31:33">
      <c r="AE4544">
        <v>0</v>
      </c>
      <c r="AG4544">
        <v>0</v>
      </c>
    </row>
    <row r="4545" spans="31:33">
      <c r="AE4545">
        <v>0</v>
      </c>
      <c r="AG4545">
        <v>0</v>
      </c>
    </row>
    <row r="4546" spans="31:33">
      <c r="AE4546">
        <v>0</v>
      </c>
      <c r="AG4546">
        <v>0</v>
      </c>
    </row>
    <row r="4547" spans="31:33">
      <c r="AE4547" s="31">
        <v>-7587180.7400000002</v>
      </c>
      <c r="AG4547" s="31">
        <v>-13132958.98</v>
      </c>
    </row>
    <row r="4548" spans="31:33">
      <c r="AE4548">
        <v>0</v>
      </c>
      <c r="AG4548">
        <v>0</v>
      </c>
    </row>
    <row r="4549" spans="31:33">
      <c r="AE4549">
        <v>0</v>
      </c>
      <c r="AG4549">
        <v>0</v>
      </c>
    </row>
    <row r="4550" spans="31:33">
      <c r="AE4550">
        <v>0</v>
      </c>
      <c r="AG4550">
        <v>0</v>
      </c>
    </row>
    <row r="4551" spans="31:33">
      <c r="AE4551">
        <v>0</v>
      </c>
      <c r="AG4551">
        <v>0</v>
      </c>
    </row>
    <row r="4552" spans="31:33">
      <c r="AE4552">
        <v>0</v>
      </c>
      <c r="AG4552">
        <v>0</v>
      </c>
    </row>
    <row r="4553" spans="31:33">
      <c r="AE4553">
        <v>0</v>
      </c>
      <c r="AG4553">
        <v>0</v>
      </c>
    </row>
    <row r="4554" spans="31:33">
      <c r="AE4554">
        <v>0</v>
      </c>
      <c r="AG4554">
        <v>0</v>
      </c>
    </row>
    <row r="4555" spans="31:33">
      <c r="AE4555">
        <v>0</v>
      </c>
      <c r="AG4555">
        <v>0</v>
      </c>
    </row>
    <row r="4556" spans="31:33">
      <c r="AE4556">
        <v>0</v>
      </c>
      <c r="AG4556">
        <v>0</v>
      </c>
    </row>
    <row r="4557" spans="31:33">
      <c r="AE4557">
        <v>0</v>
      </c>
      <c r="AG4557">
        <v>0</v>
      </c>
    </row>
    <row r="4558" spans="31:33">
      <c r="AE4558">
        <v>0</v>
      </c>
      <c r="AG4558">
        <v>0</v>
      </c>
    </row>
    <row r="4559" spans="31:33">
      <c r="AE4559">
        <v>0</v>
      </c>
      <c r="AG4559">
        <v>0</v>
      </c>
    </row>
    <row r="4560" spans="31:33">
      <c r="AE4560">
        <v>0</v>
      </c>
      <c r="AG4560">
        <v>0</v>
      </c>
    </row>
    <row r="4561" spans="31:33">
      <c r="AE4561">
        <v>0</v>
      </c>
      <c r="AG4561">
        <v>0</v>
      </c>
    </row>
    <row r="4562" spans="31:33">
      <c r="AE4562">
        <v>0</v>
      </c>
      <c r="AG4562">
        <v>0</v>
      </c>
    </row>
    <row r="4563" spans="31:33">
      <c r="AE4563">
        <v>0</v>
      </c>
      <c r="AG4563">
        <v>0</v>
      </c>
    </row>
    <row r="4564" spans="31:33">
      <c r="AE4564">
        <v>0</v>
      </c>
      <c r="AG4564">
        <v>0</v>
      </c>
    </row>
    <row r="4565" spans="31:33">
      <c r="AE4565">
        <v>0</v>
      </c>
      <c r="AG4565">
        <v>0</v>
      </c>
    </row>
    <row r="4566" spans="31:33">
      <c r="AE4566">
        <v>0</v>
      </c>
      <c r="AG4566">
        <v>0</v>
      </c>
    </row>
    <row r="4567" spans="31:33">
      <c r="AE4567">
        <v>0</v>
      </c>
      <c r="AG4567">
        <v>0</v>
      </c>
    </row>
    <row r="4568" spans="31:33">
      <c r="AE4568">
        <v>0</v>
      </c>
      <c r="AG4568">
        <v>0</v>
      </c>
    </row>
    <row r="4569" spans="31:33">
      <c r="AE4569">
        <v>0</v>
      </c>
      <c r="AG4569">
        <v>0</v>
      </c>
    </row>
    <row r="4570" spans="31:33">
      <c r="AE4570">
        <v>0</v>
      </c>
      <c r="AG4570">
        <v>0</v>
      </c>
    </row>
    <row r="4571" spans="31:33">
      <c r="AE4571">
        <v>0</v>
      </c>
      <c r="AG4571">
        <v>0</v>
      </c>
    </row>
    <row r="4572" spans="31:33">
      <c r="AE4572">
        <v>0</v>
      </c>
      <c r="AG4572">
        <v>0</v>
      </c>
    </row>
    <row r="4573" spans="31:33">
      <c r="AE4573">
        <v>0</v>
      </c>
      <c r="AG4573">
        <v>0</v>
      </c>
    </row>
    <row r="4574" spans="31:33">
      <c r="AE4574">
        <v>0</v>
      </c>
      <c r="AG4574">
        <v>0</v>
      </c>
    </row>
    <row r="4575" spans="31:33">
      <c r="AE4575">
        <v>0</v>
      </c>
      <c r="AG4575">
        <v>0</v>
      </c>
    </row>
    <row r="4576" spans="31:33">
      <c r="AE4576">
        <v>0</v>
      </c>
      <c r="AG4576">
        <v>0</v>
      </c>
    </row>
    <row r="4577" spans="31:33">
      <c r="AE4577">
        <v>0</v>
      </c>
      <c r="AG4577">
        <v>0</v>
      </c>
    </row>
    <row r="4578" spans="31:33">
      <c r="AE4578" s="31">
        <v>1521731.48</v>
      </c>
      <c r="AG4578" s="31">
        <v>-1088.33</v>
      </c>
    </row>
    <row r="4579" spans="31:33">
      <c r="AE4579">
        <v>0</v>
      </c>
      <c r="AG4579">
        <v>0</v>
      </c>
    </row>
    <row r="4580" spans="31:33">
      <c r="AE4580">
        <v>0</v>
      </c>
      <c r="AG4580">
        <v>0</v>
      </c>
    </row>
    <row r="4581" spans="31:33">
      <c r="AE4581">
        <v>0</v>
      </c>
      <c r="AG4581">
        <v>0</v>
      </c>
    </row>
    <row r="4582" spans="31:33">
      <c r="AE4582">
        <v>0</v>
      </c>
      <c r="AG4582">
        <v>0</v>
      </c>
    </row>
    <row r="4583" spans="31:33">
      <c r="AE4583">
        <v>0</v>
      </c>
      <c r="AG4583">
        <v>0</v>
      </c>
    </row>
    <row r="4584" spans="31:33">
      <c r="AE4584">
        <v>0</v>
      </c>
      <c r="AG4584">
        <v>0</v>
      </c>
    </row>
    <row r="4585" spans="31:33">
      <c r="AE4585">
        <v>0</v>
      </c>
      <c r="AG4585">
        <v>0</v>
      </c>
    </row>
    <row r="4586" spans="31:33">
      <c r="AE4586">
        <v>0</v>
      </c>
      <c r="AG4586">
        <v>0</v>
      </c>
    </row>
    <row r="4587" spans="31:33">
      <c r="AE4587">
        <v>0</v>
      </c>
      <c r="AG4587">
        <v>0</v>
      </c>
    </row>
    <row r="4588" spans="31:33">
      <c r="AE4588">
        <v>0</v>
      </c>
      <c r="AG4588">
        <v>0</v>
      </c>
    </row>
    <row r="4589" spans="31:33">
      <c r="AE4589">
        <v>0</v>
      </c>
      <c r="AG4589">
        <v>0</v>
      </c>
    </row>
    <row r="4590" spans="31:33">
      <c r="AE4590" s="31">
        <v>-547510.18000000005</v>
      </c>
      <c r="AG4590" s="31">
        <v>136582.79</v>
      </c>
    </row>
    <row r="4591" spans="31:33">
      <c r="AE4591" s="31">
        <v>-4507748.6100000003</v>
      </c>
      <c r="AG4591" s="31">
        <v>-4770891.37</v>
      </c>
    </row>
    <row r="4592" spans="31:33">
      <c r="AE4592">
        <v>0</v>
      </c>
      <c r="AG4592">
        <v>0</v>
      </c>
    </row>
    <row r="4593" spans="31:33">
      <c r="AE4593">
        <v>0</v>
      </c>
      <c r="AG4593">
        <v>0</v>
      </c>
    </row>
    <row r="4594" spans="31:33">
      <c r="AE4594">
        <v>0</v>
      </c>
      <c r="AG4594">
        <v>0</v>
      </c>
    </row>
    <row r="4595" spans="31:33">
      <c r="AE4595">
        <v>0</v>
      </c>
      <c r="AG4595">
        <v>0</v>
      </c>
    </row>
    <row r="4596" spans="31:33">
      <c r="AE4596">
        <v>0</v>
      </c>
      <c r="AG4596">
        <v>0</v>
      </c>
    </row>
    <row r="4597" spans="31:33">
      <c r="AE4597">
        <v>0</v>
      </c>
      <c r="AG4597">
        <v>0</v>
      </c>
    </row>
    <row r="4598" spans="31:33">
      <c r="AE4598">
        <v>0</v>
      </c>
      <c r="AG4598">
        <v>0</v>
      </c>
    </row>
    <row r="4599" spans="31:33">
      <c r="AE4599">
        <v>0</v>
      </c>
      <c r="AG4599">
        <v>0</v>
      </c>
    </row>
    <row r="4600" spans="31:33">
      <c r="AE4600">
        <v>0</v>
      </c>
      <c r="AG4600">
        <v>0</v>
      </c>
    </row>
    <row r="4601" spans="31:33">
      <c r="AE4601">
        <v>0</v>
      </c>
      <c r="AG4601">
        <v>0</v>
      </c>
    </row>
    <row r="4602" spans="31:33">
      <c r="AE4602">
        <v>0</v>
      </c>
      <c r="AG4602">
        <v>0</v>
      </c>
    </row>
    <row r="4603" spans="31:33">
      <c r="AE4603">
        <v>0</v>
      </c>
      <c r="AG4603">
        <v>0</v>
      </c>
    </row>
    <row r="4604" spans="31:33">
      <c r="AE4604" s="31">
        <v>47773802.030000001</v>
      </c>
      <c r="AG4604" s="31">
        <v>54365306.329999998</v>
      </c>
    </row>
    <row r="4605" spans="31:33">
      <c r="AE4605">
        <v>0</v>
      </c>
      <c r="AG4605">
        <v>0</v>
      </c>
    </row>
    <row r="4606" spans="31:33">
      <c r="AE4606">
        <v>0</v>
      </c>
      <c r="AG4606">
        <v>0</v>
      </c>
    </row>
    <row r="4607" spans="31:33">
      <c r="AE4607">
        <v>0</v>
      </c>
      <c r="AG4607">
        <v>0</v>
      </c>
    </row>
    <row r="4608" spans="31:33">
      <c r="AE4608">
        <v>0</v>
      </c>
      <c r="AG4608">
        <v>0</v>
      </c>
    </row>
    <row r="4609" spans="31:33">
      <c r="AE4609">
        <v>0</v>
      </c>
      <c r="AG4609">
        <v>0</v>
      </c>
    </row>
    <row r="4610" spans="31:33">
      <c r="AE4610">
        <v>0</v>
      </c>
      <c r="AG4610">
        <v>0</v>
      </c>
    </row>
    <row r="4611" spans="31:33">
      <c r="AE4611">
        <v>0</v>
      </c>
      <c r="AG4611">
        <v>0</v>
      </c>
    </row>
    <row r="4612" spans="31:33">
      <c r="AE4612">
        <v>0</v>
      </c>
      <c r="AG4612">
        <v>0</v>
      </c>
    </row>
    <row r="4613" spans="31:33">
      <c r="AE4613">
        <v>0</v>
      </c>
      <c r="AG4613">
        <v>0</v>
      </c>
    </row>
    <row r="4614" spans="31:33">
      <c r="AE4614" s="31">
        <v>1670.28</v>
      </c>
      <c r="AG4614">
        <v>0</v>
      </c>
    </row>
    <row r="4615" spans="31:33">
      <c r="AE4615">
        <v>0</v>
      </c>
      <c r="AG4615">
        <v>0</v>
      </c>
    </row>
    <row r="4616" spans="31:33">
      <c r="AE4616">
        <v>0</v>
      </c>
      <c r="AG4616">
        <v>0</v>
      </c>
    </row>
    <row r="4617" spans="31:33">
      <c r="AE4617">
        <v>0</v>
      </c>
      <c r="AG4617">
        <v>0</v>
      </c>
    </row>
    <row r="4618" spans="31:33">
      <c r="AE4618" s="31">
        <v>19915181.170000002</v>
      </c>
      <c r="AG4618" s="31">
        <v>21347430.809999999</v>
      </c>
    </row>
    <row r="4619" spans="31:33">
      <c r="AE4619">
        <v>0</v>
      </c>
      <c r="AG4619">
        <v>0</v>
      </c>
    </row>
    <row r="4620" spans="31:33">
      <c r="AE4620">
        <v>0</v>
      </c>
      <c r="AG4620">
        <v>0</v>
      </c>
    </row>
    <row r="4621" spans="31:33">
      <c r="AE4621">
        <v>0</v>
      </c>
      <c r="AG4621">
        <v>0</v>
      </c>
    </row>
    <row r="4622" spans="31:33">
      <c r="AE4622">
        <v>0</v>
      </c>
      <c r="AG4622">
        <v>0</v>
      </c>
    </row>
    <row r="4623" spans="31:33">
      <c r="AE4623">
        <v>0</v>
      </c>
      <c r="AG4623">
        <v>0</v>
      </c>
    </row>
    <row r="4624" spans="31:33">
      <c r="AE4624">
        <v>0</v>
      </c>
      <c r="AG4624">
        <v>0</v>
      </c>
    </row>
    <row r="4625" spans="31:33">
      <c r="AE4625">
        <v>0</v>
      </c>
      <c r="AG4625">
        <v>0</v>
      </c>
    </row>
    <row r="4626" spans="31:33">
      <c r="AE4626">
        <v>0</v>
      </c>
      <c r="AG4626">
        <v>0</v>
      </c>
    </row>
    <row r="4627" spans="31:33">
      <c r="AE4627">
        <v>0</v>
      </c>
      <c r="AG4627">
        <v>0</v>
      </c>
    </row>
    <row r="4628" spans="31:33">
      <c r="AE4628">
        <v>0</v>
      </c>
      <c r="AG4628">
        <v>0</v>
      </c>
    </row>
    <row r="4629" spans="31:33">
      <c r="AE4629">
        <v>0</v>
      </c>
      <c r="AG4629">
        <v>0</v>
      </c>
    </row>
    <row r="4630" spans="31:33">
      <c r="AE4630">
        <v>0</v>
      </c>
      <c r="AG4630">
        <v>0</v>
      </c>
    </row>
    <row r="4631" spans="31:33">
      <c r="AE4631">
        <v>0</v>
      </c>
      <c r="AG4631">
        <v>0</v>
      </c>
    </row>
    <row r="4632" spans="31:33">
      <c r="AE4632">
        <v>0</v>
      </c>
      <c r="AG4632">
        <v>0</v>
      </c>
    </row>
    <row r="4633" spans="31:33">
      <c r="AE4633">
        <v>0</v>
      </c>
      <c r="AG4633">
        <v>0</v>
      </c>
    </row>
    <row r="4634" spans="31:33">
      <c r="AE4634">
        <v>0</v>
      </c>
      <c r="AG4634">
        <v>0</v>
      </c>
    </row>
    <row r="4635" spans="31:33">
      <c r="AE4635">
        <v>0</v>
      </c>
      <c r="AG4635">
        <v>0</v>
      </c>
    </row>
    <row r="4636" spans="31:33">
      <c r="AE4636">
        <v>0</v>
      </c>
      <c r="AG4636">
        <v>0</v>
      </c>
    </row>
    <row r="4637" spans="31:33">
      <c r="AE4637">
        <v>0</v>
      </c>
      <c r="AG4637">
        <v>0</v>
      </c>
    </row>
    <row r="4638" spans="31:33">
      <c r="AE4638">
        <v>0</v>
      </c>
      <c r="AG4638">
        <v>0</v>
      </c>
    </row>
    <row r="4639" spans="31:33">
      <c r="AE4639">
        <v>0</v>
      </c>
      <c r="AG4639">
        <v>0</v>
      </c>
    </row>
    <row r="4640" spans="31:33">
      <c r="AE4640">
        <v>0</v>
      </c>
      <c r="AG4640">
        <v>0</v>
      </c>
    </row>
    <row r="4641" spans="31:33">
      <c r="AE4641">
        <v>0</v>
      </c>
      <c r="AG4641">
        <v>0</v>
      </c>
    </row>
    <row r="4642" spans="31:33">
      <c r="AE4642">
        <v>0</v>
      </c>
      <c r="AG4642">
        <v>0</v>
      </c>
    </row>
    <row r="4643" spans="31:33">
      <c r="AE4643">
        <v>0</v>
      </c>
      <c r="AG4643">
        <v>0</v>
      </c>
    </row>
    <row r="4644" spans="31:33">
      <c r="AE4644">
        <v>0</v>
      </c>
      <c r="AG4644">
        <v>0</v>
      </c>
    </row>
    <row r="4645" spans="31:33">
      <c r="AE4645">
        <v>0</v>
      </c>
      <c r="AG4645">
        <v>0</v>
      </c>
    </row>
    <row r="4646" spans="31:33">
      <c r="AE4646">
        <v>0</v>
      </c>
      <c r="AG4646">
        <v>0</v>
      </c>
    </row>
    <row r="4647" spans="31:33">
      <c r="AE4647">
        <v>0</v>
      </c>
      <c r="AG4647">
        <v>0</v>
      </c>
    </row>
    <row r="4648" spans="31:33">
      <c r="AE4648">
        <v>0</v>
      </c>
      <c r="AG4648">
        <v>0</v>
      </c>
    </row>
    <row r="4649" spans="31:33">
      <c r="AE4649">
        <v>0</v>
      </c>
      <c r="AG4649">
        <v>0</v>
      </c>
    </row>
    <row r="4650" spans="31:33">
      <c r="AE4650">
        <v>0</v>
      </c>
      <c r="AG4650">
        <v>0</v>
      </c>
    </row>
    <row r="4651" spans="31:33">
      <c r="AE4651">
        <v>0</v>
      </c>
      <c r="AG4651">
        <v>0</v>
      </c>
    </row>
    <row r="4652" spans="31:33">
      <c r="AE4652">
        <v>0</v>
      </c>
      <c r="AG4652">
        <v>0</v>
      </c>
    </row>
    <row r="4653" spans="31:33">
      <c r="AE4653">
        <v>0</v>
      </c>
      <c r="AG4653">
        <v>0</v>
      </c>
    </row>
    <row r="4654" spans="31:33">
      <c r="AE4654">
        <v>0</v>
      </c>
      <c r="AG4654">
        <v>0</v>
      </c>
    </row>
    <row r="4655" spans="31:33">
      <c r="AE4655">
        <v>0</v>
      </c>
      <c r="AG4655">
        <v>0</v>
      </c>
    </row>
    <row r="4656" spans="31:33">
      <c r="AE4656">
        <v>0</v>
      </c>
      <c r="AG4656">
        <v>0</v>
      </c>
    </row>
    <row r="4657" spans="31:33">
      <c r="AE4657">
        <v>0</v>
      </c>
      <c r="AG4657">
        <v>0</v>
      </c>
    </row>
    <row r="4658" spans="31:33">
      <c r="AE4658">
        <v>0</v>
      </c>
      <c r="AG4658">
        <v>0</v>
      </c>
    </row>
    <row r="4659" spans="31:33">
      <c r="AE4659">
        <v>0</v>
      </c>
      <c r="AG4659">
        <v>0</v>
      </c>
    </row>
    <row r="4660" spans="31:33">
      <c r="AE4660">
        <v>0</v>
      </c>
      <c r="AG4660">
        <v>0</v>
      </c>
    </row>
    <row r="4661" spans="31:33">
      <c r="AE4661">
        <v>0</v>
      </c>
      <c r="AG4661">
        <v>0</v>
      </c>
    </row>
    <row r="4662" spans="31:33">
      <c r="AE4662">
        <v>0</v>
      </c>
      <c r="AG4662">
        <v>0</v>
      </c>
    </row>
    <row r="4663" spans="31:33">
      <c r="AE4663">
        <v>0</v>
      </c>
      <c r="AG4663">
        <v>0</v>
      </c>
    </row>
    <row r="4664" spans="31:33">
      <c r="AE4664">
        <v>0</v>
      </c>
      <c r="AG4664">
        <v>0</v>
      </c>
    </row>
    <row r="4665" spans="31:33">
      <c r="AE4665">
        <v>0</v>
      </c>
      <c r="AG4665">
        <v>0</v>
      </c>
    </row>
    <row r="4666" spans="31:33">
      <c r="AE4666">
        <v>0</v>
      </c>
      <c r="AG4666">
        <v>0</v>
      </c>
    </row>
    <row r="4667" spans="31:33">
      <c r="AE4667">
        <v>0</v>
      </c>
      <c r="AG4667">
        <v>0</v>
      </c>
    </row>
    <row r="4668" spans="31:33">
      <c r="AE4668">
        <v>0</v>
      </c>
      <c r="AG4668">
        <v>0</v>
      </c>
    </row>
    <row r="4669" spans="31:33">
      <c r="AE4669">
        <v>0</v>
      </c>
      <c r="AG4669">
        <v>0</v>
      </c>
    </row>
    <row r="4670" spans="31:33">
      <c r="AE4670">
        <v>0</v>
      </c>
      <c r="AG4670">
        <v>0</v>
      </c>
    </row>
    <row r="4671" spans="31:33">
      <c r="AE4671">
        <v>0</v>
      </c>
      <c r="AG4671">
        <v>0</v>
      </c>
    </row>
    <row r="4672" spans="31:33">
      <c r="AE4672">
        <v>0</v>
      </c>
      <c r="AG4672">
        <v>0</v>
      </c>
    </row>
    <row r="4673" spans="31:33">
      <c r="AE4673">
        <v>0</v>
      </c>
      <c r="AG4673">
        <v>0</v>
      </c>
    </row>
    <row r="4674" spans="31:33">
      <c r="AE4674">
        <v>0</v>
      </c>
      <c r="AG4674">
        <v>0</v>
      </c>
    </row>
    <row r="4675" spans="31:33">
      <c r="AE4675">
        <v>0</v>
      </c>
      <c r="AG4675">
        <v>0</v>
      </c>
    </row>
    <row r="4676" spans="31:33">
      <c r="AE4676">
        <v>0</v>
      </c>
      <c r="AG4676">
        <v>0</v>
      </c>
    </row>
    <row r="4677" spans="31:33">
      <c r="AE4677">
        <v>0</v>
      </c>
      <c r="AG4677">
        <v>0</v>
      </c>
    </row>
    <row r="4678" spans="31:33">
      <c r="AE4678">
        <v>0</v>
      </c>
      <c r="AG4678">
        <v>0</v>
      </c>
    </row>
    <row r="4679" spans="31:33">
      <c r="AE4679">
        <v>0</v>
      </c>
      <c r="AG4679">
        <v>0</v>
      </c>
    </row>
    <row r="4680" spans="31:33">
      <c r="AE4680">
        <v>0</v>
      </c>
      <c r="AG4680">
        <v>0</v>
      </c>
    </row>
    <row r="4681" spans="31:33">
      <c r="AE4681">
        <v>0</v>
      </c>
      <c r="AG4681">
        <v>0</v>
      </c>
    </row>
    <row r="4682" spans="31:33">
      <c r="AE4682">
        <v>0</v>
      </c>
      <c r="AG4682">
        <v>0</v>
      </c>
    </row>
    <row r="4683" spans="31:33">
      <c r="AE4683">
        <v>0</v>
      </c>
      <c r="AG4683">
        <v>0</v>
      </c>
    </row>
    <row r="4684" spans="31:33">
      <c r="AE4684">
        <v>0</v>
      </c>
      <c r="AG4684">
        <v>0</v>
      </c>
    </row>
    <row r="4685" spans="31:33">
      <c r="AE4685">
        <v>0</v>
      </c>
      <c r="AG4685">
        <v>0</v>
      </c>
    </row>
    <row r="4686" spans="31:33">
      <c r="AE4686">
        <v>0</v>
      </c>
      <c r="AG4686">
        <v>0</v>
      </c>
    </row>
    <row r="4687" spans="31:33">
      <c r="AE4687">
        <v>0</v>
      </c>
      <c r="AG4687">
        <v>0</v>
      </c>
    </row>
    <row r="4688" spans="31:33">
      <c r="AE4688">
        <v>0</v>
      </c>
      <c r="AG4688">
        <v>0</v>
      </c>
    </row>
    <row r="4689" spans="31:33">
      <c r="AE4689">
        <v>0</v>
      </c>
      <c r="AG4689">
        <v>0</v>
      </c>
    </row>
    <row r="4690" spans="31:33">
      <c r="AE4690">
        <v>0</v>
      </c>
      <c r="AG4690">
        <v>0</v>
      </c>
    </row>
    <row r="4691" spans="31:33">
      <c r="AE4691">
        <v>0</v>
      </c>
      <c r="AG4691">
        <v>0</v>
      </c>
    </row>
    <row r="4692" spans="31:33">
      <c r="AE4692">
        <v>0</v>
      </c>
      <c r="AG4692">
        <v>0</v>
      </c>
    </row>
    <row r="4693" spans="31:33">
      <c r="AE4693">
        <v>0</v>
      </c>
      <c r="AG4693">
        <v>0</v>
      </c>
    </row>
    <row r="4694" spans="31:33">
      <c r="AE4694">
        <v>0</v>
      </c>
      <c r="AG4694">
        <v>0</v>
      </c>
    </row>
    <row r="4695" spans="31:33">
      <c r="AE4695">
        <v>0</v>
      </c>
      <c r="AG4695">
        <v>0</v>
      </c>
    </row>
    <row r="4696" spans="31:33">
      <c r="AE4696">
        <v>0</v>
      </c>
      <c r="AG4696">
        <v>0</v>
      </c>
    </row>
    <row r="4697" spans="31:33">
      <c r="AE4697">
        <v>0</v>
      </c>
      <c r="AG4697">
        <v>0</v>
      </c>
    </row>
    <row r="4698" spans="31:33">
      <c r="AE4698">
        <v>0</v>
      </c>
      <c r="AG4698">
        <v>0</v>
      </c>
    </row>
    <row r="4699" spans="31:33">
      <c r="AE4699">
        <v>0</v>
      </c>
      <c r="AG4699">
        <v>0</v>
      </c>
    </row>
    <row r="4700" spans="31:33">
      <c r="AE4700">
        <v>0</v>
      </c>
      <c r="AG4700">
        <v>0</v>
      </c>
    </row>
    <row r="4701" spans="31:33">
      <c r="AE4701">
        <v>0</v>
      </c>
      <c r="AG4701">
        <v>0</v>
      </c>
    </row>
    <row r="4702" spans="31:33">
      <c r="AE4702">
        <v>0</v>
      </c>
      <c r="AG4702">
        <v>0</v>
      </c>
    </row>
    <row r="4703" spans="31:33">
      <c r="AE4703">
        <v>0</v>
      </c>
      <c r="AG4703">
        <v>0</v>
      </c>
    </row>
    <row r="4704" spans="31:33">
      <c r="AE4704">
        <v>0</v>
      </c>
      <c r="AG4704">
        <v>0</v>
      </c>
    </row>
    <row r="4705" spans="31:33">
      <c r="AE4705">
        <v>0</v>
      </c>
      <c r="AG4705">
        <v>0</v>
      </c>
    </row>
    <row r="4706" spans="31:33">
      <c r="AE4706">
        <v>0</v>
      </c>
      <c r="AG4706">
        <v>0</v>
      </c>
    </row>
    <row r="4707" spans="31:33">
      <c r="AE4707">
        <v>0</v>
      </c>
      <c r="AG4707">
        <v>0</v>
      </c>
    </row>
    <row r="4708" spans="31:33">
      <c r="AE4708">
        <v>0</v>
      </c>
      <c r="AG4708">
        <v>0</v>
      </c>
    </row>
    <row r="4709" spans="31:33">
      <c r="AE4709">
        <v>0</v>
      </c>
      <c r="AG4709">
        <v>0</v>
      </c>
    </row>
    <row r="4710" spans="31:33">
      <c r="AE4710">
        <v>0</v>
      </c>
      <c r="AG4710">
        <v>0</v>
      </c>
    </row>
    <row r="4711" spans="31:33">
      <c r="AE4711">
        <v>0</v>
      </c>
      <c r="AG4711">
        <v>0</v>
      </c>
    </row>
    <row r="4712" spans="31:33">
      <c r="AE4712">
        <v>0</v>
      </c>
      <c r="AG4712">
        <v>0</v>
      </c>
    </row>
    <row r="4713" spans="31:33">
      <c r="AE4713">
        <v>0</v>
      </c>
      <c r="AG4713">
        <v>0</v>
      </c>
    </row>
    <row r="4714" spans="31:33">
      <c r="AE4714">
        <v>0</v>
      </c>
      <c r="AG4714">
        <v>0</v>
      </c>
    </row>
    <row r="4715" spans="31:33">
      <c r="AE4715">
        <v>0</v>
      </c>
      <c r="AG4715">
        <v>0</v>
      </c>
    </row>
    <row r="4716" spans="31:33">
      <c r="AE4716">
        <v>0</v>
      </c>
      <c r="AG4716">
        <v>0</v>
      </c>
    </row>
    <row r="4717" spans="31:33">
      <c r="AE4717">
        <v>0</v>
      </c>
      <c r="AG4717">
        <v>0</v>
      </c>
    </row>
    <row r="4718" spans="31:33">
      <c r="AE4718">
        <v>0</v>
      </c>
      <c r="AG4718">
        <v>0</v>
      </c>
    </row>
    <row r="4719" spans="31:33">
      <c r="AE4719">
        <v>0</v>
      </c>
      <c r="AG4719">
        <v>0</v>
      </c>
    </row>
    <row r="4720" spans="31:33">
      <c r="AE4720">
        <v>0</v>
      </c>
      <c r="AG4720">
        <v>0</v>
      </c>
    </row>
    <row r="4721" spans="31:33">
      <c r="AE4721" s="31">
        <v>584331.78</v>
      </c>
      <c r="AG4721" s="31">
        <v>403021.98</v>
      </c>
    </row>
    <row r="4722" spans="31:33">
      <c r="AE4722">
        <v>0</v>
      </c>
      <c r="AG4722">
        <v>0</v>
      </c>
    </row>
    <row r="4723" spans="31:33">
      <c r="AE4723">
        <v>0</v>
      </c>
      <c r="AG4723">
        <v>0</v>
      </c>
    </row>
    <row r="4724" spans="31:33">
      <c r="AE4724">
        <v>0</v>
      </c>
      <c r="AG4724">
        <v>0</v>
      </c>
    </row>
    <row r="4725" spans="31:33">
      <c r="AE4725">
        <v>0</v>
      </c>
      <c r="AG4725">
        <v>0</v>
      </c>
    </row>
    <row r="4726" spans="31:33">
      <c r="AE4726">
        <v>0</v>
      </c>
      <c r="AG4726">
        <v>0</v>
      </c>
    </row>
    <row r="4727" spans="31:33">
      <c r="AE4727">
        <v>0</v>
      </c>
      <c r="AG4727">
        <v>0</v>
      </c>
    </row>
    <row r="4728" spans="31:33">
      <c r="AE4728">
        <v>0</v>
      </c>
      <c r="AG4728">
        <v>0</v>
      </c>
    </row>
    <row r="4729" spans="31:33">
      <c r="AE4729">
        <v>0</v>
      </c>
      <c r="AG4729">
        <v>0</v>
      </c>
    </row>
    <row r="4730" spans="31:33">
      <c r="AE4730">
        <v>0</v>
      </c>
      <c r="AG4730">
        <v>0</v>
      </c>
    </row>
    <row r="4731" spans="31:33">
      <c r="AE4731">
        <v>0</v>
      </c>
      <c r="AG4731">
        <v>0</v>
      </c>
    </row>
    <row r="4732" spans="31:33">
      <c r="AE4732">
        <v>0</v>
      </c>
      <c r="AG4732">
        <v>0</v>
      </c>
    </row>
    <row r="4733" spans="31:33">
      <c r="AE4733">
        <v>0</v>
      </c>
      <c r="AG4733">
        <v>0</v>
      </c>
    </row>
    <row r="4734" spans="31:33">
      <c r="AE4734">
        <v>0</v>
      </c>
      <c r="AG4734">
        <v>0</v>
      </c>
    </row>
    <row r="4735" spans="31:33">
      <c r="AE4735">
        <v>0</v>
      </c>
      <c r="AG4735">
        <v>0</v>
      </c>
    </row>
    <row r="4736" spans="31:33">
      <c r="AE4736">
        <v>0</v>
      </c>
      <c r="AG4736">
        <v>0</v>
      </c>
    </row>
    <row r="4737" spans="31:33">
      <c r="AE4737">
        <v>0</v>
      </c>
      <c r="AG4737">
        <v>0</v>
      </c>
    </row>
    <row r="4738" spans="31:33">
      <c r="AE4738">
        <v>0</v>
      </c>
      <c r="AG4738">
        <v>0</v>
      </c>
    </row>
    <row r="4739" spans="31:33">
      <c r="AE4739">
        <v>0</v>
      </c>
      <c r="AG4739">
        <v>0</v>
      </c>
    </row>
    <row r="4740" spans="31:33">
      <c r="AE4740">
        <v>0</v>
      </c>
      <c r="AG4740">
        <v>0</v>
      </c>
    </row>
    <row r="4741" spans="31:33">
      <c r="AE4741">
        <v>0</v>
      </c>
      <c r="AG4741">
        <v>0</v>
      </c>
    </row>
    <row r="4742" spans="31:33">
      <c r="AE4742">
        <v>0</v>
      </c>
      <c r="AG4742">
        <v>0</v>
      </c>
    </row>
    <row r="4743" spans="31:33">
      <c r="AE4743">
        <v>0</v>
      </c>
      <c r="AG4743">
        <v>0</v>
      </c>
    </row>
    <row r="4744" spans="31:33">
      <c r="AE4744">
        <v>0</v>
      </c>
      <c r="AG4744">
        <v>0</v>
      </c>
    </row>
    <row r="4745" spans="31:33">
      <c r="AE4745">
        <v>0</v>
      </c>
      <c r="AG4745">
        <v>0</v>
      </c>
    </row>
    <row r="4746" spans="31:33">
      <c r="AE4746">
        <v>0</v>
      </c>
      <c r="AG4746">
        <v>0</v>
      </c>
    </row>
    <row r="4747" spans="31:33">
      <c r="AE4747">
        <v>0</v>
      </c>
      <c r="AG4747">
        <v>0</v>
      </c>
    </row>
    <row r="4748" spans="31:33">
      <c r="AE4748">
        <v>0</v>
      </c>
      <c r="AG4748">
        <v>0</v>
      </c>
    </row>
    <row r="4749" spans="31:33">
      <c r="AE4749">
        <v>0</v>
      </c>
      <c r="AG4749">
        <v>0</v>
      </c>
    </row>
    <row r="4750" spans="31:33">
      <c r="AE4750">
        <v>0</v>
      </c>
      <c r="AG4750">
        <v>0</v>
      </c>
    </row>
    <row r="4751" spans="31:33">
      <c r="AE4751">
        <v>0</v>
      </c>
      <c r="AG4751">
        <v>0</v>
      </c>
    </row>
    <row r="4752" spans="31:33">
      <c r="AE4752">
        <v>0</v>
      </c>
      <c r="AG4752">
        <v>0</v>
      </c>
    </row>
    <row r="4753" spans="31:33">
      <c r="AE4753">
        <v>0</v>
      </c>
      <c r="AG4753">
        <v>0</v>
      </c>
    </row>
    <row r="4754" spans="31:33">
      <c r="AE4754">
        <v>0</v>
      </c>
      <c r="AG4754">
        <v>0</v>
      </c>
    </row>
    <row r="4755" spans="31:33">
      <c r="AE4755">
        <v>0</v>
      </c>
      <c r="AG4755">
        <v>0</v>
      </c>
    </row>
    <row r="4756" spans="31:33">
      <c r="AE4756">
        <v>0</v>
      </c>
      <c r="AG4756">
        <v>0</v>
      </c>
    </row>
    <row r="4757" spans="31:33">
      <c r="AE4757">
        <v>0</v>
      </c>
      <c r="AG4757">
        <v>0</v>
      </c>
    </row>
    <row r="4758" spans="31:33">
      <c r="AE4758">
        <v>0</v>
      </c>
      <c r="AG4758">
        <v>0</v>
      </c>
    </row>
    <row r="4759" spans="31:33">
      <c r="AE4759">
        <v>0</v>
      </c>
      <c r="AG4759">
        <v>0</v>
      </c>
    </row>
    <row r="4760" spans="31:33">
      <c r="AE4760">
        <v>0</v>
      </c>
      <c r="AG4760">
        <v>0</v>
      </c>
    </row>
    <row r="4761" spans="31:33">
      <c r="AE4761">
        <v>0</v>
      </c>
      <c r="AG4761">
        <v>0</v>
      </c>
    </row>
    <row r="4762" spans="31:33">
      <c r="AE4762">
        <v>0</v>
      </c>
      <c r="AG4762">
        <v>0</v>
      </c>
    </row>
    <row r="4763" spans="31:33">
      <c r="AE4763">
        <v>0</v>
      </c>
      <c r="AG4763" s="31">
        <v>-624006.30000000005</v>
      </c>
    </row>
    <row r="4764" spans="31:33">
      <c r="AE4764">
        <v>0</v>
      </c>
      <c r="AG4764">
        <v>0</v>
      </c>
    </row>
    <row r="4765" spans="31:33">
      <c r="AE4765">
        <v>0</v>
      </c>
      <c r="AG4765">
        <v>0</v>
      </c>
    </row>
    <row r="4766" spans="31:33">
      <c r="AE4766">
        <v>0</v>
      </c>
      <c r="AG4766">
        <v>0</v>
      </c>
    </row>
    <row r="4767" spans="31:33">
      <c r="AE4767">
        <v>0</v>
      </c>
      <c r="AG4767">
        <v>0</v>
      </c>
    </row>
    <row r="4768" spans="31:33">
      <c r="AE4768">
        <v>0</v>
      </c>
      <c r="AG4768">
        <v>0</v>
      </c>
    </row>
    <row r="4769" spans="31:33">
      <c r="AE4769">
        <v>0</v>
      </c>
      <c r="AG4769">
        <v>0</v>
      </c>
    </row>
    <row r="4770" spans="31:33">
      <c r="AE4770">
        <v>0</v>
      </c>
      <c r="AG4770">
        <v>0</v>
      </c>
    </row>
    <row r="4771" spans="31:33">
      <c r="AE4771">
        <v>0</v>
      </c>
      <c r="AG4771">
        <v>0</v>
      </c>
    </row>
    <row r="4772" spans="31:33">
      <c r="AE4772">
        <v>0</v>
      </c>
      <c r="AG4772">
        <v>0</v>
      </c>
    </row>
    <row r="4773" spans="31:33">
      <c r="AE4773">
        <v>0</v>
      </c>
      <c r="AG4773">
        <v>0</v>
      </c>
    </row>
    <row r="4774" spans="31:33">
      <c r="AE4774">
        <v>0</v>
      </c>
      <c r="AG4774">
        <v>0</v>
      </c>
    </row>
    <row r="4775" spans="31:33">
      <c r="AE4775">
        <v>0</v>
      </c>
      <c r="AG4775">
        <v>0</v>
      </c>
    </row>
    <row r="4776" spans="31:33">
      <c r="AE4776">
        <v>0</v>
      </c>
      <c r="AG4776">
        <v>0</v>
      </c>
    </row>
    <row r="4777" spans="31:33">
      <c r="AE4777">
        <v>0</v>
      </c>
      <c r="AG4777">
        <v>0</v>
      </c>
    </row>
    <row r="4778" spans="31:33">
      <c r="AE4778">
        <v>0</v>
      </c>
      <c r="AG4778">
        <v>0</v>
      </c>
    </row>
    <row r="4779" spans="31:33">
      <c r="AE4779">
        <v>0</v>
      </c>
      <c r="AG4779">
        <v>0</v>
      </c>
    </row>
    <row r="4780" spans="31:33">
      <c r="AE4780">
        <v>0</v>
      </c>
      <c r="AG4780">
        <v>0</v>
      </c>
    </row>
    <row r="4781" spans="31:33">
      <c r="AE4781">
        <v>0</v>
      </c>
      <c r="AG4781">
        <v>0</v>
      </c>
    </row>
    <row r="4782" spans="31:33">
      <c r="AE4782">
        <v>0</v>
      </c>
      <c r="AG4782">
        <v>0</v>
      </c>
    </row>
    <row r="4783" spans="31:33">
      <c r="AE4783">
        <v>0</v>
      </c>
      <c r="AG4783">
        <v>0</v>
      </c>
    </row>
    <row r="4784" spans="31:33">
      <c r="AE4784">
        <v>0</v>
      </c>
      <c r="AG4784">
        <v>0</v>
      </c>
    </row>
    <row r="4785" spans="31:33">
      <c r="AE4785">
        <v>0</v>
      </c>
      <c r="AG4785">
        <v>0</v>
      </c>
    </row>
    <row r="4786" spans="31:33">
      <c r="AE4786">
        <v>0</v>
      </c>
      <c r="AG4786">
        <v>0</v>
      </c>
    </row>
    <row r="4787" spans="31:33">
      <c r="AE4787">
        <v>0</v>
      </c>
      <c r="AG4787">
        <v>0</v>
      </c>
    </row>
    <row r="4788" spans="31:33">
      <c r="AE4788">
        <v>0</v>
      </c>
      <c r="AG4788">
        <v>0</v>
      </c>
    </row>
    <row r="4789" spans="31:33">
      <c r="AE4789">
        <v>0</v>
      </c>
      <c r="AG4789">
        <v>0</v>
      </c>
    </row>
    <row r="4790" spans="31:33">
      <c r="AE4790">
        <v>0</v>
      </c>
      <c r="AG4790">
        <v>0</v>
      </c>
    </row>
    <row r="4791" spans="31:33">
      <c r="AE4791">
        <v>0</v>
      </c>
      <c r="AG4791">
        <v>0</v>
      </c>
    </row>
    <row r="4792" spans="31:33">
      <c r="AE4792">
        <v>0</v>
      </c>
      <c r="AG4792">
        <v>0</v>
      </c>
    </row>
    <row r="4793" spans="31:33">
      <c r="AE4793">
        <v>0</v>
      </c>
      <c r="AG4793">
        <v>0</v>
      </c>
    </row>
    <row r="4794" spans="31:33">
      <c r="AE4794">
        <v>0</v>
      </c>
      <c r="AG4794">
        <v>0</v>
      </c>
    </row>
    <row r="4795" spans="31:33">
      <c r="AE4795">
        <v>0</v>
      </c>
      <c r="AG4795">
        <v>0</v>
      </c>
    </row>
    <row r="4796" spans="31:33">
      <c r="AE4796">
        <v>0</v>
      </c>
      <c r="AG4796">
        <v>0</v>
      </c>
    </row>
    <row r="4797" spans="31:33">
      <c r="AE4797">
        <v>0</v>
      </c>
      <c r="AG4797">
        <v>0</v>
      </c>
    </row>
    <row r="4798" spans="31:33">
      <c r="AE4798">
        <v>0</v>
      </c>
      <c r="AG4798">
        <v>0</v>
      </c>
    </row>
    <row r="4799" spans="31:33">
      <c r="AE4799" s="31">
        <v>-2521295.58</v>
      </c>
      <c r="AG4799" s="31">
        <v>-3013345.77</v>
      </c>
    </row>
    <row r="4800" spans="31:33">
      <c r="AE4800" s="31">
        <v>2382626.59</v>
      </c>
      <c r="AG4800" s="31">
        <v>2804984.16</v>
      </c>
    </row>
    <row r="4801" spans="31:33">
      <c r="AE4801">
        <v>0</v>
      </c>
      <c r="AG4801">
        <v>0</v>
      </c>
    </row>
    <row r="4802" spans="31:33">
      <c r="AE4802">
        <v>0</v>
      </c>
      <c r="AG4802">
        <v>0</v>
      </c>
    </row>
    <row r="4803" spans="31:33">
      <c r="AE4803">
        <v>0</v>
      </c>
      <c r="AG4803">
        <v>0</v>
      </c>
    </row>
    <row r="4804" spans="31:33">
      <c r="AE4804">
        <v>0</v>
      </c>
      <c r="AG4804">
        <v>0</v>
      </c>
    </row>
    <row r="4805" spans="31:33">
      <c r="AE4805">
        <v>0</v>
      </c>
      <c r="AG4805">
        <v>0</v>
      </c>
    </row>
    <row r="4806" spans="31:33">
      <c r="AE4806">
        <v>0</v>
      </c>
      <c r="AG4806">
        <v>0</v>
      </c>
    </row>
    <row r="4807" spans="31:33">
      <c r="AE4807">
        <v>0</v>
      </c>
      <c r="AG4807">
        <v>0</v>
      </c>
    </row>
    <row r="4808" spans="31:33">
      <c r="AE4808">
        <v>0</v>
      </c>
      <c r="AG4808">
        <v>0</v>
      </c>
    </row>
    <row r="4809" spans="31:33">
      <c r="AE4809" s="31">
        <v>-286517.84000000003</v>
      </c>
      <c r="AG4809" s="31">
        <v>-292327.73</v>
      </c>
    </row>
    <row r="4810" spans="31:33">
      <c r="AE4810">
        <v>0</v>
      </c>
      <c r="AG4810">
        <v>0</v>
      </c>
    </row>
    <row r="4811" spans="31:33">
      <c r="AE4811">
        <v>0</v>
      </c>
      <c r="AG4811">
        <v>0</v>
      </c>
    </row>
    <row r="4812" spans="31:33">
      <c r="AE4812">
        <v>0</v>
      </c>
      <c r="AG4812">
        <v>0</v>
      </c>
    </row>
    <row r="4813" spans="31:33">
      <c r="AE4813">
        <v>0</v>
      </c>
      <c r="AG4813">
        <v>0</v>
      </c>
    </row>
    <row r="4814" spans="31:33">
      <c r="AE4814">
        <v>0</v>
      </c>
      <c r="AG4814">
        <v>0</v>
      </c>
    </row>
    <row r="4815" spans="31:33">
      <c r="AE4815">
        <v>0</v>
      </c>
      <c r="AG4815">
        <v>0</v>
      </c>
    </row>
    <row r="4816" spans="31:33">
      <c r="AE4816">
        <v>0</v>
      </c>
      <c r="AG4816">
        <v>0</v>
      </c>
    </row>
    <row r="4817" spans="31:33">
      <c r="AE4817">
        <v>0</v>
      </c>
      <c r="AG4817">
        <v>0</v>
      </c>
    </row>
    <row r="4818" spans="31:33">
      <c r="AE4818">
        <v>0</v>
      </c>
      <c r="AG4818">
        <v>0</v>
      </c>
    </row>
    <row r="4819" spans="31:33">
      <c r="AE4819">
        <v>0</v>
      </c>
      <c r="AG4819">
        <v>0</v>
      </c>
    </row>
    <row r="4820" spans="31:33">
      <c r="AE4820">
        <v>0</v>
      </c>
      <c r="AG4820">
        <v>0</v>
      </c>
    </row>
    <row r="4821" spans="31:33">
      <c r="AE4821">
        <v>0</v>
      </c>
      <c r="AG4821">
        <v>0</v>
      </c>
    </row>
    <row r="4822" spans="31:33">
      <c r="AE4822">
        <v>0</v>
      </c>
      <c r="AG4822">
        <v>0</v>
      </c>
    </row>
    <row r="4823" spans="31:33">
      <c r="AE4823">
        <v>0</v>
      </c>
      <c r="AG4823">
        <v>0</v>
      </c>
    </row>
    <row r="4824" spans="31:33">
      <c r="AE4824">
        <v>0</v>
      </c>
      <c r="AG4824">
        <v>0</v>
      </c>
    </row>
    <row r="4825" spans="31:33">
      <c r="AE4825">
        <v>0</v>
      </c>
      <c r="AG4825">
        <v>0</v>
      </c>
    </row>
    <row r="4826" spans="31:33">
      <c r="AE4826">
        <v>0</v>
      </c>
      <c r="AG4826">
        <v>0</v>
      </c>
    </row>
    <row r="4827" spans="31:33">
      <c r="AE4827">
        <v>0</v>
      </c>
      <c r="AG4827">
        <v>0</v>
      </c>
    </row>
    <row r="4828" spans="31:33">
      <c r="AE4828">
        <v>0</v>
      </c>
      <c r="AG4828">
        <v>0</v>
      </c>
    </row>
    <row r="4829" spans="31:33">
      <c r="AE4829">
        <v>0</v>
      </c>
      <c r="AG4829">
        <v>0</v>
      </c>
    </row>
    <row r="4830" spans="31:33">
      <c r="AE4830">
        <v>0</v>
      </c>
      <c r="AG4830">
        <v>0</v>
      </c>
    </row>
    <row r="4831" spans="31:33">
      <c r="AE4831">
        <v>0</v>
      </c>
      <c r="AG4831">
        <v>0</v>
      </c>
    </row>
    <row r="4832" spans="31:33">
      <c r="AE4832">
        <v>0</v>
      </c>
      <c r="AG4832">
        <v>0</v>
      </c>
    </row>
    <row r="4833" spans="31:33">
      <c r="AE4833">
        <v>0</v>
      </c>
      <c r="AG4833">
        <v>0</v>
      </c>
    </row>
    <row r="4834" spans="31:33">
      <c r="AE4834">
        <v>0</v>
      </c>
      <c r="AG4834">
        <v>0</v>
      </c>
    </row>
    <row r="4835" spans="31:33">
      <c r="AE4835">
        <v>0</v>
      </c>
      <c r="AG4835">
        <v>0</v>
      </c>
    </row>
    <row r="4836" spans="31:33">
      <c r="AE4836">
        <v>0</v>
      </c>
      <c r="AG4836">
        <v>0</v>
      </c>
    </row>
    <row r="4837" spans="31:33">
      <c r="AE4837">
        <v>0</v>
      </c>
      <c r="AG4837">
        <v>0</v>
      </c>
    </row>
    <row r="4838" spans="31:33">
      <c r="AE4838">
        <v>0</v>
      </c>
      <c r="AG4838">
        <v>0</v>
      </c>
    </row>
    <row r="4839" spans="31:33">
      <c r="AE4839" s="31">
        <v>-12004.95</v>
      </c>
      <c r="AG4839">
        <v>0</v>
      </c>
    </row>
    <row r="4840" spans="31:33">
      <c r="AE4840">
        <v>0</v>
      </c>
      <c r="AG4840">
        <v>0</v>
      </c>
    </row>
    <row r="4841" spans="31:33">
      <c r="AE4841">
        <v>0</v>
      </c>
      <c r="AG4841">
        <v>0</v>
      </c>
    </row>
    <row r="4842" spans="31:33">
      <c r="AE4842">
        <v>0</v>
      </c>
      <c r="AG4842">
        <v>0</v>
      </c>
    </row>
    <row r="4843" spans="31:33">
      <c r="AE4843">
        <v>0</v>
      </c>
      <c r="AG4843">
        <v>0</v>
      </c>
    </row>
    <row r="4844" spans="31:33">
      <c r="AE4844">
        <v>0</v>
      </c>
      <c r="AG4844">
        <v>0</v>
      </c>
    </row>
    <row r="4845" spans="31:33">
      <c r="AE4845">
        <v>0</v>
      </c>
      <c r="AG4845">
        <v>0</v>
      </c>
    </row>
    <row r="4846" spans="31:33">
      <c r="AE4846">
        <v>0</v>
      </c>
      <c r="AG4846">
        <v>0</v>
      </c>
    </row>
    <row r="4847" spans="31:33">
      <c r="AE4847">
        <v>0</v>
      </c>
      <c r="AG4847">
        <v>0</v>
      </c>
    </row>
    <row r="4848" spans="31:33">
      <c r="AE4848">
        <v>0</v>
      </c>
      <c r="AG4848">
        <v>0</v>
      </c>
    </row>
    <row r="4849" spans="31:33">
      <c r="AE4849">
        <v>0</v>
      </c>
      <c r="AG4849">
        <v>0</v>
      </c>
    </row>
    <row r="4850" spans="31:33">
      <c r="AE4850">
        <v>0</v>
      </c>
      <c r="AG4850">
        <v>0</v>
      </c>
    </row>
    <row r="4851" spans="31:33">
      <c r="AE4851">
        <v>0</v>
      </c>
      <c r="AG4851">
        <v>0</v>
      </c>
    </row>
    <row r="4852" spans="31:33">
      <c r="AE4852">
        <v>0</v>
      </c>
      <c r="AG4852">
        <v>0</v>
      </c>
    </row>
    <row r="4853" spans="31:33">
      <c r="AE4853">
        <v>0</v>
      </c>
      <c r="AG4853">
        <v>0</v>
      </c>
    </row>
    <row r="4854" spans="31:33">
      <c r="AE4854">
        <v>0</v>
      </c>
      <c r="AG4854">
        <v>0</v>
      </c>
    </row>
    <row r="4855" spans="31:33">
      <c r="AE4855" s="31">
        <v>-503271.19</v>
      </c>
      <c r="AG4855" s="31">
        <v>3932.34</v>
      </c>
    </row>
    <row r="4856" spans="31:33">
      <c r="AE4856">
        <v>0</v>
      </c>
      <c r="AG4856">
        <v>0</v>
      </c>
    </row>
    <row r="4857" spans="31:33">
      <c r="AE4857">
        <v>0</v>
      </c>
      <c r="AG4857">
        <v>0</v>
      </c>
    </row>
    <row r="4858" spans="31:33">
      <c r="AE4858">
        <v>0</v>
      </c>
      <c r="AG4858">
        <v>0</v>
      </c>
    </row>
    <row r="4859" spans="31:33">
      <c r="AE4859" s="31">
        <v>-70130.720000000001</v>
      </c>
      <c r="AG4859" s="31">
        <v>-1469995.96</v>
      </c>
    </row>
    <row r="4860" spans="31:33">
      <c r="AE4860" s="31">
        <v>122465.32</v>
      </c>
      <c r="AG4860" s="31">
        <v>68410.850000000006</v>
      </c>
    </row>
    <row r="4861" spans="31:33">
      <c r="AE4861">
        <v>0</v>
      </c>
      <c r="AG4861">
        <v>0</v>
      </c>
    </row>
    <row r="4862" spans="31:33">
      <c r="AE4862">
        <v>0</v>
      </c>
      <c r="AG4862">
        <v>0</v>
      </c>
    </row>
    <row r="4863" spans="31:33">
      <c r="AE4863">
        <v>0</v>
      </c>
      <c r="AG4863">
        <v>0</v>
      </c>
    </row>
    <row r="4864" spans="31:33">
      <c r="AE4864">
        <v>0</v>
      </c>
      <c r="AG4864">
        <v>0</v>
      </c>
    </row>
    <row r="4865" spans="31:33">
      <c r="AE4865">
        <v>0</v>
      </c>
      <c r="AG4865">
        <v>0</v>
      </c>
    </row>
    <row r="4866" spans="31:33">
      <c r="AE4866">
        <v>0</v>
      </c>
      <c r="AG4866">
        <v>0</v>
      </c>
    </row>
    <row r="4867" spans="31:33">
      <c r="AE4867">
        <v>0</v>
      </c>
      <c r="AG4867">
        <v>0</v>
      </c>
    </row>
    <row r="4868" spans="31:33">
      <c r="AE4868">
        <v>0</v>
      </c>
      <c r="AG4868">
        <v>0</v>
      </c>
    </row>
    <row r="4869" spans="31:33">
      <c r="AE4869">
        <v>0</v>
      </c>
      <c r="AG4869">
        <v>0</v>
      </c>
    </row>
    <row r="4870" spans="31:33">
      <c r="AE4870">
        <v>0</v>
      </c>
      <c r="AG4870">
        <v>0</v>
      </c>
    </row>
    <row r="4871" spans="31:33">
      <c r="AE4871">
        <v>0</v>
      </c>
      <c r="AG4871">
        <v>0</v>
      </c>
    </row>
    <row r="4872" spans="31:33">
      <c r="AE4872">
        <v>0</v>
      </c>
      <c r="AG4872">
        <v>0</v>
      </c>
    </row>
    <row r="4873" spans="31:33">
      <c r="AE4873">
        <v>0</v>
      </c>
      <c r="AG4873">
        <v>0</v>
      </c>
    </row>
    <row r="4874" spans="31:33">
      <c r="AE4874">
        <v>0</v>
      </c>
      <c r="AG4874">
        <v>0</v>
      </c>
    </row>
    <row r="4875" spans="31:33">
      <c r="AE4875">
        <v>0</v>
      </c>
      <c r="AG4875">
        <v>0</v>
      </c>
    </row>
    <row r="4876" spans="31:33">
      <c r="AE4876">
        <v>0</v>
      </c>
      <c r="AG4876">
        <v>0</v>
      </c>
    </row>
    <row r="4877" spans="31:33">
      <c r="AE4877">
        <v>0</v>
      </c>
      <c r="AG4877">
        <v>0</v>
      </c>
    </row>
    <row r="4878" spans="31:33">
      <c r="AE4878">
        <v>0</v>
      </c>
      <c r="AG4878">
        <v>0</v>
      </c>
    </row>
    <row r="4879" spans="31:33">
      <c r="AE4879">
        <v>0</v>
      </c>
      <c r="AG4879">
        <v>0</v>
      </c>
    </row>
    <row r="4880" spans="31:33">
      <c r="AE4880">
        <v>0</v>
      </c>
      <c r="AG4880">
        <v>0</v>
      </c>
    </row>
    <row r="4881" spans="31:33">
      <c r="AE4881">
        <v>0</v>
      </c>
      <c r="AG4881">
        <v>0</v>
      </c>
    </row>
    <row r="4882" spans="31:33">
      <c r="AE4882">
        <v>0</v>
      </c>
      <c r="AG4882">
        <v>0</v>
      </c>
    </row>
    <row r="4883" spans="31:33">
      <c r="AE4883">
        <v>0</v>
      </c>
      <c r="AG4883">
        <v>0</v>
      </c>
    </row>
    <row r="4884" spans="31:33">
      <c r="AE4884">
        <v>0</v>
      </c>
      <c r="AG4884">
        <v>0</v>
      </c>
    </row>
    <row r="4885" spans="31:33">
      <c r="AE4885">
        <v>0</v>
      </c>
      <c r="AG4885">
        <v>0</v>
      </c>
    </row>
    <row r="4886" spans="31:33">
      <c r="AE4886">
        <v>0</v>
      </c>
      <c r="AG4886">
        <v>0</v>
      </c>
    </row>
    <row r="4887" spans="31:33">
      <c r="AE4887">
        <v>0</v>
      </c>
      <c r="AG4887">
        <v>0</v>
      </c>
    </row>
    <row r="4888" spans="31:33">
      <c r="AE4888">
        <v>0</v>
      </c>
      <c r="AG4888">
        <v>0</v>
      </c>
    </row>
    <row r="4889" spans="31:33">
      <c r="AE4889">
        <v>0</v>
      </c>
      <c r="AG4889">
        <v>0</v>
      </c>
    </row>
    <row r="4890" spans="31:33">
      <c r="AE4890">
        <v>0</v>
      </c>
      <c r="AG4890">
        <v>0</v>
      </c>
    </row>
    <row r="4891" spans="31:33">
      <c r="AE4891">
        <v>0</v>
      </c>
      <c r="AG4891">
        <v>0</v>
      </c>
    </row>
    <row r="4892" spans="31:33">
      <c r="AE4892">
        <v>0</v>
      </c>
      <c r="AG4892">
        <v>0</v>
      </c>
    </row>
    <row r="4893" spans="31:33">
      <c r="AE4893">
        <v>0</v>
      </c>
      <c r="AG4893">
        <v>0</v>
      </c>
    </row>
    <row r="4894" spans="31:33">
      <c r="AE4894">
        <v>0</v>
      </c>
      <c r="AG4894">
        <v>0</v>
      </c>
    </row>
    <row r="4895" spans="31:33">
      <c r="AE4895">
        <v>0</v>
      </c>
      <c r="AG4895">
        <v>0</v>
      </c>
    </row>
    <row r="4896" spans="31:33">
      <c r="AE4896">
        <v>0</v>
      </c>
      <c r="AG4896">
        <v>0</v>
      </c>
    </row>
    <row r="4897" spans="31:33">
      <c r="AE4897">
        <v>0</v>
      </c>
      <c r="AG4897">
        <v>0</v>
      </c>
    </row>
    <row r="4898" spans="31:33">
      <c r="AE4898">
        <v>0</v>
      </c>
      <c r="AG4898">
        <v>0</v>
      </c>
    </row>
    <row r="4899" spans="31:33">
      <c r="AE4899">
        <v>0</v>
      </c>
      <c r="AG4899">
        <v>0</v>
      </c>
    </row>
    <row r="4900" spans="31:33">
      <c r="AE4900">
        <v>0</v>
      </c>
      <c r="AG4900">
        <v>0</v>
      </c>
    </row>
    <row r="4901" spans="31:33">
      <c r="AE4901">
        <v>0</v>
      </c>
      <c r="AG4901">
        <v>0</v>
      </c>
    </row>
    <row r="4902" spans="31:33">
      <c r="AE4902">
        <v>0</v>
      </c>
      <c r="AG4902">
        <v>0</v>
      </c>
    </row>
    <row r="4903" spans="31:33">
      <c r="AE4903">
        <v>0</v>
      </c>
      <c r="AG4903">
        <v>0</v>
      </c>
    </row>
    <row r="4904" spans="31:33">
      <c r="AE4904">
        <v>0</v>
      </c>
      <c r="AG4904">
        <v>0</v>
      </c>
    </row>
    <row r="4905" spans="31:33">
      <c r="AE4905">
        <v>0</v>
      </c>
      <c r="AG4905">
        <v>0</v>
      </c>
    </row>
    <row r="4906" spans="31:33">
      <c r="AE4906">
        <v>0</v>
      </c>
      <c r="AG4906">
        <v>0</v>
      </c>
    </row>
    <row r="4907" spans="31:33">
      <c r="AE4907">
        <v>0</v>
      </c>
      <c r="AG4907">
        <v>0</v>
      </c>
    </row>
    <row r="4908" spans="31:33">
      <c r="AE4908">
        <v>0</v>
      </c>
      <c r="AG4908">
        <v>0</v>
      </c>
    </row>
    <row r="4909" spans="31:33">
      <c r="AE4909">
        <v>0</v>
      </c>
      <c r="AG4909">
        <v>0</v>
      </c>
    </row>
    <row r="4910" spans="31:33">
      <c r="AE4910">
        <v>0</v>
      </c>
      <c r="AG4910">
        <v>0</v>
      </c>
    </row>
    <row r="4911" spans="31:33">
      <c r="AE4911">
        <v>0</v>
      </c>
      <c r="AG4911">
        <v>0</v>
      </c>
    </row>
    <row r="4912" spans="31:33">
      <c r="AE4912">
        <v>0</v>
      </c>
      <c r="AG4912">
        <v>0</v>
      </c>
    </row>
    <row r="4913" spans="31:33">
      <c r="AE4913">
        <v>0</v>
      </c>
      <c r="AG4913">
        <v>0</v>
      </c>
    </row>
    <row r="4914" spans="31:33">
      <c r="AE4914">
        <v>0</v>
      </c>
      <c r="AG4914">
        <v>0</v>
      </c>
    </row>
    <row r="4915" spans="31:33">
      <c r="AE4915">
        <v>0</v>
      </c>
      <c r="AG4915">
        <v>0</v>
      </c>
    </row>
    <row r="4916" spans="31:33">
      <c r="AE4916">
        <v>0</v>
      </c>
      <c r="AG4916">
        <v>0</v>
      </c>
    </row>
    <row r="4917" spans="31:33">
      <c r="AE4917">
        <v>0</v>
      </c>
      <c r="AG4917">
        <v>0</v>
      </c>
    </row>
    <row r="4918" spans="31:33">
      <c r="AE4918">
        <v>0</v>
      </c>
      <c r="AG4918">
        <v>0</v>
      </c>
    </row>
    <row r="4919" spans="31:33">
      <c r="AE4919">
        <v>0</v>
      </c>
      <c r="AG4919">
        <v>0</v>
      </c>
    </row>
    <row r="4920" spans="31:33">
      <c r="AE4920">
        <v>0</v>
      </c>
      <c r="AG4920">
        <v>0</v>
      </c>
    </row>
    <row r="4921" spans="31:33">
      <c r="AE4921">
        <v>0</v>
      </c>
      <c r="AG4921">
        <v>0</v>
      </c>
    </row>
    <row r="4922" spans="31:33">
      <c r="AE4922">
        <v>0</v>
      </c>
      <c r="AG4922">
        <v>0</v>
      </c>
    </row>
    <row r="4923" spans="31:33">
      <c r="AE4923">
        <v>0</v>
      </c>
      <c r="AG4923">
        <v>0</v>
      </c>
    </row>
    <row r="4924" spans="31:33">
      <c r="AE4924">
        <v>0</v>
      </c>
      <c r="AG4924">
        <v>0</v>
      </c>
    </row>
    <row r="4925" spans="31:33">
      <c r="AE4925">
        <v>0</v>
      </c>
      <c r="AG4925">
        <v>0</v>
      </c>
    </row>
    <row r="4926" spans="31:33">
      <c r="AE4926">
        <v>0</v>
      </c>
      <c r="AG4926">
        <v>0</v>
      </c>
    </row>
    <row r="4927" spans="31:33">
      <c r="AE4927">
        <v>0</v>
      </c>
      <c r="AG4927">
        <v>0</v>
      </c>
    </row>
    <row r="4928" spans="31:33">
      <c r="AE4928">
        <v>0</v>
      </c>
      <c r="AG4928">
        <v>0</v>
      </c>
    </row>
    <row r="4929" spans="31:33">
      <c r="AE4929">
        <v>0</v>
      </c>
      <c r="AG4929">
        <v>0</v>
      </c>
    </row>
    <row r="4930" spans="31:33">
      <c r="AE4930">
        <v>0</v>
      </c>
      <c r="AG4930">
        <v>0</v>
      </c>
    </row>
    <row r="4931" spans="31:33">
      <c r="AE4931">
        <v>0</v>
      </c>
      <c r="AG4931">
        <v>0</v>
      </c>
    </row>
    <row r="4932" spans="31:33">
      <c r="AE4932" s="31">
        <v>-10079.1</v>
      </c>
      <c r="AG4932" s="31">
        <v>-3145.97</v>
      </c>
    </row>
    <row r="4933" spans="31:33">
      <c r="AE4933">
        <v>0</v>
      </c>
      <c r="AG4933">
        <v>0</v>
      </c>
    </row>
    <row r="4934" spans="31:33">
      <c r="AE4934">
        <v>0</v>
      </c>
      <c r="AG4934">
        <v>0</v>
      </c>
    </row>
    <row r="4935" spans="31:33">
      <c r="AE4935">
        <v>0</v>
      </c>
      <c r="AG4935">
        <v>0</v>
      </c>
    </row>
    <row r="4936" spans="31:33">
      <c r="AE4936">
        <v>0</v>
      </c>
      <c r="AG4936">
        <v>0</v>
      </c>
    </row>
    <row r="4937" spans="31:33">
      <c r="AE4937">
        <v>0</v>
      </c>
      <c r="AG4937">
        <v>0</v>
      </c>
    </row>
    <row r="4938" spans="31:33">
      <c r="AE4938">
        <v>0</v>
      </c>
      <c r="AG4938">
        <v>0</v>
      </c>
    </row>
    <row r="4939" spans="31:33">
      <c r="AE4939">
        <v>0</v>
      </c>
      <c r="AG4939">
        <v>0</v>
      </c>
    </row>
    <row r="4940" spans="31:33">
      <c r="AE4940">
        <v>0</v>
      </c>
      <c r="AG4940">
        <v>0</v>
      </c>
    </row>
    <row r="4941" spans="31:33">
      <c r="AE4941">
        <v>0</v>
      </c>
      <c r="AG4941">
        <v>0</v>
      </c>
    </row>
    <row r="4942" spans="31:33">
      <c r="AE4942">
        <v>0</v>
      </c>
      <c r="AG4942">
        <v>0</v>
      </c>
    </row>
    <row r="4943" spans="31:33">
      <c r="AE4943">
        <v>0</v>
      </c>
      <c r="AG4943">
        <v>0</v>
      </c>
    </row>
    <row r="4944" spans="31:33">
      <c r="AE4944">
        <v>0</v>
      </c>
      <c r="AG4944">
        <v>0</v>
      </c>
    </row>
    <row r="4945" spans="31:33">
      <c r="AE4945">
        <v>0</v>
      </c>
      <c r="AG4945">
        <v>0</v>
      </c>
    </row>
    <row r="4946" spans="31:33">
      <c r="AE4946">
        <v>0</v>
      </c>
      <c r="AG4946">
        <v>0</v>
      </c>
    </row>
    <row r="4947" spans="31:33">
      <c r="AE4947">
        <v>0</v>
      </c>
      <c r="AG4947">
        <v>0</v>
      </c>
    </row>
    <row r="4948" spans="31:33">
      <c r="AE4948">
        <v>0</v>
      </c>
      <c r="AG4948">
        <v>0</v>
      </c>
    </row>
    <row r="4949" spans="31:33">
      <c r="AE4949">
        <v>0</v>
      </c>
      <c r="AG4949">
        <v>0</v>
      </c>
    </row>
    <row r="4950" spans="31:33">
      <c r="AE4950" s="31">
        <v>-11582.78</v>
      </c>
      <c r="AG4950">
        <v>0</v>
      </c>
    </row>
    <row r="4951" spans="31:33">
      <c r="AE4951">
        <v>0</v>
      </c>
      <c r="AG4951">
        <v>0</v>
      </c>
    </row>
    <row r="4952" spans="31:33">
      <c r="AE4952">
        <v>0</v>
      </c>
      <c r="AG4952">
        <v>0</v>
      </c>
    </row>
    <row r="4953" spans="31:33">
      <c r="AE4953">
        <v>0</v>
      </c>
      <c r="AG4953">
        <v>0</v>
      </c>
    </row>
    <row r="4954" spans="31:33">
      <c r="AE4954">
        <v>0</v>
      </c>
      <c r="AG4954">
        <v>0</v>
      </c>
    </row>
    <row r="4955" spans="31:33">
      <c r="AE4955">
        <v>0</v>
      </c>
      <c r="AG4955">
        <v>0</v>
      </c>
    </row>
    <row r="4956" spans="31:33">
      <c r="AE4956">
        <v>0</v>
      </c>
      <c r="AG4956">
        <v>0</v>
      </c>
    </row>
    <row r="4957" spans="31:33">
      <c r="AE4957">
        <v>0</v>
      </c>
      <c r="AG4957">
        <v>0</v>
      </c>
    </row>
    <row r="4958" spans="31:33">
      <c r="AE4958">
        <v>0</v>
      </c>
      <c r="AG4958">
        <v>0</v>
      </c>
    </row>
    <row r="4959" spans="31:33">
      <c r="AE4959">
        <v>0</v>
      </c>
      <c r="AG4959">
        <v>0</v>
      </c>
    </row>
    <row r="4960" spans="31:33">
      <c r="AE4960">
        <v>0</v>
      </c>
      <c r="AG4960">
        <v>0</v>
      </c>
    </row>
    <row r="4961" spans="31:33">
      <c r="AE4961">
        <v>0</v>
      </c>
      <c r="AG4961">
        <v>0</v>
      </c>
    </row>
    <row r="4962" spans="31:33">
      <c r="AE4962">
        <v>0</v>
      </c>
      <c r="AG4962">
        <v>0</v>
      </c>
    </row>
    <row r="4963" spans="31:33">
      <c r="AE4963">
        <v>0</v>
      </c>
      <c r="AG4963">
        <v>0</v>
      </c>
    </row>
    <row r="4964" spans="31:33">
      <c r="AE4964">
        <v>0</v>
      </c>
      <c r="AG4964">
        <v>0</v>
      </c>
    </row>
    <row r="4965" spans="31:33">
      <c r="AE4965">
        <v>0</v>
      </c>
      <c r="AG4965">
        <v>0</v>
      </c>
    </row>
    <row r="4966" spans="31:33">
      <c r="AE4966">
        <v>0</v>
      </c>
      <c r="AG4966">
        <v>0</v>
      </c>
    </row>
    <row r="4967" spans="31:33">
      <c r="AE4967">
        <v>0</v>
      </c>
      <c r="AG4967">
        <v>0</v>
      </c>
    </row>
    <row r="4968" spans="31:33">
      <c r="AE4968">
        <v>0</v>
      </c>
      <c r="AG4968">
        <v>0</v>
      </c>
    </row>
    <row r="4969" spans="31:33">
      <c r="AE4969">
        <v>0</v>
      </c>
      <c r="AG4969">
        <v>0</v>
      </c>
    </row>
    <row r="4970" spans="31:33">
      <c r="AE4970">
        <v>0</v>
      </c>
      <c r="AG4970">
        <v>0</v>
      </c>
    </row>
    <row r="4971" spans="31:33">
      <c r="AE4971">
        <v>0</v>
      </c>
      <c r="AG4971">
        <v>0</v>
      </c>
    </row>
    <row r="4972" spans="31:33">
      <c r="AE4972">
        <v>0</v>
      </c>
      <c r="AG4972">
        <v>0</v>
      </c>
    </row>
    <row r="4973" spans="31:33">
      <c r="AE4973">
        <v>0</v>
      </c>
      <c r="AG4973">
        <v>0</v>
      </c>
    </row>
    <row r="4974" spans="31:33">
      <c r="AE4974">
        <v>0</v>
      </c>
      <c r="AG4974">
        <v>0</v>
      </c>
    </row>
    <row r="4975" spans="31:33">
      <c r="AE4975">
        <v>0</v>
      </c>
      <c r="AG4975">
        <v>0</v>
      </c>
    </row>
    <row r="4976" spans="31:33">
      <c r="AE4976">
        <v>0</v>
      </c>
      <c r="AG4976">
        <v>0</v>
      </c>
    </row>
    <row r="4977" spans="31:33">
      <c r="AE4977">
        <v>0</v>
      </c>
      <c r="AG4977">
        <v>0</v>
      </c>
    </row>
    <row r="4978" spans="31:33">
      <c r="AE4978">
        <v>0</v>
      </c>
      <c r="AG4978">
        <v>0</v>
      </c>
    </row>
    <row r="4979" spans="31:33">
      <c r="AE4979">
        <v>0</v>
      </c>
      <c r="AG4979">
        <v>0</v>
      </c>
    </row>
    <row r="4980" spans="31:33">
      <c r="AE4980">
        <v>0</v>
      </c>
      <c r="AG4980">
        <v>0</v>
      </c>
    </row>
    <row r="4981" spans="31:33">
      <c r="AE4981">
        <v>0</v>
      </c>
      <c r="AG4981">
        <v>0</v>
      </c>
    </row>
    <row r="4982" spans="31:33">
      <c r="AE4982">
        <v>0</v>
      </c>
      <c r="AG4982">
        <v>0</v>
      </c>
    </row>
    <row r="4983" spans="31:33">
      <c r="AE4983">
        <v>0</v>
      </c>
      <c r="AG4983">
        <v>0</v>
      </c>
    </row>
    <row r="4984" spans="31:33">
      <c r="AE4984">
        <v>0</v>
      </c>
      <c r="AG4984">
        <v>0</v>
      </c>
    </row>
    <row r="4985" spans="31:33">
      <c r="AE4985">
        <v>0</v>
      </c>
      <c r="AG4985">
        <v>0</v>
      </c>
    </row>
    <row r="4986" spans="31:33">
      <c r="AE4986">
        <v>0</v>
      </c>
      <c r="AG4986">
        <v>0</v>
      </c>
    </row>
    <row r="4987" spans="31:33">
      <c r="AE4987">
        <v>0</v>
      </c>
      <c r="AG4987">
        <v>0</v>
      </c>
    </row>
    <row r="4988" spans="31:33">
      <c r="AE4988">
        <v>0</v>
      </c>
      <c r="AG4988">
        <v>0</v>
      </c>
    </row>
    <row r="4989" spans="31:33">
      <c r="AE4989">
        <v>0</v>
      </c>
      <c r="AG4989">
        <v>0</v>
      </c>
    </row>
    <row r="4990" spans="31:33">
      <c r="AE4990">
        <v>0</v>
      </c>
      <c r="AG4990">
        <v>0</v>
      </c>
    </row>
    <row r="4991" spans="31:33">
      <c r="AE4991">
        <v>0</v>
      </c>
      <c r="AG4991">
        <v>0</v>
      </c>
    </row>
    <row r="4992" spans="31:33">
      <c r="AE4992">
        <v>0</v>
      </c>
      <c r="AG4992">
        <v>0</v>
      </c>
    </row>
    <row r="4993" spans="31:33">
      <c r="AE4993">
        <v>0</v>
      </c>
      <c r="AG4993">
        <v>0</v>
      </c>
    </row>
    <row r="4994" spans="31:33">
      <c r="AE4994">
        <v>0</v>
      </c>
      <c r="AG4994">
        <v>0</v>
      </c>
    </row>
    <row r="4995" spans="31:33">
      <c r="AE4995">
        <v>0</v>
      </c>
      <c r="AG4995">
        <v>0</v>
      </c>
    </row>
    <row r="4996" spans="31:33">
      <c r="AE4996">
        <v>0</v>
      </c>
      <c r="AG4996">
        <v>0</v>
      </c>
    </row>
    <row r="4997" spans="31:33">
      <c r="AE4997">
        <v>0</v>
      </c>
      <c r="AG4997">
        <v>0</v>
      </c>
    </row>
    <row r="4998" spans="31:33">
      <c r="AE4998">
        <v>0</v>
      </c>
      <c r="AG4998">
        <v>0</v>
      </c>
    </row>
    <row r="4999" spans="31:33">
      <c r="AE4999">
        <v>0</v>
      </c>
      <c r="AG4999">
        <v>0</v>
      </c>
    </row>
    <row r="5000" spans="31:33">
      <c r="AE5000">
        <v>0</v>
      </c>
      <c r="AG5000">
        <v>0</v>
      </c>
    </row>
    <row r="5001" spans="31:33">
      <c r="AE5001">
        <v>0</v>
      </c>
      <c r="AG5001">
        <v>0</v>
      </c>
    </row>
    <row r="5002" spans="31:33">
      <c r="AE5002">
        <v>0</v>
      </c>
      <c r="AG5002" s="31">
        <v>-33380.730000000003</v>
      </c>
    </row>
    <row r="5003" spans="31:33">
      <c r="AE5003">
        <v>0</v>
      </c>
      <c r="AG5003">
        <v>0</v>
      </c>
    </row>
    <row r="5004" spans="31:33">
      <c r="AE5004">
        <v>0</v>
      </c>
      <c r="AG5004">
        <v>0</v>
      </c>
    </row>
    <row r="5005" spans="31:33">
      <c r="AE5005">
        <v>0</v>
      </c>
      <c r="AG5005">
        <v>0</v>
      </c>
    </row>
    <row r="5006" spans="31:33">
      <c r="AE5006">
        <v>0</v>
      </c>
      <c r="AG5006">
        <v>0</v>
      </c>
    </row>
    <row r="5007" spans="31:33">
      <c r="AE5007">
        <v>0</v>
      </c>
      <c r="AG5007">
        <v>0</v>
      </c>
    </row>
    <row r="5008" spans="31:33">
      <c r="AE5008">
        <v>0</v>
      </c>
      <c r="AG5008">
        <v>0</v>
      </c>
    </row>
    <row r="5009" spans="31:33">
      <c r="AE5009">
        <v>0</v>
      </c>
      <c r="AG5009">
        <v>0</v>
      </c>
    </row>
    <row r="5010" spans="31:33">
      <c r="AE5010">
        <v>0</v>
      </c>
      <c r="AG5010">
        <v>0</v>
      </c>
    </row>
    <row r="5011" spans="31:33">
      <c r="AE5011">
        <v>0</v>
      </c>
      <c r="AG5011">
        <v>0</v>
      </c>
    </row>
    <row r="5012" spans="31:33">
      <c r="AE5012">
        <v>0</v>
      </c>
      <c r="AG5012">
        <v>0</v>
      </c>
    </row>
    <row r="5013" spans="31:33">
      <c r="AE5013">
        <v>0</v>
      </c>
      <c r="AG5013">
        <v>0</v>
      </c>
    </row>
    <row r="5014" spans="31:33">
      <c r="AE5014">
        <v>0</v>
      </c>
      <c r="AG5014">
        <v>0</v>
      </c>
    </row>
    <row r="5015" spans="31:33">
      <c r="AE5015">
        <v>0</v>
      </c>
      <c r="AG5015">
        <v>0</v>
      </c>
    </row>
    <row r="5016" spans="31:33">
      <c r="AE5016">
        <v>0</v>
      </c>
      <c r="AG5016">
        <v>0</v>
      </c>
    </row>
    <row r="5017" spans="31:33">
      <c r="AE5017">
        <v>0</v>
      </c>
      <c r="AG5017">
        <v>0</v>
      </c>
    </row>
    <row r="5018" spans="31:33">
      <c r="AE5018">
        <v>0</v>
      </c>
      <c r="AG5018">
        <v>0</v>
      </c>
    </row>
    <row r="5019" spans="31:33">
      <c r="AE5019">
        <v>0</v>
      </c>
      <c r="AG5019">
        <v>0</v>
      </c>
    </row>
    <row r="5020" spans="31:33">
      <c r="AE5020">
        <v>0</v>
      </c>
      <c r="AG5020">
        <v>0</v>
      </c>
    </row>
    <row r="5021" spans="31:33">
      <c r="AE5021">
        <v>0</v>
      </c>
      <c r="AG5021">
        <v>0</v>
      </c>
    </row>
    <row r="5022" spans="31:33">
      <c r="AE5022">
        <v>0</v>
      </c>
      <c r="AG5022">
        <v>0</v>
      </c>
    </row>
    <row r="5023" spans="31:33">
      <c r="AE5023">
        <v>0</v>
      </c>
      <c r="AG5023">
        <v>0</v>
      </c>
    </row>
    <row r="5024" spans="31:33">
      <c r="AE5024">
        <v>0</v>
      </c>
      <c r="AG5024">
        <v>0</v>
      </c>
    </row>
    <row r="5025" spans="31:33">
      <c r="AE5025">
        <v>0</v>
      </c>
      <c r="AG5025">
        <v>0</v>
      </c>
    </row>
    <row r="5026" spans="31:33">
      <c r="AE5026">
        <v>0</v>
      </c>
      <c r="AG5026">
        <v>0</v>
      </c>
    </row>
    <row r="5027" spans="31:33">
      <c r="AE5027">
        <v>0</v>
      </c>
      <c r="AG5027">
        <v>0</v>
      </c>
    </row>
    <row r="5028" spans="31:33">
      <c r="AE5028">
        <v>0</v>
      </c>
      <c r="AG5028">
        <v>0</v>
      </c>
    </row>
    <row r="5029" spans="31:33">
      <c r="AE5029" s="31">
        <v>27116.28</v>
      </c>
      <c r="AG5029" s="31">
        <v>20541.21</v>
      </c>
    </row>
    <row r="5030" spans="31:33">
      <c r="AE5030">
        <v>0</v>
      </c>
      <c r="AG5030">
        <v>0</v>
      </c>
    </row>
    <row r="5031" spans="31:33">
      <c r="AE5031">
        <v>0</v>
      </c>
      <c r="AG5031">
        <v>0</v>
      </c>
    </row>
    <row r="5032" spans="31:33">
      <c r="AE5032">
        <v>0</v>
      </c>
      <c r="AG5032">
        <v>0</v>
      </c>
    </row>
    <row r="5033" spans="31:33">
      <c r="AE5033">
        <v>0</v>
      </c>
      <c r="AG5033">
        <v>0</v>
      </c>
    </row>
    <row r="5034" spans="31:33">
      <c r="AE5034">
        <v>0</v>
      </c>
      <c r="AG5034">
        <v>0</v>
      </c>
    </row>
    <row r="5035" spans="31:33">
      <c r="AE5035">
        <v>0</v>
      </c>
      <c r="AG5035">
        <v>0</v>
      </c>
    </row>
    <row r="5036" spans="31:33">
      <c r="AE5036">
        <v>0</v>
      </c>
      <c r="AG5036">
        <v>0</v>
      </c>
    </row>
    <row r="5037" spans="31:33">
      <c r="AE5037">
        <v>0</v>
      </c>
      <c r="AG5037">
        <v>0</v>
      </c>
    </row>
    <row r="5038" spans="31:33">
      <c r="AE5038">
        <v>0</v>
      </c>
      <c r="AG5038">
        <v>0</v>
      </c>
    </row>
    <row r="5039" spans="31:33">
      <c r="AE5039">
        <v>0</v>
      </c>
      <c r="AG5039">
        <v>0</v>
      </c>
    </row>
    <row r="5040" spans="31:33">
      <c r="AE5040">
        <v>0</v>
      </c>
      <c r="AG5040">
        <v>0</v>
      </c>
    </row>
    <row r="5041" spans="31:33">
      <c r="AE5041">
        <v>0</v>
      </c>
      <c r="AG5041">
        <v>0</v>
      </c>
    </row>
    <row r="5042" spans="31:33">
      <c r="AE5042">
        <v>0</v>
      </c>
      <c r="AG5042">
        <v>0</v>
      </c>
    </row>
    <row r="5043" spans="31:33">
      <c r="AE5043">
        <v>0</v>
      </c>
      <c r="AG5043">
        <v>0</v>
      </c>
    </row>
    <row r="5044" spans="31:33">
      <c r="AE5044">
        <v>0</v>
      </c>
      <c r="AG5044">
        <v>0</v>
      </c>
    </row>
    <row r="5045" spans="31:33">
      <c r="AE5045">
        <v>0</v>
      </c>
      <c r="AG5045">
        <v>0</v>
      </c>
    </row>
    <row r="5046" spans="31:33">
      <c r="AE5046">
        <v>0</v>
      </c>
      <c r="AG5046">
        <v>0</v>
      </c>
    </row>
    <row r="5047" spans="31:33">
      <c r="AE5047">
        <v>0</v>
      </c>
      <c r="AG5047">
        <v>0</v>
      </c>
    </row>
    <row r="5048" spans="31:33">
      <c r="AE5048">
        <v>0</v>
      </c>
      <c r="AG5048">
        <v>0</v>
      </c>
    </row>
    <row r="5049" spans="31:33">
      <c r="AE5049">
        <v>0</v>
      </c>
      <c r="AG5049">
        <v>0</v>
      </c>
    </row>
    <row r="5050" spans="31:33">
      <c r="AE5050">
        <v>0</v>
      </c>
      <c r="AG5050">
        <v>0</v>
      </c>
    </row>
    <row r="5051" spans="31:33">
      <c r="AE5051" s="31">
        <v>114750</v>
      </c>
      <c r="AG5051" s="31">
        <v>187315.25</v>
      </c>
    </row>
    <row r="5052" spans="31:33">
      <c r="AE5052">
        <v>0</v>
      </c>
      <c r="AG5052">
        <v>0</v>
      </c>
    </row>
    <row r="5053" spans="31:33">
      <c r="AE5053">
        <v>0</v>
      </c>
      <c r="AG5053">
        <v>0</v>
      </c>
    </row>
    <row r="5054" spans="31:33">
      <c r="AE5054">
        <v>0</v>
      </c>
      <c r="AG5054">
        <v>0</v>
      </c>
    </row>
    <row r="5055" spans="31:33">
      <c r="AE5055">
        <v>0</v>
      </c>
      <c r="AG5055">
        <v>0</v>
      </c>
    </row>
    <row r="5056" spans="31:33">
      <c r="AE5056">
        <v>0</v>
      </c>
      <c r="AG5056">
        <v>0</v>
      </c>
    </row>
    <row r="5057" spans="31:33">
      <c r="AE5057">
        <v>0</v>
      </c>
      <c r="AG5057">
        <v>0</v>
      </c>
    </row>
    <row r="5058" spans="31:33">
      <c r="AE5058">
        <v>0</v>
      </c>
      <c r="AG5058">
        <v>0</v>
      </c>
    </row>
    <row r="5059" spans="31:33">
      <c r="AE5059">
        <v>0</v>
      </c>
      <c r="AG5059">
        <v>0</v>
      </c>
    </row>
    <row r="5060" spans="31:33">
      <c r="AE5060">
        <v>-66.430000000000007</v>
      </c>
      <c r="AG5060">
        <v>0</v>
      </c>
    </row>
    <row r="5061" spans="31:33">
      <c r="AE5061">
        <v>0</v>
      </c>
      <c r="AG5061">
        <v>0</v>
      </c>
    </row>
    <row r="5062" spans="31:33">
      <c r="AE5062">
        <v>0</v>
      </c>
      <c r="AG5062">
        <v>0</v>
      </c>
    </row>
    <row r="5063" spans="31:33">
      <c r="AE5063" s="31">
        <v>130350.1</v>
      </c>
      <c r="AG5063" s="31">
        <v>179368</v>
      </c>
    </row>
    <row r="5064" spans="31:33">
      <c r="AE5064">
        <v>0</v>
      </c>
      <c r="AG5064">
        <v>0</v>
      </c>
    </row>
    <row r="5065" spans="31:33">
      <c r="AE5065">
        <v>0</v>
      </c>
      <c r="AG5065">
        <v>0</v>
      </c>
    </row>
    <row r="5066" spans="31:33">
      <c r="AE5066">
        <v>0</v>
      </c>
      <c r="AG5066">
        <v>0</v>
      </c>
    </row>
    <row r="5067" spans="31:33">
      <c r="AE5067" s="31">
        <v>259895.77</v>
      </c>
      <c r="AG5067" s="31">
        <v>1282589.92</v>
      </c>
    </row>
    <row r="5068" spans="31:33">
      <c r="AE5068" s="31">
        <v>-2205.4899999999998</v>
      </c>
      <c r="AG5068" s="31">
        <v>-2097.36</v>
      </c>
    </row>
    <row r="5069" spans="31:33">
      <c r="AE5069">
        <v>0</v>
      </c>
      <c r="AG5069">
        <v>0</v>
      </c>
    </row>
    <row r="5070" spans="31:33">
      <c r="AE5070">
        <v>0</v>
      </c>
      <c r="AG5070">
        <v>0</v>
      </c>
    </row>
    <row r="5071" spans="31:33">
      <c r="AE5071">
        <v>0</v>
      </c>
      <c r="AG5071">
        <v>0</v>
      </c>
    </row>
    <row r="5072" spans="31:33">
      <c r="AE5072">
        <v>0</v>
      </c>
      <c r="AG5072">
        <v>0</v>
      </c>
    </row>
    <row r="5073" spans="31:33">
      <c r="AE5073">
        <v>0</v>
      </c>
      <c r="AG5073">
        <v>0</v>
      </c>
    </row>
    <row r="5074" spans="31:33">
      <c r="AE5074">
        <v>0</v>
      </c>
      <c r="AG5074">
        <v>0</v>
      </c>
    </row>
    <row r="5075" spans="31:33">
      <c r="AE5075">
        <v>0</v>
      </c>
      <c r="AG5075">
        <v>0</v>
      </c>
    </row>
    <row r="5076" spans="31:33">
      <c r="AE5076">
        <v>0</v>
      </c>
      <c r="AG5076">
        <v>0</v>
      </c>
    </row>
    <row r="5077" spans="31:33">
      <c r="AE5077" s="31">
        <v>74725.77</v>
      </c>
      <c r="AG5077">
        <v>0</v>
      </c>
    </row>
    <row r="5078" spans="31:33">
      <c r="AE5078" s="31">
        <v>-1951997.44</v>
      </c>
      <c r="AG5078" s="31">
        <v>-1018016.16</v>
      </c>
    </row>
    <row r="5079" spans="31:33">
      <c r="AE5079">
        <v>0</v>
      </c>
      <c r="AG5079">
        <v>0</v>
      </c>
    </row>
    <row r="5080" spans="31:33">
      <c r="AE5080">
        <v>0</v>
      </c>
      <c r="AG5080">
        <v>0</v>
      </c>
    </row>
    <row r="5081" spans="31:33">
      <c r="AE5081">
        <v>0</v>
      </c>
      <c r="AG5081">
        <v>0</v>
      </c>
    </row>
    <row r="5082" spans="31:33">
      <c r="AE5082">
        <v>0</v>
      </c>
      <c r="AG5082" s="31">
        <v>1235625.02</v>
      </c>
    </row>
    <row r="5083" spans="31:33">
      <c r="AE5083">
        <v>0</v>
      </c>
      <c r="AG5083">
        <v>0</v>
      </c>
    </row>
    <row r="5084" spans="31:33">
      <c r="AE5084">
        <v>0</v>
      </c>
      <c r="AG5084">
        <v>0</v>
      </c>
    </row>
    <row r="5085" spans="31:33">
      <c r="AE5085">
        <v>0</v>
      </c>
      <c r="AG5085">
        <v>0</v>
      </c>
    </row>
    <row r="5086" spans="31:33">
      <c r="AE5086">
        <v>0</v>
      </c>
      <c r="AG5086" s="31">
        <v>17961208.940000001</v>
      </c>
    </row>
    <row r="5087" spans="31:33">
      <c r="AE5087">
        <v>0</v>
      </c>
      <c r="AG5087">
        <v>0</v>
      </c>
    </row>
    <row r="5088" spans="31:33">
      <c r="AE5088">
        <v>0</v>
      </c>
      <c r="AG5088">
        <v>0</v>
      </c>
    </row>
    <row r="5089" spans="31:33">
      <c r="AE5089">
        <v>0</v>
      </c>
      <c r="AG5089">
        <v>0</v>
      </c>
    </row>
    <row r="5090" spans="31:33">
      <c r="AE5090">
        <v>0</v>
      </c>
      <c r="AG5090">
        <v>0</v>
      </c>
    </row>
    <row r="5091" spans="31:33">
      <c r="AE5091">
        <v>0</v>
      </c>
      <c r="AG5091">
        <v>0</v>
      </c>
    </row>
    <row r="5092" spans="31:33">
      <c r="AE5092">
        <v>0</v>
      </c>
      <c r="AG5092">
        <v>0</v>
      </c>
    </row>
    <row r="5093" spans="31:33">
      <c r="AE5093">
        <v>0</v>
      </c>
      <c r="AG5093">
        <v>0</v>
      </c>
    </row>
    <row r="5094" spans="31:33">
      <c r="AE5094" s="31">
        <v>3880031.25</v>
      </c>
      <c r="AG5094" s="31">
        <v>2730109.38</v>
      </c>
    </row>
    <row r="5095" spans="31:33">
      <c r="AE5095">
        <v>0</v>
      </c>
      <c r="AG5095">
        <v>0</v>
      </c>
    </row>
    <row r="5096" spans="31:33">
      <c r="AE5096" s="31">
        <v>25516.06</v>
      </c>
      <c r="AG5096" s="31">
        <v>21412.05</v>
      </c>
    </row>
    <row r="5097" spans="31:33">
      <c r="AE5097">
        <v>0</v>
      </c>
      <c r="AG5097">
        <v>0</v>
      </c>
    </row>
    <row r="5098" spans="31:33">
      <c r="AE5098">
        <v>0</v>
      </c>
      <c r="AG5098">
        <v>0</v>
      </c>
    </row>
    <row r="5099" spans="31:33">
      <c r="AE5099">
        <v>0</v>
      </c>
      <c r="AG5099">
        <v>0</v>
      </c>
    </row>
    <row r="5100" spans="31:33">
      <c r="AE5100">
        <v>0</v>
      </c>
      <c r="AG5100">
        <v>0</v>
      </c>
    </row>
    <row r="5101" spans="31:33">
      <c r="AE5101">
        <v>0</v>
      </c>
      <c r="AG5101">
        <v>0</v>
      </c>
    </row>
    <row r="5102" spans="31:33">
      <c r="AE5102">
        <v>0</v>
      </c>
      <c r="AG5102">
        <v>0</v>
      </c>
    </row>
    <row r="5103" spans="31:33">
      <c r="AE5103">
        <v>0</v>
      </c>
      <c r="AG5103">
        <v>0</v>
      </c>
    </row>
    <row r="5104" spans="31:33">
      <c r="AE5104">
        <v>0</v>
      </c>
      <c r="AG5104">
        <v>0</v>
      </c>
    </row>
    <row r="5105" spans="31:33">
      <c r="AE5105">
        <v>0</v>
      </c>
      <c r="AG5105">
        <v>0</v>
      </c>
    </row>
    <row r="5106" spans="31:33">
      <c r="AE5106">
        <v>0</v>
      </c>
      <c r="AG5106">
        <v>0</v>
      </c>
    </row>
    <row r="5107" spans="31:33">
      <c r="AE5107">
        <v>0</v>
      </c>
      <c r="AG5107">
        <v>0</v>
      </c>
    </row>
    <row r="5108" spans="31:33">
      <c r="AE5108">
        <v>0</v>
      </c>
      <c r="AG5108">
        <v>0</v>
      </c>
    </row>
    <row r="5109" spans="31:33">
      <c r="AE5109">
        <v>0</v>
      </c>
      <c r="AG5109">
        <v>0</v>
      </c>
    </row>
    <row r="5110" spans="31:33">
      <c r="AE5110">
        <v>0</v>
      </c>
      <c r="AG5110">
        <v>0</v>
      </c>
    </row>
    <row r="5111" spans="31:33">
      <c r="AE5111">
        <v>0</v>
      </c>
      <c r="AG5111">
        <v>0</v>
      </c>
    </row>
    <row r="5112" spans="31:33">
      <c r="AE5112">
        <v>0</v>
      </c>
      <c r="AG5112">
        <v>0</v>
      </c>
    </row>
    <row r="5113" spans="31:33">
      <c r="AE5113">
        <v>0</v>
      </c>
      <c r="AG5113">
        <v>0</v>
      </c>
    </row>
    <row r="5114" spans="31:33">
      <c r="AE5114">
        <v>0</v>
      </c>
      <c r="AG5114">
        <v>0</v>
      </c>
    </row>
    <row r="5115" spans="31:33">
      <c r="AE5115">
        <v>0</v>
      </c>
      <c r="AG5115">
        <v>0</v>
      </c>
    </row>
    <row r="5116" spans="31:33">
      <c r="AE5116">
        <v>0</v>
      </c>
      <c r="AG5116">
        <v>0</v>
      </c>
    </row>
    <row r="5117" spans="31:33">
      <c r="AE5117">
        <v>0</v>
      </c>
      <c r="AG5117">
        <v>0</v>
      </c>
    </row>
    <row r="5118" spans="31:33">
      <c r="AE5118">
        <v>0</v>
      </c>
      <c r="AG5118">
        <v>0</v>
      </c>
    </row>
    <row r="5119" spans="31:33">
      <c r="AE5119">
        <v>0</v>
      </c>
      <c r="AG5119">
        <v>0</v>
      </c>
    </row>
    <row r="5120" spans="31:33">
      <c r="AE5120">
        <v>0</v>
      </c>
      <c r="AG5120">
        <v>0</v>
      </c>
    </row>
    <row r="5121" spans="31:33">
      <c r="AE5121">
        <v>0</v>
      </c>
      <c r="AG5121">
        <v>0</v>
      </c>
    </row>
    <row r="5122" spans="31:33">
      <c r="AE5122">
        <v>0</v>
      </c>
      <c r="AG5122">
        <v>0</v>
      </c>
    </row>
    <row r="5123" spans="31:33">
      <c r="AE5123">
        <v>0</v>
      </c>
      <c r="AG5123">
        <v>0</v>
      </c>
    </row>
    <row r="5124" spans="31:33">
      <c r="AE5124">
        <v>0</v>
      </c>
      <c r="AG5124">
        <v>0</v>
      </c>
    </row>
    <row r="5125" spans="31:33">
      <c r="AE5125">
        <v>0</v>
      </c>
      <c r="AG5125">
        <v>0</v>
      </c>
    </row>
    <row r="5126" spans="31:33">
      <c r="AE5126">
        <v>0</v>
      </c>
      <c r="AG5126">
        <v>0</v>
      </c>
    </row>
    <row r="5127" spans="31:33">
      <c r="AE5127">
        <v>0</v>
      </c>
      <c r="AG5127">
        <v>0</v>
      </c>
    </row>
    <row r="5128" spans="31:33">
      <c r="AE5128">
        <v>0</v>
      </c>
      <c r="AG5128">
        <v>0</v>
      </c>
    </row>
    <row r="5129" spans="31:33">
      <c r="AE5129">
        <v>0</v>
      </c>
      <c r="AG5129">
        <v>0</v>
      </c>
    </row>
    <row r="5130" spans="31:33">
      <c r="AE5130">
        <v>0</v>
      </c>
      <c r="AG5130">
        <v>0</v>
      </c>
    </row>
    <row r="5131" spans="31:33">
      <c r="AE5131">
        <v>0</v>
      </c>
      <c r="AG5131">
        <v>0</v>
      </c>
    </row>
    <row r="5132" spans="31:33">
      <c r="AE5132">
        <v>0</v>
      </c>
      <c r="AG5132">
        <v>0</v>
      </c>
    </row>
    <row r="5133" spans="31:33">
      <c r="AE5133">
        <v>0</v>
      </c>
      <c r="AG5133">
        <v>0</v>
      </c>
    </row>
    <row r="5134" spans="31:33">
      <c r="AE5134" s="31">
        <v>23644.62</v>
      </c>
      <c r="AG5134" s="31">
        <v>-16011.29</v>
      </c>
    </row>
    <row r="5135" spans="31:33">
      <c r="AE5135">
        <v>0</v>
      </c>
      <c r="AG5135">
        <v>0</v>
      </c>
    </row>
    <row r="5136" spans="31:33">
      <c r="AE5136">
        <v>0</v>
      </c>
      <c r="AG5136">
        <v>0</v>
      </c>
    </row>
    <row r="5137" spans="31:33">
      <c r="AE5137">
        <v>0</v>
      </c>
      <c r="AG5137">
        <v>0</v>
      </c>
    </row>
    <row r="5138" spans="31:33">
      <c r="AE5138">
        <v>0</v>
      </c>
      <c r="AG5138">
        <v>0</v>
      </c>
    </row>
    <row r="5139" spans="31:33">
      <c r="AE5139">
        <v>0</v>
      </c>
      <c r="AG5139">
        <v>0</v>
      </c>
    </row>
    <row r="5140" spans="31:33">
      <c r="AE5140">
        <v>0</v>
      </c>
      <c r="AG5140">
        <v>0</v>
      </c>
    </row>
    <row r="5141" spans="31:33">
      <c r="AE5141">
        <v>0</v>
      </c>
      <c r="AG5141">
        <v>0</v>
      </c>
    </row>
    <row r="5142" spans="31:33">
      <c r="AE5142">
        <v>0</v>
      </c>
      <c r="AG5142">
        <v>0</v>
      </c>
    </row>
    <row r="5143" spans="31:33">
      <c r="AE5143">
        <v>0</v>
      </c>
      <c r="AG5143">
        <v>0</v>
      </c>
    </row>
    <row r="5144" spans="31:33">
      <c r="AE5144">
        <v>0</v>
      </c>
      <c r="AG5144">
        <v>0</v>
      </c>
    </row>
    <row r="5145" spans="31:33">
      <c r="AE5145">
        <v>0</v>
      </c>
      <c r="AG5145">
        <v>0</v>
      </c>
    </row>
    <row r="5146" spans="31:33">
      <c r="AE5146">
        <v>0</v>
      </c>
      <c r="AG5146">
        <v>0</v>
      </c>
    </row>
    <row r="5147" spans="31:33">
      <c r="AE5147">
        <v>0</v>
      </c>
      <c r="AG5147">
        <v>0</v>
      </c>
    </row>
    <row r="5148" spans="31:33">
      <c r="AE5148">
        <v>0</v>
      </c>
      <c r="AG5148">
        <v>0</v>
      </c>
    </row>
    <row r="5149" spans="31:33">
      <c r="AE5149">
        <v>0</v>
      </c>
      <c r="AG5149">
        <v>0</v>
      </c>
    </row>
    <row r="5150" spans="31:33">
      <c r="AE5150">
        <v>0</v>
      </c>
      <c r="AG5150">
        <v>0</v>
      </c>
    </row>
    <row r="5151" spans="31:33">
      <c r="AE5151">
        <v>0</v>
      </c>
      <c r="AG5151">
        <v>0</v>
      </c>
    </row>
    <row r="5152" spans="31:33">
      <c r="AE5152">
        <v>0</v>
      </c>
      <c r="AG5152">
        <v>0</v>
      </c>
    </row>
    <row r="5153" spans="31:33">
      <c r="AE5153">
        <v>0</v>
      </c>
      <c r="AG5153">
        <v>0</v>
      </c>
    </row>
    <row r="5154" spans="31:33">
      <c r="AE5154">
        <v>0</v>
      </c>
      <c r="AG5154">
        <v>0</v>
      </c>
    </row>
    <row r="5155" spans="31:33">
      <c r="AE5155">
        <v>0</v>
      </c>
      <c r="AG5155">
        <v>0</v>
      </c>
    </row>
    <row r="5156" spans="31:33">
      <c r="AE5156">
        <v>0</v>
      </c>
      <c r="AG5156">
        <v>0</v>
      </c>
    </row>
    <row r="5157" spans="31:33">
      <c r="AE5157">
        <v>0</v>
      </c>
      <c r="AG5157">
        <v>0</v>
      </c>
    </row>
    <row r="5158" spans="31:33">
      <c r="AE5158">
        <v>0</v>
      </c>
      <c r="AG5158">
        <v>0</v>
      </c>
    </row>
    <row r="5159" spans="31:33">
      <c r="AE5159">
        <v>0</v>
      </c>
      <c r="AG5159">
        <v>0</v>
      </c>
    </row>
    <row r="5160" spans="31:33">
      <c r="AE5160">
        <v>0</v>
      </c>
      <c r="AG5160">
        <v>0</v>
      </c>
    </row>
    <row r="5161" spans="31:33">
      <c r="AE5161">
        <v>0</v>
      </c>
      <c r="AG5161">
        <v>0</v>
      </c>
    </row>
    <row r="5162" spans="31:33">
      <c r="AE5162">
        <v>0</v>
      </c>
      <c r="AG5162">
        <v>0</v>
      </c>
    </row>
    <row r="5163" spans="31:33">
      <c r="AE5163">
        <v>0</v>
      </c>
      <c r="AG5163">
        <v>0</v>
      </c>
    </row>
    <row r="5164" spans="31:33">
      <c r="AE5164">
        <v>0</v>
      </c>
      <c r="AG5164">
        <v>0</v>
      </c>
    </row>
    <row r="5165" spans="31:33">
      <c r="AE5165">
        <v>0</v>
      </c>
      <c r="AG5165">
        <v>0</v>
      </c>
    </row>
    <row r="5166" spans="31:33">
      <c r="AE5166" s="31">
        <v>203794.35</v>
      </c>
      <c r="AG5166" s="31">
        <v>155890.73000000001</v>
      </c>
    </row>
    <row r="5167" spans="31:33">
      <c r="AE5167">
        <v>0</v>
      </c>
      <c r="AG5167">
        <v>0</v>
      </c>
    </row>
    <row r="5168" spans="31:33">
      <c r="AE5168">
        <v>0</v>
      </c>
      <c r="AG5168">
        <v>0</v>
      </c>
    </row>
    <row r="5169" spans="31:33">
      <c r="AE5169">
        <v>0</v>
      </c>
      <c r="AG5169">
        <v>0</v>
      </c>
    </row>
    <row r="5170" spans="31:33">
      <c r="AE5170">
        <v>0</v>
      </c>
      <c r="AG5170">
        <v>0</v>
      </c>
    </row>
    <row r="5171" spans="31:33">
      <c r="AE5171">
        <v>0</v>
      </c>
      <c r="AG5171">
        <v>0</v>
      </c>
    </row>
    <row r="5172" spans="31:33">
      <c r="AE5172">
        <v>0</v>
      </c>
      <c r="AG5172">
        <v>0</v>
      </c>
    </row>
    <row r="5173" spans="31:33">
      <c r="AE5173">
        <v>0</v>
      </c>
      <c r="AG5173">
        <v>0</v>
      </c>
    </row>
    <row r="5174" spans="31:33">
      <c r="AE5174">
        <v>0</v>
      </c>
      <c r="AG5174">
        <v>0</v>
      </c>
    </row>
    <row r="5175" spans="31:33">
      <c r="AE5175">
        <v>0</v>
      </c>
      <c r="AG5175">
        <v>0</v>
      </c>
    </row>
    <row r="5176" spans="31:33">
      <c r="AE5176">
        <v>0</v>
      </c>
      <c r="AG5176">
        <v>0</v>
      </c>
    </row>
    <row r="5177" spans="31:33">
      <c r="AE5177">
        <v>0</v>
      </c>
      <c r="AG5177">
        <v>0</v>
      </c>
    </row>
    <row r="5178" spans="31:33">
      <c r="AE5178">
        <v>0</v>
      </c>
      <c r="AG5178">
        <v>0</v>
      </c>
    </row>
    <row r="5179" spans="31:33">
      <c r="AE5179">
        <v>0</v>
      </c>
      <c r="AG5179">
        <v>0</v>
      </c>
    </row>
    <row r="5180" spans="31:33">
      <c r="AE5180">
        <v>0</v>
      </c>
      <c r="AG5180">
        <v>0</v>
      </c>
    </row>
    <row r="5181" spans="31:33">
      <c r="AE5181">
        <v>0</v>
      </c>
      <c r="AG5181">
        <v>0</v>
      </c>
    </row>
    <row r="5182" spans="31:33">
      <c r="AE5182">
        <v>0</v>
      </c>
      <c r="AG5182">
        <v>0</v>
      </c>
    </row>
    <row r="5183" spans="31:33">
      <c r="AE5183">
        <v>0</v>
      </c>
      <c r="AG5183">
        <v>0</v>
      </c>
    </row>
    <row r="5184" spans="31:33">
      <c r="AE5184">
        <v>0</v>
      </c>
      <c r="AG5184">
        <v>0</v>
      </c>
    </row>
    <row r="5185" spans="31:33">
      <c r="AE5185">
        <v>0</v>
      </c>
      <c r="AG5185">
        <v>0</v>
      </c>
    </row>
    <row r="5186" spans="31:33">
      <c r="AE5186">
        <v>0</v>
      </c>
      <c r="AG5186">
        <v>0</v>
      </c>
    </row>
    <row r="5187" spans="31:33">
      <c r="AE5187">
        <v>0</v>
      </c>
      <c r="AG5187">
        <v>0</v>
      </c>
    </row>
    <row r="5188" spans="31:33">
      <c r="AE5188">
        <v>0</v>
      </c>
      <c r="AG5188">
        <v>0</v>
      </c>
    </row>
    <row r="5189" spans="31:33">
      <c r="AE5189">
        <v>0</v>
      </c>
      <c r="AG5189">
        <v>0</v>
      </c>
    </row>
    <row r="5190" spans="31:33">
      <c r="AE5190">
        <v>0</v>
      </c>
      <c r="AG5190">
        <v>0</v>
      </c>
    </row>
    <row r="5191" spans="31:33">
      <c r="AE5191">
        <v>0</v>
      </c>
      <c r="AG5191">
        <v>0</v>
      </c>
    </row>
    <row r="5192" spans="31:33">
      <c r="AE5192">
        <v>0</v>
      </c>
      <c r="AG5192">
        <v>0</v>
      </c>
    </row>
    <row r="5193" spans="31:33">
      <c r="AE5193">
        <v>0</v>
      </c>
      <c r="AG5193">
        <v>0</v>
      </c>
    </row>
    <row r="5194" spans="31:33">
      <c r="AE5194">
        <v>0</v>
      </c>
      <c r="AG5194">
        <v>0</v>
      </c>
    </row>
    <row r="5195" spans="31:33">
      <c r="AE5195">
        <v>0</v>
      </c>
      <c r="AG5195">
        <v>0</v>
      </c>
    </row>
    <row r="5196" spans="31:33">
      <c r="AE5196">
        <v>0</v>
      </c>
      <c r="AG5196">
        <v>0</v>
      </c>
    </row>
    <row r="5197" spans="31:33">
      <c r="AE5197">
        <v>0</v>
      </c>
      <c r="AG5197">
        <v>0</v>
      </c>
    </row>
    <row r="5198" spans="31:33">
      <c r="AE5198">
        <v>0</v>
      </c>
      <c r="AG5198">
        <v>0</v>
      </c>
    </row>
    <row r="5199" spans="31:33">
      <c r="AE5199">
        <v>0</v>
      </c>
      <c r="AG5199">
        <v>0</v>
      </c>
    </row>
    <row r="5200" spans="31:33">
      <c r="AE5200">
        <v>0</v>
      </c>
      <c r="AG5200">
        <v>0</v>
      </c>
    </row>
    <row r="5201" spans="31:33">
      <c r="AE5201">
        <v>0</v>
      </c>
      <c r="AG5201">
        <v>0</v>
      </c>
    </row>
    <row r="5202" spans="31:33">
      <c r="AE5202" s="31">
        <v>-106823.37</v>
      </c>
      <c r="AG5202" s="31">
        <v>-627355.87</v>
      </c>
    </row>
    <row r="5203" spans="31:33">
      <c r="AE5203" s="31">
        <v>99977.09</v>
      </c>
      <c r="AG5203" s="31">
        <v>58221.26</v>
      </c>
    </row>
    <row r="5204" spans="31:33">
      <c r="AE5204">
        <v>0</v>
      </c>
      <c r="AG5204">
        <v>0</v>
      </c>
    </row>
    <row r="5205" spans="31:33">
      <c r="AE5205">
        <v>0</v>
      </c>
      <c r="AG5205">
        <v>0</v>
      </c>
    </row>
    <row r="5206" spans="31:33">
      <c r="AE5206">
        <v>0</v>
      </c>
      <c r="AG5206">
        <v>0</v>
      </c>
    </row>
    <row r="5207" spans="31:33">
      <c r="AE5207">
        <v>0</v>
      </c>
      <c r="AG5207">
        <v>0</v>
      </c>
    </row>
    <row r="5208" spans="31:33">
      <c r="AE5208">
        <v>0</v>
      </c>
      <c r="AG5208">
        <v>0</v>
      </c>
    </row>
    <row r="5209" spans="31:33">
      <c r="AE5209">
        <v>0</v>
      </c>
      <c r="AG5209">
        <v>0</v>
      </c>
    </row>
    <row r="5210" spans="31:33">
      <c r="AE5210">
        <v>0</v>
      </c>
      <c r="AG5210">
        <v>0</v>
      </c>
    </row>
    <row r="5211" spans="31:33">
      <c r="AE5211">
        <v>0</v>
      </c>
      <c r="AG5211">
        <v>0</v>
      </c>
    </row>
    <row r="5212" spans="31:33">
      <c r="AE5212">
        <v>0</v>
      </c>
      <c r="AG5212">
        <v>0</v>
      </c>
    </row>
    <row r="5213" spans="31:33">
      <c r="AE5213">
        <v>0</v>
      </c>
      <c r="AG5213">
        <v>0</v>
      </c>
    </row>
    <row r="5214" spans="31:33">
      <c r="AE5214">
        <v>0</v>
      </c>
      <c r="AG5214">
        <v>0</v>
      </c>
    </row>
    <row r="5215" spans="31:33">
      <c r="AE5215">
        <v>0</v>
      </c>
      <c r="AG5215">
        <v>0</v>
      </c>
    </row>
    <row r="5216" spans="31:33">
      <c r="AE5216">
        <v>0</v>
      </c>
      <c r="AG5216">
        <v>0</v>
      </c>
    </row>
    <row r="5217" spans="31:33">
      <c r="AE5217">
        <v>0</v>
      </c>
      <c r="AG5217">
        <v>0</v>
      </c>
    </row>
    <row r="5218" spans="31:33">
      <c r="AE5218">
        <v>0</v>
      </c>
      <c r="AG5218">
        <v>0</v>
      </c>
    </row>
    <row r="5219" spans="31:33">
      <c r="AE5219">
        <v>0</v>
      </c>
      <c r="AG5219">
        <v>0</v>
      </c>
    </row>
    <row r="5220" spans="31:33">
      <c r="AE5220">
        <v>0</v>
      </c>
      <c r="AG5220">
        <v>0</v>
      </c>
    </row>
    <row r="5221" spans="31:33">
      <c r="AE5221">
        <v>0</v>
      </c>
      <c r="AG5221">
        <v>0</v>
      </c>
    </row>
    <row r="5222" spans="31:33">
      <c r="AE5222">
        <v>0</v>
      </c>
      <c r="AG5222">
        <v>0</v>
      </c>
    </row>
    <row r="5223" spans="31:33">
      <c r="AE5223">
        <v>0</v>
      </c>
      <c r="AG5223">
        <v>0</v>
      </c>
    </row>
    <row r="5224" spans="31:33">
      <c r="AE5224">
        <v>0</v>
      </c>
      <c r="AG5224">
        <v>0</v>
      </c>
    </row>
    <row r="5225" spans="31:33">
      <c r="AE5225">
        <v>0</v>
      </c>
      <c r="AG5225">
        <v>0</v>
      </c>
    </row>
    <row r="5226" spans="31:33">
      <c r="AE5226">
        <v>0</v>
      </c>
      <c r="AG5226">
        <v>0</v>
      </c>
    </row>
    <row r="5227" spans="31:33">
      <c r="AE5227">
        <v>0</v>
      </c>
      <c r="AG5227">
        <v>0</v>
      </c>
    </row>
    <row r="5228" spans="31:33">
      <c r="AE5228">
        <v>0</v>
      </c>
      <c r="AG5228">
        <v>0</v>
      </c>
    </row>
    <row r="5229" spans="31:33">
      <c r="AE5229">
        <v>0</v>
      </c>
      <c r="AG5229">
        <v>0</v>
      </c>
    </row>
    <row r="5230" spans="31:33">
      <c r="AE5230">
        <v>0</v>
      </c>
      <c r="AG5230">
        <v>0</v>
      </c>
    </row>
    <row r="5231" spans="31:33">
      <c r="AE5231">
        <v>0</v>
      </c>
      <c r="AG5231">
        <v>0</v>
      </c>
    </row>
    <row r="5232" spans="31:33">
      <c r="AE5232">
        <v>0</v>
      </c>
      <c r="AG5232">
        <v>0</v>
      </c>
    </row>
    <row r="5233" spans="31:33">
      <c r="AE5233">
        <v>0</v>
      </c>
      <c r="AG5233">
        <v>0</v>
      </c>
    </row>
    <row r="5234" spans="31:33">
      <c r="AE5234">
        <v>0</v>
      </c>
      <c r="AG5234">
        <v>0</v>
      </c>
    </row>
    <row r="5235" spans="31:33">
      <c r="AE5235">
        <v>0</v>
      </c>
      <c r="AG5235">
        <v>0</v>
      </c>
    </row>
    <row r="5236" spans="31:33">
      <c r="AE5236">
        <v>0</v>
      </c>
      <c r="AG5236">
        <v>0</v>
      </c>
    </row>
    <row r="5237" spans="31:33">
      <c r="AE5237">
        <v>0</v>
      </c>
      <c r="AG5237">
        <v>0</v>
      </c>
    </row>
    <row r="5238" spans="31:33">
      <c r="AE5238">
        <v>0</v>
      </c>
      <c r="AG5238">
        <v>0</v>
      </c>
    </row>
    <row r="5239" spans="31:33">
      <c r="AE5239">
        <v>0</v>
      </c>
      <c r="AG5239">
        <v>0</v>
      </c>
    </row>
    <row r="5240" spans="31:33">
      <c r="AE5240">
        <v>0</v>
      </c>
      <c r="AG5240">
        <v>0</v>
      </c>
    </row>
    <row r="5241" spans="31:33">
      <c r="AE5241">
        <v>0</v>
      </c>
      <c r="AG5241">
        <v>0</v>
      </c>
    </row>
    <row r="5242" spans="31:33">
      <c r="AE5242">
        <v>0</v>
      </c>
      <c r="AG5242">
        <v>0</v>
      </c>
    </row>
    <row r="5243" spans="31:33">
      <c r="AE5243">
        <v>0</v>
      </c>
      <c r="AG5243">
        <v>0</v>
      </c>
    </row>
    <row r="5244" spans="31:33">
      <c r="AE5244">
        <v>0</v>
      </c>
      <c r="AG5244">
        <v>0</v>
      </c>
    </row>
    <row r="5245" spans="31:33">
      <c r="AE5245">
        <v>0</v>
      </c>
      <c r="AG5245">
        <v>0</v>
      </c>
    </row>
    <row r="5246" spans="31:33">
      <c r="AE5246">
        <v>-229.11</v>
      </c>
      <c r="AG5246">
        <v>0</v>
      </c>
    </row>
    <row r="5247" spans="31:33">
      <c r="AE5247">
        <v>0</v>
      </c>
      <c r="AG5247">
        <v>0</v>
      </c>
    </row>
    <row r="5248" spans="31:33">
      <c r="AE5248">
        <v>0</v>
      </c>
      <c r="AG5248">
        <v>0</v>
      </c>
    </row>
    <row r="5249" spans="31:33">
      <c r="AE5249">
        <v>0</v>
      </c>
      <c r="AG5249">
        <v>0</v>
      </c>
    </row>
    <row r="5250" spans="31:33">
      <c r="AE5250">
        <v>0</v>
      </c>
      <c r="AG5250">
        <v>0</v>
      </c>
    </row>
    <row r="5251" spans="31:33">
      <c r="AE5251">
        <v>0</v>
      </c>
      <c r="AG5251">
        <v>0</v>
      </c>
    </row>
    <row r="5252" spans="31:33">
      <c r="AE5252">
        <v>0</v>
      </c>
      <c r="AG5252">
        <v>0</v>
      </c>
    </row>
    <row r="5253" spans="31:33">
      <c r="AE5253">
        <v>0</v>
      </c>
      <c r="AG5253">
        <v>0</v>
      </c>
    </row>
    <row r="5254" spans="31:33">
      <c r="AE5254">
        <v>0</v>
      </c>
      <c r="AG5254">
        <v>0</v>
      </c>
    </row>
    <row r="5255" spans="31:33">
      <c r="AE5255">
        <v>0</v>
      </c>
      <c r="AG5255">
        <v>0</v>
      </c>
    </row>
    <row r="5256" spans="31:33">
      <c r="AE5256">
        <v>0</v>
      </c>
      <c r="AG5256">
        <v>0</v>
      </c>
    </row>
    <row r="5257" spans="31:33">
      <c r="AE5257">
        <v>0</v>
      </c>
      <c r="AG5257">
        <v>0</v>
      </c>
    </row>
    <row r="5258" spans="31:33">
      <c r="AE5258">
        <v>0</v>
      </c>
      <c r="AG5258">
        <v>0</v>
      </c>
    </row>
    <row r="5259" spans="31:33">
      <c r="AE5259">
        <v>0</v>
      </c>
      <c r="AG5259">
        <v>0</v>
      </c>
    </row>
    <row r="5260" spans="31:33">
      <c r="AE5260">
        <v>0</v>
      </c>
      <c r="AG5260">
        <v>0</v>
      </c>
    </row>
    <row r="5261" spans="31:33">
      <c r="AE5261">
        <v>0</v>
      </c>
      <c r="AG5261">
        <v>0</v>
      </c>
    </row>
    <row r="5262" spans="31:33">
      <c r="AE5262">
        <v>0</v>
      </c>
      <c r="AG5262">
        <v>0</v>
      </c>
    </row>
    <row r="5263" spans="31:33">
      <c r="AE5263">
        <v>0</v>
      </c>
      <c r="AG5263">
        <v>0</v>
      </c>
    </row>
    <row r="5264" spans="31:33">
      <c r="AE5264">
        <v>0</v>
      </c>
      <c r="AG5264">
        <v>0</v>
      </c>
    </row>
    <row r="5265" spans="31:33">
      <c r="AE5265">
        <v>0</v>
      </c>
      <c r="AG5265">
        <v>0</v>
      </c>
    </row>
    <row r="5266" spans="31:33">
      <c r="AE5266">
        <v>0</v>
      </c>
      <c r="AG5266">
        <v>0</v>
      </c>
    </row>
    <row r="5267" spans="31:33">
      <c r="AE5267">
        <v>0</v>
      </c>
      <c r="AG5267">
        <v>0</v>
      </c>
    </row>
    <row r="5268" spans="31:33">
      <c r="AE5268">
        <v>0</v>
      </c>
      <c r="AG5268">
        <v>0</v>
      </c>
    </row>
    <row r="5269" spans="31:33">
      <c r="AE5269">
        <v>0</v>
      </c>
      <c r="AG5269">
        <v>0</v>
      </c>
    </row>
    <row r="5270" spans="31:33">
      <c r="AE5270">
        <v>0</v>
      </c>
      <c r="AG5270">
        <v>0</v>
      </c>
    </row>
    <row r="5271" spans="31:33">
      <c r="AE5271">
        <v>0</v>
      </c>
      <c r="AG5271">
        <v>0</v>
      </c>
    </row>
    <row r="5272" spans="31:33">
      <c r="AE5272">
        <v>0</v>
      </c>
      <c r="AG5272">
        <v>0</v>
      </c>
    </row>
    <row r="5273" spans="31:33">
      <c r="AE5273">
        <v>0</v>
      </c>
      <c r="AG5273">
        <v>0</v>
      </c>
    </row>
    <row r="5274" spans="31:33">
      <c r="AE5274">
        <v>0</v>
      </c>
      <c r="AG5274">
        <v>0</v>
      </c>
    </row>
    <row r="5275" spans="31:33">
      <c r="AE5275">
        <v>0</v>
      </c>
      <c r="AG5275">
        <v>0</v>
      </c>
    </row>
    <row r="5276" spans="31:33">
      <c r="AE5276">
        <v>0</v>
      </c>
      <c r="AG5276">
        <v>0</v>
      </c>
    </row>
    <row r="5277" spans="31:33">
      <c r="AE5277">
        <v>0</v>
      </c>
      <c r="AG5277">
        <v>0</v>
      </c>
    </row>
    <row r="5278" spans="31:33">
      <c r="AE5278">
        <v>0</v>
      </c>
      <c r="AG5278">
        <v>0</v>
      </c>
    </row>
    <row r="5279" spans="31:33">
      <c r="AE5279">
        <v>0</v>
      </c>
      <c r="AG5279">
        <v>0</v>
      </c>
    </row>
    <row r="5280" spans="31:33">
      <c r="AE5280">
        <v>0</v>
      </c>
      <c r="AG5280">
        <v>0</v>
      </c>
    </row>
    <row r="5281" spans="31:33">
      <c r="AE5281">
        <v>0</v>
      </c>
      <c r="AG5281">
        <v>0</v>
      </c>
    </row>
    <row r="5282" spans="31:33">
      <c r="AE5282">
        <v>0</v>
      </c>
      <c r="AG5282">
        <v>0</v>
      </c>
    </row>
    <row r="5283" spans="31:33">
      <c r="AE5283">
        <v>0</v>
      </c>
      <c r="AG5283">
        <v>0</v>
      </c>
    </row>
    <row r="5284" spans="31:33">
      <c r="AE5284">
        <v>0</v>
      </c>
      <c r="AG5284">
        <v>0</v>
      </c>
    </row>
    <row r="5285" spans="31:33">
      <c r="AE5285">
        <v>0</v>
      </c>
      <c r="AG5285">
        <v>0</v>
      </c>
    </row>
    <row r="5286" spans="31:33">
      <c r="AE5286" s="31">
        <v>-201360.51</v>
      </c>
      <c r="AG5286">
        <v>0</v>
      </c>
    </row>
    <row r="5287" spans="31:33">
      <c r="AE5287">
        <v>0</v>
      </c>
      <c r="AG5287">
        <v>0</v>
      </c>
    </row>
    <row r="5288" spans="31:33">
      <c r="AE5288">
        <v>0</v>
      </c>
      <c r="AG5288">
        <v>0</v>
      </c>
    </row>
    <row r="5289" spans="31:33">
      <c r="AE5289">
        <v>0</v>
      </c>
      <c r="AG5289">
        <v>0</v>
      </c>
    </row>
    <row r="5290" spans="31:33">
      <c r="AE5290">
        <v>-18.62</v>
      </c>
      <c r="AG5290">
        <v>0</v>
      </c>
    </row>
    <row r="5291" spans="31:33">
      <c r="AE5291">
        <v>0</v>
      </c>
      <c r="AG5291">
        <v>0</v>
      </c>
    </row>
    <row r="5292" spans="31:33">
      <c r="AE5292">
        <v>0</v>
      </c>
      <c r="AG5292">
        <v>0</v>
      </c>
    </row>
    <row r="5293" spans="31:33">
      <c r="AE5293">
        <v>0</v>
      </c>
      <c r="AG5293">
        <v>0</v>
      </c>
    </row>
    <row r="5294" spans="31:33">
      <c r="AE5294">
        <v>0</v>
      </c>
      <c r="AG5294">
        <v>0</v>
      </c>
    </row>
    <row r="5295" spans="31:33">
      <c r="AE5295">
        <v>0</v>
      </c>
      <c r="AG5295">
        <v>0</v>
      </c>
    </row>
    <row r="5296" spans="31:33">
      <c r="AE5296">
        <v>0</v>
      </c>
      <c r="AG5296">
        <v>0</v>
      </c>
    </row>
    <row r="5297" spans="31:33">
      <c r="AE5297">
        <v>0</v>
      </c>
      <c r="AG5297">
        <v>0</v>
      </c>
    </row>
    <row r="5298" spans="31:33">
      <c r="AE5298">
        <v>0</v>
      </c>
      <c r="AG5298">
        <v>0</v>
      </c>
    </row>
    <row r="5299" spans="31:33">
      <c r="AE5299">
        <v>0</v>
      </c>
      <c r="AG5299">
        <v>0</v>
      </c>
    </row>
    <row r="5300" spans="31:33">
      <c r="AE5300">
        <v>0</v>
      </c>
      <c r="AG5300">
        <v>0</v>
      </c>
    </row>
    <row r="5301" spans="31:33">
      <c r="AE5301">
        <v>0</v>
      </c>
      <c r="AG5301">
        <v>0</v>
      </c>
    </row>
    <row r="5302" spans="31:33">
      <c r="AE5302">
        <v>0</v>
      </c>
      <c r="AG5302">
        <v>0</v>
      </c>
    </row>
    <row r="5303" spans="31:33">
      <c r="AE5303">
        <v>0</v>
      </c>
      <c r="AG5303">
        <v>0</v>
      </c>
    </row>
    <row r="5304" spans="31:33">
      <c r="AE5304">
        <v>0</v>
      </c>
      <c r="AG5304">
        <v>0</v>
      </c>
    </row>
    <row r="5305" spans="31:33">
      <c r="AE5305">
        <v>0</v>
      </c>
      <c r="AG5305">
        <v>0</v>
      </c>
    </row>
    <row r="5306" spans="31:33">
      <c r="AE5306">
        <v>0</v>
      </c>
      <c r="AG5306">
        <v>0</v>
      </c>
    </row>
    <row r="5307" spans="31:33">
      <c r="AE5307">
        <v>1.85</v>
      </c>
      <c r="AG5307" s="31">
        <v>27856.44</v>
      </c>
    </row>
    <row r="5308" spans="31:33">
      <c r="AE5308">
        <v>0</v>
      </c>
      <c r="AG5308">
        <v>0</v>
      </c>
    </row>
    <row r="5309" spans="31:33">
      <c r="AE5309">
        <v>-36.35</v>
      </c>
      <c r="AG5309">
        <v>0</v>
      </c>
    </row>
    <row r="5310" spans="31:33">
      <c r="AE5310">
        <v>0</v>
      </c>
      <c r="AG5310">
        <v>0</v>
      </c>
    </row>
    <row r="5311" spans="31:33">
      <c r="AE5311">
        <v>0</v>
      </c>
      <c r="AG5311">
        <v>0</v>
      </c>
    </row>
    <row r="5312" spans="31:33">
      <c r="AE5312">
        <v>0</v>
      </c>
      <c r="AG5312">
        <v>0</v>
      </c>
    </row>
    <row r="5313" spans="31:33">
      <c r="AE5313">
        <v>0</v>
      </c>
      <c r="AG5313">
        <v>0</v>
      </c>
    </row>
    <row r="5314" spans="31:33">
      <c r="AE5314">
        <v>0</v>
      </c>
      <c r="AG5314">
        <v>0</v>
      </c>
    </row>
    <row r="5315" spans="31:33">
      <c r="AE5315">
        <v>0</v>
      </c>
      <c r="AG5315">
        <v>0</v>
      </c>
    </row>
    <row r="5316" spans="31:33">
      <c r="AE5316" s="31">
        <v>-3549.05</v>
      </c>
      <c r="AG5316">
        <v>0</v>
      </c>
    </row>
    <row r="5317" spans="31:33">
      <c r="AE5317">
        <v>0</v>
      </c>
      <c r="AG5317">
        <v>0</v>
      </c>
    </row>
    <row r="5318" spans="31:33">
      <c r="AE5318">
        <v>0</v>
      </c>
      <c r="AG5318">
        <v>0</v>
      </c>
    </row>
    <row r="5319" spans="31:33">
      <c r="AE5319">
        <v>0</v>
      </c>
      <c r="AG5319">
        <v>0</v>
      </c>
    </row>
    <row r="5320" spans="31:33">
      <c r="AE5320">
        <v>0</v>
      </c>
      <c r="AG5320">
        <v>0</v>
      </c>
    </row>
    <row r="5321" spans="31:33">
      <c r="AE5321">
        <v>0</v>
      </c>
      <c r="AG5321">
        <v>0</v>
      </c>
    </row>
    <row r="5322" spans="31:33">
      <c r="AE5322">
        <v>0</v>
      </c>
      <c r="AG5322">
        <v>0</v>
      </c>
    </row>
    <row r="5323" spans="31:33">
      <c r="AE5323">
        <v>0</v>
      </c>
      <c r="AG5323">
        <v>0</v>
      </c>
    </row>
    <row r="5324" spans="31:33">
      <c r="AE5324">
        <v>0</v>
      </c>
      <c r="AG5324">
        <v>0</v>
      </c>
    </row>
    <row r="5325" spans="31:33">
      <c r="AE5325">
        <v>0</v>
      </c>
      <c r="AG5325">
        <v>0</v>
      </c>
    </row>
    <row r="5326" spans="31:33">
      <c r="AE5326">
        <v>0</v>
      </c>
      <c r="AG5326">
        <v>0</v>
      </c>
    </row>
    <row r="5327" spans="31:33">
      <c r="AE5327">
        <v>0</v>
      </c>
      <c r="AG5327">
        <v>0</v>
      </c>
    </row>
    <row r="5328" spans="31:33">
      <c r="AE5328">
        <v>0</v>
      </c>
      <c r="AG5328">
        <v>0</v>
      </c>
    </row>
    <row r="5329" spans="31:33">
      <c r="AE5329">
        <v>0</v>
      </c>
      <c r="AG5329">
        <v>0</v>
      </c>
    </row>
    <row r="5330" spans="31:33">
      <c r="AE5330">
        <v>0</v>
      </c>
      <c r="AG5330">
        <v>0</v>
      </c>
    </row>
    <row r="5331" spans="31:33">
      <c r="AE5331">
        <v>0</v>
      </c>
      <c r="AG5331">
        <v>0</v>
      </c>
    </row>
    <row r="5332" spans="31:33">
      <c r="AE5332">
        <v>0</v>
      </c>
      <c r="AG5332">
        <v>0</v>
      </c>
    </row>
    <row r="5333" spans="31:33">
      <c r="AE5333">
        <v>0</v>
      </c>
      <c r="AG5333">
        <v>0</v>
      </c>
    </row>
    <row r="5334" spans="31:33">
      <c r="AE5334">
        <v>0</v>
      </c>
      <c r="AG5334">
        <v>0</v>
      </c>
    </row>
    <row r="5335" spans="31:33">
      <c r="AE5335">
        <v>0</v>
      </c>
      <c r="AG5335">
        <v>0</v>
      </c>
    </row>
    <row r="5336" spans="31:33">
      <c r="AE5336">
        <v>0</v>
      </c>
      <c r="AG5336">
        <v>0</v>
      </c>
    </row>
    <row r="5337" spans="31:33">
      <c r="AE5337">
        <v>0</v>
      </c>
      <c r="AG5337">
        <v>0</v>
      </c>
    </row>
    <row r="5338" spans="31:33">
      <c r="AE5338">
        <v>0</v>
      </c>
      <c r="AG5338">
        <v>0</v>
      </c>
    </row>
    <row r="5339" spans="31:33">
      <c r="AE5339">
        <v>0</v>
      </c>
      <c r="AG5339">
        <v>0</v>
      </c>
    </row>
    <row r="5340" spans="31:33">
      <c r="AE5340">
        <v>0</v>
      </c>
      <c r="AG5340">
        <v>0</v>
      </c>
    </row>
    <row r="5341" spans="31:33">
      <c r="AE5341">
        <v>0</v>
      </c>
      <c r="AG5341">
        <v>0</v>
      </c>
    </row>
    <row r="5342" spans="31:33">
      <c r="AE5342">
        <v>0</v>
      </c>
      <c r="AG5342">
        <v>0</v>
      </c>
    </row>
    <row r="5343" spans="31:33">
      <c r="AE5343">
        <v>0</v>
      </c>
      <c r="AG5343">
        <v>0</v>
      </c>
    </row>
    <row r="5344" spans="31:33">
      <c r="AE5344">
        <v>0</v>
      </c>
      <c r="AG5344">
        <v>0</v>
      </c>
    </row>
    <row r="5345" spans="31:33">
      <c r="AE5345">
        <v>0</v>
      </c>
      <c r="AG5345">
        <v>0</v>
      </c>
    </row>
    <row r="5346" spans="31:33">
      <c r="AE5346">
        <v>0</v>
      </c>
      <c r="AG5346">
        <v>0</v>
      </c>
    </row>
    <row r="5347" spans="31:33">
      <c r="AE5347">
        <v>0</v>
      </c>
      <c r="AG5347">
        <v>0</v>
      </c>
    </row>
    <row r="5348" spans="31:33">
      <c r="AE5348">
        <v>0</v>
      </c>
      <c r="AG5348">
        <v>0</v>
      </c>
    </row>
    <row r="5349" spans="31:33">
      <c r="AE5349">
        <v>0</v>
      </c>
      <c r="AG5349">
        <v>0</v>
      </c>
    </row>
    <row r="5350" spans="31:33">
      <c r="AE5350">
        <v>0</v>
      </c>
      <c r="AG5350">
        <v>0</v>
      </c>
    </row>
    <row r="5351" spans="31:33">
      <c r="AE5351">
        <v>0</v>
      </c>
      <c r="AG5351">
        <v>0</v>
      </c>
    </row>
    <row r="5352" spans="31:33">
      <c r="AE5352">
        <v>0</v>
      </c>
      <c r="AG5352">
        <v>0</v>
      </c>
    </row>
    <row r="5353" spans="31:33">
      <c r="AE5353">
        <v>0</v>
      </c>
      <c r="AG5353">
        <v>0</v>
      </c>
    </row>
    <row r="5354" spans="31:33">
      <c r="AE5354">
        <v>0</v>
      </c>
      <c r="AG5354">
        <v>0</v>
      </c>
    </row>
    <row r="5355" spans="31:33">
      <c r="AE5355">
        <v>0</v>
      </c>
      <c r="AG5355">
        <v>0</v>
      </c>
    </row>
    <row r="5356" spans="31:33">
      <c r="AE5356">
        <v>0</v>
      </c>
      <c r="AG5356">
        <v>0</v>
      </c>
    </row>
    <row r="5357" spans="31:33">
      <c r="AE5357">
        <v>0</v>
      </c>
      <c r="AG5357">
        <v>0</v>
      </c>
    </row>
    <row r="5358" spans="31:33">
      <c r="AE5358">
        <v>0</v>
      </c>
      <c r="AG5358">
        <v>0</v>
      </c>
    </row>
    <row r="5359" spans="31:33">
      <c r="AE5359">
        <v>0</v>
      </c>
      <c r="AG5359">
        <v>0</v>
      </c>
    </row>
    <row r="5360" spans="31:33">
      <c r="AE5360">
        <v>0</v>
      </c>
      <c r="AG5360">
        <v>0</v>
      </c>
    </row>
    <row r="5361" spans="31:33">
      <c r="AE5361">
        <v>0</v>
      </c>
      <c r="AG5361">
        <v>0</v>
      </c>
    </row>
    <row r="5362" spans="31:33">
      <c r="AE5362">
        <v>0</v>
      </c>
      <c r="AG5362">
        <v>0</v>
      </c>
    </row>
    <row r="5363" spans="31:33">
      <c r="AE5363">
        <v>0</v>
      </c>
      <c r="AG5363">
        <v>0</v>
      </c>
    </row>
    <row r="5364" spans="31:33">
      <c r="AE5364">
        <v>0</v>
      </c>
      <c r="AG5364">
        <v>0</v>
      </c>
    </row>
    <row r="5365" spans="31:33">
      <c r="AE5365">
        <v>0</v>
      </c>
      <c r="AG5365">
        <v>0</v>
      </c>
    </row>
    <row r="5366" spans="31:33">
      <c r="AE5366">
        <v>0</v>
      </c>
      <c r="AG5366">
        <v>0</v>
      </c>
    </row>
    <row r="5367" spans="31:33">
      <c r="AE5367">
        <v>0</v>
      </c>
      <c r="AG5367">
        <v>0</v>
      </c>
    </row>
    <row r="5368" spans="31:33">
      <c r="AE5368">
        <v>0</v>
      </c>
      <c r="AG5368">
        <v>0</v>
      </c>
    </row>
    <row r="5369" spans="31:33">
      <c r="AE5369">
        <v>0</v>
      </c>
      <c r="AG5369">
        <v>0</v>
      </c>
    </row>
    <row r="5370" spans="31:33">
      <c r="AE5370">
        <v>0</v>
      </c>
      <c r="AG5370">
        <v>0</v>
      </c>
    </row>
    <row r="5371" spans="31:33">
      <c r="AE5371">
        <v>0</v>
      </c>
      <c r="AG5371">
        <v>0</v>
      </c>
    </row>
    <row r="5372" spans="31:33">
      <c r="AE5372">
        <v>0</v>
      </c>
      <c r="AG5372">
        <v>0</v>
      </c>
    </row>
    <row r="5373" spans="31:33">
      <c r="AE5373">
        <v>0</v>
      </c>
      <c r="AG5373">
        <v>0</v>
      </c>
    </row>
    <row r="5374" spans="31:33">
      <c r="AE5374">
        <v>0</v>
      </c>
      <c r="AG5374">
        <v>0</v>
      </c>
    </row>
    <row r="5375" spans="31:33">
      <c r="AE5375">
        <v>0</v>
      </c>
      <c r="AG5375">
        <v>0</v>
      </c>
    </row>
    <row r="5376" spans="31:33">
      <c r="AE5376">
        <v>0</v>
      </c>
      <c r="AG5376">
        <v>0</v>
      </c>
    </row>
    <row r="5377" spans="31:33">
      <c r="AE5377">
        <v>0</v>
      </c>
      <c r="AG5377">
        <v>0</v>
      </c>
    </row>
    <row r="5378" spans="31:33">
      <c r="AE5378">
        <v>0</v>
      </c>
      <c r="AG5378">
        <v>0</v>
      </c>
    </row>
    <row r="5379" spans="31:33">
      <c r="AE5379">
        <v>0</v>
      </c>
      <c r="AG5379">
        <v>0</v>
      </c>
    </row>
    <row r="5380" spans="31:33">
      <c r="AE5380">
        <v>0</v>
      </c>
      <c r="AG5380">
        <v>0</v>
      </c>
    </row>
    <row r="5381" spans="31:33">
      <c r="AE5381">
        <v>0</v>
      </c>
      <c r="AG5381">
        <v>0</v>
      </c>
    </row>
    <row r="5382" spans="31:33">
      <c r="AE5382">
        <v>0</v>
      </c>
      <c r="AG5382">
        <v>0</v>
      </c>
    </row>
    <row r="5383" spans="31:33">
      <c r="AE5383">
        <v>0</v>
      </c>
      <c r="AG5383">
        <v>0</v>
      </c>
    </row>
    <row r="5384" spans="31:33">
      <c r="AE5384">
        <v>0</v>
      </c>
      <c r="AG5384">
        <v>0</v>
      </c>
    </row>
    <row r="5385" spans="31:33">
      <c r="AE5385">
        <v>0</v>
      </c>
      <c r="AG5385">
        <v>0</v>
      </c>
    </row>
    <row r="5386" spans="31:33">
      <c r="AE5386">
        <v>0</v>
      </c>
      <c r="AG5386">
        <v>0</v>
      </c>
    </row>
    <row r="5387" spans="31:33">
      <c r="AE5387">
        <v>0</v>
      </c>
      <c r="AG5387">
        <v>0</v>
      </c>
    </row>
    <row r="5388" spans="31:33">
      <c r="AE5388">
        <v>0</v>
      </c>
      <c r="AG5388">
        <v>0</v>
      </c>
    </row>
    <row r="5389" spans="31:33">
      <c r="AE5389">
        <v>0</v>
      </c>
      <c r="AG5389">
        <v>0</v>
      </c>
    </row>
    <row r="5390" spans="31:33">
      <c r="AE5390">
        <v>0</v>
      </c>
      <c r="AG5390">
        <v>0</v>
      </c>
    </row>
    <row r="5391" spans="31:33">
      <c r="AE5391">
        <v>0</v>
      </c>
      <c r="AG5391">
        <v>0</v>
      </c>
    </row>
    <row r="5392" spans="31:33">
      <c r="AE5392">
        <v>0</v>
      </c>
      <c r="AG5392">
        <v>0</v>
      </c>
    </row>
    <row r="5393" spans="31:33">
      <c r="AE5393">
        <v>0</v>
      </c>
      <c r="AG5393">
        <v>0</v>
      </c>
    </row>
    <row r="5394" spans="31:33">
      <c r="AE5394">
        <v>0</v>
      </c>
      <c r="AG5394">
        <v>0</v>
      </c>
    </row>
    <row r="5395" spans="31:33">
      <c r="AE5395">
        <v>0</v>
      </c>
      <c r="AG5395">
        <v>0</v>
      </c>
    </row>
    <row r="5396" spans="31:33">
      <c r="AE5396">
        <v>0</v>
      </c>
      <c r="AG5396">
        <v>0</v>
      </c>
    </row>
    <row r="5397" spans="31:33">
      <c r="AE5397">
        <v>0</v>
      </c>
      <c r="AG5397">
        <v>0</v>
      </c>
    </row>
    <row r="5398" spans="31:33">
      <c r="AE5398">
        <v>0</v>
      </c>
      <c r="AG5398">
        <v>0</v>
      </c>
    </row>
    <row r="5399" spans="31:33">
      <c r="AE5399">
        <v>0</v>
      </c>
      <c r="AG5399">
        <v>0</v>
      </c>
    </row>
    <row r="5400" spans="31:33">
      <c r="AE5400">
        <v>0</v>
      </c>
      <c r="AG5400">
        <v>0</v>
      </c>
    </row>
    <row r="5401" spans="31:33">
      <c r="AE5401">
        <v>0</v>
      </c>
      <c r="AG5401">
        <v>0</v>
      </c>
    </row>
    <row r="5402" spans="31:33">
      <c r="AE5402">
        <v>0</v>
      </c>
      <c r="AG5402">
        <v>0</v>
      </c>
    </row>
    <row r="5403" spans="31:33">
      <c r="AE5403">
        <v>0</v>
      </c>
      <c r="AG5403">
        <v>0</v>
      </c>
    </row>
    <row r="5404" spans="31:33">
      <c r="AE5404">
        <v>0</v>
      </c>
      <c r="AG5404">
        <v>0</v>
      </c>
    </row>
    <row r="5405" spans="31:33">
      <c r="AE5405">
        <v>0</v>
      </c>
      <c r="AG5405">
        <v>0</v>
      </c>
    </row>
    <row r="5406" spans="31:33">
      <c r="AE5406">
        <v>0</v>
      </c>
      <c r="AG5406">
        <v>0</v>
      </c>
    </row>
    <row r="5407" spans="31:33">
      <c r="AE5407">
        <v>0</v>
      </c>
      <c r="AG5407">
        <v>0</v>
      </c>
    </row>
    <row r="5408" spans="31:33">
      <c r="AE5408">
        <v>0</v>
      </c>
      <c r="AG5408">
        <v>0</v>
      </c>
    </row>
    <row r="5409" spans="31:33">
      <c r="AE5409">
        <v>0</v>
      </c>
      <c r="AG5409">
        <v>0</v>
      </c>
    </row>
    <row r="5410" spans="31:33">
      <c r="AE5410">
        <v>0</v>
      </c>
      <c r="AG5410">
        <v>0</v>
      </c>
    </row>
    <row r="5411" spans="31:33">
      <c r="AE5411">
        <v>0</v>
      </c>
      <c r="AG5411">
        <v>0</v>
      </c>
    </row>
    <row r="5412" spans="31:33">
      <c r="AE5412">
        <v>0</v>
      </c>
      <c r="AG5412">
        <v>0</v>
      </c>
    </row>
    <row r="5413" spans="31:33">
      <c r="AE5413">
        <v>0</v>
      </c>
      <c r="AG5413">
        <v>0</v>
      </c>
    </row>
    <row r="5414" spans="31:33">
      <c r="AE5414">
        <v>0</v>
      </c>
      <c r="AG5414">
        <v>0</v>
      </c>
    </row>
    <row r="5415" spans="31:33">
      <c r="AE5415">
        <v>0</v>
      </c>
      <c r="AG5415">
        <v>0</v>
      </c>
    </row>
    <row r="5416" spans="31:33">
      <c r="AE5416" s="31">
        <v>-267303989.88</v>
      </c>
      <c r="AG5416" s="31">
        <v>-296575385.38</v>
      </c>
    </row>
    <row r="5417" spans="31:33">
      <c r="AE5417">
        <v>0</v>
      </c>
      <c r="AG5417">
        <v>0</v>
      </c>
    </row>
    <row r="5418" spans="31:33">
      <c r="AE5418" s="31">
        <v>-165115413.66</v>
      </c>
      <c r="AG5418" s="31">
        <v>-159684088.65000001</v>
      </c>
    </row>
    <row r="5419" spans="31:33">
      <c r="AE5419">
        <v>0</v>
      </c>
      <c r="AG5419">
        <v>0</v>
      </c>
    </row>
    <row r="5420" spans="31:33">
      <c r="AE5420" s="31">
        <v>-13117480.98</v>
      </c>
      <c r="AG5420" s="31">
        <v>-13759929.57</v>
      </c>
    </row>
    <row r="5421" spans="31:33">
      <c r="AE5421">
        <v>0</v>
      </c>
      <c r="AG5421">
        <v>0</v>
      </c>
    </row>
    <row r="5422" spans="31:33">
      <c r="AE5422" s="31">
        <v>-118792653.8</v>
      </c>
      <c r="AG5422" s="31">
        <v>-122541719.83</v>
      </c>
    </row>
    <row r="5423" spans="31:33">
      <c r="AE5423">
        <v>0</v>
      </c>
      <c r="AG5423">
        <v>0</v>
      </c>
    </row>
    <row r="5424" spans="31:33">
      <c r="AE5424">
        <v>0</v>
      </c>
      <c r="AG5424">
        <v>0</v>
      </c>
    </row>
    <row r="5425" spans="31:33">
      <c r="AE5425">
        <v>0</v>
      </c>
      <c r="AG5425">
        <v>0</v>
      </c>
    </row>
    <row r="5426" spans="31:33">
      <c r="AE5426" s="31">
        <v>-3547720.45</v>
      </c>
      <c r="AG5426" s="31">
        <v>-3650089.78</v>
      </c>
    </row>
    <row r="5427" spans="31:33">
      <c r="AE5427">
        <v>0</v>
      </c>
      <c r="AG5427">
        <v>0</v>
      </c>
    </row>
    <row r="5428" spans="31:33">
      <c r="AE5428">
        <v>0</v>
      </c>
      <c r="AG5428">
        <v>0</v>
      </c>
    </row>
    <row r="5429" spans="31:33">
      <c r="AE5429">
        <v>0</v>
      </c>
      <c r="AG5429">
        <v>0</v>
      </c>
    </row>
    <row r="5430" spans="31:33">
      <c r="AE5430" s="31">
        <v>-18923296.890000001</v>
      </c>
      <c r="AG5430" s="31">
        <v>-27587672.75</v>
      </c>
    </row>
    <row r="5431" spans="31:33">
      <c r="AE5431">
        <v>0</v>
      </c>
      <c r="AG5431">
        <v>0</v>
      </c>
    </row>
    <row r="5432" spans="31:33">
      <c r="AE5432">
        <v>0</v>
      </c>
      <c r="AG5432">
        <v>0</v>
      </c>
    </row>
    <row r="5433" spans="31:33">
      <c r="AE5433">
        <v>0</v>
      </c>
      <c r="AG5433">
        <v>0</v>
      </c>
    </row>
    <row r="5434" spans="31:33">
      <c r="AE5434">
        <v>0</v>
      </c>
      <c r="AG5434">
        <v>0</v>
      </c>
    </row>
    <row r="5435" spans="31:33">
      <c r="AE5435">
        <v>0</v>
      </c>
      <c r="AG5435">
        <v>0</v>
      </c>
    </row>
    <row r="5436" spans="31:33">
      <c r="AE5436">
        <v>0</v>
      </c>
      <c r="AG5436">
        <v>0</v>
      </c>
    </row>
    <row r="5437" spans="31:33">
      <c r="AE5437">
        <v>0</v>
      </c>
      <c r="AG5437">
        <v>0</v>
      </c>
    </row>
    <row r="5438" spans="31:33">
      <c r="AE5438">
        <v>0</v>
      </c>
      <c r="AG5438">
        <v>0</v>
      </c>
    </row>
    <row r="5439" spans="31:33">
      <c r="AE5439">
        <v>0</v>
      </c>
      <c r="AG5439">
        <v>0</v>
      </c>
    </row>
    <row r="5440" spans="31:33">
      <c r="AE5440">
        <v>0</v>
      </c>
      <c r="AG5440">
        <v>0</v>
      </c>
    </row>
    <row r="5441" spans="31:33">
      <c r="AE5441">
        <v>0</v>
      </c>
      <c r="AG5441">
        <v>0</v>
      </c>
    </row>
    <row r="5442" spans="31:33">
      <c r="AE5442">
        <v>-46.81</v>
      </c>
      <c r="AG5442">
        <v>0</v>
      </c>
    </row>
    <row r="5443" spans="31:33">
      <c r="AE5443">
        <v>0</v>
      </c>
      <c r="AG5443">
        <v>0</v>
      </c>
    </row>
    <row r="5444" spans="31:33">
      <c r="AE5444" s="31">
        <v>-201369.3</v>
      </c>
      <c r="AG5444" s="31">
        <v>16309.75</v>
      </c>
    </row>
    <row r="5445" spans="31:33">
      <c r="AE5445">
        <v>0</v>
      </c>
      <c r="AG5445">
        <v>0</v>
      </c>
    </row>
    <row r="5446" spans="31:33">
      <c r="AE5446" s="31">
        <v>-77529184.230000004</v>
      </c>
      <c r="AG5446" s="31">
        <v>-82107072.849999994</v>
      </c>
    </row>
    <row r="5447" spans="31:33">
      <c r="AE5447">
        <v>0</v>
      </c>
      <c r="AG5447">
        <v>0</v>
      </c>
    </row>
    <row r="5448" spans="31:33">
      <c r="AE5448" s="31">
        <v>-595915.79</v>
      </c>
      <c r="AG5448" s="31">
        <v>-509778.14</v>
      </c>
    </row>
    <row r="5449" spans="31:33">
      <c r="AE5449">
        <v>0</v>
      </c>
      <c r="AG5449">
        <v>0</v>
      </c>
    </row>
    <row r="5450" spans="31:33">
      <c r="AE5450" s="31">
        <v>-1780866.82</v>
      </c>
      <c r="AG5450" s="31">
        <v>-1916701.81</v>
      </c>
    </row>
    <row r="5451" spans="31:33">
      <c r="AE5451">
        <v>0</v>
      </c>
      <c r="AG5451">
        <v>0</v>
      </c>
    </row>
    <row r="5452" spans="31:33">
      <c r="AE5452" s="31">
        <v>-3327982.46</v>
      </c>
      <c r="AG5452" s="31">
        <v>-3612100.9</v>
      </c>
    </row>
    <row r="5453" spans="31:33">
      <c r="AE5453">
        <v>0</v>
      </c>
      <c r="AG5453">
        <v>0</v>
      </c>
    </row>
    <row r="5454" spans="31:33">
      <c r="AE5454">
        <v>0</v>
      </c>
      <c r="AG5454">
        <v>0</v>
      </c>
    </row>
    <row r="5455" spans="31:33">
      <c r="AE5455">
        <v>0</v>
      </c>
      <c r="AG5455">
        <v>0</v>
      </c>
    </row>
    <row r="5456" spans="31:33">
      <c r="AE5456">
        <v>0</v>
      </c>
      <c r="AG5456">
        <v>0</v>
      </c>
    </row>
    <row r="5457" spans="31:33">
      <c r="AE5457">
        <v>0</v>
      </c>
      <c r="AG5457">
        <v>0</v>
      </c>
    </row>
    <row r="5458" spans="31:33">
      <c r="AE5458">
        <v>0</v>
      </c>
      <c r="AG5458">
        <v>0</v>
      </c>
    </row>
    <row r="5459" spans="31:33">
      <c r="AE5459">
        <v>0</v>
      </c>
      <c r="AG5459">
        <v>0</v>
      </c>
    </row>
    <row r="5460" spans="31:33">
      <c r="AE5460" s="31">
        <v>-10348634.07</v>
      </c>
      <c r="AG5460" s="31">
        <v>-16184417.310000001</v>
      </c>
    </row>
    <row r="5461" spans="31:33">
      <c r="AE5461">
        <v>0</v>
      </c>
      <c r="AG5461">
        <v>0</v>
      </c>
    </row>
    <row r="5462" spans="31:33">
      <c r="AE5462">
        <v>0</v>
      </c>
      <c r="AG5462">
        <v>0</v>
      </c>
    </row>
    <row r="5463" spans="31:33">
      <c r="AE5463">
        <v>0</v>
      </c>
      <c r="AG5463">
        <v>0</v>
      </c>
    </row>
    <row r="5464" spans="31:33">
      <c r="AE5464" s="31">
        <v>-99959.81</v>
      </c>
      <c r="AG5464" s="31">
        <v>134557.79</v>
      </c>
    </row>
    <row r="5465" spans="31:33">
      <c r="AE5465">
        <v>0</v>
      </c>
      <c r="AG5465">
        <v>0</v>
      </c>
    </row>
    <row r="5466" spans="31:33">
      <c r="AE5466">
        <v>0</v>
      </c>
      <c r="AG5466">
        <v>0</v>
      </c>
    </row>
    <row r="5467" spans="31:33">
      <c r="AE5467">
        <v>0</v>
      </c>
      <c r="AG5467">
        <v>0</v>
      </c>
    </row>
    <row r="5468" spans="31:33">
      <c r="AE5468">
        <v>0</v>
      </c>
      <c r="AG5468">
        <v>0</v>
      </c>
    </row>
    <row r="5469" spans="31:33">
      <c r="AE5469">
        <v>0</v>
      </c>
      <c r="AG5469">
        <v>0</v>
      </c>
    </row>
    <row r="5470" spans="31:33">
      <c r="AE5470">
        <v>0</v>
      </c>
      <c r="AG5470">
        <v>0</v>
      </c>
    </row>
    <row r="5471" spans="31:33">
      <c r="AE5471">
        <v>0</v>
      </c>
      <c r="AG5471">
        <v>0</v>
      </c>
    </row>
    <row r="5472" spans="31:33">
      <c r="AE5472">
        <v>0</v>
      </c>
      <c r="AG5472">
        <v>0</v>
      </c>
    </row>
    <row r="5473" spans="31:33">
      <c r="AE5473">
        <v>0</v>
      </c>
      <c r="AG5473">
        <v>0</v>
      </c>
    </row>
    <row r="5474" spans="31:33">
      <c r="AE5474">
        <v>0</v>
      </c>
      <c r="AG5474">
        <v>0</v>
      </c>
    </row>
    <row r="5475" spans="31:33">
      <c r="AE5475">
        <v>0</v>
      </c>
      <c r="AG5475">
        <v>0</v>
      </c>
    </row>
    <row r="5476" spans="31:33">
      <c r="AE5476">
        <v>0</v>
      </c>
      <c r="AG5476">
        <v>0</v>
      </c>
    </row>
    <row r="5477" spans="31:33">
      <c r="AE5477">
        <v>0</v>
      </c>
      <c r="AG5477">
        <v>0</v>
      </c>
    </row>
    <row r="5478" spans="31:33">
      <c r="AE5478" s="31">
        <v>9047596.3100000005</v>
      </c>
      <c r="AG5478" s="31">
        <v>2932275.13</v>
      </c>
    </row>
    <row r="5479" spans="31:33">
      <c r="AE5479">
        <v>0</v>
      </c>
      <c r="AG5479">
        <v>0</v>
      </c>
    </row>
    <row r="5480" spans="31:33">
      <c r="AE5480">
        <v>0</v>
      </c>
      <c r="AG5480">
        <v>0</v>
      </c>
    </row>
    <row r="5481" spans="31:33">
      <c r="AE5481">
        <v>0</v>
      </c>
      <c r="AG5481">
        <v>0</v>
      </c>
    </row>
    <row r="5482" spans="31:33">
      <c r="AE5482">
        <v>0</v>
      </c>
      <c r="AG5482">
        <v>0</v>
      </c>
    </row>
    <row r="5483" spans="31:33">
      <c r="AE5483">
        <v>0</v>
      </c>
      <c r="AG5483">
        <v>0</v>
      </c>
    </row>
    <row r="5484" spans="31:33">
      <c r="AE5484" s="31">
        <v>-2129298.39</v>
      </c>
      <c r="AG5484" s="31">
        <v>-1217159.32</v>
      </c>
    </row>
    <row r="5485" spans="31:33">
      <c r="AE5485" s="31">
        <v>2121224.1800000002</v>
      </c>
      <c r="AG5485" s="31">
        <v>1165247.55</v>
      </c>
    </row>
    <row r="5486" spans="31:33">
      <c r="AE5486">
        <v>0</v>
      </c>
      <c r="AG5486">
        <v>0</v>
      </c>
    </row>
    <row r="5487" spans="31:33">
      <c r="AE5487">
        <v>0</v>
      </c>
      <c r="AG5487">
        <v>0</v>
      </c>
    </row>
    <row r="5488" spans="31:33">
      <c r="AE5488" s="31">
        <v>-43617.85</v>
      </c>
      <c r="AG5488">
        <v>0</v>
      </c>
    </row>
    <row r="5489" spans="31:33">
      <c r="AE5489">
        <v>0</v>
      </c>
      <c r="AG5489">
        <v>0</v>
      </c>
    </row>
    <row r="5490" spans="31:33">
      <c r="AE5490">
        <v>0</v>
      </c>
      <c r="AG5490">
        <v>0</v>
      </c>
    </row>
    <row r="5491" spans="31:33">
      <c r="AE5491">
        <v>0</v>
      </c>
      <c r="AG5491">
        <v>0</v>
      </c>
    </row>
    <row r="5492" spans="31:33">
      <c r="AE5492">
        <v>0</v>
      </c>
      <c r="AG5492">
        <v>0</v>
      </c>
    </row>
    <row r="5493" spans="31:33">
      <c r="AE5493">
        <v>0</v>
      </c>
      <c r="AG5493">
        <v>0</v>
      </c>
    </row>
    <row r="5494" spans="31:33">
      <c r="AE5494">
        <v>0</v>
      </c>
      <c r="AG5494">
        <v>0</v>
      </c>
    </row>
    <row r="5495" spans="31:33">
      <c r="AE5495">
        <v>0</v>
      </c>
      <c r="AG5495">
        <v>0</v>
      </c>
    </row>
    <row r="5496" spans="31:33">
      <c r="AE5496">
        <v>0</v>
      </c>
      <c r="AG5496">
        <v>0</v>
      </c>
    </row>
    <row r="5497" spans="31:33">
      <c r="AE5497">
        <v>0</v>
      </c>
      <c r="AG5497">
        <v>0</v>
      </c>
    </row>
    <row r="5498" spans="31:33">
      <c r="AE5498">
        <v>0</v>
      </c>
      <c r="AG5498">
        <v>0</v>
      </c>
    </row>
    <row r="5499" spans="31:33">
      <c r="AE5499">
        <v>0</v>
      </c>
      <c r="AG5499">
        <v>0</v>
      </c>
    </row>
    <row r="5500" spans="31:33">
      <c r="AE5500">
        <v>0</v>
      </c>
      <c r="AG5500">
        <v>0</v>
      </c>
    </row>
    <row r="5501" spans="31:33">
      <c r="AE5501">
        <v>0</v>
      </c>
      <c r="AG5501">
        <v>0</v>
      </c>
    </row>
    <row r="5502" spans="31:33">
      <c r="AE5502">
        <v>0</v>
      </c>
      <c r="AG5502">
        <v>0</v>
      </c>
    </row>
    <row r="5503" spans="31:33">
      <c r="AE5503">
        <v>0</v>
      </c>
      <c r="AG5503">
        <v>0</v>
      </c>
    </row>
    <row r="5504" spans="31:33">
      <c r="AE5504">
        <v>0</v>
      </c>
      <c r="AG5504">
        <v>0</v>
      </c>
    </row>
    <row r="5505" spans="31:33">
      <c r="AE5505">
        <v>0</v>
      </c>
      <c r="AG5505">
        <v>0</v>
      </c>
    </row>
    <row r="5506" spans="31:33">
      <c r="AE5506">
        <v>0</v>
      </c>
      <c r="AG5506">
        <v>0</v>
      </c>
    </row>
    <row r="5507" spans="31:33">
      <c r="AE5507">
        <v>0</v>
      </c>
      <c r="AG5507">
        <v>0</v>
      </c>
    </row>
    <row r="5508" spans="31:33">
      <c r="AE5508">
        <v>0</v>
      </c>
      <c r="AG5508">
        <v>0</v>
      </c>
    </row>
    <row r="5509" spans="31:33">
      <c r="AE5509">
        <v>0</v>
      </c>
      <c r="AG5509">
        <v>0</v>
      </c>
    </row>
    <row r="5510" spans="31:33">
      <c r="AE5510">
        <v>0</v>
      </c>
      <c r="AG5510">
        <v>0</v>
      </c>
    </row>
    <row r="5511" spans="31:33">
      <c r="AE5511">
        <v>0</v>
      </c>
      <c r="AG5511">
        <v>0</v>
      </c>
    </row>
    <row r="5512" spans="31:33">
      <c r="AE5512">
        <v>0</v>
      </c>
      <c r="AG5512">
        <v>0</v>
      </c>
    </row>
    <row r="5513" spans="31:33">
      <c r="AE5513">
        <v>0</v>
      </c>
      <c r="AG5513">
        <v>0</v>
      </c>
    </row>
    <row r="5514" spans="31:33">
      <c r="AE5514">
        <v>0</v>
      </c>
      <c r="AG5514">
        <v>0</v>
      </c>
    </row>
    <row r="5515" spans="31:33">
      <c r="AE5515">
        <v>0</v>
      </c>
      <c r="AG5515">
        <v>0</v>
      </c>
    </row>
    <row r="5516" spans="31:33">
      <c r="AE5516">
        <v>0</v>
      </c>
      <c r="AG5516">
        <v>0</v>
      </c>
    </row>
    <row r="5517" spans="31:33">
      <c r="AE5517">
        <v>0</v>
      </c>
      <c r="AG5517">
        <v>0</v>
      </c>
    </row>
    <row r="5518" spans="31:33">
      <c r="AE5518">
        <v>0</v>
      </c>
      <c r="AG5518">
        <v>0</v>
      </c>
    </row>
    <row r="5519" spans="31:33">
      <c r="AE5519">
        <v>0</v>
      </c>
      <c r="AG5519">
        <v>0</v>
      </c>
    </row>
    <row r="5520" spans="31:33">
      <c r="AE5520">
        <v>0</v>
      </c>
      <c r="AG5520">
        <v>0</v>
      </c>
    </row>
    <row r="5521" spans="31:33">
      <c r="AE5521">
        <v>0</v>
      </c>
      <c r="AG5521">
        <v>0</v>
      </c>
    </row>
    <row r="5522" spans="31:33">
      <c r="AE5522">
        <v>0</v>
      </c>
      <c r="AG5522">
        <v>0</v>
      </c>
    </row>
    <row r="5523" spans="31:33">
      <c r="AE5523">
        <v>0</v>
      </c>
      <c r="AG5523">
        <v>0</v>
      </c>
    </row>
    <row r="5524" spans="31:33">
      <c r="AE5524">
        <v>0</v>
      </c>
      <c r="AG5524">
        <v>0</v>
      </c>
    </row>
    <row r="5525" spans="31:33">
      <c r="AE5525">
        <v>0</v>
      </c>
      <c r="AG5525">
        <v>0</v>
      </c>
    </row>
    <row r="5526" spans="31:33">
      <c r="AE5526">
        <v>0</v>
      </c>
      <c r="AG5526">
        <v>0</v>
      </c>
    </row>
    <row r="5527" spans="31:33">
      <c r="AE5527">
        <v>0</v>
      </c>
      <c r="AG5527">
        <v>0</v>
      </c>
    </row>
    <row r="5528" spans="31:33">
      <c r="AE5528">
        <v>0</v>
      </c>
      <c r="AG5528">
        <v>0</v>
      </c>
    </row>
    <row r="5529" spans="31:33">
      <c r="AE5529">
        <v>0</v>
      </c>
      <c r="AG5529">
        <v>0</v>
      </c>
    </row>
    <row r="5530" spans="31:33">
      <c r="AE5530">
        <v>0</v>
      </c>
      <c r="AG5530">
        <v>0</v>
      </c>
    </row>
    <row r="5531" spans="31:33">
      <c r="AE5531">
        <v>0</v>
      </c>
      <c r="AG5531">
        <v>0</v>
      </c>
    </row>
    <row r="5532" spans="31:33">
      <c r="AE5532">
        <v>0</v>
      </c>
      <c r="AG5532">
        <v>0</v>
      </c>
    </row>
    <row r="5533" spans="31:33">
      <c r="AE5533">
        <v>0</v>
      </c>
      <c r="AG5533">
        <v>0</v>
      </c>
    </row>
    <row r="5534" spans="31:33">
      <c r="AE5534">
        <v>0</v>
      </c>
      <c r="AG5534">
        <v>0</v>
      </c>
    </row>
    <row r="5535" spans="31:33">
      <c r="AE5535">
        <v>0</v>
      </c>
      <c r="AG5535">
        <v>0</v>
      </c>
    </row>
    <row r="5536" spans="31:33">
      <c r="AE5536">
        <v>0</v>
      </c>
      <c r="AG5536">
        <v>0</v>
      </c>
    </row>
    <row r="5537" spans="31:33">
      <c r="AE5537">
        <v>0</v>
      </c>
      <c r="AG5537">
        <v>0</v>
      </c>
    </row>
    <row r="5538" spans="31:33">
      <c r="AE5538">
        <v>0</v>
      </c>
      <c r="AG5538">
        <v>0</v>
      </c>
    </row>
    <row r="5539" spans="31:33">
      <c r="AE5539">
        <v>0</v>
      </c>
      <c r="AG5539">
        <v>0</v>
      </c>
    </row>
    <row r="5540" spans="31:33">
      <c r="AE5540">
        <v>0</v>
      </c>
      <c r="AG5540">
        <v>0</v>
      </c>
    </row>
    <row r="5541" spans="31:33">
      <c r="AE5541">
        <v>0</v>
      </c>
      <c r="AG5541">
        <v>0</v>
      </c>
    </row>
    <row r="5542" spans="31:33">
      <c r="AE5542">
        <v>0</v>
      </c>
      <c r="AG5542">
        <v>0</v>
      </c>
    </row>
    <row r="5543" spans="31:33">
      <c r="AE5543">
        <v>0</v>
      </c>
      <c r="AG5543">
        <v>0</v>
      </c>
    </row>
    <row r="5544" spans="31:33">
      <c r="AE5544">
        <v>0</v>
      </c>
      <c r="AG5544">
        <v>0</v>
      </c>
    </row>
    <row r="5545" spans="31:33">
      <c r="AE5545">
        <v>0</v>
      </c>
      <c r="AG5545">
        <v>0</v>
      </c>
    </row>
    <row r="5546" spans="31:33">
      <c r="AE5546" s="31">
        <v>47675703.079999998</v>
      </c>
      <c r="AG5546" s="31">
        <v>47586797.119999997</v>
      </c>
    </row>
    <row r="5547" spans="31:33">
      <c r="AE5547" s="31">
        <v>-23123998.379999999</v>
      </c>
      <c r="AG5547" s="31">
        <v>-23153915.550000001</v>
      </c>
    </row>
    <row r="5548" spans="31:33">
      <c r="AE5548">
        <v>0</v>
      </c>
      <c r="AG5548">
        <v>0</v>
      </c>
    </row>
    <row r="5549" spans="31:33">
      <c r="AE5549">
        <v>0</v>
      </c>
      <c r="AG5549">
        <v>0</v>
      </c>
    </row>
    <row r="5550" spans="31:33">
      <c r="AE5550">
        <v>0</v>
      </c>
      <c r="AG5550">
        <v>0</v>
      </c>
    </row>
    <row r="5551" spans="31:33">
      <c r="AE5551">
        <v>0</v>
      </c>
      <c r="AG5551">
        <v>0</v>
      </c>
    </row>
    <row r="5552" spans="31:33">
      <c r="AE5552">
        <v>0</v>
      </c>
      <c r="AG5552">
        <v>0</v>
      </c>
    </row>
    <row r="5553" spans="31:33">
      <c r="AE5553">
        <v>0</v>
      </c>
      <c r="AG5553">
        <v>0</v>
      </c>
    </row>
    <row r="5554" spans="31:33">
      <c r="AE5554" s="31">
        <v>3356045.74</v>
      </c>
      <c r="AG5554" s="31">
        <v>3422229.7</v>
      </c>
    </row>
    <row r="5555" spans="31:33">
      <c r="AE5555" s="31">
        <v>-15911514.949999999</v>
      </c>
      <c r="AG5555" s="31">
        <v>-17788975.629999999</v>
      </c>
    </row>
    <row r="5556" spans="31:33">
      <c r="AE5556">
        <v>0</v>
      </c>
      <c r="AG5556">
        <v>0</v>
      </c>
    </row>
    <row r="5557" spans="31:33">
      <c r="AE5557">
        <v>0</v>
      </c>
      <c r="AG5557">
        <v>0</v>
      </c>
    </row>
    <row r="5558" spans="31:33">
      <c r="AE5558" s="31">
        <v>19098648.739999998</v>
      </c>
      <c r="AG5558" s="31">
        <v>20598407.34</v>
      </c>
    </row>
    <row r="5559" spans="31:33">
      <c r="AE5559" s="31">
        <v>-11523889.35</v>
      </c>
      <c r="AG5559" s="31">
        <v>-11752598.27</v>
      </c>
    </row>
    <row r="5560" spans="31:33">
      <c r="AE5560">
        <v>0</v>
      </c>
      <c r="AG5560">
        <v>0</v>
      </c>
    </row>
    <row r="5561" spans="31:33">
      <c r="AE5561">
        <v>0</v>
      </c>
      <c r="AG5561">
        <v>0</v>
      </c>
    </row>
    <row r="5562" spans="31:33">
      <c r="AE5562" s="31">
        <v>32930.339999999997</v>
      </c>
      <c r="AG5562" s="31">
        <v>45459.3</v>
      </c>
    </row>
    <row r="5563" spans="31:33">
      <c r="AE5563" s="31">
        <v>-1152.1099999999999</v>
      </c>
      <c r="AG5563" s="31">
        <v>-1296.17</v>
      </c>
    </row>
    <row r="5564" spans="31:33">
      <c r="AE5564">
        <v>0</v>
      </c>
      <c r="AG5564">
        <v>0</v>
      </c>
    </row>
    <row r="5565" spans="31:33">
      <c r="AE5565">
        <v>0</v>
      </c>
      <c r="AG5565">
        <v>0</v>
      </c>
    </row>
    <row r="5566" spans="31:33">
      <c r="AE5566" s="31">
        <v>73383.09</v>
      </c>
      <c r="AG5566" s="31">
        <v>846156.81</v>
      </c>
    </row>
    <row r="5567" spans="31:33">
      <c r="AE5567" s="31">
        <v>-2438887.04</v>
      </c>
      <c r="AG5567" s="31">
        <v>-3573333.2</v>
      </c>
    </row>
    <row r="5568" spans="31:33">
      <c r="AE5568">
        <v>0</v>
      </c>
      <c r="AG5568">
        <v>0</v>
      </c>
    </row>
    <row r="5569" spans="31:33">
      <c r="AE5569">
        <v>0</v>
      </c>
      <c r="AG5569">
        <v>0</v>
      </c>
    </row>
    <row r="5570" spans="31:33">
      <c r="AE5570">
        <v>999.9</v>
      </c>
      <c r="AG5570" s="31">
        <v>-15068.87</v>
      </c>
    </row>
    <row r="5571" spans="31:33">
      <c r="AE5571" s="31">
        <v>60691.96</v>
      </c>
      <c r="AG5571" s="31">
        <v>41047.83</v>
      </c>
    </row>
    <row r="5572" spans="31:33">
      <c r="AE5572">
        <v>0</v>
      </c>
      <c r="AG5572">
        <v>0</v>
      </c>
    </row>
    <row r="5573" spans="31:33">
      <c r="AE5573">
        <v>0</v>
      </c>
      <c r="AG5573">
        <v>0</v>
      </c>
    </row>
    <row r="5574" spans="31:33">
      <c r="AE5574" s="31">
        <v>147284.21</v>
      </c>
      <c r="AG5574" s="31">
        <v>156563.21</v>
      </c>
    </row>
    <row r="5575" spans="31:33">
      <c r="AE5575">
        <v>0</v>
      </c>
      <c r="AG5575">
        <v>0</v>
      </c>
    </row>
    <row r="5576" spans="31:33">
      <c r="AE5576">
        <v>0</v>
      </c>
      <c r="AG5576">
        <v>0</v>
      </c>
    </row>
    <row r="5577" spans="31:33">
      <c r="AE5577">
        <v>0</v>
      </c>
      <c r="AG5577">
        <v>0</v>
      </c>
    </row>
    <row r="5578" spans="31:33">
      <c r="AE5578" s="31">
        <v>65960.86</v>
      </c>
      <c r="AG5578" s="31">
        <v>421651.91</v>
      </c>
    </row>
    <row r="5579" spans="31:33">
      <c r="AE5579" s="31">
        <v>-1160731.6299999999</v>
      </c>
      <c r="AG5579" s="31">
        <v>-1424836.86</v>
      </c>
    </row>
    <row r="5580" spans="31:33">
      <c r="AE5580">
        <v>0</v>
      </c>
      <c r="AG5580">
        <v>0</v>
      </c>
    </row>
    <row r="5581" spans="31:33">
      <c r="AE5581">
        <v>0</v>
      </c>
      <c r="AG5581">
        <v>0</v>
      </c>
    </row>
    <row r="5582" spans="31:33">
      <c r="AE5582">
        <v>0</v>
      </c>
      <c r="AG5582">
        <v>0</v>
      </c>
    </row>
    <row r="5583" spans="31:33">
      <c r="AE5583">
        <v>0</v>
      </c>
      <c r="AG5583">
        <v>0</v>
      </c>
    </row>
    <row r="5584" spans="31:33">
      <c r="AE5584">
        <v>0</v>
      </c>
      <c r="AG5584">
        <v>0</v>
      </c>
    </row>
    <row r="5585" spans="31:33">
      <c r="AE5585">
        <v>0</v>
      </c>
      <c r="AG5585">
        <v>0</v>
      </c>
    </row>
    <row r="5586" spans="31:33">
      <c r="AE5586" s="31">
        <v>-17141.849999999999</v>
      </c>
      <c r="AG5586" s="31">
        <v>-346868.52</v>
      </c>
    </row>
    <row r="5587" spans="31:33">
      <c r="AE5587" s="31">
        <v>-9030407.6699999999</v>
      </c>
      <c r="AG5587" s="31">
        <v>-9616320.3200000003</v>
      </c>
    </row>
    <row r="5588" spans="31:33">
      <c r="AE5588">
        <v>0</v>
      </c>
      <c r="AG5588">
        <v>0</v>
      </c>
    </row>
    <row r="5589" spans="31:33">
      <c r="AE5589">
        <v>0</v>
      </c>
      <c r="AG5589">
        <v>0</v>
      </c>
    </row>
    <row r="5590" spans="31:33">
      <c r="AE5590" s="31">
        <v>-32170.16</v>
      </c>
      <c r="AG5590" s="31">
        <v>790380.66</v>
      </c>
    </row>
    <row r="5591" spans="31:33">
      <c r="AE5591" s="31">
        <v>-1601180.79</v>
      </c>
      <c r="AG5591" s="31">
        <v>-2377359.5499999998</v>
      </c>
    </row>
    <row r="5592" spans="31:33">
      <c r="AE5592">
        <v>0</v>
      </c>
      <c r="AG5592">
        <v>0</v>
      </c>
    </row>
    <row r="5593" spans="31:33">
      <c r="AE5593">
        <v>0</v>
      </c>
      <c r="AG5593">
        <v>0</v>
      </c>
    </row>
    <row r="5594" spans="31:33">
      <c r="AE5594" s="31">
        <v>64377.72</v>
      </c>
      <c r="AG5594" s="31">
        <v>145703.4</v>
      </c>
    </row>
    <row r="5595" spans="31:33">
      <c r="AE5595" s="31">
        <v>-342996.05</v>
      </c>
      <c r="AG5595" s="31">
        <v>-276119.96000000002</v>
      </c>
    </row>
    <row r="5596" spans="31:33">
      <c r="AE5596">
        <v>0</v>
      </c>
      <c r="AG5596">
        <v>0</v>
      </c>
    </row>
    <row r="5597" spans="31:33">
      <c r="AE5597">
        <v>0</v>
      </c>
      <c r="AG5597">
        <v>0</v>
      </c>
    </row>
    <row r="5598" spans="31:33">
      <c r="AE5598" s="31">
        <v>86048.65</v>
      </c>
      <c r="AG5598" s="31">
        <v>-636457.01</v>
      </c>
    </row>
    <row r="5599" spans="31:33">
      <c r="AE5599" s="31">
        <v>-30079408.800000001</v>
      </c>
      <c r="AG5599" s="31">
        <v>-34015857.109999999</v>
      </c>
    </row>
    <row r="5600" spans="31:33">
      <c r="AE5600">
        <v>0</v>
      </c>
      <c r="AG5600">
        <v>0</v>
      </c>
    </row>
    <row r="5601" spans="31:33">
      <c r="AE5601">
        <v>0</v>
      </c>
      <c r="AG5601">
        <v>0</v>
      </c>
    </row>
    <row r="5602" spans="31:33">
      <c r="AE5602" s="31">
        <v>-98676.160000000003</v>
      </c>
      <c r="AG5602" s="31">
        <v>-33849.22</v>
      </c>
    </row>
    <row r="5603" spans="31:33">
      <c r="AE5603" s="31">
        <v>-3842461.07</v>
      </c>
      <c r="AG5603" s="31">
        <v>-3723047.39</v>
      </c>
    </row>
    <row r="5604" spans="31:33">
      <c r="AE5604">
        <v>0</v>
      </c>
      <c r="AG5604">
        <v>0</v>
      </c>
    </row>
    <row r="5605" spans="31:33">
      <c r="AE5605">
        <v>0</v>
      </c>
      <c r="AG5605">
        <v>0</v>
      </c>
    </row>
    <row r="5606" spans="31:33">
      <c r="AE5606" s="31">
        <v>397649.49</v>
      </c>
      <c r="AG5606" s="31">
        <v>464574.28</v>
      </c>
    </row>
    <row r="5607" spans="31:33">
      <c r="AE5607" s="31">
        <v>-2159.46</v>
      </c>
      <c r="AG5607" s="31">
        <v>-54695.88</v>
      </c>
    </row>
    <row r="5608" spans="31:33">
      <c r="AE5608">
        <v>0</v>
      </c>
      <c r="AG5608">
        <v>0</v>
      </c>
    </row>
    <row r="5609" spans="31:33">
      <c r="AE5609">
        <v>0</v>
      </c>
      <c r="AG5609">
        <v>0</v>
      </c>
    </row>
    <row r="5610" spans="31:33">
      <c r="AE5610" s="31">
        <v>-106053.7</v>
      </c>
      <c r="AG5610" s="31">
        <v>2490539.9</v>
      </c>
    </row>
    <row r="5611" spans="31:33">
      <c r="AE5611" s="31">
        <v>-4904643.43</v>
      </c>
      <c r="AG5611" s="31">
        <v>-7619838.4699999997</v>
      </c>
    </row>
    <row r="5612" spans="31:33">
      <c r="AE5612">
        <v>0</v>
      </c>
      <c r="AG5612">
        <v>0</v>
      </c>
    </row>
    <row r="5613" spans="31:33">
      <c r="AE5613">
        <v>0</v>
      </c>
      <c r="AG5613">
        <v>0</v>
      </c>
    </row>
    <row r="5614" spans="31:33">
      <c r="AE5614" s="31">
        <v>7208586.71</v>
      </c>
      <c r="AG5614" s="31">
        <v>7690376.7300000004</v>
      </c>
    </row>
    <row r="5615" spans="31:33">
      <c r="AE5615" s="31">
        <v>-10283713.640000001</v>
      </c>
      <c r="AG5615" s="31">
        <v>-10930914.57</v>
      </c>
    </row>
    <row r="5616" spans="31:33">
      <c r="AE5616">
        <v>0</v>
      </c>
      <c r="AG5616">
        <v>0</v>
      </c>
    </row>
    <row r="5617" spans="31:33">
      <c r="AE5617">
        <v>0</v>
      </c>
      <c r="AG5617">
        <v>0</v>
      </c>
    </row>
    <row r="5618" spans="31:33">
      <c r="AE5618" s="31">
        <v>923008.68</v>
      </c>
      <c r="AG5618" s="31">
        <v>1355878.44</v>
      </c>
    </row>
    <row r="5619" spans="31:33">
      <c r="AE5619" s="31">
        <v>-2807966.77</v>
      </c>
      <c r="AG5619" s="31">
        <v>-2965340.87</v>
      </c>
    </row>
    <row r="5620" spans="31:33">
      <c r="AE5620">
        <v>0</v>
      </c>
      <c r="AG5620">
        <v>0</v>
      </c>
    </row>
    <row r="5621" spans="31:33">
      <c r="AE5621">
        <v>0</v>
      </c>
      <c r="AG5621">
        <v>0</v>
      </c>
    </row>
    <row r="5622" spans="31:33">
      <c r="AE5622" s="31">
        <v>-1518166.06</v>
      </c>
      <c r="AG5622" s="31">
        <v>7133.49</v>
      </c>
    </row>
    <row r="5623" spans="31:33">
      <c r="AE5623" s="31">
        <v>1461.86</v>
      </c>
      <c r="AG5623" s="31">
        <v>-16569.77</v>
      </c>
    </row>
    <row r="5624" spans="31:33">
      <c r="AE5624">
        <v>0</v>
      </c>
      <c r="AG5624">
        <v>0</v>
      </c>
    </row>
    <row r="5625" spans="31:33">
      <c r="AE5625">
        <v>0</v>
      </c>
      <c r="AG5625">
        <v>0</v>
      </c>
    </row>
    <row r="5626" spans="31:33">
      <c r="AE5626">
        <v>0</v>
      </c>
      <c r="AG5626">
        <v>0</v>
      </c>
    </row>
    <row r="5627" spans="31:33">
      <c r="AE5627">
        <v>0</v>
      </c>
      <c r="AG5627">
        <v>0</v>
      </c>
    </row>
    <row r="5628" spans="31:33">
      <c r="AE5628">
        <v>0</v>
      </c>
      <c r="AG5628">
        <v>0</v>
      </c>
    </row>
    <row r="5629" spans="31:33">
      <c r="AE5629" s="31">
        <v>-8107.76</v>
      </c>
      <c r="AG5629" s="31">
        <v>1391064.01</v>
      </c>
    </row>
    <row r="5630" spans="31:33">
      <c r="AE5630" s="31">
        <v>8107.76</v>
      </c>
      <c r="AG5630" s="31">
        <v>-1391064.01</v>
      </c>
    </row>
    <row r="5631" spans="31:33">
      <c r="AE5631">
        <v>0</v>
      </c>
      <c r="AG5631">
        <v>0</v>
      </c>
    </row>
    <row r="5632" spans="31:33">
      <c r="AE5632">
        <v>0</v>
      </c>
      <c r="AG5632">
        <v>0</v>
      </c>
    </row>
    <row r="5633" spans="31:33">
      <c r="AE5633" s="31">
        <v>48566.86</v>
      </c>
      <c r="AG5633" s="31">
        <v>569099.36</v>
      </c>
    </row>
    <row r="5634" spans="31:33">
      <c r="AE5634" s="31">
        <v>-48564.13</v>
      </c>
      <c r="AG5634" s="31">
        <v>-569096.63</v>
      </c>
    </row>
    <row r="5635" spans="31:33">
      <c r="AE5635">
        <v>0</v>
      </c>
      <c r="AG5635">
        <v>0</v>
      </c>
    </row>
    <row r="5636" spans="31:33">
      <c r="AE5636">
        <v>0</v>
      </c>
      <c r="AG5636">
        <v>0</v>
      </c>
    </row>
    <row r="5637" spans="31:33">
      <c r="AE5637">
        <v>0</v>
      </c>
      <c r="AG5637">
        <v>0</v>
      </c>
    </row>
    <row r="5638" spans="31:33">
      <c r="AE5638">
        <v>0</v>
      </c>
      <c r="AG5638">
        <v>0</v>
      </c>
    </row>
    <row r="5639" spans="31:33">
      <c r="AE5639">
        <v>0</v>
      </c>
      <c r="AG5639">
        <v>0</v>
      </c>
    </row>
    <row r="5640" spans="31:33">
      <c r="AE5640">
        <v>0</v>
      </c>
      <c r="AG5640">
        <v>0</v>
      </c>
    </row>
    <row r="5641" spans="31:33">
      <c r="AE5641" s="31">
        <v>1617900.69</v>
      </c>
      <c r="AG5641" s="31">
        <v>1737031.27</v>
      </c>
    </row>
    <row r="5642" spans="31:33">
      <c r="AE5642">
        <v>0</v>
      </c>
      <c r="AG5642" s="31">
        <v>1116.67</v>
      </c>
    </row>
    <row r="5643" spans="31:33">
      <c r="AE5643">
        <v>0</v>
      </c>
      <c r="AG5643">
        <v>0</v>
      </c>
    </row>
    <row r="5644" spans="31:33">
      <c r="AE5644" s="31">
        <v>-493935.57</v>
      </c>
      <c r="AG5644" s="31">
        <v>-689864.96</v>
      </c>
    </row>
    <row r="5645" spans="31:33">
      <c r="AE5645">
        <v>0</v>
      </c>
      <c r="AG5645">
        <v>0</v>
      </c>
    </row>
    <row r="5646" spans="31:33">
      <c r="AE5646">
        <v>0</v>
      </c>
      <c r="AG5646">
        <v>0</v>
      </c>
    </row>
    <row r="5647" spans="31:33">
      <c r="AE5647" s="31">
        <v>22186467.34</v>
      </c>
      <c r="AG5647" s="31">
        <v>20621930.969999999</v>
      </c>
    </row>
    <row r="5648" spans="31:33">
      <c r="AE5648">
        <v>0</v>
      </c>
      <c r="AG5648" s="31">
        <v>9521.16</v>
      </c>
    </row>
    <row r="5649" spans="31:33">
      <c r="AE5649" s="31">
        <v>-20910831.260000002</v>
      </c>
      <c r="AG5649" s="31">
        <v>-19516765.359999999</v>
      </c>
    </row>
    <row r="5650" spans="31:33">
      <c r="AE5650">
        <v>0</v>
      </c>
      <c r="AG5650">
        <v>0</v>
      </c>
    </row>
    <row r="5651" spans="31:33">
      <c r="AE5651">
        <v>0</v>
      </c>
      <c r="AG5651">
        <v>0</v>
      </c>
    </row>
    <row r="5652" spans="31:33">
      <c r="AE5652">
        <v>0</v>
      </c>
      <c r="AG5652">
        <v>0</v>
      </c>
    </row>
    <row r="5653" spans="31:33">
      <c r="AE5653">
        <v>0</v>
      </c>
      <c r="AG5653">
        <v>0</v>
      </c>
    </row>
    <row r="5654" spans="31:33">
      <c r="AE5654">
        <v>0</v>
      </c>
      <c r="AG5654">
        <v>0</v>
      </c>
    </row>
    <row r="5655" spans="31:33">
      <c r="AE5655" s="31">
        <v>449317.96</v>
      </c>
      <c r="AG5655" s="31">
        <v>480560.13</v>
      </c>
    </row>
    <row r="5656" spans="31:33">
      <c r="AE5656" s="31">
        <v>-61056.3</v>
      </c>
      <c r="AG5656" s="31">
        <v>-66939.320000000007</v>
      </c>
    </row>
    <row r="5657" spans="31:33">
      <c r="AE5657">
        <v>0</v>
      </c>
      <c r="AG5657">
        <v>0</v>
      </c>
    </row>
    <row r="5658" spans="31:33">
      <c r="AE5658">
        <v>0</v>
      </c>
      <c r="AG5658">
        <v>0</v>
      </c>
    </row>
    <row r="5659" spans="31:33">
      <c r="AE5659">
        <v>0</v>
      </c>
      <c r="AG5659">
        <v>0</v>
      </c>
    </row>
    <row r="5660" spans="31:33">
      <c r="AE5660">
        <v>0</v>
      </c>
      <c r="AG5660">
        <v>0</v>
      </c>
    </row>
    <row r="5661" spans="31:33">
      <c r="AE5661">
        <v>0</v>
      </c>
      <c r="AG5661">
        <v>0</v>
      </c>
    </row>
    <row r="5662" spans="31:33">
      <c r="AE5662" s="31">
        <v>1532.36</v>
      </c>
      <c r="AG5662" s="31">
        <v>28485.69</v>
      </c>
    </row>
    <row r="5663" spans="31:33">
      <c r="AE5663">
        <v>-982.36</v>
      </c>
      <c r="AG5663" s="31">
        <v>-23336.720000000001</v>
      </c>
    </row>
    <row r="5664" spans="31:33">
      <c r="AE5664">
        <v>0</v>
      </c>
      <c r="AG5664">
        <v>0</v>
      </c>
    </row>
    <row r="5665" spans="31:33">
      <c r="AE5665">
        <v>0</v>
      </c>
      <c r="AG5665">
        <v>0</v>
      </c>
    </row>
    <row r="5666" spans="31:33">
      <c r="AE5666" s="31">
        <v>402930.37</v>
      </c>
      <c r="AG5666" s="31">
        <v>379982.57</v>
      </c>
    </row>
    <row r="5667" spans="31:33">
      <c r="AE5667" s="31">
        <v>2792.7</v>
      </c>
      <c r="AG5667" s="31">
        <v>3412.45</v>
      </c>
    </row>
    <row r="5668" spans="31:33">
      <c r="AE5668" s="31">
        <v>-172372.44</v>
      </c>
      <c r="AG5668" s="31">
        <v>-162457.10999999999</v>
      </c>
    </row>
    <row r="5669" spans="31:33">
      <c r="AE5669">
        <v>0</v>
      </c>
      <c r="AG5669">
        <v>0</v>
      </c>
    </row>
    <row r="5670" spans="31:33">
      <c r="AE5670">
        <v>0</v>
      </c>
      <c r="AG5670">
        <v>0</v>
      </c>
    </row>
    <row r="5671" spans="31:33">
      <c r="AE5671" s="31">
        <v>15667215.24</v>
      </c>
      <c r="AG5671" s="31">
        <v>18128534.170000002</v>
      </c>
    </row>
    <row r="5672" spans="31:33">
      <c r="AE5672" s="31">
        <v>-14685546.619999999</v>
      </c>
      <c r="AG5672" s="31">
        <v>-16086245</v>
      </c>
    </row>
    <row r="5673" spans="31:33">
      <c r="AE5673">
        <v>0</v>
      </c>
      <c r="AG5673">
        <v>0</v>
      </c>
    </row>
    <row r="5674" spans="31:33">
      <c r="AE5674">
        <v>0</v>
      </c>
      <c r="AG5674">
        <v>0</v>
      </c>
    </row>
    <row r="5675" spans="31:33">
      <c r="AE5675">
        <v>0</v>
      </c>
      <c r="AG5675">
        <v>0</v>
      </c>
    </row>
    <row r="5676" spans="31:33">
      <c r="AE5676">
        <v>0</v>
      </c>
      <c r="AG5676">
        <v>0</v>
      </c>
    </row>
    <row r="5677" spans="31:33">
      <c r="AE5677">
        <v>0</v>
      </c>
      <c r="AG5677">
        <v>0</v>
      </c>
    </row>
    <row r="5678" spans="31:33">
      <c r="AE5678">
        <v>0</v>
      </c>
      <c r="AG5678">
        <v>0</v>
      </c>
    </row>
    <row r="5679" spans="31:33">
      <c r="AE5679">
        <v>0</v>
      </c>
      <c r="AG5679">
        <v>0</v>
      </c>
    </row>
    <row r="5680" spans="31:33">
      <c r="AE5680">
        <v>0</v>
      </c>
      <c r="AG5680">
        <v>0</v>
      </c>
    </row>
    <row r="5681" spans="31:33">
      <c r="AE5681">
        <v>0</v>
      </c>
      <c r="AG5681">
        <v>0</v>
      </c>
    </row>
    <row r="5682" spans="31:33">
      <c r="AE5682">
        <v>0</v>
      </c>
      <c r="AG5682">
        <v>0</v>
      </c>
    </row>
    <row r="5683" spans="31:33">
      <c r="AE5683">
        <v>0</v>
      </c>
      <c r="AG5683">
        <v>0</v>
      </c>
    </row>
    <row r="5684" spans="31:33">
      <c r="AE5684">
        <v>0</v>
      </c>
      <c r="AG5684">
        <v>0</v>
      </c>
    </row>
    <row r="5685" spans="31:33">
      <c r="AE5685">
        <v>0</v>
      </c>
      <c r="AG5685">
        <v>0</v>
      </c>
    </row>
    <row r="5686" spans="31:33">
      <c r="AE5686">
        <v>0</v>
      </c>
      <c r="AG5686">
        <v>0</v>
      </c>
    </row>
    <row r="5687" spans="31:33">
      <c r="AE5687">
        <v>0</v>
      </c>
      <c r="AG5687">
        <v>0</v>
      </c>
    </row>
    <row r="5688" spans="31:33">
      <c r="AE5688">
        <v>0</v>
      </c>
      <c r="AG5688">
        <v>0</v>
      </c>
    </row>
    <row r="5689" spans="31:33">
      <c r="AE5689">
        <v>0</v>
      </c>
      <c r="AG5689">
        <v>0</v>
      </c>
    </row>
    <row r="5690" spans="31:33">
      <c r="AE5690">
        <v>0</v>
      </c>
      <c r="AG5690">
        <v>0</v>
      </c>
    </row>
    <row r="5691" spans="31:33">
      <c r="AE5691">
        <v>0</v>
      </c>
      <c r="AG5691">
        <v>0</v>
      </c>
    </row>
    <row r="5692" spans="31:33">
      <c r="AE5692">
        <v>0</v>
      </c>
      <c r="AG5692">
        <v>0</v>
      </c>
    </row>
    <row r="5693" spans="31:33">
      <c r="AE5693">
        <v>0</v>
      </c>
      <c r="AG5693">
        <v>0</v>
      </c>
    </row>
    <row r="5694" spans="31:33">
      <c r="AE5694">
        <v>0</v>
      </c>
      <c r="AG5694">
        <v>0</v>
      </c>
    </row>
    <row r="5695" spans="31:33">
      <c r="AE5695">
        <v>0</v>
      </c>
      <c r="AG5695">
        <v>0</v>
      </c>
    </row>
    <row r="5696" spans="31:33">
      <c r="AE5696" s="31">
        <v>23165.7</v>
      </c>
      <c r="AG5696">
        <v>323.73</v>
      </c>
    </row>
    <row r="5697" spans="31:33">
      <c r="AE5697">
        <v>0</v>
      </c>
      <c r="AG5697">
        <v>0</v>
      </c>
    </row>
    <row r="5698" spans="31:33">
      <c r="AE5698" s="31">
        <v>-23165.7</v>
      </c>
      <c r="AG5698">
        <v>-344.6</v>
      </c>
    </row>
    <row r="5699" spans="31:33">
      <c r="AE5699">
        <v>0</v>
      </c>
      <c r="AG5699">
        <v>0</v>
      </c>
    </row>
    <row r="5700" spans="31:33">
      <c r="AE5700">
        <v>0</v>
      </c>
      <c r="AG5700">
        <v>0</v>
      </c>
    </row>
    <row r="5701" spans="31:33">
      <c r="AE5701">
        <v>0</v>
      </c>
      <c r="AG5701">
        <v>0</v>
      </c>
    </row>
    <row r="5702" spans="31:33">
      <c r="AE5702">
        <v>0</v>
      </c>
      <c r="AG5702">
        <v>0</v>
      </c>
    </row>
    <row r="5703" spans="31:33">
      <c r="AE5703">
        <v>0</v>
      </c>
      <c r="AG5703">
        <v>0</v>
      </c>
    </row>
    <row r="5704" spans="31:33">
      <c r="AE5704">
        <v>0</v>
      </c>
      <c r="AG5704">
        <v>0</v>
      </c>
    </row>
    <row r="5705" spans="31:33">
      <c r="AE5705">
        <v>0</v>
      </c>
      <c r="AG5705">
        <v>0</v>
      </c>
    </row>
    <row r="5706" spans="31:33">
      <c r="AE5706">
        <v>0</v>
      </c>
      <c r="AG5706">
        <v>0</v>
      </c>
    </row>
    <row r="5707" spans="31:33">
      <c r="AE5707">
        <v>0</v>
      </c>
      <c r="AG5707">
        <v>0</v>
      </c>
    </row>
    <row r="5708" spans="31:33">
      <c r="AE5708">
        <v>0</v>
      </c>
      <c r="AG5708">
        <v>0</v>
      </c>
    </row>
    <row r="5709" spans="31:33">
      <c r="AE5709">
        <v>0</v>
      </c>
      <c r="AG5709">
        <v>0</v>
      </c>
    </row>
    <row r="5710" spans="31:33">
      <c r="AE5710">
        <v>0</v>
      </c>
      <c r="AG5710">
        <v>0</v>
      </c>
    </row>
    <row r="5711" spans="31:33">
      <c r="AE5711">
        <v>0</v>
      </c>
      <c r="AG5711">
        <v>0</v>
      </c>
    </row>
    <row r="5712" spans="31:33">
      <c r="AE5712">
        <v>0</v>
      </c>
      <c r="AG5712">
        <v>0</v>
      </c>
    </row>
    <row r="5713" spans="31:33">
      <c r="AE5713">
        <v>0</v>
      </c>
      <c r="AG5713">
        <v>0</v>
      </c>
    </row>
    <row r="5714" spans="31:33">
      <c r="AE5714">
        <v>0</v>
      </c>
      <c r="AG5714">
        <v>0</v>
      </c>
    </row>
    <row r="5715" spans="31:33">
      <c r="AE5715">
        <v>0</v>
      </c>
      <c r="AG5715">
        <v>0</v>
      </c>
    </row>
    <row r="5716" spans="31:33">
      <c r="AE5716">
        <v>0</v>
      </c>
      <c r="AG5716">
        <v>0</v>
      </c>
    </row>
    <row r="5717" spans="31:33">
      <c r="AE5717">
        <v>0</v>
      </c>
      <c r="AG5717">
        <v>0</v>
      </c>
    </row>
    <row r="5718" spans="31:33">
      <c r="AE5718">
        <v>0</v>
      </c>
      <c r="AG5718">
        <v>0</v>
      </c>
    </row>
    <row r="5719" spans="31:33">
      <c r="AE5719">
        <v>0</v>
      </c>
      <c r="AG5719">
        <v>0</v>
      </c>
    </row>
    <row r="5720" spans="31:33">
      <c r="AE5720">
        <v>0</v>
      </c>
      <c r="AG5720">
        <v>0</v>
      </c>
    </row>
    <row r="5721" spans="31:33">
      <c r="AE5721">
        <v>0</v>
      </c>
      <c r="AG5721">
        <v>0</v>
      </c>
    </row>
    <row r="5722" spans="31:33">
      <c r="AE5722">
        <v>0</v>
      </c>
      <c r="AG5722">
        <v>0</v>
      </c>
    </row>
    <row r="5723" spans="31:33">
      <c r="AE5723">
        <v>0</v>
      </c>
      <c r="AG5723">
        <v>0</v>
      </c>
    </row>
    <row r="5724" spans="31:33">
      <c r="AE5724">
        <v>0</v>
      </c>
      <c r="AG5724">
        <v>0</v>
      </c>
    </row>
    <row r="5725" spans="31:33">
      <c r="AE5725">
        <v>0</v>
      </c>
      <c r="AG5725">
        <v>0</v>
      </c>
    </row>
    <row r="5726" spans="31:33">
      <c r="AE5726">
        <v>0</v>
      </c>
      <c r="AG5726">
        <v>0</v>
      </c>
    </row>
    <row r="5727" spans="31:33">
      <c r="AE5727">
        <v>0</v>
      </c>
      <c r="AG5727">
        <v>0</v>
      </c>
    </row>
    <row r="5728" spans="31:33">
      <c r="AE5728">
        <v>0</v>
      </c>
      <c r="AG5728">
        <v>0</v>
      </c>
    </row>
    <row r="5729" spans="31:33">
      <c r="AE5729" s="31">
        <v>414569.35</v>
      </c>
      <c r="AG5729" s="31">
        <v>-201231.7</v>
      </c>
    </row>
    <row r="5730" spans="31:33">
      <c r="AE5730" s="31">
        <v>-2137064.7799999998</v>
      </c>
      <c r="AG5730" s="31">
        <v>-2250464.2799999998</v>
      </c>
    </row>
    <row r="5731" spans="31:33">
      <c r="AE5731">
        <v>0</v>
      </c>
      <c r="AG5731">
        <v>0</v>
      </c>
    </row>
    <row r="5732" spans="31:33">
      <c r="AE5732">
        <v>0</v>
      </c>
      <c r="AG5732">
        <v>0</v>
      </c>
    </row>
    <row r="5733" spans="31:33">
      <c r="AE5733">
        <v>0</v>
      </c>
      <c r="AG5733">
        <v>0</v>
      </c>
    </row>
    <row r="5734" spans="31:33">
      <c r="AE5734">
        <v>0</v>
      </c>
      <c r="AG5734">
        <v>0</v>
      </c>
    </row>
    <row r="5735" spans="31:33">
      <c r="AE5735">
        <v>0</v>
      </c>
      <c r="AG5735">
        <v>0</v>
      </c>
    </row>
    <row r="5736" spans="31:33">
      <c r="AE5736">
        <v>0</v>
      </c>
      <c r="AG5736">
        <v>0</v>
      </c>
    </row>
    <row r="5737" spans="31:33">
      <c r="AE5737">
        <v>0</v>
      </c>
      <c r="AG5737">
        <v>0</v>
      </c>
    </row>
    <row r="5738" spans="31:33">
      <c r="AE5738">
        <v>0</v>
      </c>
      <c r="AG5738">
        <v>0</v>
      </c>
    </row>
    <row r="5739" spans="31:33">
      <c r="AE5739">
        <v>0</v>
      </c>
      <c r="AG5739">
        <v>0</v>
      </c>
    </row>
    <row r="5740" spans="31:33">
      <c r="AE5740">
        <v>0</v>
      </c>
      <c r="AG5740">
        <v>0</v>
      </c>
    </row>
    <row r="5741" spans="31:33">
      <c r="AE5741">
        <v>0</v>
      </c>
      <c r="AG5741">
        <v>0</v>
      </c>
    </row>
    <row r="5742" spans="31:33">
      <c r="AE5742">
        <v>0</v>
      </c>
      <c r="AG5742">
        <v>0</v>
      </c>
    </row>
    <row r="5743" spans="31:33">
      <c r="AE5743">
        <v>0</v>
      </c>
      <c r="AG5743">
        <v>0</v>
      </c>
    </row>
    <row r="5744" spans="31:33">
      <c r="AE5744">
        <v>0</v>
      </c>
      <c r="AG5744">
        <v>0</v>
      </c>
    </row>
    <row r="5745" spans="31:33">
      <c r="AE5745">
        <v>0</v>
      </c>
      <c r="AG5745">
        <v>0</v>
      </c>
    </row>
    <row r="5746" spans="31:33">
      <c r="AE5746">
        <v>0</v>
      </c>
      <c r="AG5746">
        <v>0</v>
      </c>
    </row>
    <row r="5747" spans="31:33">
      <c r="AE5747">
        <v>0</v>
      </c>
      <c r="AG5747">
        <v>0</v>
      </c>
    </row>
    <row r="5748" spans="31:33">
      <c r="AE5748">
        <v>0</v>
      </c>
      <c r="AG5748">
        <v>0</v>
      </c>
    </row>
    <row r="5749" spans="31:33">
      <c r="AE5749">
        <v>0</v>
      </c>
      <c r="AG5749">
        <v>0</v>
      </c>
    </row>
    <row r="5750" spans="31:33">
      <c r="AE5750">
        <v>0</v>
      </c>
      <c r="AG5750">
        <v>0</v>
      </c>
    </row>
    <row r="5751" spans="31:33">
      <c r="AE5751">
        <v>0</v>
      </c>
      <c r="AG5751">
        <v>0</v>
      </c>
    </row>
    <row r="5752" spans="31:33">
      <c r="AE5752" s="31">
        <v>-4060039.5</v>
      </c>
      <c r="AG5752" s="31">
        <v>1955547.79</v>
      </c>
    </row>
    <row r="5753" spans="31:33">
      <c r="AE5753" s="31">
        <v>-2126573.2599999998</v>
      </c>
      <c r="AG5753" s="31">
        <v>-1965372.5</v>
      </c>
    </row>
    <row r="5754" spans="31:33">
      <c r="AE5754">
        <v>0</v>
      </c>
      <c r="AG5754">
        <v>0</v>
      </c>
    </row>
    <row r="5755" spans="31:33">
      <c r="AE5755">
        <v>0</v>
      </c>
      <c r="AG5755">
        <v>0</v>
      </c>
    </row>
    <row r="5756" spans="31:33">
      <c r="AE5756" s="31">
        <v>-27326.16</v>
      </c>
      <c r="AG5756" s="31">
        <v>-15229.45</v>
      </c>
    </row>
    <row r="5757" spans="31:33">
      <c r="AE5757" s="31">
        <v>35008.74</v>
      </c>
      <c r="AG5757" s="31">
        <v>22636.36</v>
      </c>
    </row>
    <row r="5758" spans="31:33">
      <c r="AE5758">
        <v>0</v>
      </c>
      <c r="AG5758">
        <v>0</v>
      </c>
    </row>
    <row r="5759" spans="31:33">
      <c r="AE5759">
        <v>0</v>
      </c>
      <c r="AG5759">
        <v>0</v>
      </c>
    </row>
    <row r="5760" spans="31:33">
      <c r="AE5760" s="31">
        <v>116681739.59999999</v>
      </c>
      <c r="AG5760" s="31">
        <v>116309026.84999999</v>
      </c>
    </row>
    <row r="5761" spans="31:33">
      <c r="AE5761" s="31">
        <v>-110252856.69</v>
      </c>
      <c r="AG5761" s="31">
        <v>-109948278.29000001</v>
      </c>
    </row>
    <row r="5762" spans="31:33">
      <c r="AE5762">
        <v>0</v>
      </c>
      <c r="AG5762">
        <v>0</v>
      </c>
    </row>
    <row r="5763" spans="31:33">
      <c r="AE5763">
        <v>0</v>
      </c>
      <c r="AG5763">
        <v>0</v>
      </c>
    </row>
    <row r="5764" spans="31:33">
      <c r="AE5764" s="31">
        <v>101744985.3</v>
      </c>
      <c r="AG5764" s="31">
        <v>86977792.370000005</v>
      </c>
    </row>
    <row r="5765" spans="31:33">
      <c r="AE5765" s="31">
        <v>-57384093.770000003</v>
      </c>
      <c r="AG5765" s="31">
        <v>-40041520.939999998</v>
      </c>
    </row>
    <row r="5766" spans="31:33">
      <c r="AE5766">
        <v>0</v>
      </c>
      <c r="AG5766">
        <v>0</v>
      </c>
    </row>
    <row r="5767" spans="31:33">
      <c r="AE5767">
        <v>0</v>
      </c>
      <c r="AG5767">
        <v>0</v>
      </c>
    </row>
    <row r="5768" spans="31:33">
      <c r="AE5768" s="31">
        <v>2178286.91</v>
      </c>
      <c r="AG5768" s="31">
        <v>2026355.25</v>
      </c>
    </row>
    <row r="5769" spans="31:33">
      <c r="AE5769" s="31">
        <v>-3025646.07</v>
      </c>
      <c r="AG5769" s="31">
        <v>-2908841.81</v>
      </c>
    </row>
    <row r="5770" spans="31:33">
      <c r="AE5770">
        <v>0</v>
      </c>
      <c r="AG5770">
        <v>0</v>
      </c>
    </row>
    <row r="5771" spans="31:33">
      <c r="AE5771">
        <v>0</v>
      </c>
      <c r="AG5771">
        <v>0</v>
      </c>
    </row>
    <row r="5772" spans="31:33">
      <c r="AE5772">
        <v>0</v>
      </c>
      <c r="AG5772">
        <v>0</v>
      </c>
    </row>
    <row r="5773" spans="31:33">
      <c r="AE5773">
        <v>0</v>
      </c>
      <c r="AG5773">
        <v>0</v>
      </c>
    </row>
    <row r="5774" spans="31:33">
      <c r="AE5774">
        <v>0</v>
      </c>
      <c r="AG5774">
        <v>0</v>
      </c>
    </row>
    <row r="5775" spans="31:33">
      <c r="AE5775">
        <v>0</v>
      </c>
      <c r="AG5775">
        <v>0</v>
      </c>
    </row>
    <row r="5776" spans="31:33">
      <c r="AE5776" s="31">
        <v>30572411.329999998</v>
      </c>
      <c r="AG5776" s="31">
        <v>30949650.57</v>
      </c>
    </row>
    <row r="5777" spans="31:33">
      <c r="AE5777" s="31">
        <v>-29068349.449999999</v>
      </c>
      <c r="AG5777" s="31">
        <v>-29706195.879999999</v>
      </c>
    </row>
    <row r="5778" spans="31:33">
      <c r="AE5778">
        <v>0</v>
      </c>
      <c r="AG5778">
        <v>0</v>
      </c>
    </row>
    <row r="5779" spans="31:33">
      <c r="AE5779">
        <v>0</v>
      </c>
      <c r="AG5779">
        <v>0</v>
      </c>
    </row>
    <row r="5780" spans="31:33">
      <c r="AE5780" s="31">
        <v>877800.72</v>
      </c>
      <c r="AG5780" s="31">
        <v>1277790.45</v>
      </c>
    </row>
    <row r="5781" spans="31:33">
      <c r="AE5781" s="31">
        <v>-762778.11</v>
      </c>
      <c r="AG5781" s="31">
        <v>-1079765.3799999999</v>
      </c>
    </row>
    <row r="5782" spans="31:33">
      <c r="AE5782">
        <v>0</v>
      </c>
      <c r="AG5782">
        <v>0</v>
      </c>
    </row>
    <row r="5783" spans="31:33">
      <c r="AE5783">
        <v>0</v>
      </c>
      <c r="AG5783">
        <v>0</v>
      </c>
    </row>
    <row r="5784" spans="31:33">
      <c r="AE5784">
        <v>0</v>
      </c>
      <c r="AG5784">
        <v>0</v>
      </c>
    </row>
    <row r="5785" spans="31:33">
      <c r="AE5785">
        <v>0</v>
      </c>
      <c r="AG5785">
        <v>0</v>
      </c>
    </row>
    <row r="5786" spans="31:33">
      <c r="AE5786">
        <v>0</v>
      </c>
      <c r="AG5786">
        <v>0</v>
      </c>
    </row>
    <row r="5787" spans="31:33">
      <c r="AE5787">
        <v>0</v>
      </c>
      <c r="AG5787">
        <v>0</v>
      </c>
    </row>
    <row r="5788" spans="31:33">
      <c r="AE5788" s="31">
        <v>6782615.5300000003</v>
      </c>
      <c r="AG5788" s="31">
        <v>7162575.2300000004</v>
      </c>
    </row>
    <row r="5789" spans="31:33">
      <c r="AE5789" s="31">
        <v>-6700718.1799999997</v>
      </c>
      <c r="AG5789" s="31">
        <v>-10137109.65</v>
      </c>
    </row>
    <row r="5790" spans="31:33">
      <c r="AE5790">
        <v>0</v>
      </c>
      <c r="AG5790">
        <v>0</v>
      </c>
    </row>
    <row r="5791" spans="31:33">
      <c r="AE5791">
        <v>0</v>
      </c>
      <c r="AG5791">
        <v>0</v>
      </c>
    </row>
    <row r="5792" spans="31:33">
      <c r="AE5792" s="31">
        <v>569741.28</v>
      </c>
      <c r="AG5792" s="31">
        <v>405890.31</v>
      </c>
    </row>
    <row r="5793" spans="31:33">
      <c r="AE5793" s="31">
        <v>-53732.79</v>
      </c>
      <c r="AG5793" s="31">
        <v>-120860.57</v>
      </c>
    </row>
    <row r="5794" spans="31:33">
      <c r="AE5794">
        <v>0</v>
      </c>
      <c r="AG5794">
        <v>0</v>
      </c>
    </row>
    <row r="5795" spans="31:33">
      <c r="AE5795">
        <v>0</v>
      </c>
      <c r="AG5795">
        <v>0</v>
      </c>
    </row>
    <row r="5796" spans="31:33">
      <c r="AE5796" s="31">
        <v>12367196.91</v>
      </c>
      <c r="AG5796" s="31">
        <v>20264805.760000002</v>
      </c>
    </row>
    <row r="5797" spans="31:33">
      <c r="AE5797" s="31">
        <v>-110763.06</v>
      </c>
      <c r="AG5797" s="31">
        <v>-474087.3</v>
      </c>
    </row>
    <row r="5798" spans="31:33">
      <c r="AE5798">
        <v>0</v>
      </c>
      <c r="AG5798">
        <v>0</v>
      </c>
    </row>
    <row r="5799" spans="31:33">
      <c r="AE5799">
        <v>0</v>
      </c>
      <c r="AG5799">
        <v>0</v>
      </c>
    </row>
    <row r="5800" spans="31:33">
      <c r="AE5800" s="31">
        <v>-53620</v>
      </c>
      <c r="AG5800">
        <v>0</v>
      </c>
    </row>
    <row r="5801" spans="31:33">
      <c r="AE5801">
        <v>0</v>
      </c>
      <c r="AG5801">
        <v>0</v>
      </c>
    </row>
    <row r="5802" spans="31:33">
      <c r="AE5802">
        <v>0</v>
      </c>
      <c r="AG5802">
        <v>0</v>
      </c>
    </row>
    <row r="5803" spans="31:33">
      <c r="AE5803">
        <v>0</v>
      </c>
      <c r="AG5803">
        <v>0</v>
      </c>
    </row>
    <row r="5804" spans="31:33">
      <c r="AE5804" s="31">
        <v>3714980.95</v>
      </c>
      <c r="AG5804" s="31">
        <v>5948303.4900000002</v>
      </c>
    </row>
    <row r="5805" spans="31:33">
      <c r="AE5805" s="31">
        <v>-3734441.47</v>
      </c>
      <c r="AG5805" s="31">
        <v>-5981258.0199999996</v>
      </c>
    </row>
    <row r="5806" spans="31:33">
      <c r="AE5806">
        <v>0</v>
      </c>
      <c r="AG5806">
        <v>0</v>
      </c>
    </row>
    <row r="5807" spans="31:33">
      <c r="AE5807">
        <v>0</v>
      </c>
      <c r="AG5807">
        <v>0</v>
      </c>
    </row>
    <row r="5808" spans="31:33">
      <c r="AE5808">
        <v>0</v>
      </c>
      <c r="AG5808">
        <v>0</v>
      </c>
    </row>
    <row r="5809" spans="31:33">
      <c r="AE5809">
        <v>0</v>
      </c>
      <c r="AG5809">
        <v>0</v>
      </c>
    </row>
    <row r="5810" spans="31:33">
      <c r="AE5810">
        <v>0</v>
      </c>
      <c r="AG5810">
        <v>0</v>
      </c>
    </row>
    <row r="5811" spans="31:33">
      <c r="AE5811">
        <v>0</v>
      </c>
      <c r="AG5811">
        <v>0</v>
      </c>
    </row>
    <row r="5812" spans="31:33">
      <c r="AE5812">
        <v>0</v>
      </c>
      <c r="AG5812">
        <v>0</v>
      </c>
    </row>
    <row r="5813" spans="31:33">
      <c r="AE5813">
        <v>0</v>
      </c>
      <c r="AG5813">
        <v>0</v>
      </c>
    </row>
    <row r="5814" spans="31:33">
      <c r="AE5814">
        <v>0</v>
      </c>
      <c r="AG5814">
        <v>0</v>
      </c>
    </row>
    <row r="5815" spans="31:33">
      <c r="AE5815">
        <v>0</v>
      </c>
      <c r="AG5815">
        <v>0</v>
      </c>
    </row>
    <row r="5816" spans="31:33">
      <c r="AE5816" s="31">
        <v>394608.36</v>
      </c>
      <c r="AG5816" s="31">
        <v>335163.05</v>
      </c>
    </row>
    <row r="5817" spans="31:33">
      <c r="AE5817">
        <v>0</v>
      </c>
      <c r="AG5817">
        <v>0</v>
      </c>
    </row>
    <row r="5818" spans="31:33">
      <c r="AE5818">
        <v>0</v>
      </c>
      <c r="AG5818">
        <v>0</v>
      </c>
    </row>
    <row r="5819" spans="31:33">
      <c r="AE5819">
        <v>0</v>
      </c>
      <c r="AG5819">
        <v>0</v>
      </c>
    </row>
    <row r="5820" spans="31:33">
      <c r="AE5820">
        <v>0</v>
      </c>
      <c r="AG5820">
        <v>0</v>
      </c>
    </row>
    <row r="5821" spans="31:33">
      <c r="AE5821">
        <v>0</v>
      </c>
      <c r="AG5821">
        <v>0</v>
      </c>
    </row>
    <row r="5822" spans="31:33">
      <c r="AE5822">
        <v>0</v>
      </c>
      <c r="AG5822">
        <v>0</v>
      </c>
    </row>
    <row r="5823" spans="31:33">
      <c r="AE5823">
        <v>0</v>
      </c>
      <c r="AG5823">
        <v>0</v>
      </c>
    </row>
    <row r="5824" spans="31:33">
      <c r="AE5824">
        <v>0</v>
      </c>
      <c r="AG5824">
        <v>0</v>
      </c>
    </row>
    <row r="5825" spans="31:33">
      <c r="AE5825">
        <v>0</v>
      </c>
      <c r="AG5825">
        <v>0</v>
      </c>
    </row>
    <row r="5826" spans="31:33">
      <c r="AE5826">
        <v>0</v>
      </c>
      <c r="AG5826">
        <v>0</v>
      </c>
    </row>
    <row r="5827" spans="31:33">
      <c r="AE5827">
        <v>0</v>
      </c>
      <c r="AG5827">
        <v>0</v>
      </c>
    </row>
    <row r="5828" spans="31:33">
      <c r="AE5828" s="31">
        <v>51535.62</v>
      </c>
      <c r="AG5828" s="31">
        <v>71105.3</v>
      </c>
    </row>
    <row r="5829" spans="31:33">
      <c r="AE5829">
        <v>0</v>
      </c>
      <c r="AG5829">
        <v>190.46</v>
      </c>
    </row>
    <row r="5830" spans="31:33">
      <c r="AE5830" s="31">
        <v>-49555.839999999997</v>
      </c>
      <c r="AG5830" s="31">
        <v>-59740.59</v>
      </c>
    </row>
    <row r="5831" spans="31:33">
      <c r="AE5831">
        <v>0</v>
      </c>
      <c r="AG5831">
        <v>0</v>
      </c>
    </row>
    <row r="5832" spans="31:33">
      <c r="AE5832">
        <v>0</v>
      </c>
      <c r="AG5832">
        <v>0</v>
      </c>
    </row>
    <row r="5833" spans="31:33">
      <c r="AE5833">
        <v>0</v>
      </c>
      <c r="AG5833">
        <v>0</v>
      </c>
    </row>
    <row r="5834" spans="31:33">
      <c r="AE5834">
        <v>0</v>
      </c>
      <c r="AG5834">
        <v>0</v>
      </c>
    </row>
    <row r="5835" spans="31:33">
      <c r="AE5835">
        <v>0</v>
      </c>
      <c r="AG5835">
        <v>0</v>
      </c>
    </row>
    <row r="5836" spans="31:33">
      <c r="AE5836">
        <v>0</v>
      </c>
      <c r="AG5836">
        <v>0</v>
      </c>
    </row>
    <row r="5837" spans="31:33">
      <c r="AE5837">
        <v>0</v>
      </c>
      <c r="AG5837">
        <v>0</v>
      </c>
    </row>
    <row r="5838" spans="31:33">
      <c r="AE5838">
        <v>0</v>
      </c>
      <c r="AG5838">
        <v>0</v>
      </c>
    </row>
    <row r="5839" spans="31:33">
      <c r="AE5839">
        <v>0</v>
      </c>
      <c r="AG5839">
        <v>0</v>
      </c>
    </row>
    <row r="5840" spans="31:33">
      <c r="AE5840">
        <v>0</v>
      </c>
      <c r="AG5840">
        <v>0</v>
      </c>
    </row>
    <row r="5841" spans="31:33">
      <c r="AE5841" s="31">
        <v>234641.89</v>
      </c>
      <c r="AG5841" s="31">
        <v>340294.25</v>
      </c>
    </row>
    <row r="5842" spans="31:33">
      <c r="AE5842" s="31">
        <v>-110746.02</v>
      </c>
      <c r="AG5842" s="31">
        <v>-229721.24</v>
      </c>
    </row>
    <row r="5843" spans="31:33">
      <c r="AE5843">
        <v>0</v>
      </c>
      <c r="AG5843">
        <v>0</v>
      </c>
    </row>
    <row r="5844" spans="31:33">
      <c r="AE5844">
        <v>0</v>
      </c>
      <c r="AG5844">
        <v>0</v>
      </c>
    </row>
    <row r="5845" spans="31:33">
      <c r="AE5845">
        <v>0</v>
      </c>
      <c r="AG5845">
        <v>0</v>
      </c>
    </row>
    <row r="5846" spans="31:33">
      <c r="AE5846">
        <v>0</v>
      </c>
      <c r="AG5846" s="31">
        <v>-22139.87</v>
      </c>
    </row>
    <row r="5847" spans="31:33">
      <c r="AE5847">
        <v>0</v>
      </c>
      <c r="AG5847">
        <v>0</v>
      </c>
    </row>
    <row r="5848" spans="31:33">
      <c r="AE5848">
        <v>0</v>
      </c>
      <c r="AG5848">
        <v>0</v>
      </c>
    </row>
    <row r="5849" spans="31:33">
      <c r="AE5849" s="31">
        <v>486231.02</v>
      </c>
      <c r="AG5849" s="31">
        <v>2078682.76</v>
      </c>
    </row>
    <row r="5850" spans="31:33">
      <c r="AE5850" s="31">
        <v>662872.61</v>
      </c>
      <c r="AG5850" s="31">
        <v>-1244487.7</v>
      </c>
    </row>
    <row r="5851" spans="31:33">
      <c r="AE5851">
        <v>0</v>
      </c>
      <c r="AG5851">
        <v>0</v>
      </c>
    </row>
    <row r="5852" spans="31:33">
      <c r="AE5852">
        <v>0</v>
      </c>
      <c r="AG5852">
        <v>0</v>
      </c>
    </row>
    <row r="5853" spans="31:33">
      <c r="AE5853" s="31">
        <v>-304508.63</v>
      </c>
      <c r="AG5853" s="31">
        <v>-533115.38</v>
      </c>
    </row>
    <row r="5854" spans="31:33">
      <c r="AE5854" s="31">
        <v>284443.5</v>
      </c>
      <c r="AG5854" s="31">
        <v>508146.69</v>
      </c>
    </row>
    <row r="5855" spans="31:33">
      <c r="AE5855">
        <v>0</v>
      </c>
      <c r="AG5855">
        <v>0</v>
      </c>
    </row>
    <row r="5856" spans="31:33">
      <c r="AE5856">
        <v>0</v>
      </c>
      <c r="AG5856">
        <v>0</v>
      </c>
    </row>
    <row r="5857" spans="31:33">
      <c r="AE5857">
        <v>0</v>
      </c>
      <c r="AG5857">
        <v>0</v>
      </c>
    </row>
    <row r="5858" spans="31:33">
      <c r="AE5858">
        <v>0</v>
      </c>
      <c r="AG5858">
        <v>0</v>
      </c>
    </row>
    <row r="5859" spans="31:33">
      <c r="AE5859">
        <v>0</v>
      </c>
      <c r="AG5859">
        <v>0</v>
      </c>
    </row>
    <row r="5860" spans="31:33">
      <c r="AE5860">
        <v>0</v>
      </c>
      <c r="AG5860">
        <v>0</v>
      </c>
    </row>
    <row r="5861" spans="31:33">
      <c r="AE5861">
        <v>0</v>
      </c>
      <c r="AG5861">
        <v>0</v>
      </c>
    </row>
    <row r="5862" spans="31:33">
      <c r="AE5862">
        <v>0</v>
      </c>
      <c r="AG5862">
        <v>0</v>
      </c>
    </row>
    <row r="5863" spans="31:33">
      <c r="AE5863">
        <v>0</v>
      </c>
      <c r="AG5863">
        <v>0</v>
      </c>
    </row>
    <row r="5864" spans="31:33">
      <c r="AE5864">
        <v>0</v>
      </c>
      <c r="AG5864">
        <v>0</v>
      </c>
    </row>
    <row r="5865" spans="31:33">
      <c r="AE5865" s="31">
        <v>44097.15</v>
      </c>
      <c r="AG5865" s="31">
        <v>7000</v>
      </c>
    </row>
    <row r="5866" spans="31:33">
      <c r="AE5866">
        <v>0</v>
      </c>
      <c r="AG5866">
        <v>0</v>
      </c>
    </row>
    <row r="5867" spans="31:33">
      <c r="AE5867">
        <v>0</v>
      </c>
      <c r="AG5867">
        <v>0</v>
      </c>
    </row>
    <row r="5868" spans="31:33">
      <c r="AE5868">
        <v>0</v>
      </c>
      <c r="AG5868">
        <v>0</v>
      </c>
    </row>
    <row r="5869" spans="31:33">
      <c r="AE5869" s="31">
        <v>26840.31</v>
      </c>
      <c r="AG5869" s="31">
        <v>53496.99</v>
      </c>
    </row>
    <row r="5870" spans="31:33">
      <c r="AE5870">
        <v>0</v>
      </c>
      <c r="AG5870">
        <v>57.1</v>
      </c>
    </row>
    <row r="5871" spans="31:33">
      <c r="AE5871" s="31">
        <v>-17327.3</v>
      </c>
      <c r="AG5871" s="31">
        <v>-31349.87</v>
      </c>
    </row>
    <row r="5872" spans="31:33">
      <c r="AE5872">
        <v>0</v>
      </c>
      <c r="AG5872">
        <v>0</v>
      </c>
    </row>
    <row r="5873" spans="31:33">
      <c r="AE5873">
        <v>0</v>
      </c>
      <c r="AG5873">
        <v>0</v>
      </c>
    </row>
    <row r="5874" spans="31:33">
      <c r="AE5874" s="31">
        <v>86148.28</v>
      </c>
      <c r="AG5874" s="31">
        <v>54722.03</v>
      </c>
    </row>
    <row r="5875" spans="31:33">
      <c r="AE5875" s="31">
        <v>-5964.5</v>
      </c>
      <c r="AG5875" s="31">
        <v>-4749.6099999999997</v>
      </c>
    </row>
    <row r="5876" spans="31:33">
      <c r="AE5876">
        <v>0</v>
      </c>
      <c r="AG5876">
        <v>0</v>
      </c>
    </row>
    <row r="5877" spans="31:33">
      <c r="AE5877">
        <v>0</v>
      </c>
      <c r="AG5877">
        <v>0</v>
      </c>
    </row>
    <row r="5878" spans="31:33">
      <c r="AE5878" s="31">
        <v>145571.68</v>
      </c>
      <c r="AG5878" s="31">
        <v>89256.97</v>
      </c>
    </row>
    <row r="5879" spans="31:33">
      <c r="AE5879" s="31">
        <v>-133560.4</v>
      </c>
      <c r="AG5879" s="31">
        <v>-44292.78</v>
      </c>
    </row>
    <row r="5880" spans="31:33">
      <c r="AE5880">
        <v>0</v>
      </c>
      <c r="AG5880">
        <v>0</v>
      </c>
    </row>
    <row r="5881" spans="31:33">
      <c r="AE5881">
        <v>0</v>
      </c>
      <c r="AG5881">
        <v>0</v>
      </c>
    </row>
    <row r="5882" spans="31:33">
      <c r="AE5882">
        <v>0</v>
      </c>
      <c r="AG5882">
        <v>513.4</v>
      </c>
    </row>
    <row r="5883" spans="31:33">
      <c r="AE5883">
        <v>0</v>
      </c>
      <c r="AG5883">
        <v>0</v>
      </c>
    </row>
    <row r="5884" spans="31:33">
      <c r="AE5884">
        <v>0</v>
      </c>
      <c r="AG5884">
        <v>0</v>
      </c>
    </row>
    <row r="5885" spans="31:33">
      <c r="AE5885">
        <v>0</v>
      </c>
      <c r="AG5885">
        <v>0</v>
      </c>
    </row>
    <row r="5886" spans="31:33">
      <c r="AE5886" s="31">
        <v>47040.76</v>
      </c>
      <c r="AG5886" s="31">
        <v>-59382.6</v>
      </c>
    </row>
    <row r="5887" spans="31:33">
      <c r="AE5887">
        <v>0</v>
      </c>
      <c r="AG5887">
        <v>0</v>
      </c>
    </row>
    <row r="5888" spans="31:33">
      <c r="AE5888">
        <v>0</v>
      </c>
      <c r="AG5888">
        <v>0</v>
      </c>
    </row>
    <row r="5889" spans="31:33">
      <c r="AE5889">
        <v>0</v>
      </c>
      <c r="AG5889">
        <v>0</v>
      </c>
    </row>
    <row r="5890" spans="31:33">
      <c r="AE5890">
        <v>0</v>
      </c>
      <c r="AG5890">
        <v>0</v>
      </c>
    </row>
    <row r="5891" spans="31:33">
      <c r="AE5891">
        <v>-105.48</v>
      </c>
      <c r="AG5891">
        <v>-236.8</v>
      </c>
    </row>
    <row r="5892" spans="31:33">
      <c r="AE5892">
        <v>0</v>
      </c>
      <c r="AG5892">
        <v>0</v>
      </c>
    </row>
    <row r="5893" spans="31:33">
      <c r="AE5893">
        <v>0</v>
      </c>
      <c r="AG5893">
        <v>0</v>
      </c>
    </row>
    <row r="5894" spans="31:33">
      <c r="AE5894">
        <v>400</v>
      </c>
      <c r="AG5894" s="31">
        <v>2802.4</v>
      </c>
    </row>
    <row r="5895" spans="31:33">
      <c r="AE5895">
        <v>-400</v>
      </c>
      <c r="AG5895" s="31">
        <v>-2802.4</v>
      </c>
    </row>
    <row r="5896" spans="31:33">
      <c r="AE5896">
        <v>0</v>
      </c>
      <c r="AG5896">
        <v>0</v>
      </c>
    </row>
    <row r="5897" spans="31:33">
      <c r="AE5897">
        <v>0</v>
      </c>
      <c r="AG5897">
        <v>0</v>
      </c>
    </row>
    <row r="5898" spans="31:33">
      <c r="AE5898" s="31">
        <v>580805.99</v>
      </c>
      <c r="AG5898" s="31">
        <v>638767.30000000005</v>
      </c>
    </row>
    <row r="5899" spans="31:33">
      <c r="AE5899" s="31">
        <v>-474152.75</v>
      </c>
      <c r="AG5899" s="31">
        <v>-473445.28</v>
      </c>
    </row>
    <row r="5900" spans="31:33">
      <c r="AE5900">
        <v>0</v>
      </c>
      <c r="AG5900">
        <v>0</v>
      </c>
    </row>
    <row r="5901" spans="31:33">
      <c r="AE5901">
        <v>0</v>
      </c>
      <c r="AG5901">
        <v>0</v>
      </c>
    </row>
    <row r="5902" spans="31:33">
      <c r="AE5902">
        <v>0</v>
      </c>
      <c r="AG5902">
        <v>0</v>
      </c>
    </row>
    <row r="5903" spans="31:33">
      <c r="AE5903">
        <v>0</v>
      </c>
      <c r="AG5903">
        <v>0</v>
      </c>
    </row>
    <row r="5904" spans="31:33">
      <c r="AE5904">
        <v>0</v>
      </c>
      <c r="AG5904">
        <v>0</v>
      </c>
    </row>
    <row r="5905" spans="31:33">
      <c r="AE5905">
        <v>0</v>
      </c>
      <c r="AG5905">
        <v>0</v>
      </c>
    </row>
    <row r="5906" spans="31:33">
      <c r="AE5906" s="31">
        <v>2767.11</v>
      </c>
      <c r="AG5906" s="31">
        <v>1690.14</v>
      </c>
    </row>
    <row r="5907" spans="31:33">
      <c r="AE5907">
        <v>-748.17</v>
      </c>
      <c r="AG5907" s="31">
        <v>13803.3</v>
      </c>
    </row>
    <row r="5908" spans="31:33">
      <c r="AE5908">
        <v>0</v>
      </c>
      <c r="AG5908">
        <v>0</v>
      </c>
    </row>
    <row r="5909" spans="31:33">
      <c r="AE5909">
        <v>0</v>
      </c>
      <c r="AG5909">
        <v>0</v>
      </c>
    </row>
    <row r="5910" spans="31:33">
      <c r="AE5910" s="31">
        <v>-4201.7</v>
      </c>
      <c r="AG5910" s="31">
        <v>-7119</v>
      </c>
    </row>
    <row r="5911" spans="31:33">
      <c r="AE5911" s="31">
        <v>6522.51</v>
      </c>
      <c r="AG5911" s="31">
        <v>21111.32</v>
      </c>
    </row>
    <row r="5912" spans="31:33">
      <c r="AE5912">
        <v>0</v>
      </c>
      <c r="AG5912">
        <v>0</v>
      </c>
    </row>
    <row r="5913" spans="31:33">
      <c r="AE5913">
        <v>0</v>
      </c>
      <c r="AG5913">
        <v>0</v>
      </c>
    </row>
    <row r="5914" spans="31:33">
      <c r="AE5914" s="31">
        <v>1117226.72</v>
      </c>
      <c r="AG5914" s="31">
        <v>274914.44</v>
      </c>
    </row>
    <row r="5915" spans="31:33">
      <c r="AE5915">
        <v>0</v>
      </c>
      <c r="AG5915">
        <v>0</v>
      </c>
    </row>
    <row r="5916" spans="31:33">
      <c r="AE5916">
        <v>0</v>
      </c>
      <c r="AG5916">
        <v>0</v>
      </c>
    </row>
    <row r="5917" spans="31:33">
      <c r="AE5917">
        <v>0</v>
      </c>
      <c r="AG5917">
        <v>0</v>
      </c>
    </row>
    <row r="5918" spans="31:33">
      <c r="AE5918">
        <v>0</v>
      </c>
      <c r="AG5918">
        <v>0</v>
      </c>
    </row>
    <row r="5919" spans="31:33">
      <c r="AE5919">
        <v>0</v>
      </c>
      <c r="AG5919">
        <v>0</v>
      </c>
    </row>
    <row r="5920" spans="31:33">
      <c r="AE5920">
        <v>0</v>
      </c>
      <c r="AG5920">
        <v>0</v>
      </c>
    </row>
    <row r="5921" spans="31:33">
      <c r="AE5921">
        <v>0</v>
      </c>
      <c r="AG5921">
        <v>0</v>
      </c>
    </row>
    <row r="5922" spans="31:33">
      <c r="AE5922" s="31">
        <v>88271.69</v>
      </c>
      <c r="AG5922" s="31">
        <v>117369.38</v>
      </c>
    </row>
    <row r="5923" spans="31:33">
      <c r="AE5923" s="31">
        <v>-49930.12</v>
      </c>
      <c r="AG5923" s="31">
        <v>-85111.57</v>
      </c>
    </row>
    <row r="5924" spans="31:33">
      <c r="AE5924">
        <v>0</v>
      </c>
      <c r="AG5924">
        <v>0</v>
      </c>
    </row>
    <row r="5925" spans="31:33">
      <c r="AE5925">
        <v>0</v>
      </c>
      <c r="AG5925">
        <v>0</v>
      </c>
    </row>
    <row r="5926" spans="31:33">
      <c r="AE5926">
        <v>0</v>
      </c>
      <c r="AG5926">
        <v>0</v>
      </c>
    </row>
    <row r="5927" spans="31:33">
      <c r="AE5927">
        <v>0</v>
      </c>
      <c r="AG5927">
        <v>0</v>
      </c>
    </row>
    <row r="5928" spans="31:33">
      <c r="AE5928">
        <v>0</v>
      </c>
      <c r="AG5928">
        <v>0</v>
      </c>
    </row>
    <row r="5929" spans="31:33">
      <c r="AE5929">
        <v>0</v>
      </c>
      <c r="AG5929">
        <v>0</v>
      </c>
    </row>
    <row r="5930" spans="31:33">
      <c r="AE5930" s="31">
        <v>7437928.1100000003</v>
      </c>
      <c r="AG5930" s="31">
        <v>7659081.3399999999</v>
      </c>
    </row>
    <row r="5931" spans="31:33">
      <c r="AE5931">
        <v>0</v>
      </c>
      <c r="AG5931">
        <v>0</v>
      </c>
    </row>
    <row r="5932" spans="31:33">
      <c r="AE5932">
        <v>0</v>
      </c>
      <c r="AG5932">
        <v>0</v>
      </c>
    </row>
    <row r="5933" spans="31:33">
      <c r="AE5933">
        <v>0</v>
      </c>
      <c r="AG5933">
        <v>0</v>
      </c>
    </row>
    <row r="5934" spans="31:33">
      <c r="AE5934">
        <v>0</v>
      </c>
      <c r="AG5934">
        <v>0</v>
      </c>
    </row>
    <row r="5935" spans="31:33">
      <c r="AE5935">
        <v>0</v>
      </c>
      <c r="AG5935">
        <v>0</v>
      </c>
    </row>
    <row r="5936" spans="31:33">
      <c r="AE5936">
        <v>0</v>
      </c>
      <c r="AG5936">
        <v>0</v>
      </c>
    </row>
    <row r="5937" spans="31:33">
      <c r="AE5937">
        <v>0</v>
      </c>
      <c r="AG5937">
        <v>0</v>
      </c>
    </row>
    <row r="5938" spans="31:33">
      <c r="AE5938">
        <v>0</v>
      </c>
      <c r="AG5938">
        <v>0</v>
      </c>
    </row>
    <row r="5939" spans="31:33">
      <c r="AE5939">
        <v>0</v>
      </c>
      <c r="AG5939">
        <v>0</v>
      </c>
    </row>
    <row r="5940" spans="31:33">
      <c r="AE5940">
        <v>0</v>
      </c>
      <c r="AG5940">
        <v>0</v>
      </c>
    </row>
    <row r="5941" spans="31:33">
      <c r="AE5941">
        <v>0</v>
      </c>
      <c r="AG5941">
        <v>0</v>
      </c>
    </row>
    <row r="5942" spans="31:33">
      <c r="AE5942" s="31">
        <v>-148531.63</v>
      </c>
      <c r="AG5942">
        <v>0</v>
      </c>
    </row>
    <row r="5943" spans="31:33">
      <c r="AE5943" s="31">
        <v>164319.54999999999</v>
      </c>
      <c r="AG5943">
        <v>156.47999999999999</v>
      </c>
    </row>
    <row r="5944" spans="31:33">
      <c r="AE5944">
        <v>0</v>
      </c>
      <c r="AG5944">
        <v>0</v>
      </c>
    </row>
    <row r="5945" spans="31:33">
      <c r="AE5945">
        <v>0</v>
      </c>
      <c r="AG5945">
        <v>0</v>
      </c>
    </row>
    <row r="5946" spans="31:33">
      <c r="AE5946">
        <v>0</v>
      </c>
      <c r="AG5946">
        <v>0</v>
      </c>
    </row>
    <row r="5947" spans="31:33">
      <c r="AE5947">
        <v>0</v>
      </c>
      <c r="AG5947">
        <v>0</v>
      </c>
    </row>
    <row r="5948" spans="31:33">
      <c r="AE5948">
        <v>0</v>
      </c>
      <c r="AG5948">
        <v>0</v>
      </c>
    </row>
    <row r="5949" spans="31:33">
      <c r="AE5949">
        <v>0</v>
      </c>
      <c r="AG5949">
        <v>0</v>
      </c>
    </row>
    <row r="5950" spans="31:33">
      <c r="AE5950">
        <v>0</v>
      </c>
      <c r="AG5950">
        <v>0</v>
      </c>
    </row>
    <row r="5951" spans="31:33">
      <c r="AE5951">
        <v>0</v>
      </c>
      <c r="AG5951">
        <v>0</v>
      </c>
    </row>
    <row r="5952" spans="31:33">
      <c r="AE5952">
        <v>0</v>
      </c>
      <c r="AG5952">
        <v>0</v>
      </c>
    </row>
    <row r="5953" spans="31:33">
      <c r="AE5953">
        <v>0</v>
      </c>
      <c r="AG5953">
        <v>0</v>
      </c>
    </row>
    <row r="5954" spans="31:33">
      <c r="AE5954">
        <v>0</v>
      </c>
      <c r="AG5954">
        <v>0</v>
      </c>
    </row>
    <row r="5955" spans="31:33">
      <c r="AE5955">
        <v>0</v>
      </c>
      <c r="AG5955">
        <v>0</v>
      </c>
    </row>
    <row r="5956" spans="31:33">
      <c r="AE5956">
        <v>0</v>
      </c>
      <c r="AG5956">
        <v>0</v>
      </c>
    </row>
    <row r="5957" spans="31:33">
      <c r="AE5957">
        <v>0</v>
      </c>
      <c r="AG5957">
        <v>0</v>
      </c>
    </row>
    <row r="5958" spans="31:33">
      <c r="AE5958" s="31">
        <v>1804.9</v>
      </c>
      <c r="AG5958" s="31">
        <v>1872.24</v>
      </c>
    </row>
    <row r="5959" spans="31:33">
      <c r="AE5959" s="31">
        <v>25640.21</v>
      </c>
      <c r="AG5959" s="31">
        <v>-2274.02</v>
      </c>
    </row>
    <row r="5960" spans="31:33">
      <c r="AE5960">
        <v>0</v>
      </c>
      <c r="AG5960">
        <v>0</v>
      </c>
    </row>
    <row r="5961" spans="31:33">
      <c r="AE5961">
        <v>0</v>
      </c>
      <c r="AG5961">
        <v>0</v>
      </c>
    </row>
    <row r="5962" spans="31:33">
      <c r="AE5962">
        <v>0</v>
      </c>
      <c r="AG5962">
        <v>0</v>
      </c>
    </row>
    <row r="5963" spans="31:33">
      <c r="AE5963">
        <v>0</v>
      </c>
      <c r="AG5963">
        <v>0</v>
      </c>
    </row>
    <row r="5964" spans="31:33">
      <c r="AE5964">
        <v>0</v>
      </c>
      <c r="AG5964">
        <v>0</v>
      </c>
    </row>
    <row r="5965" spans="31:33">
      <c r="AE5965">
        <v>0</v>
      </c>
      <c r="AG5965">
        <v>0</v>
      </c>
    </row>
    <row r="5966" spans="31:33">
      <c r="AE5966">
        <v>0</v>
      </c>
      <c r="AG5966">
        <v>0</v>
      </c>
    </row>
    <row r="5967" spans="31:33">
      <c r="AE5967">
        <v>0</v>
      </c>
      <c r="AG5967">
        <v>0</v>
      </c>
    </row>
    <row r="5968" spans="31:33">
      <c r="AE5968">
        <v>0</v>
      </c>
      <c r="AG5968">
        <v>0</v>
      </c>
    </row>
    <row r="5969" spans="31:33">
      <c r="AE5969">
        <v>0</v>
      </c>
      <c r="AG5969">
        <v>0</v>
      </c>
    </row>
    <row r="5970" spans="31:33">
      <c r="AE5970">
        <v>0</v>
      </c>
      <c r="AG5970">
        <v>0</v>
      </c>
    </row>
    <row r="5971" spans="31:33">
      <c r="AE5971" s="31">
        <v>-3531959.72</v>
      </c>
      <c r="AG5971" s="31">
        <v>-4301071.07</v>
      </c>
    </row>
    <row r="5972" spans="31:33">
      <c r="AE5972">
        <v>0</v>
      </c>
      <c r="AG5972">
        <v>0</v>
      </c>
    </row>
    <row r="5973" spans="31:33">
      <c r="AE5973">
        <v>0</v>
      </c>
      <c r="AG5973">
        <v>0</v>
      </c>
    </row>
    <row r="5974" spans="31:33">
      <c r="AE5974" s="31">
        <v>-12128.58</v>
      </c>
      <c r="AG5974" s="31">
        <v>-10649.04</v>
      </c>
    </row>
    <row r="5975" spans="31:33">
      <c r="AE5975" s="31">
        <v>-298782.8</v>
      </c>
      <c r="AG5975" s="31">
        <v>-240495.2</v>
      </c>
    </row>
    <row r="5976" spans="31:33">
      <c r="AE5976">
        <v>0</v>
      </c>
      <c r="AG5976">
        <v>0</v>
      </c>
    </row>
    <row r="5977" spans="31:33">
      <c r="AE5977">
        <v>0</v>
      </c>
      <c r="AG5977">
        <v>0</v>
      </c>
    </row>
    <row r="5978" spans="31:33">
      <c r="AE5978">
        <v>0</v>
      </c>
      <c r="AG5978">
        <v>0</v>
      </c>
    </row>
    <row r="5979" spans="31:33">
      <c r="AE5979">
        <v>0</v>
      </c>
      <c r="AG5979">
        <v>0</v>
      </c>
    </row>
    <row r="5980" spans="31:33">
      <c r="AE5980">
        <v>0</v>
      </c>
      <c r="AG5980">
        <v>0</v>
      </c>
    </row>
    <row r="5981" spans="31:33">
      <c r="AE5981">
        <v>0</v>
      </c>
      <c r="AG5981">
        <v>0</v>
      </c>
    </row>
    <row r="5982" spans="31:33">
      <c r="AE5982" s="31">
        <v>15000</v>
      </c>
      <c r="AG5982">
        <v>0</v>
      </c>
    </row>
    <row r="5983" spans="31:33">
      <c r="AE5983">
        <v>-11.41</v>
      </c>
      <c r="AG5983">
        <v>0</v>
      </c>
    </row>
    <row r="5984" spans="31:33">
      <c r="AE5984">
        <v>0</v>
      </c>
      <c r="AG5984">
        <v>0</v>
      </c>
    </row>
    <row r="5985" spans="31:33">
      <c r="AE5985">
        <v>0</v>
      </c>
      <c r="AG5985">
        <v>0</v>
      </c>
    </row>
    <row r="5986" spans="31:33">
      <c r="AE5986">
        <v>0</v>
      </c>
      <c r="AG5986">
        <v>0</v>
      </c>
    </row>
    <row r="5987" spans="31:33">
      <c r="AE5987">
        <v>0</v>
      </c>
      <c r="AG5987">
        <v>0</v>
      </c>
    </row>
    <row r="5988" spans="31:33">
      <c r="AE5988">
        <v>0</v>
      </c>
      <c r="AG5988">
        <v>0</v>
      </c>
    </row>
    <row r="5989" spans="31:33">
      <c r="AE5989">
        <v>0</v>
      </c>
      <c r="AG5989">
        <v>0</v>
      </c>
    </row>
    <row r="5990" spans="31:33">
      <c r="AE5990">
        <v>0</v>
      </c>
      <c r="AG5990">
        <v>0</v>
      </c>
    </row>
    <row r="5991" spans="31:33">
      <c r="AE5991">
        <v>0</v>
      </c>
      <c r="AG5991">
        <v>0</v>
      </c>
    </row>
    <row r="5992" spans="31:33">
      <c r="AE5992">
        <v>0</v>
      </c>
      <c r="AG5992">
        <v>0</v>
      </c>
    </row>
    <row r="5993" spans="31:33">
      <c r="AE5993">
        <v>0</v>
      </c>
      <c r="AG5993">
        <v>0</v>
      </c>
    </row>
    <row r="5994" spans="31:33">
      <c r="AE5994">
        <v>0</v>
      </c>
      <c r="AG5994">
        <v>0</v>
      </c>
    </row>
    <row r="5995" spans="31:33">
      <c r="AE5995">
        <v>0</v>
      </c>
      <c r="AG5995">
        <v>0</v>
      </c>
    </row>
    <row r="5996" spans="31:33">
      <c r="AE5996">
        <v>0</v>
      </c>
      <c r="AG5996">
        <v>0</v>
      </c>
    </row>
    <row r="5997" spans="31:33">
      <c r="AE5997">
        <v>0</v>
      </c>
      <c r="AG5997">
        <v>0</v>
      </c>
    </row>
    <row r="5998" spans="31:33">
      <c r="AE5998">
        <v>0</v>
      </c>
      <c r="AG5998">
        <v>0</v>
      </c>
    </row>
    <row r="5999" spans="31:33">
      <c r="AE5999">
        <v>0</v>
      </c>
      <c r="AG5999">
        <v>0</v>
      </c>
    </row>
    <row r="6000" spans="31:33">
      <c r="AE6000">
        <v>0</v>
      </c>
      <c r="AG6000">
        <v>0</v>
      </c>
    </row>
    <row r="6001" spans="31:33">
      <c r="AE6001">
        <v>0</v>
      </c>
      <c r="AG6001">
        <v>0</v>
      </c>
    </row>
    <row r="6002" spans="31:33">
      <c r="AE6002">
        <v>0</v>
      </c>
      <c r="AG6002">
        <v>0</v>
      </c>
    </row>
    <row r="6003" spans="31:33">
      <c r="AE6003">
        <v>0</v>
      </c>
      <c r="AG6003">
        <v>0</v>
      </c>
    </row>
    <row r="6004" spans="31:33">
      <c r="AE6004">
        <v>0</v>
      </c>
      <c r="AG6004">
        <v>0</v>
      </c>
    </row>
    <row r="6005" spans="31:33">
      <c r="AE6005">
        <v>0</v>
      </c>
      <c r="AG6005">
        <v>0</v>
      </c>
    </row>
    <row r="6006" spans="31:33">
      <c r="AE6006">
        <v>0</v>
      </c>
      <c r="AG6006">
        <v>0</v>
      </c>
    </row>
    <row r="6007" spans="31:33">
      <c r="AE6007">
        <v>0</v>
      </c>
      <c r="AG6007">
        <v>0</v>
      </c>
    </row>
    <row r="6008" spans="31:33">
      <c r="AE6008">
        <v>0</v>
      </c>
      <c r="AG6008">
        <v>0</v>
      </c>
    </row>
    <row r="6009" spans="31:33">
      <c r="AE6009">
        <v>0</v>
      </c>
      <c r="AG6009">
        <v>0</v>
      </c>
    </row>
    <row r="6010" spans="31:33">
      <c r="AE6010">
        <v>0</v>
      </c>
      <c r="AG6010">
        <v>0</v>
      </c>
    </row>
    <row r="6011" spans="31:33">
      <c r="AE6011">
        <v>0</v>
      </c>
      <c r="AG6011">
        <v>0</v>
      </c>
    </row>
    <row r="6012" spans="31:33">
      <c r="AE6012">
        <v>0</v>
      </c>
      <c r="AG6012">
        <v>0</v>
      </c>
    </row>
    <row r="6013" spans="31:33">
      <c r="AE6013">
        <v>0</v>
      </c>
      <c r="AG6013">
        <v>0</v>
      </c>
    </row>
    <row r="6014" spans="31:33">
      <c r="AE6014">
        <v>0</v>
      </c>
      <c r="AG6014">
        <v>0</v>
      </c>
    </row>
    <row r="6015" spans="31:33">
      <c r="AE6015">
        <v>0</v>
      </c>
      <c r="AG6015">
        <v>0</v>
      </c>
    </row>
    <row r="6016" spans="31:33">
      <c r="AE6016">
        <v>0</v>
      </c>
      <c r="AG6016">
        <v>0</v>
      </c>
    </row>
    <row r="6017" spans="31:33">
      <c r="AE6017">
        <v>0</v>
      </c>
      <c r="AG6017">
        <v>0</v>
      </c>
    </row>
    <row r="6018" spans="31:33">
      <c r="AE6018" s="31">
        <v>23731016.949999999</v>
      </c>
      <c r="AG6018" s="31">
        <v>14811527.199999999</v>
      </c>
    </row>
    <row r="6019" spans="31:33">
      <c r="AE6019">
        <v>0</v>
      </c>
      <c r="AG6019">
        <v>0</v>
      </c>
    </row>
    <row r="6020" spans="31:33">
      <c r="AE6020">
        <v>0</v>
      </c>
      <c r="AG6020">
        <v>0</v>
      </c>
    </row>
    <row r="6021" spans="31:33">
      <c r="AE6021">
        <v>0</v>
      </c>
      <c r="AG6021">
        <v>0</v>
      </c>
    </row>
    <row r="6022" spans="31:33">
      <c r="AE6022">
        <v>0</v>
      </c>
      <c r="AG6022">
        <v>0</v>
      </c>
    </row>
    <row r="6023" spans="31:33">
      <c r="AE6023">
        <v>0</v>
      </c>
      <c r="AG6023">
        <v>0</v>
      </c>
    </row>
    <row r="6024" spans="31:33">
      <c r="AE6024">
        <v>0</v>
      </c>
      <c r="AG6024">
        <v>0</v>
      </c>
    </row>
    <row r="6025" spans="31:33">
      <c r="AE6025">
        <v>0</v>
      </c>
      <c r="AG6025">
        <v>0</v>
      </c>
    </row>
    <row r="6026" spans="31:33">
      <c r="AE6026" s="31">
        <v>1825973.43</v>
      </c>
      <c r="AG6026" s="31">
        <v>2042457.65</v>
      </c>
    </row>
    <row r="6027" spans="31:33">
      <c r="AE6027" s="31">
        <v>-1919216.89</v>
      </c>
      <c r="AG6027" s="31">
        <v>-2144320.4300000002</v>
      </c>
    </row>
    <row r="6028" spans="31:33">
      <c r="AE6028">
        <v>0</v>
      </c>
      <c r="AG6028">
        <v>0</v>
      </c>
    </row>
    <row r="6029" spans="31:33">
      <c r="AE6029">
        <v>0</v>
      </c>
      <c r="AG6029">
        <v>0</v>
      </c>
    </row>
    <row r="6030" spans="31:33">
      <c r="AE6030" s="31">
        <v>3491139.25</v>
      </c>
      <c r="AG6030" s="31">
        <v>330665.69</v>
      </c>
    </row>
    <row r="6031" spans="31:33">
      <c r="AE6031" s="31">
        <v>-3538693.69</v>
      </c>
      <c r="AG6031" s="31">
        <v>-464193</v>
      </c>
    </row>
    <row r="6032" spans="31:33">
      <c r="AE6032">
        <v>0</v>
      </c>
      <c r="AG6032">
        <v>0</v>
      </c>
    </row>
    <row r="6033" spans="31:33">
      <c r="AE6033">
        <v>0</v>
      </c>
      <c r="AG6033">
        <v>0</v>
      </c>
    </row>
    <row r="6034" spans="31:33">
      <c r="AE6034" s="31">
        <v>2100963.0299999998</v>
      </c>
      <c r="AG6034" s="31">
        <v>1888052.72</v>
      </c>
    </row>
    <row r="6035" spans="31:33">
      <c r="AE6035" s="31">
        <v>3526917.89</v>
      </c>
      <c r="AG6035" s="31">
        <v>4170240.73</v>
      </c>
    </row>
    <row r="6036" spans="31:33">
      <c r="AE6036">
        <v>0</v>
      </c>
      <c r="AG6036">
        <v>0</v>
      </c>
    </row>
    <row r="6037" spans="31:33">
      <c r="AE6037">
        <v>0</v>
      </c>
      <c r="AG6037">
        <v>0</v>
      </c>
    </row>
    <row r="6038" spans="31:33">
      <c r="AE6038" s="31">
        <v>4318139</v>
      </c>
      <c r="AG6038" s="31">
        <v>4363324.26</v>
      </c>
    </row>
    <row r="6039" spans="31:33">
      <c r="AE6039">
        <v>0</v>
      </c>
      <c r="AG6039">
        <v>0</v>
      </c>
    </row>
    <row r="6040" spans="31:33">
      <c r="AE6040">
        <v>0</v>
      </c>
      <c r="AG6040">
        <v>0</v>
      </c>
    </row>
    <row r="6041" spans="31:33">
      <c r="AE6041">
        <v>0</v>
      </c>
      <c r="AG6041">
        <v>0</v>
      </c>
    </row>
    <row r="6042" spans="31:33">
      <c r="AE6042" s="31">
        <v>404757</v>
      </c>
      <c r="AG6042" s="31">
        <v>444514.87</v>
      </c>
    </row>
    <row r="6043" spans="31:33">
      <c r="AE6043" s="31">
        <v>-172911.26</v>
      </c>
      <c r="AG6043" s="31">
        <v>-221786.97</v>
      </c>
    </row>
    <row r="6044" spans="31:33">
      <c r="AE6044">
        <v>0</v>
      </c>
      <c r="AG6044">
        <v>0</v>
      </c>
    </row>
    <row r="6045" spans="31:33">
      <c r="AE6045">
        <v>0</v>
      </c>
      <c r="AG6045">
        <v>0</v>
      </c>
    </row>
    <row r="6046" spans="31:33">
      <c r="AE6046" s="31">
        <v>2433.66</v>
      </c>
      <c r="AG6046" s="31">
        <v>2641.74</v>
      </c>
    </row>
    <row r="6047" spans="31:33">
      <c r="AE6047">
        <v>-665.58</v>
      </c>
      <c r="AG6047">
        <v>-941.2</v>
      </c>
    </row>
    <row r="6048" spans="31:33">
      <c r="AE6048">
        <v>0</v>
      </c>
      <c r="AG6048">
        <v>0</v>
      </c>
    </row>
    <row r="6049" spans="31:33">
      <c r="AE6049">
        <v>0</v>
      </c>
      <c r="AG6049">
        <v>0</v>
      </c>
    </row>
    <row r="6050" spans="31:33">
      <c r="AE6050">
        <v>0</v>
      </c>
      <c r="AG6050">
        <v>0</v>
      </c>
    </row>
    <row r="6051" spans="31:33">
      <c r="AE6051">
        <v>0</v>
      </c>
      <c r="AG6051">
        <v>0</v>
      </c>
    </row>
    <row r="6052" spans="31:33">
      <c r="AE6052">
        <v>0</v>
      </c>
      <c r="AG6052">
        <v>0</v>
      </c>
    </row>
    <row r="6053" spans="31:33">
      <c r="AE6053">
        <v>0</v>
      </c>
      <c r="AG6053">
        <v>0</v>
      </c>
    </row>
    <row r="6054" spans="31:33">
      <c r="AE6054">
        <v>0</v>
      </c>
      <c r="AG6054">
        <v>0</v>
      </c>
    </row>
    <row r="6055" spans="31:33">
      <c r="AE6055">
        <v>0</v>
      </c>
      <c r="AG6055">
        <v>0</v>
      </c>
    </row>
    <row r="6056" spans="31:33">
      <c r="AE6056">
        <v>0</v>
      </c>
      <c r="AG6056">
        <v>0</v>
      </c>
    </row>
    <row r="6057" spans="31:33">
      <c r="AE6057">
        <v>0</v>
      </c>
      <c r="AG6057">
        <v>0</v>
      </c>
    </row>
    <row r="6058" spans="31:33">
      <c r="AE6058">
        <v>0</v>
      </c>
      <c r="AG6058">
        <v>0</v>
      </c>
    </row>
    <row r="6059" spans="31:33">
      <c r="AE6059">
        <v>0</v>
      </c>
      <c r="AG6059">
        <v>0</v>
      </c>
    </row>
    <row r="6060" spans="31:33">
      <c r="AE6060">
        <v>0</v>
      </c>
      <c r="AG6060">
        <v>0</v>
      </c>
    </row>
    <row r="6061" spans="31:33">
      <c r="AE6061">
        <v>0</v>
      </c>
      <c r="AG6061">
        <v>0</v>
      </c>
    </row>
    <row r="6062" spans="31:33">
      <c r="AE6062">
        <v>0</v>
      </c>
      <c r="AG6062">
        <v>0</v>
      </c>
    </row>
    <row r="6063" spans="31:33">
      <c r="AE6063">
        <v>0</v>
      </c>
      <c r="AG6063">
        <v>0</v>
      </c>
    </row>
    <row r="6064" spans="31:33">
      <c r="AE6064">
        <v>0</v>
      </c>
      <c r="AG6064">
        <v>0</v>
      </c>
    </row>
    <row r="6065" spans="31:33">
      <c r="AE6065">
        <v>0</v>
      </c>
      <c r="AG6065">
        <v>0</v>
      </c>
    </row>
    <row r="6066" spans="31:33">
      <c r="AE6066">
        <v>0</v>
      </c>
      <c r="AG6066">
        <v>0</v>
      </c>
    </row>
    <row r="6067" spans="31:33">
      <c r="AE6067">
        <v>0</v>
      </c>
      <c r="AG6067">
        <v>0</v>
      </c>
    </row>
    <row r="6068" spans="31:33">
      <c r="AE6068">
        <v>0</v>
      </c>
      <c r="AG6068">
        <v>0</v>
      </c>
    </row>
    <row r="6069" spans="31:33">
      <c r="AE6069">
        <v>0</v>
      </c>
      <c r="AG6069">
        <v>0</v>
      </c>
    </row>
    <row r="6070" spans="31:33">
      <c r="AE6070">
        <v>0</v>
      </c>
      <c r="AG6070">
        <v>0</v>
      </c>
    </row>
    <row r="6071" spans="31:33">
      <c r="AE6071">
        <v>0</v>
      </c>
      <c r="AG6071">
        <v>0</v>
      </c>
    </row>
    <row r="6072" spans="31:33">
      <c r="AE6072">
        <v>0</v>
      </c>
      <c r="AG6072">
        <v>0</v>
      </c>
    </row>
    <row r="6073" spans="31:33">
      <c r="AE6073">
        <v>0</v>
      </c>
      <c r="AG6073">
        <v>0</v>
      </c>
    </row>
    <row r="6074" spans="31:33">
      <c r="AE6074">
        <v>0</v>
      </c>
      <c r="AG6074">
        <v>0</v>
      </c>
    </row>
    <row r="6075" spans="31:33">
      <c r="AE6075">
        <v>0</v>
      </c>
      <c r="AG6075">
        <v>0</v>
      </c>
    </row>
    <row r="6076" spans="31:33">
      <c r="AE6076">
        <v>0</v>
      </c>
      <c r="AG6076">
        <v>0</v>
      </c>
    </row>
    <row r="6077" spans="31:33">
      <c r="AE6077">
        <v>0</v>
      </c>
      <c r="AG6077">
        <v>0</v>
      </c>
    </row>
    <row r="6078" spans="31:33">
      <c r="AE6078">
        <v>0</v>
      </c>
      <c r="AG6078">
        <v>0</v>
      </c>
    </row>
    <row r="6079" spans="31:33">
      <c r="AE6079">
        <v>0</v>
      </c>
      <c r="AG6079">
        <v>0</v>
      </c>
    </row>
    <row r="6080" spans="31:33">
      <c r="AE6080">
        <v>0</v>
      </c>
      <c r="AG6080">
        <v>0</v>
      </c>
    </row>
    <row r="6081" spans="31:33">
      <c r="AE6081">
        <v>0</v>
      </c>
      <c r="AG6081">
        <v>0</v>
      </c>
    </row>
    <row r="6082" spans="31:33">
      <c r="AE6082">
        <v>0</v>
      </c>
      <c r="AG6082">
        <v>0</v>
      </c>
    </row>
    <row r="6083" spans="31:33">
      <c r="AE6083">
        <v>0</v>
      </c>
      <c r="AG6083">
        <v>0</v>
      </c>
    </row>
    <row r="6084" spans="31:33">
      <c r="AE6084">
        <v>0</v>
      </c>
      <c r="AG6084">
        <v>0</v>
      </c>
    </row>
    <row r="6085" spans="31:33">
      <c r="AE6085">
        <v>0</v>
      </c>
      <c r="AG6085">
        <v>0</v>
      </c>
    </row>
    <row r="6086" spans="31:33">
      <c r="AE6086">
        <v>0</v>
      </c>
      <c r="AG6086">
        <v>0</v>
      </c>
    </row>
    <row r="6087" spans="31:33">
      <c r="AE6087">
        <v>0</v>
      </c>
      <c r="AG6087">
        <v>0</v>
      </c>
    </row>
    <row r="6088" spans="31:33">
      <c r="AE6088">
        <v>0</v>
      </c>
      <c r="AG6088">
        <v>0</v>
      </c>
    </row>
    <row r="6089" spans="31:33">
      <c r="AE6089">
        <v>0</v>
      </c>
      <c r="AG6089">
        <v>0</v>
      </c>
    </row>
    <row r="6090" spans="31:33">
      <c r="AE6090">
        <v>0</v>
      </c>
      <c r="AG6090">
        <v>0</v>
      </c>
    </row>
    <row r="6091" spans="31:33">
      <c r="AE6091">
        <v>0</v>
      </c>
      <c r="AG6091">
        <v>0</v>
      </c>
    </row>
    <row r="6092" spans="31:33">
      <c r="AE6092">
        <v>0</v>
      </c>
      <c r="AG6092">
        <v>0</v>
      </c>
    </row>
    <row r="6093" spans="31:33">
      <c r="AE6093">
        <v>0</v>
      </c>
      <c r="AG6093">
        <v>0</v>
      </c>
    </row>
    <row r="6094" spans="31:33">
      <c r="AE6094">
        <v>0</v>
      </c>
      <c r="AG6094">
        <v>0</v>
      </c>
    </row>
    <row r="6095" spans="31:33">
      <c r="AE6095">
        <v>0</v>
      </c>
      <c r="AG6095">
        <v>0</v>
      </c>
    </row>
    <row r="6096" spans="31:33">
      <c r="AE6096">
        <v>0</v>
      </c>
      <c r="AG6096">
        <v>0</v>
      </c>
    </row>
    <row r="6097" spans="31:33">
      <c r="AE6097">
        <v>0</v>
      </c>
      <c r="AG6097">
        <v>0</v>
      </c>
    </row>
    <row r="6098" spans="31:33">
      <c r="AE6098">
        <v>0</v>
      </c>
      <c r="AG6098">
        <v>0</v>
      </c>
    </row>
    <row r="6099" spans="31:33">
      <c r="AE6099">
        <v>0</v>
      </c>
      <c r="AG6099">
        <v>0</v>
      </c>
    </row>
    <row r="6100" spans="31:33">
      <c r="AE6100">
        <v>0</v>
      </c>
      <c r="AG6100">
        <v>0</v>
      </c>
    </row>
    <row r="6101" spans="31:33">
      <c r="AE6101">
        <v>0</v>
      </c>
      <c r="AG6101">
        <v>0</v>
      </c>
    </row>
    <row r="6102" spans="31:33">
      <c r="AE6102">
        <v>0</v>
      </c>
      <c r="AG6102">
        <v>0</v>
      </c>
    </row>
    <row r="6103" spans="31:33">
      <c r="AE6103">
        <v>0</v>
      </c>
      <c r="AG6103">
        <v>0</v>
      </c>
    </row>
    <row r="6104" spans="31:33">
      <c r="AE6104">
        <v>0</v>
      </c>
      <c r="AG6104">
        <v>0</v>
      </c>
    </row>
    <row r="6105" spans="31:33">
      <c r="AE6105">
        <v>0</v>
      </c>
      <c r="AG6105">
        <v>0</v>
      </c>
    </row>
    <row r="6106" spans="31:33">
      <c r="AE6106">
        <v>0</v>
      </c>
      <c r="AG6106">
        <v>0</v>
      </c>
    </row>
    <row r="6107" spans="31:33">
      <c r="AE6107">
        <v>0</v>
      </c>
      <c r="AG6107">
        <v>0</v>
      </c>
    </row>
    <row r="6108" spans="31:33">
      <c r="AE6108">
        <v>0</v>
      </c>
      <c r="AG6108">
        <v>0</v>
      </c>
    </row>
    <row r="6109" spans="31:33">
      <c r="AE6109">
        <v>0</v>
      </c>
      <c r="AG6109">
        <v>0</v>
      </c>
    </row>
    <row r="6110" spans="31:33">
      <c r="AE6110">
        <v>0</v>
      </c>
      <c r="AG6110">
        <v>0</v>
      </c>
    </row>
    <row r="6111" spans="31:33">
      <c r="AE6111">
        <v>0</v>
      </c>
      <c r="AG6111">
        <v>0</v>
      </c>
    </row>
    <row r="6112" spans="31:33">
      <c r="AE6112">
        <v>0</v>
      </c>
      <c r="AG6112">
        <v>0</v>
      </c>
    </row>
    <row r="6113" spans="31:33">
      <c r="AE6113">
        <v>0</v>
      </c>
      <c r="AG6113">
        <v>0</v>
      </c>
    </row>
    <row r="6114" spans="31:33">
      <c r="AE6114">
        <v>0</v>
      </c>
      <c r="AG6114">
        <v>0</v>
      </c>
    </row>
    <row r="6115" spans="31:33">
      <c r="AE6115">
        <v>0</v>
      </c>
      <c r="AG6115">
        <v>0</v>
      </c>
    </row>
    <row r="6116" spans="31:33">
      <c r="AE6116">
        <v>0</v>
      </c>
      <c r="AG6116">
        <v>0</v>
      </c>
    </row>
    <row r="6117" spans="31:33">
      <c r="AE6117">
        <v>0</v>
      </c>
      <c r="AG6117">
        <v>0</v>
      </c>
    </row>
    <row r="6118" spans="31:33">
      <c r="AE6118">
        <v>0</v>
      </c>
      <c r="AG6118">
        <v>0</v>
      </c>
    </row>
    <row r="6119" spans="31:33">
      <c r="AE6119">
        <v>0</v>
      </c>
      <c r="AG6119">
        <v>0</v>
      </c>
    </row>
    <row r="6120" spans="31:33">
      <c r="AE6120">
        <v>0</v>
      </c>
      <c r="AG6120">
        <v>0</v>
      </c>
    </row>
    <row r="6121" spans="31:33">
      <c r="AE6121">
        <v>0</v>
      </c>
      <c r="AG6121">
        <v>0</v>
      </c>
    </row>
    <row r="6122" spans="31:33">
      <c r="AE6122">
        <v>0</v>
      </c>
      <c r="AG6122">
        <v>0</v>
      </c>
    </row>
    <row r="6123" spans="31:33">
      <c r="AE6123">
        <v>0</v>
      </c>
      <c r="AG6123">
        <v>0</v>
      </c>
    </row>
    <row r="6124" spans="31:33">
      <c r="AE6124">
        <v>0</v>
      </c>
      <c r="AG6124">
        <v>0</v>
      </c>
    </row>
    <row r="6125" spans="31:33">
      <c r="AE6125">
        <v>0</v>
      </c>
      <c r="AG6125">
        <v>0</v>
      </c>
    </row>
    <row r="6126" spans="31:33">
      <c r="AE6126">
        <v>0</v>
      </c>
      <c r="AG6126">
        <v>0</v>
      </c>
    </row>
    <row r="6127" spans="31:33">
      <c r="AE6127">
        <v>0</v>
      </c>
      <c r="AG6127">
        <v>0</v>
      </c>
    </row>
    <row r="6128" spans="31:33">
      <c r="AE6128">
        <v>0</v>
      </c>
      <c r="AG6128">
        <v>0</v>
      </c>
    </row>
    <row r="6129" spans="31:33">
      <c r="AE6129">
        <v>0</v>
      </c>
      <c r="AG6129">
        <v>0</v>
      </c>
    </row>
    <row r="6130" spans="31:33">
      <c r="AE6130">
        <v>0</v>
      </c>
      <c r="AG6130">
        <v>0</v>
      </c>
    </row>
    <row r="6131" spans="31:33">
      <c r="AE6131">
        <v>0</v>
      </c>
      <c r="AG6131">
        <v>0</v>
      </c>
    </row>
    <row r="6132" spans="31:33">
      <c r="AE6132">
        <v>0</v>
      </c>
      <c r="AG6132">
        <v>0</v>
      </c>
    </row>
    <row r="6133" spans="31:33">
      <c r="AE6133">
        <v>0</v>
      </c>
      <c r="AG6133">
        <v>0</v>
      </c>
    </row>
    <row r="6134" spans="31:33">
      <c r="AE6134">
        <v>0</v>
      </c>
      <c r="AG6134">
        <v>0</v>
      </c>
    </row>
    <row r="6135" spans="31:33">
      <c r="AE6135">
        <v>0</v>
      </c>
      <c r="AG6135">
        <v>0</v>
      </c>
    </row>
    <row r="6136" spans="31:33">
      <c r="AE6136">
        <v>0</v>
      </c>
      <c r="AG6136">
        <v>0</v>
      </c>
    </row>
    <row r="6137" spans="31:33">
      <c r="AE6137">
        <v>0</v>
      </c>
      <c r="AG6137">
        <v>0</v>
      </c>
    </row>
    <row r="6138" spans="31:33">
      <c r="AE6138">
        <v>0</v>
      </c>
      <c r="AG6138">
        <v>0</v>
      </c>
    </row>
    <row r="6139" spans="31:33">
      <c r="AE6139">
        <v>0</v>
      </c>
      <c r="AG6139">
        <v>0</v>
      </c>
    </row>
    <row r="6140" spans="31:33">
      <c r="AE6140">
        <v>0</v>
      </c>
      <c r="AG6140">
        <v>0</v>
      </c>
    </row>
    <row r="6141" spans="31:33">
      <c r="AE6141">
        <v>0</v>
      </c>
      <c r="AG6141">
        <v>0</v>
      </c>
    </row>
    <row r="6142" spans="31:33">
      <c r="AE6142">
        <v>0</v>
      </c>
      <c r="AG6142">
        <v>0</v>
      </c>
    </row>
    <row r="6143" spans="31:33">
      <c r="AE6143">
        <v>0</v>
      </c>
      <c r="AG6143">
        <v>0</v>
      </c>
    </row>
    <row r="6144" spans="31:33">
      <c r="AE6144">
        <v>0</v>
      </c>
      <c r="AG6144">
        <v>0</v>
      </c>
    </row>
    <row r="6145" spans="31:33">
      <c r="AE6145">
        <v>0</v>
      </c>
      <c r="AG6145">
        <v>0</v>
      </c>
    </row>
    <row r="6146" spans="31:33">
      <c r="AE6146">
        <v>0</v>
      </c>
      <c r="AG6146">
        <v>0</v>
      </c>
    </row>
    <row r="6147" spans="31:33">
      <c r="AE6147">
        <v>0</v>
      </c>
      <c r="AG6147">
        <v>0</v>
      </c>
    </row>
    <row r="6148" spans="31:33">
      <c r="AE6148">
        <v>0</v>
      </c>
      <c r="AG6148">
        <v>0</v>
      </c>
    </row>
    <row r="6149" spans="31:33">
      <c r="AE6149">
        <v>0</v>
      </c>
      <c r="AG6149">
        <v>0</v>
      </c>
    </row>
    <row r="6150" spans="31:33">
      <c r="AE6150">
        <v>0</v>
      </c>
      <c r="AG6150">
        <v>0</v>
      </c>
    </row>
    <row r="6151" spans="31:33">
      <c r="AE6151">
        <v>0</v>
      </c>
      <c r="AG6151">
        <v>0</v>
      </c>
    </row>
    <row r="6152" spans="31:33">
      <c r="AE6152">
        <v>0</v>
      </c>
      <c r="AG6152">
        <v>0</v>
      </c>
    </row>
    <row r="6153" spans="31:33">
      <c r="AE6153">
        <v>0</v>
      </c>
      <c r="AG6153">
        <v>0</v>
      </c>
    </row>
    <row r="6154" spans="31:33">
      <c r="AE6154">
        <v>0</v>
      </c>
      <c r="AG6154">
        <v>0</v>
      </c>
    </row>
    <row r="6155" spans="31:33">
      <c r="AE6155">
        <v>0</v>
      </c>
      <c r="AG6155">
        <v>0</v>
      </c>
    </row>
    <row r="6156" spans="31:33">
      <c r="AE6156">
        <v>0</v>
      </c>
      <c r="AG6156">
        <v>0</v>
      </c>
    </row>
    <row r="6157" spans="31:33">
      <c r="AE6157">
        <v>0</v>
      </c>
      <c r="AG6157">
        <v>0</v>
      </c>
    </row>
    <row r="6158" spans="31:33">
      <c r="AE6158">
        <v>0</v>
      </c>
      <c r="AG6158">
        <v>0</v>
      </c>
    </row>
    <row r="6159" spans="31:33">
      <c r="AE6159">
        <v>0</v>
      </c>
      <c r="AG6159">
        <v>0</v>
      </c>
    </row>
    <row r="6160" spans="31:33">
      <c r="AE6160">
        <v>0</v>
      </c>
      <c r="AG6160">
        <v>0</v>
      </c>
    </row>
    <row r="6161" spans="31:33">
      <c r="AE6161">
        <v>0</v>
      </c>
      <c r="AG6161">
        <v>0</v>
      </c>
    </row>
    <row r="6162" spans="31:33">
      <c r="AE6162">
        <v>0</v>
      </c>
      <c r="AG6162">
        <v>0</v>
      </c>
    </row>
    <row r="6163" spans="31:33">
      <c r="AE6163">
        <v>0</v>
      </c>
      <c r="AG6163">
        <v>0</v>
      </c>
    </row>
    <row r="6164" spans="31:33">
      <c r="AE6164">
        <v>0</v>
      </c>
      <c r="AG6164">
        <v>0</v>
      </c>
    </row>
    <row r="6165" spans="31:33">
      <c r="AE6165">
        <v>0</v>
      </c>
      <c r="AG6165">
        <v>0</v>
      </c>
    </row>
    <row r="6166" spans="31:33">
      <c r="AE6166">
        <v>0</v>
      </c>
      <c r="AG6166">
        <v>0</v>
      </c>
    </row>
    <row r="6167" spans="31:33">
      <c r="AE6167">
        <v>0</v>
      </c>
      <c r="AG6167">
        <v>0</v>
      </c>
    </row>
    <row r="6168" spans="31:33">
      <c r="AE6168">
        <v>0</v>
      </c>
      <c r="AG6168">
        <v>0</v>
      </c>
    </row>
    <row r="6169" spans="31:33">
      <c r="AE6169">
        <v>0</v>
      </c>
      <c r="AG6169">
        <v>0</v>
      </c>
    </row>
    <row r="6170" spans="31:33">
      <c r="AE6170">
        <v>0</v>
      </c>
      <c r="AG6170">
        <v>0</v>
      </c>
    </row>
    <row r="6171" spans="31:33">
      <c r="AE6171">
        <v>0</v>
      </c>
      <c r="AG6171">
        <v>0</v>
      </c>
    </row>
    <row r="6172" spans="31:33">
      <c r="AE6172">
        <v>0</v>
      </c>
      <c r="AG6172">
        <v>0</v>
      </c>
    </row>
    <row r="6173" spans="31:33">
      <c r="AE6173">
        <v>0</v>
      </c>
      <c r="AG6173">
        <v>0</v>
      </c>
    </row>
    <row r="6174" spans="31:33">
      <c r="AE6174">
        <v>0</v>
      </c>
      <c r="AG6174">
        <v>0</v>
      </c>
    </row>
    <row r="6175" spans="31:33">
      <c r="AE6175">
        <v>0</v>
      </c>
      <c r="AG6175">
        <v>0</v>
      </c>
    </row>
    <row r="6176" spans="31:33">
      <c r="AE6176">
        <v>0</v>
      </c>
      <c r="AG6176">
        <v>0</v>
      </c>
    </row>
    <row r="6177" spans="31:33">
      <c r="AE6177">
        <v>0</v>
      </c>
      <c r="AG6177">
        <v>0</v>
      </c>
    </row>
    <row r="6178" spans="31:33">
      <c r="AE6178">
        <v>0</v>
      </c>
      <c r="AG6178">
        <v>0</v>
      </c>
    </row>
    <row r="6179" spans="31:33">
      <c r="AE6179">
        <v>0</v>
      </c>
      <c r="AG6179">
        <v>0</v>
      </c>
    </row>
    <row r="6180" spans="31:33">
      <c r="AE6180">
        <v>0</v>
      </c>
      <c r="AG6180">
        <v>0</v>
      </c>
    </row>
    <row r="6181" spans="31:33">
      <c r="AE6181">
        <v>0</v>
      </c>
      <c r="AG6181">
        <v>0</v>
      </c>
    </row>
    <row r="6182" spans="31:33">
      <c r="AE6182">
        <v>0</v>
      </c>
      <c r="AG6182">
        <v>0</v>
      </c>
    </row>
    <row r="6183" spans="31:33">
      <c r="AE6183">
        <v>0</v>
      </c>
      <c r="AG6183">
        <v>0</v>
      </c>
    </row>
    <row r="6184" spans="31:33">
      <c r="AE6184">
        <v>0</v>
      </c>
      <c r="AG6184">
        <v>0</v>
      </c>
    </row>
    <row r="6185" spans="31:33">
      <c r="AE6185">
        <v>0</v>
      </c>
      <c r="AG6185">
        <v>0</v>
      </c>
    </row>
    <row r="6186" spans="31:33">
      <c r="AE6186">
        <v>0</v>
      </c>
      <c r="AG6186">
        <v>0</v>
      </c>
    </row>
    <row r="6187" spans="31:33">
      <c r="AE6187">
        <v>0</v>
      </c>
      <c r="AG6187">
        <v>0</v>
      </c>
    </row>
    <row r="6188" spans="31:33">
      <c r="AE6188" s="31">
        <v>185647.13</v>
      </c>
      <c r="AG6188" s="31">
        <v>113808.62</v>
      </c>
    </row>
    <row r="6189" spans="31:33">
      <c r="AE6189" s="31">
        <v>-823317.89</v>
      </c>
      <c r="AG6189" s="31">
        <v>-821514.68</v>
      </c>
    </row>
    <row r="6190" spans="31:33">
      <c r="AE6190">
        <v>0</v>
      </c>
      <c r="AG6190">
        <v>0</v>
      </c>
    </row>
    <row r="6191" spans="31:33">
      <c r="AE6191">
        <v>0</v>
      </c>
      <c r="AG6191">
        <v>0</v>
      </c>
    </row>
    <row r="6192" spans="31:33">
      <c r="AE6192">
        <v>0</v>
      </c>
      <c r="AG6192">
        <v>0</v>
      </c>
    </row>
    <row r="6193" spans="31:33">
      <c r="AE6193">
        <v>0</v>
      </c>
      <c r="AG6193">
        <v>0</v>
      </c>
    </row>
    <row r="6194" spans="31:33">
      <c r="AE6194">
        <v>0</v>
      </c>
      <c r="AG6194">
        <v>0</v>
      </c>
    </row>
    <row r="6195" spans="31:33">
      <c r="AE6195">
        <v>0</v>
      </c>
      <c r="AG6195">
        <v>0</v>
      </c>
    </row>
    <row r="6196" spans="31:33">
      <c r="AE6196">
        <v>0</v>
      </c>
      <c r="AG6196">
        <v>0</v>
      </c>
    </row>
    <row r="6197" spans="31:33">
      <c r="AE6197">
        <v>0</v>
      </c>
      <c r="AG6197">
        <v>0</v>
      </c>
    </row>
    <row r="6198" spans="31:33">
      <c r="AE6198">
        <v>0</v>
      </c>
      <c r="AG6198">
        <v>0</v>
      </c>
    </row>
    <row r="6199" spans="31:33">
      <c r="AE6199">
        <v>0</v>
      </c>
      <c r="AG6199">
        <v>0</v>
      </c>
    </row>
    <row r="6200" spans="31:33">
      <c r="AE6200">
        <v>0</v>
      </c>
      <c r="AG6200">
        <v>0</v>
      </c>
    </row>
    <row r="6201" spans="31:33">
      <c r="AE6201">
        <v>0</v>
      </c>
      <c r="AG6201">
        <v>0</v>
      </c>
    </row>
    <row r="6202" spans="31:33">
      <c r="AE6202">
        <v>0.01</v>
      </c>
      <c r="AG6202">
        <v>1.39</v>
      </c>
    </row>
    <row r="6203" spans="31:33">
      <c r="AE6203">
        <v>0</v>
      </c>
      <c r="AG6203">
        <v>0</v>
      </c>
    </row>
    <row r="6204" spans="31:33">
      <c r="AE6204">
        <v>0</v>
      </c>
      <c r="AG6204">
        <v>0</v>
      </c>
    </row>
    <row r="6205" spans="31:33">
      <c r="AE6205">
        <v>0</v>
      </c>
      <c r="AG6205">
        <v>0</v>
      </c>
    </row>
    <row r="6206" spans="31:33">
      <c r="AE6206" s="31">
        <v>127073710.39</v>
      </c>
      <c r="AG6206" s="31">
        <v>134958989.34999999</v>
      </c>
    </row>
    <row r="6207" spans="31:33">
      <c r="AE6207">
        <v>0</v>
      </c>
      <c r="AG6207">
        <v>0</v>
      </c>
    </row>
    <row r="6208" spans="31:33">
      <c r="AE6208">
        <v>0</v>
      </c>
      <c r="AG6208">
        <v>0</v>
      </c>
    </row>
    <row r="6209" spans="31:33">
      <c r="AE6209">
        <v>0</v>
      </c>
      <c r="AG6209">
        <v>0</v>
      </c>
    </row>
    <row r="6210" spans="31:33">
      <c r="AE6210" s="31">
        <v>136772139.66</v>
      </c>
      <c r="AG6210" s="31">
        <v>139627595.24000001</v>
      </c>
    </row>
    <row r="6211" spans="31:33">
      <c r="AE6211">
        <v>0</v>
      </c>
      <c r="AG6211">
        <v>0</v>
      </c>
    </row>
    <row r="6212" spans="31:33">
      <c r="AE6212">
        <v>0</v>
      </c>
      <c r="AG6212">
        <v>0</v>
      </c>
    </row>
    <row r="6213" spans="31:33">
      <c r="AE6213">
        <v>0</v>
      </c>
      <c r="AG6213">
        <v>0</v>
      </c>
    </row>
    <row r="6214" spans="31:33">
      <c r="AE6214">
        <v>0</v>
      </c>
      <c r="AG6214">
        <v>0</v>
      </c>
    </row>
    <row r="6215" spans="31:33">
      <c r="AE6215">
        <v>0</v>
      </c>
      <c r="AG6215">
        <v>0</v>
      </c>
    </row>
    <row r="6216" spans="31:33">
      <c r="AE6216">
        <v>0</v>
      </c>
      <c r="AG6216">
        <v>0</v>
      </c>
    </row>
    <row r="6217" spans="31:33">
      <c r="AE6217">
        <v>0</v>
      </c>
      <c r="AG6217">
        <v>0</v>
      </c>
    </row>
    <row r="6218" spans="31:33">
      <c r="AE6218" s="31">
        <v>9137967.3900000006</v>
      </c>
      <c r="AG6218" s="31">
        <v>9613682.8499999996</v>
      </c>
    </row>
    <row r="6219" spans="31:33">
      <c r="AE6219">
        <v>0</v>
      </c>
      <c r="AG6219">
        <v>0</v>
      </c>
    </row>
    <row r="6220" spans="31:33">
      <c r="AE6220" s="31">
        <v>-11673127.960000001</v>
      </c>
      <c r="AG6220" s="31">
        <v>-13021422.83</v>
      </c>
    </row>
    <row r="6221" spans="31:33">
      <c r="AE6221">
        <v>0</v>
      </c>
      <c r="AG6221">
        <v>0</v>
      </c>
    </row>
    <row r="6222" spans="31:33">
      <c r="AE6222" s="31">
        <v>1996254.44</v>
      </c>
      <c r="AG6222" s="31">
        <v>1859255.6</v>
      </c>
    </row>
    <row r="6223" spans="31:33">
      <c r="AE6223">
        <v>0</v>
      </c>
      <c r="AG6223">
        <v>0</v>
      </c>
    </row>
    <row r="6224" spans="31:33">
      <c r="AE6224" s="31">
        <v>-1527874.96</v>
      </c>
      <c r="AG6224" s="31">
        <v>-1985255.67</v>
      </c>
    </row>
    <row r="6225" spans="31:33">
      <c r="AE6225">
        <v>0</v>
      </c>
      <c r="AG6225">
        <v>0</v>
      </c>
    </row>
    <row r="6226" spans="31:33">
      <c r="AE6226" s="31">
        <v>-181761.46</v>
      </c>
      <c r="AG6226" s="31">
        <v>-109750.87</v>
      </c>
    </row>
    <row r="6227" spans="31:33">
      <c r="AE6227">
        <v>0</v>
      </c>
      <c r="AG6227">
        <v>0</v>
      </c>
    </row>
    <row r="6228" spans="31:33">
      <c r="AE6228">
        <v>0</v>
      </c>
      <c r="AG6228">
        <v>0</v>
      </c>
    </row>
    <row r="6229" spans="31:33">
      <c r="AE6229">
        <v>0</v>
      </c>
      <c r="AG6229">
        <v>0</v>
      </c>
    </row>
    <row r="6230" spans="31:33">
      <c r="AE6230">
        <v>0</v>
      </c>
      <c r="AG6230">
        <v>0</v>
      </c>
    </row>
    <row r="6231" spans="31:33">
      <c r="AE6231">
        <v>0</v>
      </c>
      <c r="AG6231">
        <v>0</v>
      </c>
    </row>
    <row r="6232" spans="31:33">
      <c r="AE6232">
        <v>0</v>
      </c>
      <c r="AG6232">
        <v>0</v>
      </c>
    </row>
    <row r="6233" spans="31:33">
      <c r="AE6233">
        <v>0</v>
      </c>
      <c r="AG6233">
        <v>0</v>
      </c>
    </row>
    <row r="6234" spans="31:33">
      <c r="AE6234">
        <v>0</v>
      </c>
      <c r="AG6234">
        <v>0</v>
      </c>
    </row>
    <row r="6235" spans="31:33">
      <c r="AE6235">
        <v>0</v>
      </c>
      <c r="AG6235">
        <v>0</v>
      </c>
    </row>
    <row r="6236" spans="31:33">
      <c r="AE6236">
        <v>0</v>
      </c>
      <c r="AG6236">
        <v>0</v>
      </c>
    </row>
    <row r="6237" spans="31:33">
      <c r="AE6237">
        <v>0</v>
      </c>
      <c r="AG6237">
        <v>0</v>
      </c>
    </row>
    <row r="6238" spans="31:33">
      <c r="AE6238">
        <v>0</v>
      </c>
      <c r="AG6238">
        <v>0</v>
      </c>
    </row>
    <row r="6239" spans="31:33">
      <c r="AE6239">
        <v>0</v>
      </c>
      <c r="AG6239">
        <v>0</v>
      </c>
    </row>
    <row r="6240" spans="31:33">
      <c r="AE6240">
        <v>0</v>
      </c>
      <c r="AG6240">
        <v>0</v>
      </c>
    </row>
    <row r="6241" spans="31:33">
      <c r="AE6241">
        <v>0</v>
      </c>
      <c r="AG6241">
        <v>0</v>
      </c>
    </row>
    <row r="6242" spans="31:33">
      <c r="AE6242">
        <v>0</v>
      </c>
      <c r="AG6242">
        <v>0</v>
      </c>
    </row>
    <row r="6243" spans="31:33">
      <c r="AE6243">
        <v>0</v>
      </c>
      <c r="AG6243">
        <v>0</v>
      </c>
    </row>
    <row r="6244" spans="31:33">
      <c r="AE6244">
        <v>0</v>
      </c>
      <c r="AG6244">
        <v>0</v>
      </c>
    </row>
    <row r="6245" spans="31:33">
      <c r="AE6245">
        <v>0</v>
      </c>
      <c r="AG6245">
        <v>0</v>
      </c>
    </row>
    <row r="6246" spans="31:33">
      <c r="AE6246">
        <v>0</v>
      </c>
      <c r="AG6246">
        <v>0</v>
      </c>
    </row>
    <row r="6247" spans="31:33">
      <c r="AE6247">
        <v>0</v>
      </c>
      <c r="AG6247">
        <v>0</v>
      </c>
    </row>
    <row r="6248" spans="31:33">
      <c r="AE6248">
        <v>0</v>
      </c>
      <c r="AG6248">
        <v>0</v>
      </c>
    </row>
    <row r="6249" spans="31:33">
      <c r="AE6249">
        <v>0</v>
      </c>
      <c r="AG6249">
        <v>0</v>
      </c>
    </row>
    <row r="6250" spans="31:33">
      <c r="AE6250">
        <v>0</v>
      </c>
      <c r="AG6250">
        <v>0</v>
      </c>
    </row>
    <row r="6251" spans="31:33">
      <c r="AE6251">
        <v>0</v>
      </c>
      <c r="AG6251">
        <v>0</v>
      </c>
    </row>
    <row r="6252" spans="31:33">
      <c r="AE6252">
        <v>0</v>
      </c>
      <c r="AG6252">
        <v>0</v>
      </c>
    </row>
    <row r="6253" spans="31:33">
      <c r="AE6253">
        <v>0</v>
      </c>
      <c r="AG6253">
        <v>0</v>
      </c>
    </row>
    <row r="6254" spans="31:33">
      <c r="AE6254">
        <v>0</v>
      </c>
      <c r="AG6254">
        <v>0</v>
      </c>
    </row>
    <row r="6255" spans="31:33">
      <c r="AE6255">
        <v>0</v>
      </c>
      <c r="AG6255">
        <v>0</v>
      </c>
    </row>
    <row r="6256" spans="31:33">
      <c r="AE6256">
        <v>0</v>
      </c>
      <c r="AG6256">
        <v>0</v>
      </c>
    </row>
    <row r="6257" spans="31:33">
      <c r="AE6257">
        <v>0</v>
      </c>
      <c r="AG6257">
        <v>0</v>
      </c>
    </row>
    <row r="6258" spans="31:33">
      <c r="AE6258">
        <v>0</v>
      </c>
      <c r="AG6258">
        <v>0</v>
      </c>
    </row>
    <row r="6259" spans="31:33">
      <c r="AE6259">
        <v>0</v>
      </c>
      <c r="AG6259">
        <v>0</v>
      </c>
    </row>
    <row r="6260" spans="31:33">
      <c r="AE6260" s="31">
        <v>40584.769999999997</v>
      </c>
      <c r="AG6260" s="31">
        <v>49278.34</v>
      </c>
    </row>
    <row r="6261" spans="31:33">
      <c r="AE6261" s="31">
        <v>-700296.16</v>
      </c>
      <c r="AG6261" s="31">
        <v>-439648.75</v>
      </c>
    </row>
    <row r="6262" spans="31:33">
      <c r="AE6262" s="31">
        <v>-15173.08</v>
      </c>
      <c r="AG6262" s="31">
        <v>28861.47</v>
      </c>
    </row>
    <row r="6263" spans="31:33">
      <c r="AE6263">
        <v>0</v>
      </c>
      <c r="AG6263">
        <v>0</v>
      </c>
    </row>
    <row r="6264" spans="31:33">
      <c r="AE6264" s="31">
        <v>88939.22</v>
      </c>
      <c r="AG6264" s="31">
        <v>88373.7</v>
      </c>
    </row>
    <row r="6265" spans="31:33">
      <c r="AE6265">
        <v>0</v>
      </c>
      <c r="AG6265">
        <v>0</v>
      </c>
    </row>
    <row r="6266" spans="31:33">
      <c r="AE6266">
        <v>0</v>
      </c>
      <c r="AG6266">
        <v>0</v>
      </c>
    </row>
    <row r="6267" spans="31:33">
      <c r="AE6267">
        <v>0</v>
      </c>
      <c r="AG6267">
        <v>0</v>
      </c>
    </row>
    <row r="6268" spans="31:33">
      <c r="AE6268">
        <v>0</v>
      </c>
      <c r="AG6268">
        <v>0</v>
      </c>
    </row>
    <row r="6269" spans="31:33">
      <c r="AE6269">
        <v>0</v>
      </c>
      <c r="AG6269">
        <v>0</v>
      </c>
    </row>
    <row r="6270" spans="31:33">
      <c r="AE6270">
        <v>0</v>
      </c>
      <c r="AG6270">
        <v>0</v>
      </c>
    </row>
    <row r="6271" spans="31:33">
      <c r="AE6271" s="31">
        <v>-429198.49</v>
      </c>
      <c r="AG6271" s="31">
        <v>-676017.66</v>
      </c>
    </row>
    <row r="6272" spans="31:33">
      <c r="AE6272" s="31">
        <v>7872406.3899999997</v>
      </c>
      <c r="AG6272" s="31">
        <v>9012486</v>
      </c>
    </row>
    <row r="6273" spans="31:33">
      <c r="AE6273" s="31">
        <v>1732.02</v>
      </c>
      <c r="AG6273" s="31">
        <v>-17667.36</v>
      </c>
    </row>
    <row r="6274" spans="31:33">
      <c r="AE6274" s="31">
        <v>16192.88</v>
      </c>
      <c r="AG6274" s="31">
        <v>16192.88</v>
      </c>
    </row>
    <row r="6275" spans="31:33">
      <c r="AE6275" s="31">
        <v>-6195670.9199999999</v>
      </c>
      <c r="AG6275" s="31">
        <v>-5634049.5899999999</v>
      </c>
    </row>
    <row r="6276" spans="31:33">
      <c r="AE6276" s="31">
        <v>-665517.44999999995</v>
      </c>
      <c r="AG6276" s="31">
        <v>-967047.39</v>
      </c>
    </row>
    <row r="6277" spans="31:33">
      <c r="AE6277" s="31">
        <v>-51597.64</v>
      </c>
      <c r="AG6277" s="31">
        <v>-113344.97</v>
      </c>
    </row>
    <row r="6278" spans="31:33">
      <c r="AE6278" s="31">
        <v>2087095.69</v>
      </c>
      <c r="AG6278" s="31">
        <v>2806916.25</v>
      </c>
    </row>
    <row r="6279" spans="31:33">
      <c r="AE6279">
        <v>0</v>
      </c>
      <c r="AG6279">
        <v>0</v>
      </c>
    </row>
    <row r="6280" spans="31:33">
      <c r="AE6280">
        <v>0</v>
      </c>
      <c r="AG6280">
        <v>0</v>
      </c>
    </row>
    <row r="6281" spans="31:33">
      <c r="AE6281">
        <v>0</v>
      </c>
      <c r="AG6281">
        <v>0</v>
      </c>
    </row>
    <row r="6282" spans="31:33">
      <c r="AE6282">
        <v>0</v>
      </c>
      <c r="AG6282">
        <v>0</v>
      </c>
    </row>
    <row r="6283" spans="31:33">
      <c r="AE6283">
        <v>0</v>
      </c>
      <c r="AG6283">
        <v>0</v>
      </c>
    </row>
    <row r="6284" spans="31:33">
      <c r="AE6284">
        <v>0</v>
      </c>
      <c r="AG6284">
        <v>0</v>
      </c>
    </row>
    <row r="6285" spans="31:33">
      <c r="AE6285">
        <v>0</v>
      </c>
      <c r="AG6285">
        <v>0</v>
      </c>
    </row>
    <row r="6286" spans="31:33">
      <c r="AE6286">
        <v>0</v>
      </c>
      <c r="AG6286">
        <v>0</v>
      </c>
    </row>
    <row r="6287" spans="31:33">
      <c r="AE6287">
        <v>0</v>
      </c>
      <c r="AG6287">
        <v>0</v>
      </c>
    </row>
    <row r="6288" spans="31:33">
      <c r="AE6288">
        <v>0</v>
      </c>
      <c r="AG6288">
        <v>0</v>
      </c>
    </row>
    <row r="6289" spans="31:33">
      <c r="AE6289">
        <v>0</v>
      </c>
      <c r="AG6289">
        <v>0</v>
      </c>
    </row>
    <row r="6290" spans="31:33">
      <c r="AE6290">
        <v>0</v>
      </c>
      <c r="AG6290">
        <v>0</v>
      </c>
    </row>
    <row r="6291" spans="31:33">
      <c r="AE6291">
        <v>0</v>
      </c>
      <c r="AG6291">
        <v>0</v>
      </c>
    </row>
    <row r="6292" spans="31:33">
      <c r="AE6292">
        <v>0</v>
      </c>
      <c r="AG6292">
        <v>0</v>
      </c>
    </row>
    <row r="6293" spans="31:33">
      <c r="AE6293">
        <v>0</v>
      </c>
      <c r="AG6293">
        <v>0</v>
      </c>
    </row>
    <row r="6294" spans="31:33">
      <c r="AE6294">
        <v>0</v>
      </c>
      <c r="AG6294">
        <v>0</v>
      </c>
    </row>
    <row r="6295" spans="31:33">
      <c r="AE6295">
        <v>0</v>
      </c>
      <c r="AG6295">
        <v>0</v>
      </c>
    </row>
    <row r="6296" spans="31:33">
      <c r="AE6296">
        <v>0</v>
      </c>
      <c r="AG6296">
        <v>0</v>
      </c>
    </row>
    <row r="6297" spans="31:33">
      <c r="AE6297">
        <v>0</v>
      </c>
      <c r="AG6297">
        <v>0</v>
      </c>
    </row>
    <row r="6298" spans="31:33">
      <c r="AE6298">
        <v>0</v>
      </c>
      <c r="AG6298">
        <v>0</v>
      </c>
    </row>
    <row r="6299" spans="31:33">
      <c r="AE6299">
        <v>0</v>
      </c>
      <c r="AG6299">
        <v>0</v>
      </c>
    </row>
    <row r="6300" spans="31:33">
      <c r="AE6300">
        <v>0</v>
      </c>
      <c r="AG6300">
        <v>0</v>
      </c>
    </row>
    <row r="6301" spans="31:33">
      <c r="AE6301">
        <v>0</v>
      </c>
      <c r="AG6301">
        <v>0</v>
      </c>
    </row>
    <row r="6302" spans="31:33">
      <c r="AE6302">
        <v>0</v>
      </c>
      <c r="AG6302">
        <v>0</v>
      </c>
    </row>
    <row r="6303" spans="31:33">
      <c r="AE6303">
        <v>0</v>
      </c>
      <c r="AG6303">
        <v>0</v>
      </c>
    </row>
    <row r="6304" spans="31:33">
      <c r="AE6304">
        <v>0</v>
      </c>
      <c r="AG6304">
        <v>0</v>
      </c>
    </row>
    <row r="6305" spans="31:33">
      <c r="AE6305">
        <v>0</v>
      </c>
      <c r="AG6305">
        <v>0</v>
      </c>
    </row>
    <row r="6306" spans="31:33">
      <c r="AE6306">
        <v>0</v>
      </c>
      <c r="AG6306">
        <v>0</v>
      </c>
    </row>
    <row r="6307" spans="31:33">
      <c r="AE6307">
        <v>0</v>
      </c>
      <c r="AG6307">
        <v>0</v>
      </c>
    </row>
    <row r="6308" spans="31:33">
      <c r="AE6308">
        <v>0</v>
      </c>
      <c r="AG6308">
        <v>0</v>
      </c>
    </row>
    <row r="6309" spans="31:33">
      <c r="AE6309">
        <v>0</v>
      </c>
      <c r="AG6309">
        <v>0</v>
      </c>
    </row>
    <row r="6310" spans="31:33">
      <c r="AE6310">
        <v>0</v>
      </c>
      <c r="AG6310">
        <v>0</v>
      </c>
    </row>
    <row r="6311" spans="31:33">
      <c r="AE6311">
        <v>0</v>
      </c>
      <c r="AG6311">
        <v>0</v>
      </c>
    </row>
    <row r="6312" spans="31:33">
      <c r="AE6312">
        <v>0</v>
      </c>
      <c r="AG6312">
        <v>0</v>
      </c>
    </row>
    <row r="6313" spans="31:33">
      <c r="AE6313">
        <v>0</v>
      </c>
      <c r="AG6313">
        <v>0</v>
      </c>
    </row>
    <row r="6314" spans="31:33">
      <c r="AE6314">
        <v>0</v>
      </c>
      <c r="AG6314">
        <v>0</v>
      </c>
    </row>
    <row r="6315" spans="31:33">
      <c r="AE6315">
        <v>0</v>
      </c>
      <c r="AG6315">
        <v>0</v>
      </c>
    </row>
    <row r="6316" spans="31:33">
      <c r="AE6316">
        <v>0</v>
      </c>
      <c r="AG6316">
        <v>0</v>
      </c>
    </row>
    <row r="6317" spans="31:33">
      <c r="AE6317">
        <v>0</v>
      </c>
      <c r="AG6317">
        <v>0</v>
      </c>
    </row>
    <row r="6318" spans="31:33">
      <c r="AE6318">
        <v>0</v>
      </c>
      <c r="AG6318">
        <v>0</v>
      </c>
    </row>
    <row r="6319" spans="31:33">
      <c r="AE6319">
        <v>0</v>
      </c>
      <c r="AG6319">
        <v>0</v>
      </c>
    </row>
    <row r="6320" spans="31:33">
      <c r="AE6320">
        <v>0</v>
      </c>
      <c r="AG6320">
        <v>0</v>
      </c>
    </row>
    <row r="6321" spans="31:33">
      <c r="AE6321">
        <v>0</v>
      </c>
      <c r="AG6321">
        <v>0</v>
      </c>
    </row>
    <row r="6322" spans="31:33">
      <c r="AE6322">
        <v>0</v>
      </c>
      <c r="AG6322">
        <v>0</v>
      </c>
    </row>
    <row r="6323" spans="31:33">
      <c r="AE6323">
        <v>0</v>
      </c>
      <c r="AG6323">
        <v>0</v>
      </c>
    </row>
    <row r="6324" spans="31:33">
      <c r="AE6324">
        <v>0</v>
      </c>
      <c r="AG6324">
        <v>0</v>
      </c>
    </row>
    <row r="6325" spans="31:33">
      <c r="AE6325">
        <v>0</v>
      </c>
      <c r="AG6325">
        <v>0</v>
      </c>
    </row>
    <row r="6326" spans="31:33">
      <c r="AE6326">
        <v>0</v>
      </c>
      <c r="AG6326">
        <v>0</v>
      </c>
    </row>
    <row r="6327" spans="31:33">
      <c r="AE6327">
        <v>0</v>
      </c>
      <c r="AG6327">
        <v>0</v>
      </c>
    </row>
    <row r="6328" spans="31:33">
      <c r="AE6328">
        <v>0</v>
      </c>
      <c r="AG6328">
        <v>0</v>
      </c>
    </row>
    <row r="6329" spans="31:33">
      <c r="AE6329">
        <v>0</v>
      </c>
      <c r="AG6329">
        <v>0</v>
      </c>
    </row>
    <row r="6330" spans="31:33">
      <c r="AE6330">
        <v>0</v>
      </c>
      <c r="AG6330">
        <v>0</v>
      </c>
    </row>
    <row r="6331" spans="31:33">
      <c r="AE6331">
        <v>0</v>
      </c>
      <c r="AG6331">
        <v>0</v>
      </c>
    </row>
    <row r="6332" spans="31:33">
      <c r="AE6332">
        <v>0</v>
      </c>
      <c r="AG6332">
        <v>0</v>
      </c>
    </row>
    <row r="6333" spans="31:33">
      <c r="AE6333">
        <v>0</v>
      </c>
      <c r="AG6333">
        <v>0</v>
      </c>
    </row>
    <row r="6334" spans="31:33">
      <c r="AE6334">
        <v>0</v>
      </c>
      <c r="AG6334">
        <v>0</v>
      </c>
    </row>
    <row r="6335" spans="31:33">
      <c r="AE6335">
        <v>0</v>
      </c>
      <c r="AG6335">
        <v>0</v>
      </c>
    </row>
    <row r="6336" spans="31:33">
      <c r="AE6336">
        <v>0</v>
      </c>
      <c r="AG6336">
        <v>0</v>
      </c>
    </row>
    <row r="6337" spans="31:33">
      <c r="AE6337">
        <v>0</v>
      </c>
      <c r="AG6337">
        <v>0</v>
      </c>
    </row>
    <row r="6338" spans="31:33">
      <c r="AE6338">
        <v>0</v>
      </c>
      <c r="AG6338">
        <v>0</v>
      </c>
    </row>
    <row r="6339" spans="31:33">
      <c r="AE6339">
        <v>0</v>
      </c>
      <c r="AG6339">
        <v>0</v>
      </c>
    </row>
    <row r="6340" spans="31:33">
      <c r="AE6340">
        <v>0</v>
      </c>
      <c r="AG6340">
        <v>0</v>
      </c>
    </row>
    <row r="6341" spans="31:33">
      <c r="AE6341">
        <v>0</v>
      </c>
      <c r="AG6341">
        <v>0</v>
      </c>
    </row>
    <row r="6342" spans="31:33">
      <c r="AE6342">
        <v>0</v>
      </c>
      <c r="AG6342">
        <v>0</v>
      </c>
    </row>
    <row r="6345" spans="31:33">
      <c r="AE6345">
        <v>0</v>
      </c>
      <c r="AG6345">
        <v>0</v>
      </c>
    </row>
    <row r="6346" spans="31:33">
      <c r="AE6346">
        <v>0</v>
      </c>
      <c r="AG6346">
        <v>0</v>
      </c>
    </row>
    <row r="6347" spans="31:33">
      <c r="AE6347">
        <v>0</v>
      </c>
      <c r="AG6347">
        <v>0</v>
      </c>
    </row>
    <row r="6348" spans="31:33">
      <c r="AE6348">
        <v>0</v>
      </c>
      <c r="AG6348">
        <v>0</v>
      </c>
    </row>
    <row r="6349" spans="31:33">
      <c r="AE6349">
        <v>0</v>
      </c>
      <c r="AG6349">
        <v>0</v>
      </c>
    </row>
    <row r="6350" spans="31:33">
      <c r="AE6350">
        <v>0</v>
      </c>
      <c r="AG6350">
        <v>0</v>
      </c>
    </row>
    <row r="6351" spans="31:33">
      <c r="AE6351">
        <v>0</v>
      </c>
      <c r="AG6351">
        <v>0</v>
      </c>
    </row>
    <row r="6352" spans="31:33">
      <c r="AE6352">
        <v>0</v>
      </c>
      <c r="AG6352">
        <v>0</v>
      </c>
    </row>
    <row r="6353" spans="31:33">
      <c r="AE6353">
        <v>0</v>
      </c>
      <c r="AG6353">
        <v>0</v>
      </c>
    </row>
    <row r="6354" spans="31:33">
      <c r="AE6354">
        <v>0</v>
      </c>
      <c r="AG6354">
        <v>0</v>
      </c>
    </row>
    <row r="6355" spans="31:33">
      <c r="AE6355">
        <v>0</v>
      </c>
      <c r="AG6355">
        <v>0</v>
      </c>
    </row>
    <row r="6356" spans="31:33">
      <c r="AE6356">
        <v>0</v>
      </c>
      <c r="AG6356">
        <v>0</v>
      </c>
    </row>
    <row r="6357" spans="31:33">
      <c r="AE6357">
        <v>0</v>
      </c>
      <c r="AG6357">
        <v>0</v>
      </c>
    </row>
    <row r="6358" spans="31:33">
      <c r="AE6358">
        <v>0</v>
      </c>
      <c r="AG6358">
        <v>0</v>
      </c>
    </row>
    <row r="6359" spans="31:33">
      <c r="AE6359">
        <v>0</v>
      </c>
      <c r="AG6359">
        <v>0</v>
      </c>
    </row>
    <row r="6360" spans="31:33">
      <c r="AE6360">
        <v>0</v>
      </c>
      <c r="AG6360">
        <v>0</v>
      </c>
    </row>
    <row r="6361" spans="31:33">
      <c r="AE6361">
        <v>0</v>
      </c>
      <c r="AG6361">
        <v>0</v>
      </c>
    </row>
    <row r="6362" spans="31:33">
      <c r="AE6362">
        <v>0</v>
      </c>
      <c r="AG6362">
        <v>0</v>
      </c>
    </row>
    <row r="6363" spans="31:33">
      <c r="AE6363">
        <v>0</v>
      </c>
      <c r="AG6363">
        <v>0</v>
      </c>
    </row>
    <row r="6364" spans="31:33">
      <c r="AE6364">
        <v>0</v>
      </c>
      <c r="AG6364">
        <v>0</v>
      </c>
    </row>
    <row r="6365" spans="31:33">
      <c r="AE6365">
        <v>0</v>
      </c>
      <c r="AG6365">
        <v>0</v>
      </c>
    </row>
    <row r="6366" spans="31:33">
      <c r="AE6366">
        <v>0</v>
      </c>
      <c r="AG6366">
        <v>0</v>
      </c>
    </row>
    <row r="6367" spans="31:33">
      <c r="AE6367">
        <v>0</v>
      </c>
      <c r="AG6367">
        <v>0</v>
      </c>
    </row>
    <row r="6368" spans="31:33">
      <c r="AE6368">
        <v>0</v>
      </c>
      <c r="AG6368">
        <v>0</v>
      </c>
    </row>
    <row r="6369" spans="31:33">
      <c r="AE6369">
        <v>0</v>
      </c>
      <c r="AG6369">
        <v>0</v>
      </c>
    </row>
    <row r="6370" spans="31:33">
      <c r="AE6370">
        <v>0</v>
      </c>
      <c r="AG6370">
        <v>0</v>
      </c>
    </row>
    <row r="6371" spans="31:33">
      <c r="AE6371">
        <v>0</v>
      </c>
      <c r="AG6371">
        <v>0</v>
      </c>
    </row>
    <row r="6372" spans="31:33">
      <c r="AE6372">
        <v>0</v>
      </c>
      <c r="AG6372">
        <v>0</v>
      </c>
    </row>
    <row r="6373" spans="31:33">
      <c r="AE6373">
        <v>0</v>
      </c>
      <c r="AG6373">
        <v>0</v>
      </c>
    </row>
    <row r="6374" spans="31:33">
      <c r="AE6374">
        <v>0</v>
      </c>
      <c r="AG6374">
        <v>0</v>
      </c>
    </row>
    <row r="6375" spans="31:33">
      <c r="AE6375">
        <v>0</v>
      </c>
      <c r="AG6375">
        <v>0</v>
      </c>
    </row>
    <row r="6376" spans="31:33">
      <c r="AE6376">
        <v>0</v>
      </c>
      <c r="AG6376">
        <v>0</v>
      </c>
    </row>
    <row r="6377" spans="31:33">
      <c r="AE6377">
        <v>0</v>
      </c>
      <c r="AG6377">
        <v>0</v>
      </c>
    </row>
    <row r="6378" spans="31:33">
      <c r="AE6378">
        <v>0</v>
      </c>
      <c r="AG6378">
        <v>0</v>
      </c>
    </row>
    <row r="6379" spans="31:33">
      <c r="AE6379">
        <v>0</v>
      </c>
      <c r="AG6379">
        <v>0</v>
      </c>
    </row>
    <row r="6380" spans="31:33">
      <c r="AE6380">
        <v>0</v>
      </c>
      <c r="AG6380">
        <v>0</v>
      </c>
    </row>
    <row r="6381" spans="31:33">
      <c r="AE6381">
        <v>0</v>
      </c>
      <c r="AG6381">
        <v>0</v>
      </c>
    </row>
    <row r="6382" spans="31:33">
      <c r="AE6382">
        <v>0</v>
      </c>
      <c r="AG6382">
        <v>0</v>
      </c>
    </row>
    <row r="6383" spans="31:33">
      <c r="AE6383">
        <v>0</v>
      </c>
      <c r="AG6383">
        <v>0</v>
      </c>
    </row>
    <row r="6384" spans="31:33">
      <c r="AE6384">
        <v>0</v>
      </c>
      <c r="AG6384">
        <v>0</v>
      </c>
    </row>
    <row r="6385" spans="31:33">
      <c r="AE6385">
        <v>0</v>
      </c>
      <c r="AG6385">
        <v>0</v>
      </c>
    </row>
    <row r="6386" spans="31:33">
      <c r="AE6386">
        <v>0</v>
      </c>
      <c r="AG6386">
        <v>0</v>
      </c>
    </row>
    <row r="6387" spans="31:33">
      <c r="AE6387">
        <v>0</v>
      </c>
      <c r="AG6387">
        <v>0</v>
      </c>
    </row>
    <row r="6388" spans="31:33">
      <c r="AE6388">
        <v>0</v>
      </c>
      <c r="AG6388">
        <v>0</v>
      </c>
    </row>
    <row r="6389" spans="31:33">
      <c r="AE6389">
        <v>0</v>
      </c>
      <c r="AG6389">
        <v>0</v>
      </c>
    </row>
    <row r="6390" spans="31:33">
      <c r="AE6390">
        <v>0</v>
      </c>
      <c r="AG6390">
        <v>0</v>
      </c>
    </row>
    <row r="6391" spans="31:33">
      <c r="AE6391">
        <v>0</v>
      </c>
      <c r="AG6391">
        <v>0</v>
      </c>
    </row>
    <row r="6392" spans="31:33">
      <c r="AE6392">
        <v>0</v>
      </c>
      <c r="AG6392">
        <v>0</v>
      </c>
    </row>
    <row r="6393" spans="31:33">
      <c r="AE6393">
        <v>0</v>
      </c>
      <c r="AG6393">
        <v>0</v>
      </c>
    </row>
    <row r="6394" spans="31:33">
      <c r="AE6394">
        <v>0</v>
      </c>
      <c r="AG6394">
        <v>0</v>
      </c>
    </row>
    <row r="6395" spans="31:33">
      <c r="AE6395">
        <v>0</v>
      </c>
      <c r="AG6395">
        <v>0</v>
      </c>
    </row>
    <row r="6396" spans="31:33">
      <c r="AE6396">
        <v>0</v>
      </c>
      <c r="AG6396">
        <v>0</v>
      </c>
    </row>
    <row r="6397" spans="31:33">
      <c r="AE6397">
        <v>0</v>
      </c>
      <c r="AG6397">
        <v>0</v>
      </c>
    </row>
    <row r="6398" spans="31:33">
      <c r="AE6398">
        <v>0</v>
      </c>
      <c r="AG6398">
        <v>0</v>
      </c>
    </row>
    <row r="6399" spans="31:33">
      <c r="AE6399">
        <v>0</v>
      </c>
      <c r="AG6399">
        <v>0</v>
      </c>
    </row>
    <row r="6400" spans="31:33">
      <c r="AE6400">
        <v>0</v>
      </c>
      <c r="AG6400">
        <v>0</v>
      </c>
    </row>
    <row r="6401" spans="31:33">
      <c r="AE6401">
        <v>0</v>
      </c>
      <c r="AG6401">
        <v>0</v>
      </c>
    </row>
    <row r="6402" spans="31:33">
      <c r="AE6402">
        <v>0</v>
      </c>
      <c r="AG6402">
        <v>0</v>
      </c>
    </row>
    <row r="6403" spans="31:33">
      <c r="AE6403">
        <v>0</v>
      </c>
      <c r="AG6403">
        <v>0</v>
      </c>
    </row>
    <row r="6404" spans="31:33">
      <c r="AE6404">
        <v>0</v>
      </c>
      <c r="AG6404">
        <v>0</v>
      </c>
    </row>
    <row r="6405" spans="31:33">
      <c r="AE6405">
        <v>0</v>
      </c>
      <c r="AG6405">
        <v>0</v>
      </c>
    </row>
    <row r="6406" spans="31:33">
      <c r="AE6406">
        <v>0</v>
      </c>
      <c r="AG6406">
        <v>0</v>
      </c>
    </row>
    <row r="6407" spans="31:33">
      <c r="AE6407">
        <v>0</v>
      </c>
      <c r="AG6407">
        <v>0</v>
      </c>
    </row>
    <row r="6408" spans="31:33">
      <c r="AE6408">
        <v>0</v>
      </c>
      <c r="AG6408">
        <v>0</v>
      </c>
    </row>
    <row r="6409" spans="31:33">
      <c r="AE6409">
        <v>0</v>
      </c>
      <c r="AG6409">
        <v>0</v>
      </c>
    </row>
    <row r="6410" spans="31:33">
      <c r="AE6410">
        <v>0</v>
      </c>
      <c r="AG6410">
        <v>0</v>
      </c>
    </row>
    <row r="6411" spans="31:33">
      <c r="AE6411">
        <v>0</v>
      </c>
      <c r="AG6411">
        <v>0</v>
      </c>
    </row>
    <row r="6412" spans="31:33">
      <c r="AE6412">
        <v>0</v>
      </c>
      <c r="AG6412">
        <v>0</v>
      </c>
    </row>
    <row r="6413" spans="31:33">
      <c r="AE6413">
        <v>0</v>
      </c>
      <c r="AG6413">
        <v>0</v>
      </c>
    </row>
    <row r="6414" spans="31:33">
      <c r="AE6414">
        <v>0</v>
      </c>
      <c r="AG6414">
        <v>0</v>
      </c>
    </row>
    <row r="6415" spans="31:33">
      <c r="AE6415">
        <v>0</v>
      </c>
      <c r="AG6415">
        <v>0</v>
      </c>
    </row>
    <row r="6416" spans="31:33">
      <c r="AE6416">
        <v>0</v>
      </c>
      <c r="AG6416">
        <v>0</v>
      </c>
    </row>
    <row r="6417" spans="31:33">
      <c r="AE6417">
        <v>0</v>
      </c>
      <c r="AG6417">
        <v>0</v>
      </c>
    </row>
    <row r="6418" spans="31:33">
      <c r="AE6418">
        <v>0</v>
      </c>
      <c r="AG6418">
        <v>0</v>
      </c>
    </row>
    <row r="6419" spans="31:33">
      <c r="AE6419">
        <v>0</v>
      </c>
      <c r="AG6419">
        <v>0</v>
      </c>
    </row>
    <row r="6420" spans="31:33">
      <c r="AE6420">
        <v>0</v>
      </c>
      <c r="AG6420">
        <v>0</v>
      </c>
    </row>
    <row r="6421" spans="31:33">
      <c r="AE6421">
        <v>0</v>
      </c>
      <c r="AG6421">
        <v>0</v>
      </c>
    </row>
    <row r="6422" spans="31:33">
      <c r="AE6422">
        <v>0</v>
      </c>
      <c r="AG6422">
        <v>0</v>
      </c>
    </row>
    <row r="6423" spans="31:33">
      <c r="AE6423">
        <v>0</v>
      </c>
      <c r="AG6423">
        <v>0</v>
      </c>
    </row>
    <row r="6424" spans="31:33">
      <c r="AE6424">
        <v>0</v>
      </c>
      <c r="AG6424">
        <v>0</v>
      </c>
    </row>
    <row r="6425" spans="31:33">
      <c r="AE6425">
        <v>0</v>
      </c>
      <c r="AG6425">
        <v>0</v>
      </c>
    </row>
    <row r="6426" spans="31:33">
      <c r="AE6426">
        <v>0</v>
      </c>
      <c r="AG6426">
        <v>0</v>
      </c>
    </row>
    <row r="6427" spans="31:33">
      <c r="AE6427">
        <v>0</v>
      </c>
      <c r="AG6427">
        <v>0</v>
      </c>
    </row>
    <row r="6428" spans="31:33">
      <c r="AE6428">
        <v>0</v>
      </c>
      <c r="AG6428">
        <v>0</v>
      </c>
    </row>
    <row r="6429" spans="31:33">
      <c r="AE6429">
        <v>0</v>
      </c>
      <c r="AG6429">
        <v>0</v>
      </c>
    </row>
    <row r="6430" spans="31:33">
      <c r="AE6430">
        <v>0</v>
      </c>
      <c r="AG6430">
        <v>0</v>
      </c>
    </row>
    <row r="6431" spans="31:33">
      <c r="AE6431">
        <v>0</v>
      </c>
      <c r="AG6431">
        <v>0</v>
      </c>
    </row>
    <row r="6432" spans="31:33">
      <c r="AE6432">
        <v>0</v>
      </c>
      <c r="AG6432">
        <v>0</v>
      </c>
    </row>
    <row r="6433" spans="31:33">
      <c r="AE6433">
        <v>0</v>
      </c>
      <c r="AG6433">
        <v>0</v>
      </c>
    </row>
    <row r="6434" spans="31:33">
      <c r="AE6434">
        <v>0</v>
      </c>
      <c r="AG6434">
        <v>0</v>
      </c>
    </row>
    <row r="6435" spans="31:33">
      <c r="AE6435">
        <v>0</v>
      </c>
      <c r="AG6435">
        <v>0</v>
      </c>
    </row>
    <row r="6436" spans="31:33">
      <c r="AE6436">
        <v>0</v>
      </c>
      <c r="AG6436">
        <v>0</v>
      </c>
    </row>
    <row r="6437" spans="31:33">
      <c r="AE6437">
        <v>0</v>
      </c>
      <c r="AG6437">
        <v>0</v>
      </c>
    </row>
    <row r="6438" spans="31:33">
      <c r="AE6438">
        <v>0</v>
      </c>
      <c r="AG6438">
        <v>0</v>
      </c>
    </row>
    <row r="6439" spans="31:33">
      <c r="AE6439">
        <v>0</v>
      </c>
      <c r="AG6439">
        <v>0</v>
      </c>
    </row>
    <row r="6440" spans="31:33">
      <c r="AE6440">
        <v>0</v>
      </c>
      <c r="AG6440">
        <v>0</v>
      </c>
    </row>
    <row r="6441" spans="31:33">
      <c r="AE6441">
        <v>0</v>
      </c>
      <c r="AG6441">
        <v>0</v>
      </c>
    </row>
    <row r="6442" spans="31:33">
      <c r="AE6442">
        <v>0</v>
      </c>
      <c r="AG6442">
        <v>0</v>
      </c>
    </row>
    <row r="6443" spans="31:33">
      <c r="AE6443">
        <v>0</v>
      </c>
      <c r="AG6443">
        <v>0</v>
      </c>
    </row>
    <row r="6444" spans="31:33">
      <c r="AE6444">
        <v>0</v>
      </c>
      <c r="AG6444">
        <v>0</v>
      </c>
    </row>
    <row r="6445" spans="31:33">
      <c r="AE6445">
        <v>0</v>
      </c>
      <c r="AG6445">
        <v>0</v>
      </c>
    </row>
    <row r="6446" spans="31:33">
      <c r="AE6446">
        <v>0</v>
      </c>
      <c r="AG6446">
        <v>0</v>
      </c>
    </row>
    <row r="6447" spans="31:33">
      <c r="AE6447">
        <v>0</v>
      </c>
      <c r="AG6447">
        <v>0</v>
      </c>
    </row>
    <row r="6448" spans="31:33">
      <c r="AE6448">
        <v>0</v>
      </c>
      <c r="AG6448">
        <v>0</v>
      </c>
    </row>
    <row r="6449" spans="31:33">
      <c r="AE6449">
        <v>0</v>
      </c>
      <c r="AG6449">
        <v>0</v>
      </c>
    </row>
    <row r="6450" spans="31:33">
      <c r="AE6450">
        <v>0</v>
      </c>
      <c r="AG6450">
        <v>0</v>
      </c>
    </row>
    <row r="6451" spans="31:33">
      <c r="AE6451">
        <v>0</v>
      </c>
      <c r="AG6451">
        <v>0</v>
      </c>
    </row>
    <row r="6452" spans="31:33">
      <c r="AE6452">
        <v>0</v>
      </c>
      <c r="AG6452">
        <v>0</v>
      </c>
    </row>
    <row r="6453" spans="31:33">
      <c r="AE6453">
        <v>0</v>
      </c>
      <c r="AG6453">
        <v>0</v>
      </c>
    </row>
    <row r="6454" spans="31:33">
      <c r="AE6454">
        <v>0</v>
      </c>
      <c r="AG6454">
        <v>0</v>
      </c>
    </row>
    <row r="6455" spans="31:33">
      <c r="AE6455">
        <v>0</v>
      </c>
      <c r="AG6455">
        <v>0</v>
      </c>
    </row>
    <row r="6456" spans="31:33">
      <c r="AE6456">
        <v>0</v>
      </c>
      <c r="AG6456">
        <v>0</v>
      </c>
    </row>
    <row r="6457" spans="31:33">
      <c r="AE6457">
        <v>0</v>
      </c>
      <c r="AG6457">
        <v>0</v>
      </c>
    </row>
    <row r="6458" spans="31:33">
      <c r="AE6458">
        <v>0</v>
      </c>
      <c r="AG6458">
        <v>0</v>
      </c>
    </row>
    <row r="6459" spans="31:33">
      <c r="AE6459">
        <v>0</v>
      </c>
      <c r="AG6459">
        <v>0</v>
      </c>
    </row>
    <row r="6460" spans="31:33">
      <c r="AE6460">
        <v>0</v>
      </c>
      <c r="AG6460">
        <v>0</v>
      </c>
    </row>
    <row r="6461" spans="31:33">
      <c r="AE6461">
        <v>0</v>
      </c>
      <c r="AG6461">
        <v>0</v>
      </c>
    </row>
    <row r="6462" spans="31:33">
      <c r="AE6462">
        <v>0</v>
      </c>
      <c r="AG6462">
        <v>0</v>
      </c>
    </row>
    <row r="6463" spans="31:33">
      <c r="AE6463">
        <v>0</v>
      </c>
      <c r="AG6463">
        <v>0</v>
      </c>
    </row>
    <row r="6464" spans="31:33">
      <c r="AE6464">
        <v>0</v>
      </c>
      <c r="AG6464">
        <v>0</v>
      </c>
    </row>
    <row r="6465" spans="31:33">
      <c r="AE6465">
        <v>0</v>
      </c>
      <c r="AG6465">
        <v>0</v>
      </c>
    </row>
    <row r="6466" spans="31:33">
      <c r="AE6466">
        <v>0</v>
      </c>
      <c r="AG6466">
        <v>0</v>
      </c>
    </row>
    <row r="6467" spans="31:33">
      <c r="AE6467">
        <v>0</v>
      </c>
      <c r="AG6467">
        <v>0</v>
      </c>
    </row>
    <row r="6468" spans="31:33">
      <c r="AE6468">
        <v>0</v>
      </c>
      <c r="AG6468">
        <v>0</v>
      </c>
    </row>
    <row r="6469" spans="31:33">
      <c r="AE6469">
        <v>0</v>
      </c>
      <c r="AG6469">
        <v>0</v>
      </c>
    </row>
    <row r="6470" spans="31:33">
      <c r="AE6470">
        <v>0</v>
      </c>
      <c r="AG6470">
        <v>0</v>
      </c>
    </row>
    <row r="6471" spans="31:33">
      <c r="AE6471">
        <v>0</v>
      </c>
      <c r="AG6471">
        <v>0</v>
      </c>
    </row>
    <row r="6472" spans="31:33">
      <c r="AE6472">
        <v>0</v>
      </c>
      <c r="AG6472">
        <v>0</v>
      </c>
    </row>
    <row r="6473" spans="31:33">
      <c r="AE6473">
        <v>0</v>
      </c>
      <c r="AG6473">
        <v>0</v>
      </c>
    </row>
    <row r="6474" spans="31:33">
      <c r="AE6474">
        <v>0</v>
      </c>
      <c r="AG6474">
        <v>0</v>
      </c>
    </row>
    <row r="6475" spans="31:33">
      <c r="AE6475">
        <v>0</v>
      </c>
      <c r="AG6475">
        <v>0</v>
      </c>
    </row>
    <row r="6476" spans="31:33">
      <c r="AE6476">
        <v>0</v>
      </c>
      <c r="AG6476">
        <v>0</v>
      </c>
    </row>
    <row r="6477" spans="31:33">
      <c r="AE6477">
        <v>0</v>
      </c>
      <c r="AG6477">
        <v>0</v>
      </c>
    </row>
    <row r="6478" spans="31:33">
      <c r="AE6478">
        <v>0</v>
      </c>
      <c r="AG6478">
        <v>0</v>
      </c>
    </row>
    <row r="6479" spans="31:33">
      <c r="AE6479">
        <v>0</v>
      </c>
      <c r="AG6479">
        <v>0</v>
      </c>
    </row>
    <row r="6480" spans="31:33">
      <c r="AE6480">
        <v>0</v>
      </c>
      <c r="AG6480">
        <v>0</v>
      </c>
    </row>
    <row r="6481" spans="31:33">
      <c r="AE6481">
        <v>0</v>
      </c>
      <c r="AG6481">
        <v>0</v>
      </c>
    </row>
    <row r="6482" spans="31:33">
      <c r="AE6482">
        <v>0</v>
      </c>
      <c r="AG6482">
        <v>0</v>
      </c>
    </row>
    <row r="6483" spans="31:33">
      <c r="AE6483">
        <v>0</v>
      </c>
      <c r="AG6483">
        <v>0</v>
      </c>
    </row>
    <row r="6484" spans="31:33">
      <c r="AE6484">
        <v>0</v>
      </c>
      <c r="AG6484">
        <v>0</v>
      </c>
    </row>
    <row r="6485" spans="31:33">
      <c r="AE6485">
        <v>0</v>
      </c>
      <c r="AG6485">
        <v>0</v>
      </c>
    </row>
    <row r="6486" spans="31:33">
      <c r="AE6486">
        <v>0</v>
      </c>
      <c r="AG6486">
        <v>0</v>
      </c>
    </row>
    <row r="6487" spans="31:33">
      <c r="AE6487">
        <v>0</v>
      </c>
      <c r="AG6487">
        <v>0</v>
      </c>
    </row>
    <row r="6488" spans="31:33">
      <c r="AE6488">
        <v>0</v>
      </c>
      <c r="AG6488">
        <v>0</v>
      </c>
    </row>
    <row r="6489" spans="31:33">
      <c r="AE6489">
        <v>0</v>
      </c>
      <c r="AG6489">
        <v>0</v>
      </c>
    </row>
    <row r="6490" spans="31:33">
      <c r="AE6490">
        <v>0</v>
      </c>
      <c r="AG6490">
        <v>0</v>
      </c>
    </row>
    <row r="6491" spans="31:33">
      <c r="AE6491">
        <v>0</v>
      </c>
      <c r="AG6491">
        <v>0</v>
      </c>
    </row>
    <row r="6492" spans="31:33">
      <c r="AE6492">
        <v>0</v>
      </c>
      <c r="AG6492">
        <v>0</v>
      </c>
    </row>
    <row r="6493" spans="31:33">
      <c r="AE6493">
        <v>0</v>
      </c>
      <c r="AG6493">
        <v>0</v>
      </c>
    </row>
    <row r="6496" spans="31:33">
      <c r="AE6496">
        <v>0</v>
      </c>
      <c r="AG6496">
        <v>0</v>
      </c>
    </row>
    <row r="6497" spans="31:33">
      <c r="AE6497">
        <v>0</v>
      </c>
      <c r="AG6497">
        <v>0</v>
      </c>
    </row>
    <row r="6498" spans="31:33">
      <c r="AE6498">
        <v>0</v>
      </c>
      <c r="AG6498">
        <v>0</v>
      </c>
    </row>
    <row r="6499" spans="31:33">
      <c r="AE6499">
        <v>0</v>
      </c>
      <c r="AG6499">
        <v>0</v>
      </c>
    </row>
    <row r="6500" spans="31:33">
      <c r="AE6500">
        <v>0</v>
      </c>
      <c r="AG6500">
        <v>0</v>
      </c>
    </row>
    <row r="6501" spans="31:33">
      <c r="AE6501">
        <v>0</v>
      </c>
      <c r="AG6501">
        <v>0</v>
      </c>
    </row>
    <row r="6502" spans="31:33">
      <c r="AE6502">
        <v>0</v>
      </c>
      <c r="AG6502">
        <v>0</v>
      </c>
    </row>
    <row r="6503" spans="31:33">
      <c r="AE6503">
        <v>0</v>
      </c>
      <c r="AG6503">
        <v>0</v>
      </c>
    </row>
    <row r="6504" spans="31:33">
      <c r="AE6504">
        <v>0</v>
      </c>
      <c r="AG6504">
        <v>0</v>
      </c>
    </row>
    <row r="6505" spans="31:33">
      <c r="AE6505">
        <v>0</v>
      </c>
      <c r="AG6505">
        <v>0</v>
      </c>
    </row>
    <row r="6506" spans="31:33">
      <c r="AE6506">
        <v>0</v>
      </c>
      <c r="AG6506">
        <v>0</v>
      </c>
    </row>
    <row r="6507" spans="31:33">
      <c r="AE6507">
        <v>0</v>
      </c>
      <c r="AG6507">
        <v>0</v>
      </c>
    </row>
    <row r="6508" spans="31:33">
      <c r="AE6508">
        <v>0</v>
      </c>
      <c r="AG6508">
        <v>0</v>
      </c>
    </row>
    <row r="6509" spans="31:33">
      <c r="AE6509">
        <v>0</v>
      </c>
      <c r="AG6509">
        <v>0</v>
      </c>
    </row>
    <row r="6510" spans="31:33">
      <c r="AE6510">
        <v>0</v>
      </c>
      <c r="AG6510">
        <v>0</v>
      </c>
    </row>
    <row r="6511" spans="31:33">
      <c r="AE6511">
        <v>0</v>
      </c>
      <c r="AG6511">
        <v>0</v>
      </c>
    </row>
    <row r="6512" spans="31:33">
      <c r="AE6512">
        <v>0</v>
      </c>
      <c r="AG6512">
        <v>0</v>
      </c>
    </row>
    <row r="6513" spans="31:33">
      <c r="AE6513">
        <v>0</v>
      </c>
      <c r="AG6513">
        <v>0</v>
      </c>
    </row>
    <row r="6514" spans="31:33">
      <c r="AE6514">
        <v>0</v>
      </c>
      <c r="AG6514">
        <v>0</v>
      </c>
    </row>
    <row r="6515" spans="31:33">
      <c r="AE6515">
        <v>0</v>
      </c>
      <c r="AG6515">
        <v>0</v>
      </c>
    </row>
    <row r="6516" spans="31:33">
      <c r="AE6516">
        <v>0</v>
      </c>
      <c r="AG6516">
        <v>0</v>
      </c>
    </row>
    <row r="6517" spans="31:33">
      <c r="AE6517">
        <v>0</v>
      </c>
      <c r="AG6517">
        <v>0</v>
      </c>
    </row>
    <row r="6518" spans="31:33">
      <c r="AE6518">
        <v>0</v>
      </c>
      <c r="AG6518">
        <v>0</v>
      </c>
    </row>
    <row r="6519" spans="31:33">
      <c r="AE6519">
        <v>0</v>
      </c>
      <c r="AG6519">
        <v>0</v>
      </c>
    </row>
    <row r="6520" spans="31:33">
      <c r="AE6520">
        <v>0</v>
      </c>
      <c r="AG6520">
        <v>0</v>
      </c>
    </row>
    <row r="6521" spans="31:33">
      <c r="AE6521">
        <v>0</v>
      </c>
      <c r="AG6521">
        <v>0</v>
      </c>
    </row>
    <row r="6522" spans="31:33">
      <c r="AE6522">
        <v>0</v>
      </c>
      <c r="AG6522">
        <v>0</v>
      </c>
    </row>
    <row r="6523" spans="31:33">
      <c r="AE6523">
        <v>0</v>
      </c>
      <c r="AG6523">
        <v>0</v>
      </c>
    </row>
    <row r="6524" spans="31:33">
      <c r="AE6524">
        <v>0</v>
      </c>
      <c r="AG6524">
        <v>0</v>
      </c>
    </row>
    <row r="6525" spans="31:33">
      <c r="AE6525">
        <v>0</v>
      </c>
      <c r="AG6525">
        <v>0</v>
      </c>
    </row>
    <row r="6526" spans="31:33">
      <c r="AE6526">
        <v>0</v>
      </c>
      <c r="AG6526">
        <v>0</v>
      </c>
    </row>
    <row r="6527" spans="31:33">
      <c r="AE6527">
        <v>0</v>
      </c>
      <c r="AG6527">
        <v>0</v>
      </c>
    </row>
    <row r="6528" spans="31:33">
      <c r="AE6528">
        <v>0</v>
      </c>
      <c r="AG6528">
        <v>0</v>
      </c>
    </row>
    <row r="6529" spans="31:33">
      <c r="AE6529">
        <v>0</v>
      </c>
      <c r="AG6529">
        <v>0</v>
      </c>
    </row>
    <row r="6530" spans="31:33">
      <c r="AE6530">
        <v>0</v>
      </c>
      <c r="AG6530">
        <v>0</v>
      </c>
    </row>
    <row r="6531" spans="31:33">
      <c r="AE6531">
        <v>0</v>
      </c>
      <c r="AG6531">
        <v>0</v>
      </c>
    </row>
    <row r="6532" spans="31:33">
      <c r="AE6532">
        <v>0</v>
      </c>
      <c r="AG6532">
        <v>0</v>
      </c>
    </row>
    <row r="6533" spans="31:33">
      <c r="AE6533">
        <v>0</v>
      </c>
      <c r="AG6533">
        <v>0</v>
      </c>
    </row>
    <row r="6534" spans="31:33">
      <c r="AE6534">
        <v>0</v>
      </c>
      <c r="AG6534">
        <v>0</v>
      </c>
    </row>
    <row r="6535" spans="31:33">
      <c r="AE6535">
        <v>0</v>
      </c>
      <c r="AG6535">
        <v>0</v>
      </c>
    </row>
    <row r="6536" spans="31:33">
      <c r="AE6536">
        <v>0</v>
      </c>
      <c r="AG6536">
        <v>0</v>
      </c>
    </row>
    <row r="6537" spans="31:33">
      <c r="AE6537">
        <v>0</v>
      </c>
      <c r="AG6537">
        <v>0</v>
      </c>
    </row>
    <row r="6538" spans="31:33">
      <c r="AE6538">
        <v>0</v>
      </c>
      <c r="AG6538">
        <v>0</v>
      </c>
    </row>
    <row r="6539" spans="31:33">
      <c r="AE6539">
        <v>0</v>
      </c>
      <c r="AG6539">
        <v>0</v>
      </c>
    </row>
    <row r="6540" spans="31:33">
      <c r="AE6540">
        <v>0</v>
      </c>
      <c r="AG6540">
        <v>0</v>
      </c>
    </row>
    <row r="6541" spans="31:33">
      <c r="AE6541">
        <v>0</v>
      </c>
      <c r="AG6541">
        <v>0</v>
      </c>
    </row>
    <row r="6542" spans="31:33">
      <c r="AE6542">
        <v>0</v>
      </c>
      <c r="AG6542">
        <v>0</v>
      </c>
    </row>
    <row r="6543" spans="31:33">
      <c r="AE6543">
        <v>0</v>
      </c>
      <c r="AG6543">
        <v>0</v>
      </c>
    </row>
    <row r="6544" spans="31:33">
      <c r="AE6544">
        <v>0</v>
      </c>
      <c r="AG6544">
        <v>0</v>
      </c>
    </row>
    <row r="6545" spans="31:33">
      <c r="AE6545">
        <v>0</v>
      </c>
      <c r="AG6545">
        <v>0</v>
      </c>
    </row>
    <row r="6546" spans="31:33">
      <c r="AE6546">
        <v>0</v>
      </c>
      <c r="AG6546">
        <v>0</v>
      </c>
    </row>
    <row r="6547" spans="31:33">
      <c r="AE6547">
        <v>0</v>
      </c>
      <c r="AG6547">
        <v>0</v>
      </c>
    </row>
    <row r="6548" spans="31:33">
      <c r="AE6548">
        <v>0</v>
      </c>
      <c r="AG6548">
        <v>0</v>
      </c>
    </row>
    <row r="6549" spans="31:33">
      <c r="AE6549">
        <v>0</v>
      </c>
      <c r="AG6549">
        <v>0</v>
      </c>
    </row>
    <row r="6550" spans="31:33">
      <c r="AE6550">
        <v>0</v>
      </c>
      <c r="AG6550">
        <v>0</v>
      </c>
    </row>
    <row r="6551" spans="31:33">
      <c r="AE6551">
        <v>0</v>
      </c>
      <c r="AG6551">
        <v>0</v>
      </c>
    </row>
    <row r="6552" spans="31:33">
      <c r="AE6552">
        <v>0</v>
      </c>
      <c r="AG6552">
        <v>0</v>
      </c>
    </row>
    <row r="6553" spans="31:33">
      <c r="AE6553">
        <v>0</v>
      </c>
      <c r="AG6553">
        <v>0</v>
      </c>
    </row>
    <row r="6554" spans="31:33">
      <c r="AE6554">
        <v>0</v>
      </c>
      <c r="AG6554">
        <v>0</v>
      </c>
    </row>
    <row r="6555" spans="31:33">
      <c r="AE6555">
        <v>0</v>
      </c>
      <c r="AG6555">
        <v>0</v>
      </c>
    </row>
    <row r="6556" spans="31:33">
      <c r="AE6556">
        <v>0</v>
      </c>
      <c r="AG6556">
        <v>0</v>
      </c>
    </row>
    <row r="6557" spans="31:33">
      <c r="AE6557">
        <v>0</v>
      </c>
      <c r="AG6557">
        <v>0</v>
      </c>
    </row>
    <row r="6558" spans="31:33">
      <c r="AE6558">
        <v>0</v>
      </c>
      <c r="AG6558">
        <v>0</v>
      </c>
    </row>
    <row r="6559" spans="31:33">
      <c r="AE6559">
        <v>0</v>
      </c>
      <c r="AG6559">
        <v>0</v>
      </c>
    </row>
    <row r="6560" spans="31:33">
      <c r="AE6560">
        <v>0</v>
      </c>
      <c r="AG6560">
        <v>0</v>
      </c>
    </row>
    <row r="6561" spans="31:33">
      <c r="AE6561">
        <v>0</v>
      </c>
      <c r="AG6561">
        <v>0</v>
      </c>
    </row>
    <row r="6562" spans="31:33">
      <c r="AE6562">
        <v>0</v>
      </c>
      <c r="AG6562">
        <v>0</v>
      </c>
    </row>
    <row r="6563" spans="31:33">
      <c r="AE6563">
        <v>0</v>
      </c>
      <c r="AG6563">
        <v>0</v>
      </c>
    </row>
    <row r="6564" spans="31:33">
      <c r="AE6564">
        <v>0</v>
      </c>
      <c r="AG6564">
        <v>0</v>
      </c>
    </row>
    <row r="6565" spans="31:33">
      <c r="AE6565">
        <v>0</v>
      </c>
      <c r="AG6565">
        <v>0</v>
      </c>
    </row>
    <row r="6566" spans="31:33">
      <c r="AE6566">
        <v>0</v>
      </c>
      <c r="AG6566">
        <v>0</v>
      </c>
    </row>
    <row r="6567" spans="31:33">
      <c r="AE6567">
        <v>0</v>
      </c>
      <c r="AG6567">
        <v>0</v>
      </c>
    </row>
    <row r="6568" spans="31:33">
      <c r="AE6568">
        <v>0</v>
      </c>
      <c r="AG6568">
        <v>0</v>
      </c>
    </row>
    <row r="6569" spans="31:33">
      <c r="AE6569">
        <v>0</v>
      </c>
      <c r="AG6569">
        <v>0</v>
      </c>
    </row>
    <row r="6570" spans="31:33">
      <c r="AE6570">
        <v>0</v>
      </c>
      <c r="AG6570">
        <v>0</v>
      </c>
    </row>
    <row r="6571" spans="31:33">
      <c r="AE6571">
        <v>0</v>
      </c>
      <c r="AG6571">
        <v>0</v>
      </c>
    </row>
    <row r="6572" spans="31:33">
      <c r="AE6572">
        <v>0</v>
      </c>
      <c r="AG6572">
        <v>0</v>
      </c>
    </row>
    <row r="6573" spans="31:33">
      <c r="AE6573">
        <v>0</v>
      </c>
      <c r="AG6573">
        <v>0</v>
      </c>
    </row>
    <row r="6574" spans="31:33">
      <c r="AE6574">
        <v>0</v>
      </c>
      <c r="AG6574">
        <v>0</v>
      </c>
    </row>
    <row r="6575" spans="31:33">
      <c r="AE6575">
        <v>0</v>
      </c>
      <c r="AG6575">
        <v>0</v>
      </c>
    </row>
    <row r="6576" spans="31:33">
      <c r="AE6576">
        <v>0</v>
      </c>
      <c r="AG6576">
        <v>0</v>
      </c>
    </row>
    <row r="6577" spans="31:33">
      <c r="AE6577">
        <v>0</v>
      </c>
      <c r="AG6577">
        <v>0</v>
      </c>
    </row>
    <row r="6578" spans="31:33">
      <c r="AE6578">
        <v>0</v>
      </c>
      <c r="AG6578">
        <v>0</v>
      </c>
    </row>
    <row r="6579" spans="31:33">
      <c r="AE6579">
        <v>0</v>
      </c>
      <c r="AG6579">
        <v>0</v>
      </c>
    </row>
    <row r="6580" spans="31:33">
      <c r="AE6580">
        <v>0</v>
      </c>
      <c r="AG6580">
        <v>0</v>
      </c>
    </row>
    <row r="6581" spans="31:33">
      <c r="AE6581">
        <v>0</v>
      </c>
      <c r="AG6581">
        <v>0</v>
      </c>
    </row>
    <row r="6582" spans="31:33">
      <c r="AE6582">
        <v>0</v>
      </c>
      <c r="AG6582">
        <v>0</v>
      </c>
    </row>
    <row r="6583" spans="31:33">
      <c r="AE6583">
        <v>0</v>
      </c>
      <c r="AG6583">
        <v>0</v>
      </c>
    </row>
    <row r="6584" spans="31:33">
      <c r="AE6584">
        <v>0</v>
      </c>
      <c r="AG6584">
        <v>0</v>
      </c>
    </row>
    <row r="6585" spans="31:33">
      <c r="AE6585">
        <v>0</v>
      </c>
      <c r="AG6585">
        <v>0</v>
      </c>
    </row>
    <row r="6586" spans="31:33">
      <c r="AE6586">
        <v>0</v>
      </c>
      <c r="AG6586">
        <v>0</v>
      </c>
    </row>
    <row r="6587" spans="31:33">
      <c r="AE6587">
        <v>0</v>
      </c>
      <c r="AG6587">
        <v>0</v>
      </c>
    </row>
    <row r="6588" spans="31:33">
      <c r="AE6588">
        <v>0</v>
      </c>
      <c r="AG6588">
        <v>0</v>
      </c>
    </row>
    <row r="6589" spans="31:33">
      <c r="AE6589">
        <v>0</v>
      </c>
      <c r="AG6589">
        <v>0</v>
      </c>
    </row>
    <row r="6590" spans="31:33">
      <c r="AE6590">
        <v>0</v>
      </c>
      <c r="AG6590">
        <v>0</v>
      </c>
    </row>
    <row r="6591" spans="31:33">
      <c r="AE6591">
        <v>0</v>
      </c>
      <c r="AG6591">
        <v>0</v>
      </c>
    </row>
    <row r="6592" spans="31:33">
      <c r="AE6592">
        <v>0</v>
      </c>
      <c r="AG6592">
        <v>0</v>
      </c>
    </row>
    <row r="6593" spans="31:33">
      <c r="AE6593">
        <v>0</v>
      </c>
      <c r="AG6593">
        <v>0</v>
      </c>
    </row>
    <row r="6594" spans="31:33">
      <c r="AE6594">
        <v>0</v>
      </c>
      <c r="AG6594">
        <v>0</v>
      </c>
    </row>
    <row r="6595" spans="31:33">
      <c r="AE6595">
        <v>0</v>
      </c>
      <c r="AG6595">
        <v>0</v>
      </c>
    </row>
    <row r="6596" spans="31:33">
      <c r="AE6596">
        <v>0</v>
      </c>
      <c r="AG6596">
        <v>0</v>
      </c>
    </row>
    <row r="6597" spans="31:33">
      <c r="AE6597">
        <v>0</v>
      </c>
      <c r="AG6597">
        <v>0</v>
      </c>
    </row>
    <row r="6598" spans="31:33">
      <c r="AE6598">
        <v>0</v>
      </c>
      <c r="AG6598">
        <v>0</v>
      </c>
    </row>
    <row r="6599" spans="31:33">
      <c r="AE6599">
        <v>0</v>
      </c>
      <c r="AG6599">
        <v>0</v>
      </c>
    </row>
    <row r="6600" spans="31:33">
      <c r="AE6600">
        <v>0</v>
      </c>
      <c r="AG6600">
        <v>0</v>
      </c>
    </row>
    <row r="6601" spans="31:33">
      <c r="AE6601">
        <v>0</v>
      </c>
      <c r="AG6601">
        <v>0</v>
      </c>
    </row>
    <row r="6602" spans="31:33">
      <c r="AE6602">
        <v>0</v>
      </c>
      <c r="AG6602">
        <v>0</v>
      </c>
    </row>
    <row r="6603" spans="31:33">
      <c r="AE6603">
        <v>0</v>
      </c>
      <c r="AG6603">
        <v>0</v>
      </c>
    </row>
    <row r="6604" spans="31:33">
      <c r="AE6604">
        <v>0</v>
      </c>
      <c r="AG6604">
        <v>0</v>
      </c>
    </row>
    <row r="6605" spans="31:33">
      <c r="AE6605">
        <v>0</v>
      </c>
      <c r="AG6605">
        <v>0</v>
      </c>
    </row>
    <row r="6606" spans="31:33">
      <c r="AE6606">
        <v>0</v>
      </c>
      <c r="AG6606">
        <v>0</v>
      </c>
    </row>
    <row r="6607" spans="31:33">
      <c r="AE6607">
        <v>0</v>
      </c>
      <c r="AG6607">
        <v>0</v>
      </c>
    </row>
    <row r="6608" spans="31:33">
      <c r="AE6608">
        <v>0</v>
      </c>
      <c r="AG6608">
        <v>0</v>
      </c>
    </row>
    <row r="6609" spans="31:33">
      <c r="AE6609">
        <v>0</v>
      </c>
      <c r="AG6609">
        <v>0</v>
      </c>
    </row>
    <row r="6610" spans="31:33">
      <c r="AE6610">
        <v>0</v>
      </c>
      <c r="AG6610">
        <v>0</v>
      </c>
    </row>
    <row r="6611" spans="31:33">
      <c r="AE6611">
        <v>0</v>
      </c>
      <c r="AG6611">
        <v>0</v>
      </c>
    </row>
    <row r="6612" spans="31:33">
      <c r="AE6612">
        <v>0</v>
      </c>
      <c r="AG6612">
        <v>0</v>
      </c>
    </row>
    <row r="6613" spans="31:33">
      <c r="AE6613">
        <v>0</v>
      </c>
      <c r="AG6613">
        <v>0</v>
      </c>
    </row>
    <row r="6614" spans="31:33">
      <c r="AE6614">
        <v>0</v>
      </c>
      <c r="AG6614">
        <v>0</v>
      </c>
    </row>
    <row r="6615" spans="31:33">
      <c r="AE6615">
        <v>0</v>
      </c>
      <c r="AG6615">
        <v>0</v>
      </c>
    </row>
    <row r="6616" spans="31:33">
      <c r="AE6616">
        <v>0</v>
      </c>
      <c r="AG6616">
        <v>0</v>
      </c>
    </row>
    <row r="6617" spans="31:33">
      <c r="AE6617">
        <v>0</v>
      </c>
      <c r="AG6617">
        <v>0</v>
      </c>
    </row>
    <row r="6618" spans="31:33">
      <c r="AE6618">
        <v>0</v>
      </c>
      <c r="AG6618">
        <v>0</v>
      </c>
    </row>
    <row r="6619" spans="31:33">
      <c r="AE6619">
        <v>0</v>
      </c>
      <c r="AG6619">
        <v>0</v>
      </c>
    </row>
    <row r="6620" spans="31:33">
      <c r="AE6620">
        <v>0</v>
      </c>
      <c r="AG6620">
        <v>0</v>
      </c>
    </row>
    <row r="6621" spans="31:33">
      <c r="AE6621">
        <v>0</v>
      </c>
      <c r="AG6621">
        <v>0</v>
      </c>
    </row>
    <row r="6622" spans="31:33">
      <c r="AE6622">
        <v>0</v>
      </c>
      <c r="AG6622">
        <v>0</v>
      </c>
    </row>
    <row r="6623" spans="31:33">
      <c r="AE6623">
        <v>0</v>
      </c>
      <c r="AG6623">
        <v>0</v>
      </c>
    </row>
    <row r="6624" spans="31:33">
      <c r="AE6624">
        <v>0</v>
      </c>
      <c r="AG6624">
        <v>0</v>
      </c>
    </row>
    <row r="6625" spans="31:33">
      <c r="AE6625">
        <v>0</v>
      </c>
      <c r="AG6625">
        <v>0</v>
      </c>
    </row>
    <row r="6626" spans="31:33">
      <c r="AE6626">
        <v>0</v>
      </c>
      <c r="AG6626">
        <v>0</v>
      </c>
    </row>
    <row r="6627" spans="31:33">
      <c r="AE6627">
        <v>0</v>
      </c>
      <c r="AG6627">
        <v>0</v>
      </c>
    </row>
    <row r="6628" spans="31:33">
      <c r="AE6628">
        <v>0</v>
      </c>
      <c r="AG6628">
        <v>0</v>
      </c>
    </row>
    <row r="6629" spans="31:33">
      <c r="AE6629">
        <v>0</v>
      </c>
      <c r="AG6629">
        <v>0</v>
      </c>
    </row>
    <row r="6630" spans="31:33">
      <c r="AE6630">
        <v>0</v>
      </c>
      <c r="AG6630">
        <v>0</v>
      </c>
    </row>
    <row r="6631" spans="31:33">
      <c r="AE6631">
        <v>0</v>
      </c>
      <c r="AG6631">
        <v>0</v>
      </c>
    </row>
    <row r="6632" spans="31:33">
      <c r="AE6632">
        <v>0</v>
      </c>
      <c r="AG6632">
        <v>0</v>
      </c>
    </row>
    <row r="6633" spans="31:33">
      <c r="AE6633">
        <v>0</v>
      </c>
      <c r="AG6633">
        <v>0</v>
      </c>
    </row>
    <row r="6634" spans="31:33">
      <c r="AE6634">
        <v>0</v>
      </c>
      <c r="AG6634">
        <v>0</v>
      </c>
    </row>
    <row r="6635" spans="31:33">
      <c r="AE6635">
        <v>0</v>
      </c>
      <c r="AG6635">
        <v>0</v>
      </c>
    </row>
    <row r="6636" spans="31:33">
      <c r="AE6636">
        <v>0</v>
      </c>
      <c r="AG6636">
        <v>0</v>
      </c>
    </row>
    <row r="6637" spans="31:33">
      <c r="AE6637">
        <v>0</v>
      </c>
      <c r="AG6637">
        <v>0</v>
      </c>
    </row>
    <row r="6638" spans="31:33">
      <c r="AE6638">
        <v>0</v>
      </c>
      <c r="AG6638">
        <v>0</v>
      </c>
    </row>
    <row r="6639" spans="31:33">
      <c r="AE6639">
        <v>0</v>
      </c>
      <c r="AG6639">
        <v>0</v>
      </c>
    </row>
    <row r="6640" spans="31:33">
      <c r="AE6640">
        <v>0</v>
      </c>
      <c r="AG6640">
        <v>0</v>
      </c>
    </row>
    <row r="6641" spans="31:33">
      <c r="AE6641">
        <v>0</v>
      </c>
      <c r="AG6641">
        <v>0</v>
      </c>
    </row>
    <row r="6642" spans="31:33">
      <c r="AE6642">
        <v>0</v>
      </c>
      <c r="AG6642">
        <v>0</v>
      </c>
    </row>
    <row r="6643" spans="31:33">
      <c r="AE6643">
        <v>0</v>
      </c>
      <c r="AG6643">
        <v>0</v>
      </c>
    </row>
    <row r="6644" spans="31:33">
      <c r="AE6644">
        <v>0</v>
      </c>
      <c r="AG6644">
        <v>0</v>
      </c>
    </row>
    <row r="6645" spans="31:33">
      <c r="AE6645">
        <v>0</v>
      </c>
      <c r="AG6645">
        <v>0</v>
      </c>
    </row>
    <row r="6646" spans="31:33">
      <c r="AE6646">
        <v>0</v>
      </c>
      <c r="AG6646">
        <v>0</v>
      </c>
    </row>
    <row r="6647" spans="31:33">
      <c r="AE6647">
        <v>0</v>
      </c>
      <c r="AG6647">
        <v>0</v>
      </c>
    </row>
    <row r="6648" spans="31:33">
      <c r="AE6648">
        <v>0</v>
      </c>
      <c r="AG6648">
        <v>0</v>
      </c>
    </row>
    <row r="6649" spans="31:33">
      <c r="AE6649">
        <v>0</v>
      </c>
      <c r="AG6649">
        <v>0</v>
      </c>
    </row>
    <row r="6650" spans="31:33">
      <c r="AE6650">
        <v>0</v>
      </c>
      <c r="AG6650">
        <v>0</v>
      </c>
    </row>
    <row r="6651" spans="31:33">
      <c r="AE6651">
        <v>0</v>
      </c>
      <c r="AG6651">
        <v>0</v>
      </c>
    </row>
    <row r="6652" spans="31:33">
      <c r="AE6652">
        <v>0</v>
      </c>
      <c r="AG6652">
        <v>0</v>
      </c>
    </row>
    <row r="6653" spans="31:33">
      <c r="AE6653">
        <v>0</v>
      </c>
      <c r="AG6653">
        <v>0</v>
      </c>
    </row>
    <row r="6654" spans="31:33">
      <c r="AE6654">
        <v>0</v>
      </c>
      <c r="AG6654">
        <v>0</v>
      </c>
    </row>
    <row r="6655" spans="31:33">
      <c r="AE6655">
        <v>0</v>
      </c>
      <c r="AG6655">
        <v>0</v>
      </c>
    </row>
    <row r="6656" spans="31:33">
      <c r="AE6656">
        <v>0</v>
      </c>
      <c r="AG6656">
        <v>0</v>
      </c>
    </row>
    <row r="6657" spans="31:33">
      <c r="AE6657">
        <v>0</v>
      </c>
      <c r="AG6657">
        <v>0</v>
      </c>
    </row>
    <row r="6658" spans="31:33">
      <c r="AE6658">
        <v>0</v>
      </c>
      <c r="AG6658">
        <v>0</v>
      </c>
    </row>
    <row r="6659" spans="31:33">
      <c r="AE6659">
        <v>0</v>
      </c>
      <c r="AG6659">
        <v>0</v>
      </c>
    </row>
    <row r="6660" spans="31:33">
      <c r="AE6660">
        <v>0</v>
      </c>
      <c r="AG6660">
        <v>0</v>
      </c>
    </row>
    <row r="6661" spans="31:33">
      <c r="AE6661">
        <v>0</v>
      </c>
      <c r="AG6661">
        <v>0</v>
      </c>
    </row>
    <row r="6662" spans="31:33">
      <c r="AE6662">
        <v>0</v>
      </c>
      <c r="AG6662">
        <v>0</v>
      </c>
    </row>
    <row r="6663" spans="31:33">
      <c r="AE6663">
        <v>0</v>
      </c>
      <c r="AG6663">
        <v>0</v>
      </c>
    </row>
    <row r="6664" spans="31:33">
      <c r="AE6664">
        <v>0</v>
      </c>
      <c r="AG6664">
        <v>0</v>
      </c>
    </row>
    <row r="6665" spans="31:33">
      <c r="AE6665">
        <v>0</v>
      </c>
      <c r="AG6665">
        <v>0</v>
      </c>
    </row>
    <row r="6666" spans="31:33">
      <c r="AE6666">
        <v>0</v>
      </c>
      <c r="AG6666">
        <v>0</v>
      </c>
    </row>
    <row r="6667" spans="31:33">
      <c r="AE6667">
        <v>0</v>
      </c>
      <c r="AG6667">
        <v>0</v>
      </c>
    </row>
    <row r="6668" spans="31:33">
      <c r="AE6668">
        <v>0</v>
      </c>
      <c r="AG6668">
        <v>0</v>
      </c>
    </row>
    <row r="6669" spans="31:33">
      <c r="AE6669">
        <v>0</v>
      </c>
      <c r="AG6669">
        <v>0</v>
      </c>
    </row>
    <row r="6670" spans="31:33">
      <c r="AE6670">
        <v>0</v>
      </c>
      <c r="AG6670">
        <v>0</v>
      </c>
    </row>
    <row r="6671" spans="31:33">
      <c r="AE6671">
        <v>0</v>
      </c>
      <c r="AG6671">
        <v>0</v>
      </c>
    </row>
    <row r="6672" spans="31:33">
      <c r="AE6672">
        <v>0</v>
      </c>
      <c r="AG6672">
        <v>0</v>
      </c>
    </row>
    <row r="6673" spans="31:33">
      <c r="AE6673">
        <v>0</v>
      </c>
      <c r="AG6673">
        <v>0</v>
      </c>
    </row>
    <row r="6674" spans="31:33">
      <c r="AE6674">
        <v>0</v>
      </c>
      <c r="AG6674">
        <v>0</v>
      </c>
    </row>
    <row r="6675" spans="31:33">
      <c r="AE6675">
        <v>0</v>
      </c>
      <c r="AG6675">
        <v>0</v>
      </c>
    </row>
    <row r="6676" spans="31:33">
      <c r="AE6676">
        <v>0</v>
      </c>
      <c r="AG6676">
        <v>0</v>
      </c>
    </row>
    <row r="6677" spans="31:33">
      <c r="AE6677">
        <v>0</v>
      </c>
      <c r="AG6677">
        <v>0</v>
      </c>
    </row>
    <row r="6678" spans="31:33">
      <c r="AE6678">
        <v>0</v>
      </c>
      <c r="AG6678">
        <v>0</v>
      </c>
    </row>
    <row r="6679" spans="31:33">
      <c r="AE6679">
        <v>0</v>
      </c>
      <c r="AG6679">
        <v>0</v>
      </c>
    </row>
    <row r="6680" spans="31:33">
      <c r="AE6680">
        <v>0</v>
      </c>
      <c r="AG6680">
        <v>0</v>
      </c>
    </row>
    <row r="6681" spans="31:33">
      <c r="AE6681">
        <v>0</v>
      </c>
      <c r="AG6681">
        <v>0</v>
      </c>
    </row>
    <row r="6682" spans="31:33">
      <c r="AE6682">
        <v>0</v>
      </c>
      <c r="AG6682">
        <v>0</v>
      </c>
    </row>
    <row r="6683" spans="31:33">
      <c r="AE6683">
        <v>0</v>
      </c>
      <c r="AG6683">
        <v>0</v>
      </c>
    </row>
    <row r="6684" spans="31:33">
      <c r="AE6684">
        <v>0</v>
      </c>
      <c r="AG6684">
        <v>0</v>
      </c>
    </row>
    <row r="6685" spans="31:33">
      <c r="AE6685">
        <v>0</v>
      </c>
      <c r="AG6685">
        <v>0</v>
      </c>
    </row>
    <row r="6686" spans="31:33">
      <c r="AE6686">
        <v>0</v>
      </c>
      <c r="AG6686">
        <v>0</v>
      </c>
    </row>
    <row r="6687" spans="31:33">
      <c r="AE6687">
        <v>0</v>
      </c>
      <c r="AG6687">
        <v>0</v>
      </c>
    </row>
    <row r="6688" spans="31:33">
      <c r="AE6688">
        <v>0</v>
      </c>
      <c r="AG6688">
        <v>0</v>
      </c>
    </row>
    <row r="6689" spans="31:33">
      <c r="AE6689">
        <v>0</v>
      </c>
      <c r="AG6689">
        <v>0</v>
      </c>
    </row>
    <row r="6690" spans="31:33">
      <c r="AE6690">
        <v>0</v>
      </c>
      <c r="AG6690">
        <v>0</v>
      </c>
    </row>
    <row r="6691" spans="31:33">
      <c r="AE6691">
        <v>0</v>
      </c>
      <c r="AG6691">
        <v>0</v>
      </c>
    </row>
    <row r="6692" spans="31:33">
      <c r="AE6692">
        <v>0</v>
      </c>
      <c r="AG6692">
        <v>0</v>
      </c>
    </row>
    <row r="6693" spans="31:33">
      <c r="AE6693">
        <v>0</v>
      </c>
      <c r="AG6693">
        <v>0</v>
      </c>
    </row>
    <row r="6694" spans="31:33">
      <c r="AE6694">
        <v>0</v>
      </c>
      <c r="AG6694">
        <v>0</v>
      </c>
    </row>
    <row r="6695" spans="31:33">
      <c r="AE6695">
        <v>0</v>
      </c>
      <c r="AG6695">
        <v>0</v>
      </c>
    </row>
    <row r="6696" spans="31:33">
      <c r="AE6696">
        <v>0</v>
      </c>
      <c r="AG6696">
        <v>0</v>
      </c>
    </row>
    <row r="6697" spans="31:33">
      <c r="AE6697">
        <v>0</v>
      </c>
      <c r="AG6697">
        <v>0</v>
      </c>
    </row>
    <row r="6698" spans="31:33">
      <c r="AE6698">
        <v>0</v>
      </c>
      <c r="AG6698">
        <v>0</v>
      </c>
    </row>
    <row r="6699" spans="31:33">
      <c r="AE6699">
        <v>0</v>
      </c>
      <c r="AG6699">
        <v>0</v>
      </c>
    </row>
    <row r="6700" spans="31:33">
      <c r="AE6700">
        <v>0</v>
      </c>
      <c r="AG6700">
        <v>0</v>
      </c>
    </row>
    <row r="6701" spans="31:33">
      <c r="AE6701">
        <v>0</v>
      </c>
      <c r="AG6701">
        <v>0</v>
      </c>
    </row>
    <row r="6702" spans="31:33">
      <c r="AE6702">
        <v>0</v>
      </c>
      <c r="AG6702">
        <v>0</v>
      </c>
    </row>
    <row r="6703" spans="31:33">
      <c r="AE6703">
        <v>0</v>
      </c>
      <c r="AG6703">
        <v>0</v>
      </c>
    </row>
    <row r="6704" spans="31:33">
      <c r="AE6704">
        <v>0</v>
      </c>
      <c r="AG6704">
        <v>0</v>
      </c>
    </row>
    <row r="6705" spans="31:33">
      <c r="AE6705">
        <v>0</v>
      </c>
      <c r="AG6705">
        <v>0</v>
      </c>
    </row>
    <row r="6706" spans="31:33">
      <c r="AE6706">
        <v>0</v>
      </c>
      <c r="AG6706">
        <v>0</v>
      </c>
    </row>
    <row r="6707" spans="31:33">
      <c r="AE6707">
        <v>0</v>
      </c>
      <c r="AG6707">
        <v>0</v>
      </c>
    </row>
    <row r="6708" spans="31:33">
      <c r="AE6708">
        <v>0</v>
      </c>
      <c r="AG6708">
        <v>0</v>
      </c>
    </row>
    <row r="6709" spans="31:33">
      <c r="AE6709">
        <v>0</v>
      </c>
      <c r="AG6709">
        <v>0</v>
      </c>
    </row>
    <row r="6710" spans="31:33">
      <c r="AE6710">
        <v>0</v>
      </c>
      <c r="AG6710">
        <v>0</v>
      </c>
    </row>
    <row r="6711" spans="31:33">
      <c r="AE6711">
        <v>0</v>
      </c>
      <c r="AG6711">
        <v>0</v>
      </c>
    </row>
    <row r="6712" spans="31:33">
      <c r="AE6712">
        <v>0</v>
      </c>
      <c r="AG6712">
        <v>0</v>
      </c>
    </row>
    <row r="6713" spans="31:33">
      <c r="AE6713">
        <v>0</v>
      </c>
      <c r="AG6713">
        <v>0</v>
      </c>
    </row>
    <row r="6714" spans="31:33">
      <c r="AE6714">
        <v>0</v>
      </c>
      <c r="AG6714">
        <v>0</v>
      </c>
    </row>
    <row r="6715" spans="31:33">
      <c r="AE6715">
        <v>0</v>
      </c>
      <c r="AG6715">
        <v>0</v>
      </c>
    </row>
    <row r="6716" spans="31:33">
      <c r="AE6716">
        <v>0</v>
      </c>
      <c r="AG6716">
        <v>0</v>
      </c>
    </row>
    <row r="6717" spans="31:33">
      <c r="AE6717">
        <v>0</v>
      </c>
      <c r="AG6717">
        <v>0</v>
      </c>
    </row>
    <row r="6718" spans="31:33">
      <c r="AE6718">
        <v>0</v>
      </c>
      <c r="AG6718">
        <v>0</v>
      </c>
    </row>
    <row r="6719" spans="31:33">
      <c r="AE6719">
        <v>0</v>
      </c>
      <c r="AG6719">
        <v>0</v>
      </c>
    </row>
    <row r="6720" spans="31:33">
      <c r="AE6720">
        <v>0</v>
      </c>
      <c r="AG6720">
        <v>0</v>
      </c>
    </row>
    <row r="6721" spans="31:33">
      <c r="AE6721">
        <v>0</v>
      </c>
      <c r="AG6721">
        <v>0</v>
      </c>
    </row>
    <row r="6722" spans="31:33">
      <c r="AE6722">
        <v>0</v>
      </c>
      <c r="AG6722">
        <v>0</v>
      </c>
    </row>
    <row r="6723" spans="31:33">
      <c r="AE6723">
        <v>0</v>
      </c>
      <c r="AG6723">
        <v>0</v>
      </c>
    </row>
    <row r="6724" spans="31:33">
      <c r="AE6724">
        <v>0</v>
      </c>
      <c r="AG6724">
        <v>0</v>
      </c>
    </row>
    <row r="6725" spans="31:33">
      <c r="AE6725">
        <v>0</v>
      </c>
      <c r="AG6725">
        <v>0</v>
      </c>
    </row>
    <row r="6726" spans="31:33">
      <c r="AE6726">
        <v>0</v>
      </c>
      <c r="AG6726">
        <v>0</v>
      </c>
    </row>
    <row r="6727" spans="31:33">
      <c r="AE6727">
        <v>0</v>
      </c>
      <c r="AG6727">
        <v>0</v>
      </c>
    </row>
    <row r="6728" spans="31:33">
      <c r="AE6728">
        <v>0</v>
      </c>
      <c r="AG6728">
        <v>0</v>
      </c>
    </row>
    <row r="6729" spans="31:33">
      <c r="AE6729">
        <v>0</v>
      </c>
      <c r="AG6729">
        <v>0</v>
      </c>
    </row>
    <row r="6730" spans="31:33">
      <c r="AE6730">
        <v>0</v>
      </c>
      <c r="AG6730">
        <v>0</v>
      </c>
    </row>
    <row r="6731" spans="31:33">
      <c r="AE6731">
        <v>0</v>
      </c>
      <c r="AG6731">
        <v>0</v>
      </c>
    </row>
    <row r="6732" spans="31:33">
      <c r="AE6732">
        <v>0</v>
      </c>
      <c r="AG6732">
        <v>0</v>
      </c>
    </row>
    <row r="6733" spans="31:33">
      <c r="AE6733">
        <v>0</v>
      </c>
      <c r="AG6733">
        <v>0</v>
      </c>
    </row>
    <row r="6734" spans="31:33">
      <c r="AE6734">
        <v>0</v>
      </c>
      <c r="AG6734">
        <v>0</v>
      </c>
    </row>
    <row r="6735" spans="31:33">
      <c r="AE6735">
        <v>0</v>
      </c>
      <c r="AG6735">
        <v>0</v>
      </c>
    </row>
    <row r="6736" spans="31:33">
      <c r="AE6736">
        <v>0</v>
      </c>
      <c r="AG6736">
        <v>0</v>
      </c>
    </row>
    <row r="6737" spans="31:33">
      <c r="AE6737">
        <v>0</v>
      </c>
      <c r="AG6737">
        <v>0</v>
      </c>
    </row>
    <row r="6738" spans="31:33">
      <c r="AE6738">
        <v>0</v>
      </c>
      <c r="AG6738">
        <v>0</v>
      </c>
    </row>
    <row r="6739" spans="31:33">
      <c r="AE6739">
        <v>0</v>
      </c>
      <c r="AG6739">
        <v>0</v>
      </c>
    </row>
    <row r="6740" spans="31:33">
      <c r="AE6740">
        <v>0</v>
      </c>
      <c r="AG6740">
        <v>0</v>
      </c>
    </row>
    <row r="6741" spans="31:33">
      <c r="AE6741">
        <v>0</v>
      </c>
      <c r="AG6741">
        <v>0</v>
      </c>
    </row>
    <row r="6742" spans="31:33">
      <c r="AE6742">
        <v>0</v>
      </c>
      <c r="AG6742">
        <v>0</v>
      </c>
    </row>
    <row r="6743" spans="31:33">
      <c r="AE6743">
        <v>0</v>
      </c>
      <c r="AG6743">
        <v>0</v>
      </c>
    </row>
    <row r="6744" spans="31:33">
      <c r="AE6744">
        <v>0</v>
      </c>
      <c r="AG6744">
        <v>0</v>
      </c>
    </row>
    <row r="6745" spans="31:33">
      <c r="AE6745">
        <v>0</v>
      </c>
      <c r="AG6745">
        <v>0</v>
      </c>
    </row>
    <row r="6746" spans="31:33">
      <c r="AE6746">
        <v>0</v>
      </c>
      <c r="AG6746">
        <v>0</v>
      </c>
    </row>
    <row r="6747" spans="31:33">
      <c r="AE6747">
        <v>0</v>
      </c>
      <c r="AG6747">
        <v>0</v>
      </c>
    </row>
    <row r="6748" spans="31:33">
      <c r="AE6748">
        <v>0</v>
      </c>
      <c r="AG6748">
        <v>0</v>
      </c>
    </row>
    <row r="6749" spans="31:33">
      <c r="AE6749">
        <v>0</v>
      </c>
      <c r="AG6749">
        <v>0</v>
      </c>
    </row>
    <row r="6750" spans="31:33">
      <c r="AE6750">
        <v>0</v>
      </c>
      <c r="AG6750">
        <v>0</v>
      </c>
    </row>
    <row r="6751" spans="31:33">
      <c r="AE6751">
        <v>0</v>
      </c>
      <c r="AG6751">
        <v>0</v>
      </c>
    </row>
    <row r="6752" spans="31:33">
      <c r="AE6752">
        <v>0</v>
      </c>
      <c r="AG6752">
        <v>0</v>
      </c>
    </row>
    <row r="6753" spans="31:33">
      <c r="AE6753">
        <v>0</v>
      </c>
      <c r="AG6753">
        <v>0</v>
      </c>
    </row>
    <row r="6754" spans="31:33">
      <c r="AE6754">
        <v>0</v>
      </c>
      <c r="AG6754">
        <v>0</v>
      </c>
    </row>
    <row r="6755" spans="31:33">
      <c r="AE6755">
        <v>0</v>
      </c>
      <c r="AG6755">
        <v>0</v>
      </c>
    </row>
    <row r="6756" spans="31:33">
      <c r="AE6756">
        <v>0</v>
      </c>
      <c r="AG6756">
        <v>0</v>
      </c>
    </row>
    <row r="6757" spans="31:33">
      <c r="AE6757">
        <v>0</v>
      </c>
      <c r="AG6757">
        <v>0</v>
      </c>
    </row>
    <row r="6758" spans="31:33">
      <c r="AE6758">
        <v>0</v>
      </c>
      <c r="AG6758">
        <v>0</v>
      </c>
    </row>
    <row r="6759" spans="31:33">
      <c r="AE6759">
        <v>0</v>
      </c>
      <c r="AG6759">
        <v>0</v>
      </c>
    </row>
    <row r="6760" spans="31:33">
      <c r="AE6760">
        <v>0</v>
      </c>
      <c r="AG6760">
        <v>0</v>
      </c>
    </row>
    <row r="6761" spans="31:33">
      <c r="AE6761">
        <v>0</v>
      </c>
      <c r="AG6761">
        <v>0</v>
      </c>
    </row>
    <row r="6762" spans="31:33">
      <c r="AE6762">
        <v>0</v>
      </c>
      <c r="AG6762">
        <v>0</v>
      </c>
    </row>
    <row r="6763" spans="31:33">
      <c r="AE6763">
        <v>0</v>
      </c>
      <c r="AG6763">
        <v>0</v>
      </c>
    </row>
    <row r="6764" spans="31:33">
      <c r="AE6764">
        <v>0</v>
      </c>
      <c r="AG6764">
        <v>0</v>
      </c>
    </row>
    <row r="6765" spans="31:33">
      <c r="AE6765">
        <v>0</v>
      </c>
      <c r="AG6765">
        <v>0</v>
      </c>
    </row>
    <row r="6766" spans="31:33">
      <c r="AE6766">
        <v>0</v>
      </c>
      <c r="AG6766">
        <v>0</v>
      </c>
    </row>
    <row r="6767" spans="31:33">
      <c r="AE6767">
        <v>0</v>
      </c>
      <c r="AG6767">
        <v>0</v>
      </c>
    </row>
    <row r="6768" spans="31:33">
      <c r="AE6768">
        <v>0</v>
      </c>
      <c r="AG6768">
        <v>0</v>
      </c>
    </row>
    <row r="6769" spans="31:33">
      <c r="AE6769">
        <v>0</v>
      </c>
      <c r="AG6769">
        <v>0</v>
      </c>
    </row>
    <row r="6770" spans="31:33">
      <c r="AE6770">
        <v>0</v>
      </c>
      <c r="AG6770">
        <v>0</v>
      </c>
    </row>
    <row r="6771" spans="31:33">
      <c r="AE6771">
        <v>0</v>
      </c>
      <c r="AG6771">
        <v>0</v>
      </c>
    </row>
    <row r="6772" spans="31:33">
      <c r="AE6772">
        <v>0</v>
      </c>
      <c r="AG6772">
        <v>0</v>
      </c>
    </row>
    <row r="6773" spans="31:33">
      <c r="AE6773">
        <v>0</v>
      </c>
      <c r="AG6773">
        <v>0</v>
      </c>
    </row>
    <row r="6774" spans="31:33">
      <c r="AE6774">
        <v>0</v>
      </c>
      <c r="AG6774">
        <v>0</v>
      </c>
    </row>
    <row r="6775" spans="31:33">
      <c r="AE6775">
        <v>0</v>
      </c>
      <c r="AG6775">
        <v>0</v>
      </c>
    </row>
    <row r="6776" spans="31:33">
      <c r="AE6776">
        <v>0</v>
      </c>
      <c r="AG6776">
        <v>0</v>
      </c>
    </row>
    <row r="6777" spans="31:33">
      <c r="AE6777">
        <v>0</v>
      </c>
      <c r="AG6777">
        <v>0</v>
      </c>
    </row>
    <row r="6778" spans="31:33">
      <c r="AE6778">
        <v>0</v>
      </c>
      <c r="AG6778">
        <v>0</v>
      </c>
    </row>
    <row r="6779" spans="31:33">
      <c r="AE6779">
        <v>0</v>
      </c>
      <c r="AG6779">
        <v>0</v>
      </c>
    </row>
    <row r="6780" spans="31:33">
      <c r="AE6780">
        <v>0</v>
      </c>
      <c r="AG6780">
        <v>0</v>
      </c>
    </row>
    <row r="6781" spans="31:33">
      <c r="AE6781">
        <v>0</v>
      </c>
      <c r="AG6781">
        <v>0</v>
      </c>
    </row>
    <row r="6782" spans="31:33">
      <c r="AE6782">
        <v>0</v>
      </c>
      <c r="AG6782">
        <v>0</v>
      </c>
    </row>
    <row r="6783" spans="31:33">
      <c r="AE6783">
        <v>0</v>
      </c>
      <c r="AG6783">
        <v>0</v>
      </c>
    </row>
    <row r="6784" spans="31:33">
      <c r="AE6784">
        <v>0</v>
      </c>
      <c r="AG6784">
        <v>0</v>
      </c>
    </row>
    <row r="6785" spans="31:33">
      <c r="AE6785">
        <v>0</v>
      </c>
      <c r="AG6785">
        <v>0</v>
      </c>
    </row>
    <row r="6786" spans="31:33">
      <c r="AE6786">
        <v>0</v>
      </c>
      <c r="AG6786">
        <v>0</v>
      </c>
    </row>
    <row r="6787" spans="31:33">
      <c r="AE6787">
        <v>0</v>
      </c>
      <c r="AG6787">
        <v>0</v>
      </c>
    </row>
    <row r="6788" spans="31:33">
      <c r="AE6788">
        <v>0</v>
      </c>
      <c r="AG6788">
        <v>0</v>
      </c>
    </row>
    <row r="6789" spans="31:33">
      <c r="AE6789">
        <v>0</v>
      </c>
      <c r="AG6789">
        <v>0</v>
      </c>
    </row>
    <row r="6790" spans="31:33">
      <c r="AE6790">
        <v>0</v>
      </c>
      <c r="AG6790">
        <v>0</v>
      </c>
    </row>
    <row r="6791" spans="31:33">
      <c r="AE6791">
        <v>0</v>
      </c>
      <c r="AG6791">
        <v>0</v>
      </c>
    </row>
    <row r="6792" spans="31:33">
      <c r="AE6792">
        <v>0</v>
      </c>
      <c r="AG6792">
        <v>0</v>
      </c>
    </row>
    <row r="6793" spans="31:33">
      <c r="AE6793">
        <v>0</v>
      </c>
      <c r="AG6793">
        <v>0</v>
      </c>
    </row>
    <row r="6794" spans="31:33">
      <c r="AE6794">
        <v>0</v>
      </c>
      <c r="AG6794">
        <v>0</v>
      </c>
    </row>
    <row r="6795" spans="31:33">
      <c r="AE6795">
        <v>0</v>
      </c>
      <c r="AG6795">
        <v>0</v>
      </c>
    </row>
    <row r="6796" spans="31:33">
      <c r="AE6796">
        <v>0</v>
      </c>
      <c r="AG6796">
        <v>0</v>
      </c>
    </row>
    <row r="6797" spans="31:33">
      <c r="AE6797">
        <v>0</v>
      </c>
      <c r="AG6797">
        <v>0</v>
      </c>
    </row>
    <row r="6798" spans="31:33">
      <c r="AE6798">
        <v>0</v>
      </c>
      <c r="AG6798">
        <v>0</v>
      </c>
    </row>
    <row r="6799" spans="31:33">
      <c r="AE6799">
        <v>0</v>
      </c>
      <c r="AG6799">
        <v>0</v>
      </c>
    </row>
    <row r="6800" spans="31:33">
      <c r="AE6800">
        <v>0</v>
      </c>
      <c r="AG6800">
        <v>0</v>
      </c>
    </row>
    <row r="6801" spans="31:33">
      <c r="AE6801">
        <v>0</v>
      </c>
      <c r="AG6801">
        <v>0</v>
      </c>
    </row>
    <row r="6802" spans="31:33">
      <c r="AE6802">
        <v>0</v>
      </c>
      <c r="AG6802">
        <v>0</v>
      </c>
    </row>
    <row r="6803" spans="31:33">
      <c r="AE6803">
        <v>0</v>
      </c>
      <c r="AG6803">
        <v>0</v>
      </c>
    </row>
    <row r="6804" spans="31:33">
      <c r="AE6804">
        <v>0</v>
      </c>
      <c r="AG6804">
        <v>0</v>
      </c>
    </row>
    <row r="6805" spans="31:33">
      <c r="AE6805">
        <v>0</v>
      </c>
      <c r="AG6805">
        <v>0</v>
      </c>
    </row>
    <row r="6806" spans="31:33">
      <c r="AE6806">
        <v>0</v>
      </c>
      <c r="AG6806">
        <v>0</v>
      </c>
    </row>
    <row r="6807" spans="31:33">
      <c r="AE6807">
        <v>0</v>
      </c>
      <c r="AG6807">
        <v>0</v>
      </c>
    </row>
    <row r="6808" spans="31:33">
      <c r="AE6808">
        <v>0</v>
      </c>
      <c r="AG6808">
        <v>0</v>
      </c>
    </row>
    <row r="6809" spans="31:33">
      <c r="AE6809">
        <v>0</v>
      </c>
      <c r="AG6809">
        <v>0</v>
      </c>
    </row>
    <row r="6810" spans="31:33">
      <c r="AE6810">
        <v>0</v>
      </c>
      <c r="AG6810">
        <v>0</v>
      </c>
    </row>
    <row r="6811" spans="31:33">
      <c r="AE6811">
        <v>0</v>
      </c>
      <c r="AG6811">
        <v>0</v>
      </c>
    </row>
    <row r="6812" spans="31:33">
      <c r="AE6812">
        <v>0</v>
      </c>
      <c r="AG6812">
        <v>0</v>
      </c>
    </row>
    <row r="6813" spans="31:33">
      <c r="AE6813">
        <v>0</v>
      </c>
      <c r="AG6813">
        <v>0</v>
      </c>
    </row>
    <row r="6814" spans="31:33">
      <c r="AE6814">
        <v>0</v>
      </c>
      <c r="AG6814">
        <v>0</v>
      </c>
    </row>
    <row r="6815" spans="31:33">
      <c r="AE6815">
        <v>0</v>
      </c>
      <c r="AG6815">
        <v>0</v>
      </c>
    </row>
    <row r="6816" spans="31:33">
      <c r="AE6816">
        <v>0</v>
      </c>
      <c r="AG6816">
        <v>0</v>
      </c>
    </row>
    <row r="6817" spans="31:33">
      <c r="AE6817">
        <v>0</v>
      </c>
      <c r="AG6817">
        <v>0</v>
      </c>
    </row>
    <row r="6818" spans="31:33">
      <c r="AE6818">
        <v>0</v>
      </c>
      <c r="AG6818">
        <v>0</v>
      </c>
    </row>
    <row r="6819" spans="31:33">
      <c r="AE6819">
        <v>0</v>
      </c>
      <c r="AG6819">
        <v>0</v>
      </c>
    </row>
    <row r="6820" spans="31:33">
      <c r="AE6820">
        <v>0</v>
      </c>
      <c r="AG6820">
        <v>0</v>
      </c>
    </row>
    <row r="6821" spans="31:33">
      <c r="AE6821">
        <v>0</v>
      </c>
      <c r="AG6821">
        <v>0</v>
      </c>
    </row>
    <row r="6822" spans="31:33">
      <c r="AE6822">
        <v>0</v>
      </c>
      <c r="AG6822">
        <v>0</v>
      </c>
    </row>
    <row r="6823" spans="31:33">
      <c r="AE6823">
        <v>0</v>
      </c>
      <c r="AG6823">
        <v>0</v>
      </c>
    </row>
    <row r="6824" spans="31:33">
      <c r="AE6824">
        <v>0</v>
      </c>
      <c r="AG6824">
        <v>0</v>
      </c>
    </row>
    <row r="6825" spans="31:33">
      <c r="AE6825">
        <v>0</v>
      </c>
      <c r="AG6825">
        <v>0</v>
      </c>
    </row>
    <row r="6826" spans="31:33">
      <c r="AE6826">
        <v>0</v>
      </c>
      <c r="AG6826">
        <v>0</v>
      </c>
    </row>
    <row r="6827" spans="31:33">
      <c r="AE6827">
        <v>0</v>
      </c>
      <c r="AG6827">
        <v>0</v>
      </c>
    </row>
    <row r="6828" spans="31:33">
      <c r="AE6828">
        <v>0</v>
      </c>
      <c r="AG6828">
        <v>0</v>
      </c>
    </row>
    <row r="6829" spans="31:33">
      <c r="AE6829">
        <v>0</v>
      </c>
      <c r="AG6829">
        <v>0</v>
      </c>
    </row>
    <row r="6830" spans="31:33">
      <c r="AE6830">
        <v>0</v>
      </c>
      <c r="AG6830">
        <v>0</v>
      </c>
    </row>
    <row r="6831" spans="31:33">
      <c r="AE6831">
        <v>0</v>
      </c>
      <c r="AG6831">
        <v>0</v>
      </c>
    </row>
    <row r="6832" spans="31:33">
      <c r="AE6832">
        <v>0</v>
      </c>
      <c r="AG6832">
        <v>0</v>
      </c>
    </row>
    <row r="6833" spans="31:33">
      <c r="AE6833">
        <v>0</v>
      </c>
      <c r="AG6833">
        <v>0</v>
      </c>
    </row>
    <row r="6834" spans="31:33">
      <c r="AE6834">
        <v>0</v>
      </c>
      <c r="AG6834">
        <v>0</v>
      </c>
    </row>
    <row r="6835" spans="31:33">
      <c r="AE6835">
        <v>0</v>
      </c>
      <c r="AG6835">
        <v>0</v>
      </c>
    </row>
    <row r="6836" spans="31:33">
      <c r="AE6836">
        <v>0</v>
      </c>
      <c r="AG6836">
        <v>0</v>
      </c>
    </row>
    <row r="6837" spans="31:33">
      <c r="AE6837">
        <v>0</v>
      </c>
      <c r="AG6837">
        <v>0</v>
      </c>
    </row>
    <row r="6838" spans="31:33">
      <c r="AE6838">
        <v>0</v>
      </c>
      <c r="AG6838">
        <v>0</v>
      </c>
    </row>
    <row r="6839" spans="31:33">
      <c r="AE6839">
        <v>0</v>
      </c>
      <c r="AG6839">
        <v>0</v>
      </c>
    </row>
    <row r="6840" spans="31:33">
      <c r="AE6840">
        <v>0</v>
      </c>
      <c r="AG6840">
        <v>0</v>
      </c>
    </row>
    <row r="6841" spans="31:33">
      <c r="AE6841">
        <v>0</v>
      </c>
      <c r="AG6841">
        <v>0</v>
      </c>
    </row>
    <row r="6842" spans="31:33">
      <c r="AE6842">
        <v>0</v>
      </c>
      <c r="AG6842">
        <v>0</v>
      </c>
    </row>
    <row r="6843" spans="31:33">
      <c r="AE6843">
        <v>0</v>
      </c>
      <c r="AG6843">
        <v>0</v>
      </c>
    </row>
    <row r="6844" spans="31:33">
      <c r="AE6844">
        <v>0</v>
      </c>
      <c r="AG6844">
        <v>0</v>
      </c>
    </row>
    <row r="6845" spans="31:33">
      <c r="AE6845">
        <v>0</v>
      </c>
      <c r="AG6845">
        <v>0</v>
      </c>
    </row>
    <row r="6846" spans="31:33">
      <c r="AE6846">
        <v>0</v>
      </c>
      <c r="AG6846">
        <v>0</v>
      </c>
    </row>
    <row r="6847" spans="31:33">
      <c r="AE6847">
        <v>0</v>
      </c>
      <c r="AG6847">
        <v>0</v>
      </c>
    </row>
    <row r="6848" spans="31:33">
      <c r="AE6848">
        <v>0</v>
      </c>
      <c r="AG6848">
        <v>0</v>
      </c>
    </row>
    <row r="6849" spans="31:33">
      <c r="AE6849">
        <v>0</v>
      </c>
      <c r="AG6849">
        <v>0</v>
      </c>
    </row>
    <row r="6850" spans="31:33">
      <c r="AE6850">
        <v>0</v>
      </c>
      <c r="AG6850">
        <v>0</v>
      </c>
    </row>
    <row r="6851" spans="31:33">
      <c r="AE6851">
        <v>0</v>
      </c>
      <c r="AG6851">
        <v>0</v>
      </c>
    </row>
    <row r="6852" spans="31:33">
      <c r="AE6852">
        <v>0</v>
      </c>
      <c r="AG6852">
        <v>0</v>
      </c>
    </row>
    <row r="6853" spans="31:33">
      <c r="AE6853">
        <v>0</v>
      </c>
      <c r="AG6853">
        <v>0</v>
      </c>
    </row>
    <row r="6854" spans="31:33">
      <c r="AE6854">
        <v>0</v>
      </c>
      <c r="AG6854">
        <v>0</v>
      </c>
    </row>
    <row r="6855" spans="31:33">
      <c r="AE6855">
        <v>0</v>
      </c>
      <c r="AG6855">
        <v>0</v>
      </c>
    </row>
    <row r="6856" spans="31:33">
      <c r="AE6856">
        <v>0</v>
      </c>
      <c r="AG6856">
        <v>0</v>
      </c>
    </row>
    <row r="6857" spans="31:33">
      <c r="AE6857">
        <v>0</v>
      </c>
      <c r="AG6857">
        <v>0</v>
      </c>
    </row>
    <row r="6858" spans="31:33">
      <c r="AE6858">
        <v>0</v>
      </c>
      <c r="AG6858">
        <v>0</v>
      </c>
    </row>
    <row r="6859" spans="31:33">
      <c r="AE6859">
        <v>0</v>
      </c>
      <c r="AG6859">
        <v>0</v>
      </c>
    </row>
    <row r="6860" spans="31:33">
      <c r="AE6860">
        <v>0</v>
      </c>
      <c r="AG6860">
        <v>0</v>
      </c>
    </row>
    <row r="6861" spans="31:33">
      <c r="AE6861">
        <v>0</v>
      </c>
      <c r="AG6861">
        <v>0</v>
      </c>
    </row>
    <row r="6862" spans="31:33">
      <c r="AE6862">
        <v>0</v>
      </c>
      <c r="AG6862">
        <v>0</v>
      </c>
    </row>
    <row r="6863" spans="31:33">
      <c r="AE6863">
        <v>0</v>
      </c>
      <c r="AG6863">
        <v>0</v>
      </c>
    </row>
    <row r="6864" spans="31:33">
      <c r="AE6864">
        <v>0</v>
      </c>
      <c r="AG6864">
        <v>0</v>
      </c>
    </row>
    <row r="6865" spans="31:33">
      <c r="AE6865">
        <v>0</v>
      </c>
      <c r="AG6865">
        <v>0</v>
      </c>
    </row>
    <row r="6866" spans="31:33">
      <c r="AE6866">
        <v>0</v>
      </c>
      <c r="AG6866">
        <v>0</v>
      </c>
    </row>
    <row r="6867" spans="31:33">
      <c r="AE6867">
        <v>0</v>
      </c>
      <c r="AG6867">
        <v>0</v>
      </c>
    </row>
    <row r="6868" spans="31:33">
      <c r="AE6868">
        <v>0</v>
      </c>
      <c r="AG6868">
        <v>0</v>
      </c>
    </row>
    <row r="6869" spans="31:33">
      <c r="AE6869">
        <v>0</v>
      </c>
      <c r="AG6869">
        <v>0</v>
      </c>
    </row>
    <row r="6870" spans="31:33">
      <c r="AE6870">
        <v>0</v>
      </c>
      <c r="AG6870">
        <v>0</v>
      </c>
    </row>
    <row r="6871" spans="31:33">
      <c r="AE6871">
        <v>0</v>
      </c>
      <c r="AG6871">
        <v>0</v>
      </c>
    </row>
    <row r="6872" spans="31:33">
      <c r="AE6872">
        <v>0</v>
      </c>
      <c r="AG6872">
        <v>0</v>
      </c>
    </row>
    <row r="6873" spans="31:33">
      <c r="AE6873">
        <v>0</v>
      </c>
      <c r="AG6873">
        <v>0</v>
      </c>
    </row>
    <row r="6874" spans="31:33">
      <c r="AE6874">
        <v>0</v>
      </c>
      <c r="AG6874">
        <v>0</v>
      </c>
    </row>
    <row r="6875" spans="31:33">
      <c r="AE6875">
        <v>0</v>
      </c>
      <c r="AG6875">
        <v>0</v>
      </c>
    </row>
    <row r="6876" spans="31:33">
      <c r="AE6876">
        <v>0</v>
      </c>
      <c r="AG6876">
        <v>0</v>
      </c>
    </row>
    <row r="6877" spans="31:33">
      <c r="AE6877">
        <v>0</v>
      </c>
      <c r="AG6877">
        <v>0</v>
      </c>
    </row>
    <row r="6878" spans="31:33">
      <c r="AE6878">
        <v>0</v>
      </c>
      <c r="AG6878">
        <v>0</v>
      </c>
    </row>
    <row r="6879" spans="31:33">
      <c r="AE6879">
        <v>0</v>
      </c>
      <c r="AG6879">
        <v>0</v>
      </c>
    </row>
    <row r="6880" spans="31:33">
      <c r="AE6880">
        <v>0</v>
      </c>
      <c r="AG6880">
        <v>0</v>
      </c>
    </row>
    <row r="6881" spans="31:33">
      <c r="AE6881">
        <v>0</v>
      </c>
      <c r="AG6881">
        <v>0</v>
      </c>
    </row>
    <row r="6882" spans="31:33">
      <c r="AE6882">
        <v>0</v>
      </c>
      <c r="AG6882">
        <v>0</v>
      </c>
    </row>
    <row r="6883" spans="31:33">
      <c r="AE6883">
        <v>0</v>
      </c>
      <c r="AG6883">
        <v>0</v>
      </c>
    </row>
    <row r="6884" spans="31:33">
      <c r="AE6884">
        <v>0</v>
      </c>
      <c r="AG6884">
        <v>0</v>
      </c>
    </row>
    <row r="6885" spans="31:33">
      <c r="AE6885">
        <v>0</v>
      </c>
      <c r="AG6885">
        <v>0</v>
      </c>
    </row>
    <row r="6886" spans="31:33">
      <c r="AE6886">
        <v>0</v>
      </c>
      <c r="AG6886">
        <v>0</v>
      </c>
    </row>
    <row r="6887" spans="31:33">
      <c r="AE6887">
        <v>0</v>
      </c>
      <c r="AG6887">
        <v>0</v>
      </c>
    </row>
    <row r="6888" spans="31:33">
      <c r="AE6888">
        <v>0</v>
      </c>
      <c r="AG6888">
        <v>0</v>
      </c>
    </row>
    <row r="6889" spans="31:33">
      <c r="AE6889">
        <v>0</v>
      </c>
      <c r="AG6889">
        <v>0</v>
      </c>
    </row>
    <row r="6890" spans="31:33">
      <c r="AE6890">
        <v>0</v>
      </c>
      <c r="AG6890">
        <v>0</v>
      </c>
    </row>
    <row r="6891" spans="31:33">
      <c r="AE6891">
        <v>0</v>
      </c>
      <c r="AG6891">
        <v>0</v>
      </c>
    </row>
    <row r="6892" spans="31:33">
      <c r="AE6892">
        <v>0</v>
      </c>
      <c r="AG6892">
        <v>0</v>
      </c>
    </row>
    <row r="6893" spans="31:33">
      <c r="AE6893">
        <v>0</v>
      </c>
      <c r="AG6893">
        <v>0</v>
      </c>
    </row>
    <row r="6894" spans="31:33">
      <c r="AE6894">
        <v>0</v>
      </c>
      <c r="AG6894">
        <v>0</v>
      </c>
    </row>
    <row r="6895" spans="31:33">
      <c r="AE6895">
        <v>0</v>
      </c>
      <c r="AG6895">
        <v>0</v>
      </c>
    </row>
    <row r="6896" spans="31:33">
      <c r="AE6896">
        <v>0</v>
      </c>
      <c r="AG6896">
        <v>0</v>
      </c>
    </row>
    <row r="6897" spans="31:33">
      <c r="AE6897">
        <v>0</v>
      </c>
      <c r="AG6897">
        <v>0</v>
      </c>
    </row>
    <row r="6898" spans="31:33">
      <c r="AE6898">
        <v>0</v>
      </c>
      <c r="AG6898">
        <v>0</v>
      </c>
    </row>
    <row r="6899" spans="31:33">
      <c r="AE6899">
        <v>0</v>
      </c>
      <c r="AG6899">
        <v>0</v>
      </c>
    </row>
    <row r="6900" spans="31:33">
      <c r="AE6900">
        <v>0</v>
      </c>
      <c r="AG6900">
        <v>0</v>
      </c>
    </row>
    <row r="6901" spans="31:33">
      <c r="AE6901">
        <v>0</v>
      </c>
      <c r="AG6901">
        <v>0</v>
      </c>
    </row>
    <row r="6902" spans="31:33">
      <c r="AE6902">
        <v>0</v>
      </c>
      <c r="AG6902">
        <v>0</v>
      </c>
    </row>
    <row r="6903" spans="31:33">
      <c r="AE6903">
        <v>0</v>
      </c>
      <c r="AG6903">
        <v>0</v>
      </c>
    </row>
    <row r="6904" spans="31:33">
      <c r="AE6904">
        <v>0</v>
      </c>
      <c r="AG6904">
        <v>0</v>
      </c>
    </row>
    <row r="6905" spans="31:33">
      <c r="AE6905">
        <v>0</v>
      </c>
      <c r="AG6905">
        <v>0</v>
      </c>
    </row>
    <row r="6906" spans="31:33">
      <c r="AE6906">
        <v>0</v>
      </c>
      <c r="AG6906">
        <v>0</v>
      </c>
    </row>
    <row r="6907" spans="31:33">
      <c r="AE6907">
        <v>0</v>
      </c>
      <c r="AG6907">
        <v>0</v>
      </c>
    </row>
    <row r="6908" spans="31:33">
      <c r="AE6908">
        <v>0</v>
      </c>
      <c r="AG6908">
        <v>0</v>
      </c>
    </row>
    <row r="6909" spans="31:33">
      <c r="AE6909">
        <v>0</v>
      </c>
      <c r="AG6909">
        <v>0</v>
      </c>
    </row>
    <row r="6910" spans="31:33">
      <c r="AE6910">
        <v>0</v>
      </c>
      <c r="AG6910">
        <v>0</v>
      </c>
    </row>
    <row r="6911" spans="31:33">
      <c r="AE6911">
        <v>0</v>
      </c>
      <c r="AG6911">
        <v>0</v>
      </c>
    </row>
    <row r="6912" spans="31:33">
      <c r="AE6912" s="31">
        <v>1794151.98</v>
      </c>
      <c r="AG6912" s="31">
        <v>1824138.26</v>
      </c>
    </row>
    <row r="6913" spans="31:33">
      <c r="AE6913" s="31">
        <v>2100199.0699999998</v>
      </c>
      <c r="AG6913" s="31">
        <v>2229690.19</v>
      </c>
    </row>
    <row r="6914" spans="31:33">
      <c r="AE6914">
        <v>0</v>
      </c>
      <c r="AG6914">
        <v>0</v>
      </c>
    </row>
    <row r="6915" spans="31:33">
      <c r="AE6915" s="31">
        <v>700476.33</v>
      </c>
      <c r="AG6915" s="31">
        <v>696658.39</v>
      </c>
    </row>
    <row r="6916" spans="31:33">
      <c r="AE6916">
        <v>0</v>
      </c>
      <c r="AG6916">
        <v>0</v>
      </c>
    </row>
    <row r="6917" spans="31:33">
      <c r="AE6917" s="31">
        <v>-48355.94</v>
      </c>
      <c r="AG6917" s="31">
        <v>9810.27</v>
      </c>
    </row>
    <row r="6918" spans="31:33">
      <c r="AE6918" s="31">
        <v>3326219.49</v>
      </c>
      <c r="AG6918" s="31">
        <v>3419660.27</v>
      </c>
    </row>
    <row r="6919" spans="31:33">
      <c r="AE6919" s="31">
        <v>4701606.5199999996</v>
      </c>
      <c r="AG6919" s="31">
        <v>4793771.03</v>
      </c>
    </row>
    <row r="6920" spans="31:33">
      <c r="AE6920" s="31">
        <v>278004.87</v>
      </c>
      <c r="AG6920" s="31">
        <v>301534.48</v>
      </c>
    </row>
    <row r="6921" spans="31:33">
      <c r="AE6921" s="31">
        <v>2259747.21</v>
      </c>
      <c r="AG6921" s="31">
        <v>2536938.0299999998</v>
      </c>
    </row>
    <row r="6922" spans="31:33">
      <c r="AE6922" s="31">
        <v>4744956.8499999996</v>
      </c>
      <c r="AG6922" s="31">
        <v>5106572.99</v>
      </c>
    </row>
    <row r="6923" spans="31:33">
      <c r="AE6923" s="31">
        <v>43132.69</v>
      </c>
      <c r="AG6923" s="31">
        <v>53751.43</v>
      </c>
    </row>
    <row r="6924" spans="31:33">
      <c r="AE6924" s="31">
        <v>5188455.21</v>
      </c>
      <c r="AG6924" s="31">
        <v>5466544.8499999996</v>
      </c>
    </row>
    <row r="6925" spans="31:33">
      <c r="AE6925" s="31">
        <v>284055.58</v>
      </c>
      <c r="AG6925" s="31">
        <v>337764.66</v>
      </c>
    </row>
    <row r="6926" spans="31:33">
      <c r="AE6926">
        <v>0</v>
      </c>
      <c r="AG6926">
        <v>0</v>
      </c>
    </row>
    <row r="6927" spans="31:33">
      <c r="AE6927">
        <v>0</v>
      </c>
      <c r="AG6927">
        <v>0</v>
      </c>
    </row>
    <row r="6928" spans="31:33">
      <c r="AE6928">
        <v>0</v>
      </c>
      <c r="AG6928">
        <v>0</v>
      </c>
    </row>
    <row r="6929" spans="31:33">
      <c r="AE6929">
        <v>0</v>
      </c>
      <c r="AG6929">
        <v>0</v>
      </c>
    </row>
    <row r="6930" spans="31:33">
      <c r="AE6930">
        <v>0</v>
      </c>
      <c r="AG6930">
        <v>0</v>
      </c>
    </row>
    <row r="6931" spans="31:33">
      <c r="AE6931">
        <v>0</v>
      </c>
      <c r="AG6931">
        <v>0</v>
      </c>
    </row>
    <row r="6932" spans="31:33">
      <c r="AE6932">
        <v>0</v>
      </c>
      <c r="AG6932">
        <v>0</v>
      </c>
    </row>
    <row r="6933" spans="31:33">
      <c r="AE6933">
        <v>0</v>
      </c>
      <c r="AG6933">
        <v>0</v>
      </c>
    </row>
    <row r="6934" spans="31:33">
      <c r="AE6934">
        <v>0</v>
      </c>
      <c r="AG6934">
        <v>0</v>
      </c>
    </row>
    <row r="6935" spans="31:33">
      <c r="AE6935">
        <v>0</v>
      </c>
      <c r="AG6935">
        <v>0</v>
      </c>
    </row>
    <row r="6936" spans="31:33">
      <c r="AE6936">
        <v>0</v>
      </c>
      <c r="AG6936">
        <v>0</v>
      </c>
    </row>
    <row r="6937" spans="31:33">
      <c r="AE6937">
        <v>0</v>
      </c>
      <c r="AG6937">
        <v>0</v>
      </c>
    </row>
    <row r="6938" spans="31:33">
      <c r="AE6938">
        <v>0</v>
      </c>
      <c r="AG6938">
        <v>0</v>
      </c>
    </row>
    <row r="6939" spans="31:33">
      <c r="AE6939">
        <v>0</v>
      </c>
      <c r="AG6939">
        <v>0</v>
      </c>
    </row>
    <row r="6940" spans="31:33">
      <c r="AE6940">
        <v>0</v>
      </c>
      <c r="AG6940">
        <v>0</v>
      </c>
    </row>
    <row r="6941" spans="31:33">
      <c r="AE6941">
        <v>0</v>
      </c>
      <c r="AG6941">
        <v>0</v>
      </c>
    </row>
    <row r="6942" spans="31:33">
      <c r="AE6942">
        <v>0</v>
      </c>
      <c r="AG6942">
        <v>0</v>
      </c>
    </row>
    <row r="6943" spans="31:33">
      <c r="AE6943">
        <v>0</v>
      </c>
      <c r="AG6943">
        <v>0</v>
      </c>
    </row>
    <row r="6944" spans="31:33">
      <c r="AE6944" s="31">
        <v>111163.37</v>
      </c>
      <c r="AG6944" s="31">
        <v>240798.29</v>
      </c>
    </row>
    <row r="6945" spans="31:33">
      <c r="AE6945">
        <v>0</v>
      </c>
      <c r="AG6945">
        <v>0</v>
      </c>
    </row>
    <row r="6946" spans="31:33">
      <c r="AE6946" s="31">
        <v>4678.33</v>
      </c>
      <c r="AG6946" s="31">
        <v>8880.84</v>
      </c>
    </row>
    <row r="6947" spans="31:33">
      <c r="AE6947">
        <v>0</v>
      </c>
      <c r="AG6947">
        <v>0</v>
      </c>
    </row>
    <row r="6948" spans="31:33">
      <c r="AE6948" s="31">
        <v>896174.32</v>
      </c>
      <c r="AG6948" s="31">
        <v>1384684.87</v>
      </c>
    </row>
    <row r="6949" spans="31:33">
      <c r="AE6949">
        <v>0</v>
      </c>
      <c r="AG6949">
        <v>0</v>
      </c>
    </row>
    <row r="6950" spans="31:33">
      <c r="AE6950">
        <v>0</v>
      </c>
      <c r="AG6950">
        <v>0</v>
      </c>
    </row>
    <row r="6951" spans="31:33">
      <c r="AE6951">
        <v>0</v>
      </c>
      <c r="AG6951">
        <v>0</v>
      </c>
    </row>
    <row r="6952" spans="31:33">
      <c r="AE6952">
        <v>0</v>
      </c>
      <c r="AG6952">
        <v>0</v>
      </c>
    </row>
    <row r="6953" spans="31:33">
      <c r="AE6953">
        <v>0</v>
      </c>
      <c r="AG6953">
        <v>0</v>
      </c>
    </row>
    <row r="6954" spans="31:33">
      <c r="AE6954">
        <v>0</v>
      </c>
      <c r="AG6954">
        <v>0</v>
      </c>
    </row>
    <row r="6955" spans="31:33">
      <c r="AE6955">
        <v>0</v>
      </c>
      <c r="AG6955">
        <v>0</v>
      </c>
    </row>
    <row r="6956" spans="31:33">
      <c r="AE6956">
        <v>0</v>
      </c>
      <c r="AG6956">
        <v>0</v>
      </c>
    </row>
    <row r="6957" spans="31:33">
      <c r="AE6957">
        <v>0</v>
      </c>
      <c r="AG6957">
        <v>0</v>
      </c>
    </row>
    <row r="6958" spans="31:33">
      <c r="AE6958">
        <v>0</v>
      </c>
      <c r="AG6958">
        <v>0</v>
      </c>
    </row>
    <row r="6959" spans="31:33">
      <c r="AE6959" s="31">
        <v>7587180.7400000002</v>
      </c>
      <c r="AG6959" s="31">
        <v>13132958.98</v>
      </c>
    </row>
    <row r="6960" spans="31:33">
      <c r="AE6960">
        <v>0</v>
      </c>
      <c r="AG6960">
        <v>0</v>
      </c>
    </row>
    <row r="6961" spans="31:33">
      <c r="AE6961">
        <v>0</v>
      </c>
      <c r="AG6961">
        <v>0</v>
      </c>
    </row>
    <row r="6962" spans="31:33">
      <c r="AE6962">
        <v>0</v>
      </c>
      <c r="AG6962">
        <v>0</v>
      </c>
    </row>
    <row r="6963" spans="31:33">
      <c r="AE6963">
        <v>0</v>
      </c>
      <c r="AG6963">
        <v>0</v>
      </c>
    </row>
    <row r="6964" spans="31:33">
      <c r="AE6964">
        <v>0</v>
      </c>
      <c r="AG6964">
        <v>0</v>
      </c>
    </row>
    <row r="6965" spans="31:33">
      <c r="AE6965">
        <v>0</v>
      </c>
      <c r="AG6965">
        <v>0</v>
      </c>
    </row>
    <row r="6966" spans="31:33">
      <c r="AE6966">
        <v>0</v>
      </c>
      <c r="AG6966">
        <v>0</v>
      </c>
    </row>
    <row r="6967" spans="31:33">
      <c r="AE6967">
        <v>0</v>
      </c>
      <c r="AG6967">
        <v>0</v>
      </c>
    </row>
    <row r="6968" spans="31:33">
      <c r="AE6968">
        <v>0</v>
      </c>
      <c r="AG6968">
        <v>0</v>
      </c>
    </row>
    <row r="6969" spans="31:33">
      <c r="AE6969">
        <v>0</v>
      </c>
      <c r="AG6969">
        <v>0</v>
      </c>
    </row>
    <row r="6970" spans="31:33">
      <c r="AE6970">
        <v>0</v>
      </c>
      <c r="AG6970">
        <v>0</v>
      </c>
    </row>
    <row r="6971" spans="31:33">
      <c r="AE6971">
        <v>0</v>
      </c>
      <c r="AG6971">
        <v>0</v>
      </c>
    </row>
    <row r="6972" spans="31:33">
      <c r="AE6972">
        <v>0</v>
      </c>
      <c r="AG6972">
        <v>0</v>
      </c>
    </row>
    <row r="6973" spans="31:33">
      <c r="AE6973">
        <v>0</v>
      </c>
      <c r="AG6973">
        <v>0</v>
      </c>
    </row>
    <row r="6974" spans="31:33">
      <c r="AE6974">
        <v>0</v>
      </c>
      <c r="AG6974">
        <v>0</v>
      </c>
    </row>
    <row r="6975" spans="31:33">
      <c r="AE6975">
        <v>0</v>
      </c>
      <c r="AG6975">
        <v>0</v>
      </c>
    </row>
    <row r="6976" spans="31:33">
      <c r="AE6976">
        <v>0</v>
      </c>
      <c r="AG6976">
        <v>0</v>
      </c>
    </row>
    <row r="6977" spans="31:33">
      <c r="AE6977">
        <v>0</v>
      </c>
      <c r="AG6977">
        <v>0</v>
      </c>
    </row>
    <row r="6978" spans="31:33">
      <c r="AE6978">
        <v>0</v>
      </c>
      <c r="AG6978">
        <v>0</v>
      </c>
    </row>
    <row r="6979" spans="31:33">
      <c r="AE6979">
        <v>0</v>
      </c>
      <c r="AG6979">
        <v>0</v>
      </c>
    </row>
    <row r="6980" spans="31:33">
      <c r="AE6980">
        <v>0</v>
      </c>
      <c r="AG6980">
        <v>0</v>
      </c>
    </row>
    <row r="6981" spans="31:33">
      <c r="AE6981">
        <v>0</v>
      </c>
      <c r="AG6981">
        <v>0</v>
      </c>
    </row>
    <row r="6982" spans="31:33">
      <c r="AE6982">
        <v>0</v>
      </c>
      <c r="AG6982">
        <v>0</v>
      </c>
    </row>
    <row r="6983" spans="31:33">
      <c r="AE6983">
        <v>0</v>
      </c>
      <c r="AG6983">
        <v>0</v>
      </c>
    </row>
    <row r="6984" spans="31:33">
      <c r="AE6984">
        <v>0</v>
      </c>
      <c r="AG6984">
        <v>0</v>
      </c>
    </row>
    <row r="6985" spans="31:33">
      <c r="AE6985">
        <v>0</v>
      </c>
      <c r="AG6985">
        <v>0</v>
      </c>
    </row>
    <row r="6986" spans="31:33">
      <c r="AE6986">
        <v>0</v>
      </c>
      <c r="AG6986">
        <v>0</v>
      </c>
    </row>
    <row r="6987" spans="31:33">
      <c r="AE6987">
        <v>0</v>
      </c>
      <c r="AG6987">
        <v>0</v>
      </c>
    </row>
    <row r="6988" spans="31:33">
      <c r="AE6988">
        <v>0</v>
      </c>
      <c r="AG6988">
        <v>0</v>
      </c>
    </row>
    <row r="6989" spans="31:33">
      <c r="AE6989">
        <v>0</v>
      </c>
      <c r="AG6989">
        <v>0</v>
      </c>
    </row>
    <row r="6990" spans="31:33">
      <c r="AE6990">
        <v>0</v>
      </c>
      <c r="AG6990">
        <v>0</v>
      </c>
    </row>
    <row r="6991" spans="31:33">
      <c r="AE6991">
        <v>0</v>
      </c>
      <c r="AG6991">
        <v>0</v>
      </c>
    </row>
    <row r="6992" spans="31:33">
      <c r="AE6992" s="31">
        <v>-284177.71999999997</v>
      </c>
      <c r="AG6992" s="31">
        <v>-71893.55</v>
      </c>
    </row>
    <row r="6993" spans="31:33">
      <c r="AE6993">
        <v>0</v>
      </c>
      <c r="AG6993">
        <v>0</v>
      </c>
    </row>
    <row r="6994" spans="31:33">
      <c r="AE6994">
        <v>0</v>
      </c>
      <c r="AG6994">
        <v>0</v>
      </c>
    </row>
    <row r="6995" spans="31:33">
      <c r="AE6995">
        <v>0</v>
      </c>
      <c r="AG6995">
        <v>0</v>
      </c>
    </row>
    <row r="6996" spans="31:33">
      <c r="AE6996" s="31">
        <v>2825.3</v>
      </c>
      <c r="AG6996" s="31">
        <v>2042.31</v>
      </c>
    </row>
    <row r="6997" spans="31:33">
      <c r="AE6997">
        <v>0</v>
      </c>
      <c r="AG6997">
        <v>0</v>
      </c>
    </row>
    <row r="6998" spans="31:33">
      <c r="AE6998">
        <v>0</v>
      </c>
      <c r="AG6998">
        <v>0</v>
      </c>
    </row>
    <row r="6999" spans="31:33">
      <c r="AE6999">
        <v>0</v>
      </c>
      <c r="AG6999">
        <v>0</v>
      </c>
    </row>
    <row r="7000" spans="31:33">
      <c r="AE7000" s="31">
        <v>8278.91</v>
      </c>
      <c r="AG7000" s="31">
        <v>7092.45</v>
      </c>
    </row>
    <row r="7001" spans="31:33">
      <c r="AE7001">
        <v>0</v>
      </c>
      <c r="AG7001">
        <v>0</v>
      </c>
    </row>
    <row r="7002" spans="31:33">
      <c r="AE7002">
        <v>0</v>
      </c>
      <c r="AG7002">
        <v>0</v>
      </c>
    </row>
    <row r="7003" spans="31:33">
      <c r="AE7003">
        <v>0</v>
      </c>
      <c r="AG7003">
        <v>0</v>
      </c>
    </row>
    <row r="7004" spans="31:33">
      <c r="AE7004">
        <v>0</v>
      </c>
      <c r="AG7004">
        <v>0</v>
      </c>
    </row>
    <row r="7005" spans="31:33">
      <c r="AE7005" s="31">
        <v>12265.68</v>
      </c>
      <c r="AG7005" s="31">
        <v>11885.61</v>
      </c>
    </row>
    <row r="7006" spans="31:33">
      <c r="AE7006">
        <v>0</v>
      </c>
      <c r="AG7006">
        <v>0</v>
      </c>
    </row>
    <row r="7007" spans="31:33">
      <c r="AE7007">
        <v>0</v>
      </c>
      <c r="AG7007">
        <v>0</v>
      </c>
    </row>
    <row r="7008" spans="31:33">
      <c r="AE7008">
        <v>0</v>
      </c>
      <c r="AG7008">
        <v>0</v>
      </c>
    </row>
    <row r="7009" spans="31:33">
      <c r="AE7009" s="31">
        <v>1538.52</v>
      </c>
      <c r="AG7009">
        <v>0</v>
      </c>
    </row>
    <row r="7010" spans="31:33">
      <c r="AE7010">
        <v>0</v>
      </c>
      <c r="AG7010">
        <v>0</v>
      </c>
    </row>
    <row r="7011" spans="31:33">
      <c r="AE7011">
        <v>60.28</v>
      </c>
      <c r="AG7011">
        <v>0</v>
      </c>
    </row>
    <row r="7012" spans="31:33">
      <c r="AE7012">
        <v>0</v>
      </c>
      <c r="AG7012">
        <v>0</v>
      </c>
    </row>
    <row r="7013" spans="31:33">
      <c r="AE7013">
        <v>0</v>
      </c>
      <c r="AG7013">
        <v>0</v>
      </c>
    </row>
    <row r="7014" spans="31:33">
      <c r="AE7014">
        <v>0</v>
      </c>
      <c r="AG7014">
        <v>0</v>
      </c>
    </row>
    <row r="7015" spans="31:33">
      <c r="AE7015">
        <v>0</v>
      </c>
      <c r="AG7015">
        <v>0</v>
      </c>
    </row>
    <row r="7016" spans="31:33">
      <c r="AE7016">
        <v>0</v>
      </c>
      <c r="AG7016">
        <v>0</v>
      </c>
    </row>
    <row r="7017" spans="31:33">
      <c r="AE7017">
        <v>0</v>
      </c>
      <c r="AG7017">
        <v>0</v>
      </c>
    </row>
    <row r="7018" spans="31:33">
      <c r="AE7018">
        <v>0</v>
      </c>
      <c r="AG7018">
        <v>0</v>
      </c>
    </row>
    <row r="7020" spans="31:33">
      <c r="AE7020">
        <v>0</v>
      </c>
      <c r="AG7020">
        <v>0</v>
      </c>
    </row>
    <row r="7021" spans="31:33">
      <c r="AE7021">
        <v>0</v>
      </c>
      <c r="AG7021">
        <v>0</v>
      </c>
    </row>
    <row r="7022" spans="31:33">
      <c r="AE7022">
        <v>0</v>
      </c>
      <c r="AG7022">
        <v>0</v>
      </c>
    </row>
    <row r="7023" spans="31:33">
      <c r="AE7023">
        <v>0</v>
      </c>
      <c r="AG7023">
        <v>0</v>
      </c>
    </row>
    <row r="7024" spans="31:33">
      <c r="AE7024">
        <v>0</v>
      </c>
      <c r="AG7024">
        <v>0</v>
      </c>
    </row>
    <row r="7025" spans="31:33">
      <c r="AE7025">
        <v>0</v>
      </c>
      <c r="AG7025">
        <v>0</v>
      </c>
    </row>
    <row r="7026" spans="31:33">
      <c r="AE7026">
        <v>0</v>
      </c>
      <c r="AG7026">
        <v>0</v>
      </c>
    </row>
    <row r="7027" spans="31:33">
      <c r="AE7027">
        <v>0</v>
      </c>
      <c r="AG7027">
        <v>0</v>
      </c>
    </row>
    <row r="7028" spans="31:33">
      <c r="AE7028">
        <v>0</v>
      </c>
      <c r="AG7028">
        <v>0</v>
      </c>
    </row>
    <row r="7029" spans="31:33">
      <c r="AE7029">
        <v>0</v>
      </c>
      <c r="AG7029">
        <v>0</v>
      </c>
    </row>
    <row r="7030" spans="31:33">
      <c r="AE7030">
        <v>0</v>
      </c>
      <c r="AG7030">
        <v>0</v>
      </c>
    </row>
    <row r="7031" spans="31:33">
      <c r="AE7031">
        <v>0</v>
      </c>
      <c r="AG7031">
        <v>0</v>
      </c>
    </row>
    <row r="7032" spans="31:33">
      <c r="AE7032">
        <v>0</v>
      </c>
      <c r="AG7032">
        <v>0</v>
      </c>
    </row>
    <row r="7033" spans="31:33">
      <c r="AE7033">
        <v>0</v>
      </c>
      <c r="AG7033">
        <v>0</v>
      </c>
    </row>
    <row r="7034" spans="31:33">
      <c r="AE7034">
        <v>0</v>
      </c>
      <c r="AG7034">
        <v>0</v>
      </c>
    </row>
    <row r="7035" spans="31:33">
      <c r="AE7035">
        <v>0</v>
      </c>
      <c r="AG7035">
        <v>0</v>
      </c>
    </row>
    <row r="7036" spans="31:33">
      <c r="AE7036">
        <v>0</v>
      </c>
      <c r="AG7036">
        <v>0</v>
      </c>
    </row>
    <row r="7037" spans="31:33">
      <c r="AE7037">
        <v>0</v>
      </c>
      <c r="AG7037">
        <v>0</v>
      </c>
    </row>
    <row r="7038" spans="31:33">
      <c r="AE7038">
        <v>0</v>
      </c>
      <c r="AG7038">
        <v>0</v>
      </c>
    </row>
    <row r="7039" spans="31:33">
      <c r="AE7039">
        <v>0</v>
      </c>
      <c r="AG7039">
        <v>0</v>
      </c>
    </row>
    <row r="7040" spans="31:33">
      <c r="AE7040">
        <v>0</v>
      </c>
      <c r="AG7040">
        <v>0</v>
      </c>
    </row>
    <row r="7041" spans="31:33">
      <c r="AE7041">
        <v>0</v>
      </c>
      <c r="AG7041">
        <v>0</v>
      </c>
    </row>
    <row r="7042" spans="31:33">
      <c r="AE7042">
        <v>0</v>
      </c>
      <c r="AG7042">
        <v>0</v>
      </c>
    </row>
    <row r="7043" spans="31:33">
      <c r="AE7043">
        <v>0</v>
      </c>
      <c r="AG7043">
        <v>0</v>
      </c>
    </row>
    <row r="7044" spans="31:33">
      <c r="AE7044">
        <v>0</v>
      </c>
      <c r="AG7044">
        <v>0</v>
      </c>
    </row>
    <row r="7045" spans="31:33">
      <c r="AE7045">
        <v>0</v>
      </c>
      <c r="AG7045">
        <v>0</v>
      </c>
    </row>
    <row r="7046" spans="31:33">
      <c r="AE7046">
        <v>0</v>
      </c>
      <c r="AG7046">
        <v>0</v>
      </c>
    </row>
    <row r="7047" spans="31:33">
      <c r="AE7047">
        <v>0</v>
      </c>
      <c r="AG7047">
        <v>0</v>
      </c>
    </row>
    <row r="7048" spans="31:33">
      <c r="AE7048">
        <v>0</v>
      </c>
      <c r="AG7048">
        <v>0</v>
      </c>
    </row>
    <row r="7049" spans="31:33">
      <c r="AE7049">
        <v>0</v>
      </c>
      <c r="AG7049">
        <v>0</v>
      </c>
    </row>
    <row r="7050" spans="31:33">
      <c r="AE7050">
        <v>0</v>
      </c>
      <c r="AG7050">
        <v>0</v>
      </c>
    </row>
    <row r="7051" spans="31:33">
      <c r="AE7051">
        <v>0</v>
      </c>
      <c r="AG7051">
        <v>0</v>
      </c>
    </row>
    <row r="7052" spans="31:33">
      <c r="AE7052">
        <v>0</v>
      </c>
      <c r="AG7052">
        <v>0</v>
      </c>
    </row>
    <row r="7053" spans="31:33">
      <c r="AE7053">
        <v>0</v>
      </c>
      <c r="AG7053">
        <v>0</v>
      </c>
    </row>
    <row r="7054" spans="31:33">
      <c r="AE7054">
        <v>0</v>
      </c>
      <c r="AG7054">
        <v>0</v>
      </c>
    </row>
    <row r="7055" spans="31:33">
      <c r="AE7055">
        <v>0</v>
      </c>
      <c r="AG7055">
        <v>0</v>
      </c>
    </row>
    <row r="7056" spans="31:33">
      <c r="AE7056">
        <v>0</v>
      </c>
      <c r="AG7056">
        <v>0</v>
      </c>
    </row>
    <row r="7057" spans="31:33">
      <c r="AE7057">
        <v>0</v>
      </c>
      <c r="AG7057">
        <v>0</v>
      </c>
    </row>
    <row r="7058" spans="31:33">
      <c r="AE7058">
        <v>0</v>
      </c>
      <c r="AG7058">
        <v>0</v>
      </c>
    </row>
    <row r="7059" spans="31:33">
      <c r="AE7059">
        <v>0</v>
      </c>
      <c r="AG7059">
        <v>0</v>
      </c>
    </row>
    <row r="7060" spans="31:33">
      <c r="AE7060">
        <v>0</v>
      </c>
      <c r="AG7060">
        <v>0</v>
      </c>
    </row>
    <row r="7061" spans="31:33">
      <c r="AE7061">
        <v>0</v>
      </c>
      <c r="AG7061">
        <v>0</v>
      </c>
    </row>
    <row r="7062" spans="31:33">
      <c r="AE7062">
        <v>0</v>
      </c>
      <c r="AG7062">
        <v>0</v>
      </c>
    </row>
    <row r="7063" spans="31:33">
      <c r="AE7063">
        <v>0</v>
      </c>
      <c r="AG7063">
        <v>0</v>
      </c>
    </row>
    <row r="7064" spans="31:33">
      <c r="AE7064">
        <v>0</v>
      </c>
      <c r="AG7064">
        <v>0</v>
      </c>
    </row>
    <row r="7065" spans="31:33">
      <c r="AE7065">
        <v>0</v>
      </c>
      <c r="AG7065">
        <v>0</v>
      </c>
    </row>
    <row r="7066" spans="31:33">
      <c r="AE7066">
        <v>0</v>
      </c>
      <c r="AG7066">
        <v>0</v>
      </c>
    </row>
    <row r="7067" spans="31:33">
      <c r="AE7067">
        <v>0</v>
      </c>
      <c r="AG7067">
        <v>0</v>
      </c>
    </row>
    <row r="7068" spans="31:33">
      <c r="AE7068">
        <v>0</v>
      </c>
      <c r="AG7068">
        <v>0</v>
      </c>
    </row>
    <row r="7069" spans="31:33">
      <c r="AE7069">
        <v>0</v>
      </c>
      <c r="AG7069">
        <v>0</v>
      </c>
    </row>
    <row r="7070" spans="31:33">
      <c r="AE7070">
        <v>0</v>
      </c>
      <c r="AG7070">
        <v>0</v>
      </c>
    </row>
    <row r="7071" spans="31:33">
      <c r="AE7071">
        <v>0</v>
      </c>
      <c r="AG7071">
        <v>0</v>
      </c>
    </row>
    <row r="7072" spans="31:33">
      <c r="AE7072">
        <v>0</v>
      </c>
      <c r="AG7072">
        <v>0</v>
      </c>
    </row>
    <row r="7073" spans="31:33">
      <c r="AE7073">
        <v>0</v>
      </c>
      <c r="AG7073">
        <v>0</v>
      </c>
    </row>
    <row r="7074" spans="31:33">
      <c r="AE7074">
        <v>0</v>
      </c>
      <c r="AG7074">
        <v>0</v>
      </c>
    </row>
    <row r="7075" spans="31:33">
      <c r="AE7075">
        <v>0</v>
      </c>
      <c r="AG7075">
        <v>0</v>
      </c>
    </row>
    <row r="7076" spans="31:33">
      <c r="AE7076">
        <v>0</v>
      </c>
      <c r="AG7076">
        <v>0</v>
      </c>
    </row>
    <row r="7077" spans="31:33">
      <c r="AE7077">
        <v>0</v>
      </c>
      <c r="AG7077">
        <v>0</v>
      </c>
    </row>
    <row r="7078" spans="31:33">
      <c r="AE7078">
        <v>0</v>
      </c>
      <c r="AG7078">
        <v>0</v>
      </c>
    </row>
    <row r="7079" spans="31:33">
      <c r="AE7079">
        <v>0</v>
      </c>
      <c r="AG7079">
        <v>0</v>
      </c>
    </row>
    <row r="7080" spans="31:33">
      <c r="AE7080">
        <v>0</v>
      </c>
      <c r="AG7080">
        <v>0</v>
      </c>
    </row>
    <row r="7081" spans="31:33">
      <c r="AE7081">
        <v>0</v>
      </c>
      <c r="AG7081">
        <v>0</v>
      </c>
    </row>
    <row r="7082" spans="31:33">
      <c r="AE7082">
        <v>0</v>
      </c>
      <c r="AG7082">
        <v>0</v>
      </c>
    </row>
    <row r="7083" spans="31:33">
      <c r="AE7083">
        <v>0</v>
      </c>
      <c r="AG7083">
        <v>0</v>
      </c>
    </row>
    <row r="7084" spans="31:33">
      <c r="AE7084">
        <v>0</v>
      </c>
      <c r="AG7084">
        <v>0</v>
      </c>
    </row>
    <row r="7085" spans="31:33">
      <c r="AE7085">
        <v>0</v>
      </c>
      <c r="AG7085">
        <v>0</v>
      </c>
    </row>
    <row r="7086" spans="31:33">
      <c r="AE7086">
        <v>0</v>
      </c>
      <c r="AG7086">
        <v>0</v>
      </c>
    </row>
    <row r="7087" spans="31:33">
      <c r="AE7087">
        <v>0</v>
      </c>
      <c r="AG7087">
        <v>0</v>
      </c>
    </row>
    <row r="7088" spans="31:33">
      <c r="AE7088">
        <v>0</v>
      </c>
      <c r="AG7088">
        <v>0</v>
      </c>
    </row>
    <row r="7089" spans="31:33">
      <c r="AE7089">
        <v>0</v>
      </c>
      <c r="AG7089">
        <v>0</v>
      </c>
    </row>
    <row r="7090" spans="31:33">
      <c r="AE7090">
        <v>0</v>
      </c>
      <c r="AG7090">
        <v>0</v>
      </c>
    </row>
    <row r="7091" spans="31:33">
      <c r="AE7091">
        <v>0</v>
      </c>
      <c r="AG7091">
        <v>0</v>
      </c>
    </row>
    <row r="7092" spans="31:33">
      <c r="AE7092">
        <v>0</v>
      </c>
      <c r="AG7092">
        <v>0</v>
      </c>
    </row>
    <row r="7093" spans="31:33">
      <c r="AE7093">
        <v>0</v>
      </c>
      <c r="AG7093">
        <v>0</v>
      </c>
    </row>
    <row r="7094" spans="31:33">
      <c r="AE7094">
        <v>0</v>
      </c>
      <c r="AG7094">
        <v>0</v>
      </c>
    </row>
    <row r="7095" spans="31:33">
      <c r="AE7095">
        <v>0</v>
      </c>
      <c r="AG7095">
        <v>0</v>
      </c>
    </row>
    <row r="7096" spans="31:33">
      <c r="AE7096">
        <v>0</v>
      </c>
      <c r="AG7096">
        <v>0</v>
      </c>
    </row>
    <row r="7097" spans="31:33">
      <c r="AE7097">
        <v>0</v>
      </c>
      <c r="AG7097">
        <v>0</v>
      </c>
    </row>
    <row r="7098" spans="31:33">
      <c r="AE7098">
        <v>0</v>
      </c>
      <c r="AG7098">
        <v>0</v>
      </c>
    </row>
    <row r="7099" spans="31:33">
      <c r="AE7099">
        <v>0</v>
      </c>
      <c r="AG7099">
        <v>0</v>
      </c>
    </row>
    <row r="7100" spans="31:33">
      <c r="AE7100">
        <v>0</v>
      </c>
      <c r="AG7100">
        <v>0</v>
      </c>
    </row>
    <row r="7101" spans="31:33">
      <c r="AE7101">
        <v>0</v>
      </c>
      <c r="AG7101">
        <v>0</v>
      </c>
    </row>
    <row r="7102" spans="31:33">
      <c r="AE7102">
        <v>0</v>
      </c>
      <c r="AG7102">
        <v>0</v>
      </c>
    </row>
    <row r="7103" spans="31:33">
      <c r="AE7103">
        <v>0</v>
      </c>
      <c r="AG7103">
        <v>0</v>
      </c>
    </row>
    <row r="7104" spans="31:33">
      <c r="AE7104">
        <v>0</v>
      </c>
      <c r="AG7104">
        <v>0</v>
      </c>
    </row>
    <row r="7105" spans="31:33">
      <c r="AE7105">
        <v>0</v>
      </c>
      <c r="AG7105">
        <v>0</v>
      </c>
    </row>
    <row r="7106" spans="31:33">
      <c r="AE7106">
        <v>0</v>
      </c>
      <c r="AG7106">
        <v>0</v>
      </c>
    </row>
    <row r="7107" spans="31:33">
      <c r="AE7107">
        <v>0</v>
      </c>
      <c r="AG7107">
        <v>0</v>
      </c>
    </row>
    <row r="7108" spans="31:33">
      <c r="AE7108">
        <v>0</v>
      </c>
      <c r="AG7108">
        <v>0</v>
      </c>
    </row>
    <row r="7109" spans="31:33">
      <c r="AE7109">
        <v>0</v>
      </c>
      <c r="AG7109">
        <v>0</v>
      </c>
    </row>
    <row r="7110" spans="31:33">
      <c r="AE7110">
        <v>0</v>
      </c>
      <c r="AG7110">
        <v>0</v>
      </c>
    </row>
    <row r="7111" spans="31:33">
      <c r="AE7111">
        <v>0</v>
      </c>
      <c r="AG7111">
        <v>0</v>
      </c>
    </row>
    <row r="7112" spans="31:33">
      <c r="AE7112">
        <v>0</v>
      </c>
      <c r="AG7112">
        <v>0</v>
      </c>
    </row>
    <row r="7113" spans="31:33">
      <c r="AE7113">
        <v>0</v>
      </c>
      <c r="AG7113">
        <v>0</v>
      </c>
    </row>
    <row r="7114" spans="31:33">
      <c r="AE7114">
        <v>0</v>
      </c>
      <c r="AG7114">
        <v>0</v>
      </c>
    </row>
    <row r="7115" spans="31:33">
      <c r="AE7115">
        <v>0</v>
      </c>
      <c r="AG7115">
        <v>0</v>
      </c>
    </row>
    <row r="7116" spans="31:33">
      <c r="AE7116">
        <v>0</v>
      </c>
      <c r="AG7116">
        <v>0</v>
      </c>
    </row>
    <row r="7117" spans="31:33">
      <c r="AE7117">
        <v>0</v>
      </c>
      <c r="AG7117">
        <v>0</v>
      </c>
    </row>
    <row r="7118" spans="31:33">
      <c r="AE7118">
        <v>0</v>
      </c>
      <c r="AG7118">
        <v>0</v>
      </c>
    </row>
    <row r="7119" spans="31:33">
      <c r="AE7119">
        <v>0</v>
      </c>
      <c r="AG7119">
        <v>0</v>
      </c>
    </row>
    <row r="7120" spans="31:33">
      <c r="AE7120">
        <v>0</v>
      </c>
      <c r="AG7120">
        <v>0</v>
      </c>
    </row>
    <row r="7121" spans="31:33">
      <c r="AE7121">
        <v>0</v>
      </c>
      <c r="AG7121">
        <v>0</v>
      </c>
    </row>
    <row r="7122" spans="31:33">
      <c r="AE7122">
        <v>0</v>
      </c>
      <c r="AG7122">
        <v>0</v>
      </c>
    </row>
    <row r="7123" spans="31:33">
      <c r="AE7123">
        <v>0</v>
      </c>
      <c r="AG7123">
        <v>0</v>
      </c>
    </row>
    <row r="7124" spans="31:33">
      <c r="AE7124">
        <v>0</v>
      </c>
      <c r="AG7124">
        <v>0</v>
      </c>
    </row>
    <row r="7125" spans="31:33">
      <c r="AE7125">
        <v>0</v>
      </c>
      <c r="AG7125">
        <v>0</v>
      </c>
    </row>
    <row r="7126" spans="31:33">
      <c r="AE7126">
        <v>0</v>
      </c>
      <c r="AG7126">
        <v>0</v>
      </c>
    </row>
    <row r="7127" spans="31:33">
      <c r="AE7127">
        <v>0</v>
      </c>
      <c r="AG7127">
        <v>0</v>
      </c>
    </row>
    <row r="7128" spans="31:33">
      <c r="AE7128">
        <v>0</v>
      </c>
      <c r="AG7128">
        <v>0</v>
      </c>
    </row>
    <row r="7129" spans="31:33">
      <c r="AE7129">
        <v>0</v>
      </c>
      <c r="AG7129">
        <v>0</v>
      </c>
    </row>
    <row r="7130" spans="31:33">
      <c r="AE7130">
        <v>0</v>
      </c>
      <c r="AG7130">
        <v>0</v>
      </c>
    </row>
    <row r="7131" spans="31:33">
      <c r="AE7131">
        <v>0</v>
      </c>
      <c r="AG7131">
        <v>0</v>
      </c>
    </row>
    <row r="7132" spans="31:33">
      <c r="AE7132">
        <v>0</v>
      </c>
      <c r="AG7132">
        <v>0</v>
      </c>
    </row>
    <row r="7133" spans="31:33">
      <c r="AE7133">
        <v>0</v>
      </c>
      <c r="AG7133">
        <v>0</v>
      </c>
    </row>
    <row r="7134" spans="31:33">
      <c r="AE7134">
        <v>0</v>
      </c>
      <c r="AG7134">
        <v>0</v>
      </c>
    </row>
    <row r="7135" spans="31:33">
      <c r="AE7135">
        <v>0</v>
      </c>
      <c r="AG7135">
        <v>0</v>
      </c>
    </row>
    <row r="7136" spans="31:33">
      <c r="AE7136">
        <v>0</v>
      </c>
      <c r="AG7136">
        <v>0</v>
      </c>
    </row>
    <row r="7137" spans="31:33">
      <c r="AE7137">
        <v>0</v>
      </c>
      <c r="AG7137">
        <v>0</v>
      </c>
    </row>
    <row r="7138" spans="31:33">
      <c r="AE7138">
        <v>0</v>
      </c>
      <c r="AG7138">
        <v>0</v>
      </c>
    </row>
    <row r="7139" spans="31:33">
      <c r="AE7139">
        <v>0</v>
      </c>
      <c r="AG7139">
        <v>0</v>
      </c>
    </row>
    <row r="7140" spans="31:33">
      <c r="AE7140">
        <v>0</v>
      </c>
      <c r="AG7140">
        <v>0</v>
      </c>
    </row>
    <row r="7141" spans="31:33">
      <c r="AE7141">
        <v>0</v>
      </c>
      <c r="AG7141">
        <v>0</v>
      </c>
    </row>
    <row r="7142" spans="31:33">
      <c r="AE7142">
        <v>0</v>
      </c>
      <c r="AG7142">
        <v>0</v>
      </c>
    </row>
    <row r="7143" spans="31:33">
      <c r="AE7143">
        <v>0</v>
      </c>
      <c r="AG7143">
        <v>0</v>
      </c>
    </row>
    <row r="7144" spans="31:33">
      <c r="AE7144">
        <v>0</v>
      </c>
      <c r="AG7144">
        <v>0</v>
      </c>
    </row>
    <row r="7145" spans="31:33">
      <c r="AE7145">
        <v>0</v>
      </c>
      <c r="AG7145">
        <v>0</v>
      </c>
    </row>
    <row r="7146" spans="31:33">
      <c r="AE7146">
        <v>0</v>
      </c>
      <c r="AG7146">
        <v>0</v>
      </c>
    </row>
    <row r="7147" spans="31:33">
      <c r="AE7147">
        <v>0</v>
      </c>
      <c r="AG7147">
        <v>0</v>
      </c>
    </row>
    <row r="7148" spans="31:33">
      <c r="AE7148">
        <v>0</v>
      </c>
      <c r="AG7148">
        <v>0</v>
      </c>
    </row>
    <row r="7149" spans="31:33">
      <c r="AE7149">
        <v>0</v>
      </c>
      <c r="AG7149">
        <v>0</v>
      </c>
    </row>
    <row r="7150" spans="31:33">
      <c r="AE7150">
        <v>0</v>
      </c>
      <c r="AG7150">
        <v>0</v>
      </c>
    </row>
    <row r="7151" spans="31:33">
      <c r="AE7151">
        <v>0</v>
      </c>
      <c r="AG7151">
        <v>0</v>
      </c>
    </row>
    <row r="7152" spans="31:33">
      <c r="AE7152">
        <v>0</v>
      </c>
      <c r="AG7152">
        <v>0</v>
      </c>
    </row>
    <row r="7154" spans="31:33">
      <c r="AE7154">
        <v>0</v>
      </c>
      <c r="AG7154">
        <v>0</v>
      </c>
    </row>
    <row r="7155" spans="31:33">
      <c r="AE7155">
        <v>0</v>
      </c>
      <c r="AG7155">
        <v>0</v>
      </c>
    </row>
    <row r="7156" spans="31:33">
      <c r="AE7156">
        <v>0</v>
      </c>
      <c r="AG7156">
        <v>0</v>
      </c>
    </row>
    <row r="7157" spans="31:33">
      <c r="AE7157">
        <v>0</v>
      </c>
      <c r="AG7157">
        <v>0</v>
      </c>
    </row>
    <row r="7158" spans="31:33">
      <c r="AE7158">
        <v>0</v>
      </c>
      <c r="AG7158">
        <v>0</v>
      </c>
    </row>
    <row r="7159" spans="31:33">
      <c r="AE7159">
        <v>0</v>
      </c>
      <c r="AG7159">
        <v>0</v>
      </c>
    </row>
    <row r="7160" spans="31:33">
      <c r="AE7160">
        <v>0</v>
      </c>
      <c r="AG7160">
        <v>0</v>
      </c>
    </row>
    <row r="7161" spans="31:33">
      <c r="AE7161">
        <v>0</v>
      </c>
      <c r="AG7161">
        <v>0</v>
      </c>
    </row>
    <row r="7162" spans="31:33">
      <c r="AE7162" s="31">
        <v>486955.5</v>
      </c>
      <c r="AG7162" s="31">
        <v>804020.93</v>
      </c>
    </row>
    <row r="7163" spans="31:33">
      <c r="AE7163">
        <v>0</v>
      </c>
      <c r="AG7163">
        <v>0</v>
      </c>
    </row>
    <row r="7164" spans="31:33">
      <c r="AE7164">
        <v>0</v>
      </c>
      <c r="AG7164">
        <v>0</v>
      </c>
    </row>
    <row r="7165" spans="31:33">
      <c r="AE7165">
        <v>0</v>
      </c>
      <c r="AG7165">
        <v>0</v>
      </c>
    </row>
    <row r="7166" spans="31:33">
      <c r="AE7166">
        <v>0</v>
      </c>
      <c r="AG7166">
        <v>0</v>
      </c>
    </row>
    <row r="7167" spans="31:33">
      <c r="AE7167">
        <v>0</v>
      </c>
      <c r="AG7167">
        <v>0</v>
      </c>
    </row>
    <row r="7168" spans="31:33">
      <c r="AE7168">
        <v>0</v>
      </c>
      <c r="AG7168">
        <v>0</v>
      </c>
    </row>
    <row r="7169" spans="31:33">
      <c r="AE7169">
        <v>0</v>
      </c>
      <c r="AG7169">
        <v>0</v>
      </c>
    </row>
    <row r="7170" spans="31:33">
      <c r="AE7170">
        <v>0</v>
      </c>
      <c r="AG7170">
        <v>0</v>
      </c>
    </row>
    <row r="7171" spans="31:33">
      <c r="AE7171">
        <v>0</v>
      </c>
      <c r="AG7171">
        <v>0</v>
      </c>
    </row>
    <row r="7172" spans="31:33">
      <c r="AE7172">
        <v>0</v>
      </c>
      <c r="AG7172">
        <v>0</v>
      </c>
    </row>
    <row r="7173" spans="31:33">
      <c r="AE7173">
        <v>0</v>
      </c>
      <c r="AG7173">
        <v>0</v>
      </c>
    </row>
    <row r="7174" spans="31:33">
      <c r="AE7174">
        <v>0</v>
      </c>
      <c r="AG7174">
        <v>0</v>
      </c>
    </row>
    <row r="7175" spans="31:33">
      <c r="AE7175">
        <v>0</v>
      </c>
      <c r="AG7175">
        <v>0</v>
      </c>
    </row>
    <row r="7176" spans="31:33">
      <c r="AE7176">
        <v>0</v>
      </c>
      <c r="AG7176">
        <v>0</v>
      </c>
    </row>
    <row r="7177" spans="31:33">
      <c r="AE7177">
        <v>0</v>
      </c>
      <c r="AG7177">
        <v>0</v>
      </c>
    </row>
    <row r="7178" spans="31:33">
      <c r="AE7178">
        <v>0</v>
      </c>
      <c r="AG7178">
        <v>0</v>
      </c>
    </row>
    <row r="7179" spans="31:33">
      <c r="AE7179">
        <v>0</v>
      </c>
      <c r="AG7179">
        <v>0</v>
      </c>
    </row>
    <row r="7180" spans="31:33">
      <c r="AE7180">
        <v>0</v>
      </c>
      <c r="AG7180">
        <v>0</v>
      </c>
    </row>
    <row r="7181" spans="31:33">
      <c r="AE7181">
        <v>0</v>
      </c>
      <c r="AG7181">
        <v>0</v>
      </c>
    </row>
    <row r="7182" spans="31:33">
      <c r="AE7182">
        <v>0</v>
      </c>
      <c r="AG7182">
        <v>0</v>
      </c>
    </row>
    <row r="7183" spans="31:33">
      <c r="AE7183">
        <v>0</v>
      </c>
      <c r="AG7183">
        <v>0</v>
      </c>
    </row>
    <row r="7184" spans="31:33">
      <c r="AE7184">
        <v>0</v>
      </c>
      <c r="AG7184">
        <v>0</v>
      </c>
    </row>
    <row r="7185" spans="31:33">
      <c r="AE7185">
        <v>24.48</v>
      </c>
      <c r="AG7185">
        <v>0</v>
      </c>
    </row>
    <row r="7186" spans="31:33">
      <c r="AE7186">
        <v>0</v>
      </c>
      <c r="AG7186">
        <v>0</v>
      </c>
    </row>
    <row r="7187" spans="31:33">
      <c r="AE7187">
        <v>0</v>
      </c>
      <c r="AG7187">
        <v>0</v>
      </c>
    </row>
    <row r="7188" spans="31:33">
      <c r="AE7188">
        <v>0</v>
      </c>
      <c r="AG7188">
        <v>0</v>
      </c>
    </row>
    <row r="7189" spans="31:33">
      <c r="AE7189">
        <v>0</v>
      </c>
      <c r="AG7189">
        <v>0</v>
      </c>
    </row>
    <row r="7190" spans="31:33">
      <c r="AE7190">
        <v>0</v>
      </c>
      <c r="AG7190">
        <v>0</v>
      </c>
    </row>
    <row r="7191" spans="31:33">
      <c r="AE7191">
        <v>0</v>
      </c>
      <c r="AG7191">
        <v>0</v>
      </c>
    </row>
    <row r="7192" spans="31:33">
      <c r="AE7192">
        <v>0</v>
      </c>
      <c r="AG7192">
        <v>0</v>
      </c>
    </row>
    <row r="7193" spans="31:33">
      <c r="AE7193">
        <v>0</v>
      </c>
      <c r="AG7193">
        <v>0</v>
      </c>
    </row>
    <row r="7194" spans="31:33">
      <c r="AE7194">
        <v>0</v>
      </c>
      <c r="AG7194">
        <v>0</v>
      </c>
    </row>
    <row r="7195" spans="31:33">
      <c r="AE7195">
        <v>0</v>
      </c>
      <c r="AG7195">
        <v>0</v>
      </c>
    </row>
    <row r="7196" spans="31:33">
      <c r="AE7196">
        <v>0</v>
      </c>
      <c r="AG7196">
        <v>0</v>
      </c>
    </row>
    <row r="7197" spans="31:33">
      <c r="AE7197">
        <v>0</v>
      </c>
      <c r="AG7197">
        <v>0</v>
      </c>
    </row>
    <row r="7198" spans="31:33">
      <c r="AE7198">
        <v>0</v>
      </c>
      <c r="AG7198">
        <v>0</v>
      </c>
    </row>
    <row r="7199" spans="31:33">
      <c r="AE7199">
        <v>0</v>
      </c>
      <c r="AG7199">
        <v>0</v>
      </c>
    </row>
    <row r="7200" spans="31:33">
      <c r="AE7200">
        <v>0</v>
      </c>
      <c r="AG7200">
        <v>0</v>
      </c>
    </row>
    <row r="7201" spans="31:33">
      <c r="AE7201">
        <v>0</v>
      </c>
      <c r="AG7201">
        <v>0</v>
      </c>
    </row>
    <row r="7202" spans="31:33">
      <c r="AE7202">
        <v>0</v>
      </c>
      <c r="AG7202">
        <v>0</v>
      </c>
    </row>
    <row r="7203" spans="31:33">
      <c r="AE7203">
        <v>0</v>
      </c>
      <c r="AG7203">
        <v>0</v>
      </c>
    </row>
    <row r="7204" spans="31:33">
      <c r="AE7204">
        <v>-0.01</v>
      </c>
      <c r="AG7204">
        <v>0</v>
      </c>
    </row>
    <row r="7205" spans="31:33">
      <c r="AE7205">
        <v>0</v>
      </c>
      <c r="AG7205">
        <v>0</v>
      </c>
    </row>
    <row r="7206" spans="31:33">
      <c r="AE7206">
        <v>0</v>
      </c>
      <c r="AG7206">
        <v>0</v>
      </c>
    </row>
    <row r="7207" spans="31:33">
      <c r="AE7207">
        <v>0</v>
      </c>
      <c r="AG7207">
        <v>0</v>
      </c>
    </row>
    <row r="7208" spans="31:33">
      <c r="AE7208">
        <v>0</v>
      </c>
      <c r="AG7208">
        <v>0</v>
      </c>
    </row>
    <row r="7209" spans="31:33">
      <c r="AE7209">
        <v>0</v>
      </c>
      <c r="AG7209">
        <v>0</v>
      </c>
    </row>
    <row r="7210" spans="31:33">
      <c r="AE7210">
        <v>0</v>
      </c>
      <c r="AG7210">
        <v>0</v>
      </c>
    </row>
    <row r="7211" spans="31:33">
      <c r="AE7211">
        <v>0</v>
      </c>
      <c r="AG7211">
        <v>0</v>
      </c>
    </row>
    <row r="7212" spans="31:33">
      <c r="AE7212">
        <v>0</v>
      </c>
      <c r="AG7212">
        <v>0</v>
      </c>
    </row>
    <row r="7213" spans="31:33">
      <c r="AE7213">
        <v>0</v>
      </c>
      <c r="AG7213">
        <v>0</v>
      </c>
    </row>
    <row r="7214" spans="31:33">
      <c r="AE7214">
        <v>0</v>
      </c>
      <c r="AG7214">
        <v>0</v>
      </c>
    </row>
    <row r="7215" spans="31:33">
      <c r="AE7215">
        <v>0</v>
      </c>
      <c r="AG7215">
        <v>0</v>
      </c>
    </row>
    <row r="7216" spans="31:33">
      <c r="AE7216">
        <v>0</v>
      </c>
      <c r="AG7216">
        <v>0</v>
      </c>
    </row>
    <row r="7217" spans="31:33">
      <c r="AE7217">
        <v>0</v>
      </c>
      <c r="AG7217">
        <v>0</v>
      </c>
    </row>
    <row r="7218" spans="31:33">
      <c r="AE7218">
        <v>0</v>
      </c>
      <c r="AG7218">
        <v>0</v>
      </c>
    </row>
    <row r="7219" spans="31:33">
      <c r="AE7219">
        <v>0</v>
      </c>
      <c r="AG7219">
        <v>0</v>
      </c>
    </row>
    <row r="7220" spans="31:33">
      <c r="AE7220">
        <v>0</v>
      </c>
      <c r="AG7220">
        <v>0</v>
      </c>
    </row>
    <row r="7221" spans="31:33">
      <c r="AE7221">
        <v>0</v>
      </c>
      <c r="AG7221">
        <v>0</v>
      </c>
    </row>
    <row r="7222" spans="31:33">
      <c r="AE7222">
        <v>0</v>
      </c>
      <c r="AG7222">
        <v>0</v>
      </c>
    </row>
    <row r="7223" spans="31:33">
      <c r="AE7223">
        <v>0</v>
      </c>
      <c r="AG7223">
        <v>0</v>
      </c>
    </row>
    <row r="7224" spans="31:33">
      <c r="AE7224">
        <v>0</v>
      </c>
      <c r="AG7224">
        <v>0</v>
      </c>
    </row>
    <row r="7225" spans="31:33">
      <c r="AE7225">
        <v>0</v>
      </c>
      <c r="AG7225">
        <v>0</v>
      </c>
    </row>
    <row r="7226" spans="31:33">
      <c r="AE7226">
        <v>0</v>
      </c>
      <c r="AG7226">
        <v>0</v>
      </c>
    </row>
    <row r="7227" spans="31:33">
      <c r="AE7227">
        <v>0</v>
      </c>
      <c r="AG7227">
        <v>0</v>
      </c>
    </row>
    <row r="7228" spans="31:33">
      <c r="AE7228">
        <v>0</v>
      </c>
      <c r="AG7228">
        <v>0</v>
      </c>
    </row>
    <row r="7229" spans="31:33">
      <c r="AE7229">
        <v>0</v>
      </c>
      <c r="AG7229">
        <v>0</v>
      </c>
    </row>
    <row r="7230" spans="31:33">
      <c r="AE7230">
        <v>0</v>
      </c>
      <c r="AG7230">
        <v>0</v>
      </c>
    </row>
    <row r="7231" spans="31:33">
      <c r="AE7231">
        <v>0</v>
      </c>
      <c r="AG7231">
        <v>0</v>
      </c>
    </row>
    <row r="7232" spans="31:33">
      <c r="AE7232">
        <v>0</v>
      </c>
      <c r="AG7232">
        <v>0</v>
      </c>
    </row>
    <row r="7233" spans="31:33">
      <c r="AE7233">
        <v>0</v>
      </c>
      <c r="AG7233">
        <v>0</v>
      </c>
    </row>
    <row r="7234" spans="31:33">
      <c r="AE7234">
        <v>0</v>
      </c>
      <c r="AG7234">
        <v>0</v>
      </c>
    </row>
    <row r="7235" spans="31:33">
      <c r="AE7235">
        <v>0</v>
      </c>
      <c r="AG7235">
        <v>0</v>
      </c>
    </row>
    <row r="7236" spans="31:33">
      <c r="AE7236">
        <v>0</v>
      </c>
      <c r="AG7236">
        <v>0</v>
      </c>
    </row>
    <row r="7237" spans="31:33">
      <c r="AE7237">
        <v>0</v>
      </c>
      <c r="AG7237">
        <v>0</v>
      </c>
    </row>
    <row r="7238" spans="31:33">
      <c r="AE7238">
        <v>0</v>
      </c>
      <c r="AG7238">
        <v>0</v>
      </c>
    </row>
    <row r="7239" spans="31:33">
      <c r="AE7239">
        <v>0</v>
      </c>
      <c r="AG7239">
        <v>0</v>
      </c>
    </row>
    <row r="7240" spans="31:33">
      <c r="AE7240">
        <v>0</v>
      </c>
      <c r="AG7240">
        <v>0</v>
      </c>
    </row>
    <row r="7241" spans="31:33">
      <c r="AE7241">
        <v>0</v>
      </c>
      <c r="AG7241">
        <v>0</v>
      </c>
    </row>
    <row r="7242" spans="31:33">
      <c r="AE7242">
        <v>0</v>
      </c>
      <c r="AG7242">
        <v>0</v>
      </c>
    </row>
    <row r="7243" spans="31:33">
      <c r="AE7243">
        <v>0</v>
      </c>
      <c r="AG7243">
        <v>0</v>
      </c>
    </row>
    <row r="7244" spans="31:33">
      <c r="AE7244">
        <v>55.8</v>
      </c>
      <c r="AG7244">
        <v>0</v>
      </c>
    </row>
    <row r="7245" spans="31:33">
      <c r="AE7245">
        <v>0</v>
      </c>
      <c r="AG7245">
        <v>0</v>
      </c>
    </row>
    <row r="7246" spans="31:33">
      <c r="AE7246">
        <v>0</v>
      </c>
      <c r="AG7246">
        <v>0</v>
      </c>
    </row>
    <row r="7247" spans="31:33">
      <c r="AE7247">
        <v>0</v>
      </c>
      <c r="AG7247">
        <v>0</v>
      </c>
    </row>
    <row r="7248" spans="31:33">
      <c r="AE7248">
        <v>0</v>
      </c>
      <c r="AG7248">
        <v>0</v>
      </c>
    </row>
    <row r="7249" spans="31:33">
      <c r="AE7249">
        <v>0</v>
      </c>
      <c r="AG7249">
        <v>0</v>
      </c>
    </row>
    <row r="7250" spans="31:33">
      <c r="AE7250">
        <v>0</v>
      </c>
      <c r="AG7250">
        <v>0</v>
      </c>
    </row>
    <row r="7251" spans="31:33">
      <c r="AE7251">
        <v>0</v>
      </c>
      <c r="AG7251">
        <v>0</v>
      </c>
    </row>
    <row r="7252" spans="31:33">
      <c r="AE7252" s="31">
        <v>-77402.75</v>
      </c>
      <c r="AG7252" s="31">
        <v>-42363.07</v>
      </c>
    </row>
    <row r="7253" spans="31:33">
      <c r="AE7253">
        <v>0</v>
      </c>
      <c r="AG7253">
        <v>0</v>
      </c>
    </row>
    <row r="7254" spans="31:33">
      <c r="AE7254">
        <v>0</v>
      </c>
      <c r="AG7254">
        <v>0</v>
      </c>
    </row>
    <row r="7255" spans="31:33">
      <c r="AE7255">
        <v>0</v>
      </c>
      <c r="AG7255">
        <v>0</v>
      </c>
    </row>
    <row r="7256" spans="31:33">
      <c r="AE7256">
        <v>0</v>
      </c>
      <c r="AG7256">
        <v>0</v>
      </c>
    </row>
    <row r="7257" spans="31:33">
      <c r="AE7257" s="31">
        <v>-166942.19</v>
      </c>
      <c r="AG7257" s="31">
        <v>-115045.15</v>
      </c>
    </row>
    <row r="7258" spans="31:33">
      <c r="AE7258">
        <v>0</v>
      </c>
      <c r="AG7258">
        <v>0</v>
      </c>
    </row>
    <row r="7259" spans="31:33">
      <c r="AE7259">
        <v>0</v>
      </c>
      <c r="AG7259">
        <v>0</v>
      </c>
    </row>
    <row r="7260" spans="31:33">
      <c r="AE7260">
        <v>0</v>
      </c>
      <c r="AG7260">
        <v>0</v>
      </c>
    </row>
    <row r="7261" spans="31:33">
      <c r="AE7261">
        <v>0</v>
      </c>
      <c r="AG7261">
        <v>0</v>
      </c>
    </row>
    <row r="7262" spans="31:33">
      <c r="AE7262">
        <v>0</v>
      </c>
      <c r="AG7262">
        <v>0</v>
      </c>
    </row>
    <row r="7263" spans="31:33">
      <c r="AE7263">
        <v>0</v>
      </c>
      <c r="AG7263">
        <v>0</v>
      </c>
    </row>
    <row r="7264" spans="31:33">
      <c r="AE7264">
        <v>0</v>
      </c>
      <c r="AG7264">
        <v>0</v>
      </c>
    </row>
    <row r="7266" spans="31:33">
      <c r="AE7266">
        <v>0</v>
      </c>
      <c r="AG7266">
        <v>0</v>
      </c>
    </row>
    <row r="7268" spans="31:33">
      <c r="AE7268">
        <v>0</v>
      </c>
      <c r="AG7268">
        <v>0</v>
      </c>
    </row>
    <row r="7269" spans="31:33">
      <c r="AE7269">
        <v>0</v>
      </c>
      <c r="AG7269">
        <v>0</v>
      </c>
    </row>
    <row r="7270" spans="31:33">
      <c r="AE7270">
        <v>0</v>
      </c>
      <c r="AG7270">
        <v>0</v>
      </c>
    </row>
    <row r="7271" spans="31:33">
      <c r="AE7271">
        <v>0</v>
      </c>
      <c r="AG7271">
        <v>0</v>
      </c>
    </row>
    <row r="7272" spans="31:33">
      <c r="AE7272">
        <v>0</v>
      </c>
      <c r="AG7272">
        <v>0</v>
      </c>
    </row>
    <row r="7273" spans="31:33">
      <c r="AE7273">
        <v>0</v>
      </c>
      <c r="AG7273">
        <v>0</v>
      </c>
    </row>
    <row r="7274" spans="31:33">
      <c r="AE7274" s="31">
        <v>-224375.11</v>
      </c>
      <c r="AG7274" s="31">
        <v>-289872.21000000002</v>
      </c>
    </row>
    <row r="7275" spans="31:33">
      <c r="AE7275">
        <v>0</v>
      </c>
      <c r="AG7275">
        <v>0</v>
      </c>
    </row>
    <row r="7276" spans="31:33">
      <c r="AE7276">
        <v>0</v>
      </c>
      <c r="AG7276">
        <v>0</v>
      </c>
    </row>
    <row r="7277" spans="31:33">
      <c r="AE7277">
        <v>0</v>
      </c>
      <c r="AG7277">
        <v>0</v>
      </c>
    </row>
    <row r="7278" spans="31:33">
      <c r="AE7278">
        <v>0</v>
      </c>
      <c r="AG7278">
        <v>0</v>
      </c>
    </row>
    <row r="7279" spans="31:33">
      <c r="AE7279">
        <v>0</v>
      </c>
      <c r="AG7279">
        <v>0</v>
      </c>
    </row>
    <row r="7280" spans="31:33">
      <c r="AE7280">
        <v>-1.1000000000000001</v>
      </c>
      <c r="AG7280">
        <v>-1.1000000000000001</v>
      </c>
    </row>
    <row r="7281" spans="31:33">
      <c r="AE7281">
        <v>0</v>
      </c>
      <c r="AG7281">
        <v>0</v>
      </c>
    </row>
    <row r="7282" spans="31:33">
      <c r="AE7282">
        <v>0</v>
      </c>
      <c r="AG7282">
        <v>0</v>
      </c>
    </row>
    <row r="7283" spans="31:33">
      <c r="AE7283">
        <v>0</v>
      </c>
      <c r="AG7283">
        <v>0</v>
      </c>
    </row>
    <row r="7284" spans="31:33">
      <c r="AE7284">
        <v>126.1</v>
      </c>
      <c r="AG7284">
        <v>-8.4700000000000006</v>
      </c>
    </row>
    <row r="7285" spans="31:33">
      <c r="AE7285">
        <v>0</v>
      </c>
      <c r="AG7285">
        <v>0</v>
      </c>
    </row>
    <row r="7286" spans="31:33">
      <c r="AE7286">
        <v>0</v>
      </c>
      <c r="AG7286">
        <v>0</v>
      </c>
    </row>
    <row r="7287" spans="31:33">
      <c r="AE7287">
        <v>0</v>
      </c>
      <c r="AG7287">
        <v>0</v>
      </c>
    </row>
    <row r="7288" spans="31:33">
      <c r="AE7288">
        <v>0</v>
      </c>
      <c r="AG7288">
        <v>0</v>
      </c>
    </row>
    <row r="7289" spans="31:33">
      <c r="AE7289">
        <v>0</v>
      </c>
      <c r="AG7289">
        <v>0</v>
      </c>
    </row>
    <row r="7290" spans="31:33">
      <c r="AE7290">
        <v>0</v>
      </c>
      <c r="AG7290">
        <v>0</v>
      </c>
    </row>
    <row r="7291" spans="31:33">
      <c r="AE7291">
        <v>0</v>
      </c>
      <c r="AG7291">
        <v>0</v>
      </c>
    </row>
    <row r="7292" spans="31:33">
      <c r="AE7292">
        <v>0</v>
      </c>
      <c r="AG7292">
        <v>0</v>
      </c>
    </row>
    <row r="7293" spans="31:33">
      <c r="AE7293">
        <v>0</v>
      </c>
      <c r="AG7293">
        <v>0</v>
      </c>
    </row>
    <row r="7294" spans="31:33">
      <c r="AE7294">
        <v>0</v>
      </c>
      <c r="AG7294">
        <v>0</v>
      </c>
    </row>
    <row r="7295" spans="31:33">
      <c r="AE7295">
        <v>0</v>
      </c>
      <c r="AG7295">
        <v>0</v>
      </c>
    </row>
    <row r="7296" spans="31:33">
      <c r="AE7296">
        <v>0</v>
      </c>
      <c r="AG7296">
        <v>0</v>
      </c>
    </row>
    <row r="7297" spans="31:33">
      <c r="AE7297">
        <v>0</v>
      </c>
      <c r="AG7297">
        <v>0</v>
      </c>
    </row>
    <row r="7298" spans="31:33">
      <c r="AE7298">
        <v>0</v>
      </c>
      <c r="AG7298">
        <v>0</v>
      </c>
    </row>
    <row r="7299" spans="31:33">
      <c r="AE7299">
        <v>0</v>
      </c>
      <c r="AG7299">
        <v>0</v>
      </c>
    </row>
    <row r="7300" spans="31:33">
      <c r="AE7300">
        <v>0</v>
      </c>
      <c r="AG7300">
        <v>0</v>
      </c>
    </row>
    <row r="7301" spans="31:33">
      <c r="AE7301">
        <v>0</v>
      </c>
      <c r="AG7301">
        <v>0</v>
      </c>
    </row>
    <row r="7302" spans="31:33">
      <c r="AE7302">
        <v>0</v>
      </c>
      <c r="AG7302">
        <v>0</v>
      </c>
    </row>
    <row r="7303" spans="31:33">
      <c r="AE7303">
        <v>0</v>
      </c>
      <c r="AG7303">
        <v>0</v>
      </c>
    </row>
    <row r="7304" spans="31:33">
      <c r="AE7304">
        <v>0</v>
      </c>
      <c r="AG7304">
        <v>0</v>
      </c>
    </row>
    <row r="7305" spans="31:33">
      <c r="AE7305">
        <v>0</v>
      </c>
      <c r="AG7305">
        <v>0</v>
      </c>
    </row>
    <row r="7306" spans="31:33">
      <c r="AE7306">
        <v>0</v>
      </c>
      <c r="AG7306">
        <v>0</v>
      </c>
    </row>
    <row r="7307" spans="31:33">
      <c r="AE7307">
        <v>0</v>
      </c>
      <c r="AG7307">
        <v>0</v>
      </c>
    </row>
    <row r="7308" spans="31:33">
      <c r="AE7308">
        <v>0</v>
      </c>
      <c r="AG7308">
        <v>0</v>
      </c>
    </row>
    <row r="7309" spans="31:33">
      <c r="AE7309">
        <v>0</v>
      </c>
      <c r="AG7309">
        <v>0</v>
      </c>
    </row>
    <row r="7310" spans="31:33">
      <c r="AE7310">
        <v>0</v>
      </c>
      <c r="AG7310">
        <v>0</v>
      </c>
    </row>
    <row r="7311" spans="31:33">
      <c r="AE7311">
        <v>0</v>
      </c>
      <c r="AG7311">
        <v>0</v>
      </c>
    </row>
    <row r="7312" spans="31:33">
      <c r="AE7312">
        <v>0</v>
      </c>
      <c r="AG7312">
        <v>0</v>
      </c>
    </row>
    <row r="7313" spans="31:33">
      <c r="AE7313">
        <v>0</v>
      </c>
      <c r="AG7313">
        <v>0</v>
      </c>
    </row>
    <row r="7314" spans="31:33">
      <c r="AE7314">
        <v>0</v>
      </c>
      <c r="AG7314" s="31">
        <v>33380.730000000003</v>
      </c>
    </row>
    <row r="7315" spans="31:33">
      <c r="AE7315">
        <v>0</v>
      </c>
      <c r="AG7315">
        <v>0</v>
      </c>
    </row>
    <row r="7316" spans="31:33">
      <c r="AE7316" s="31">
        <v>6051.77</v>
      </c>
      <c r="AG7316">
        <v>0</v>
      </c>
    </row>
    <row r="7317" spans="31:33">
      <c r="AE7317">
        <v>0</v>
      </c>
      <c r="AG7317">
        <v>0</v>
      </c>
    </row>
    <row r="7318" spans="31:33">
      <c r="AE7318">
        <v>0</v>
      </c>
      <c r="AG7318">
        <v>0</v>
      </c>
    </row>
    <row r="7319" spans="31:33">
      <c r="AE7319">
        <v>0</v>
      </c>
      <c r="AG7319">
        <v>0</v>
      </c>
    </row>
    <row r="7320" spans="31:33">
      <c r="AE7320">
        <v>0</v>
      </c>
      <c r="AG7320">
        <v>0</v>
      </c>
    </row>
    <row r="7321" spans="31:33">
      <c r="AE7321">
        <v>0</v>
      </c>
      <c r="AG7321">
        <v>0</v>
      </c>
    </row>
    <row r="7322" spans="31:33">
      <c r="AE7322">
        <v>0</v>
      </c>
      <c r="AG7322">
        <v>0</v>
      </c>
    </row>
    <row r="7323" spans="31:33">
      <c r="AE7323">
        <v>0</v>
      </c>
      <c r="AG7323">
        <v>0</v>
      </c>
    </row>
    <row r="7324" spans="31:33">
      <c r="AE7324">
        <v>0</v>
      </c>
      <c r="AG7324">
        <v>0</v>
      </c>
    </row>
    <row r="7325" spans="31:33">
      <c r="AE7325">
        <v>0</v>
      </c>
      <c r="AG7325">
        <v>0</v>
      </c>
    </row>
    <row r="7326" spans="31:33">
      <c r="AE7326">
        <v>0</v>
      </c>
      <c r="AG7326">
        <v>0</v>
      </c>
    </row>
    <row r="7327" spans="31:33">
      <c r="AE7327">
        <v>0</v>
      </c>
      <c r="AG7327">
        <v>0</v>
      </c>
    </row>
    <row r="7328" spans="31:33">
      <c r="AE7328">
        <v>0</v>
      </c>
      <c r="AG7328">
        <v>0</v>
      </c>
    </row>
    <row r="7329" spans="31:33">
      <c r="AE7329">
        <v>0</v>
      </c>
      <c r="AG7329">
        <v>0</v>
      </c>
    </row>
    <row r="7330" spans="31:33">
      <c r="AE7330">
        <v>0</v>
      </c>
      <c r="AG7330">
        <v>0</v>
      </c>
    </row>
    <row r="7331" spans="31:33">
      <c r="AE7331">
        <v>0</v>
      </c>
      <c r="AG7331">
        <v>0</v>
      </c>
    </row>
    <row r="7332" spans="31:33">
      <c r="AE7332">
        <v>0</v>
      </c>
      <c r="AG7332">
        <v>0</v>
      </c>
    </row>
    <row r="7333" spans="31:33">
      <c r="AE7333" s="31">
        <v>419022.4</v>
      </c>
      <c r="AG7333" s="31">
        <v>413968.04</v>
      </c>
    </row>
    <row r="7334" spans="31:33">
      <c r="AE7334">
        <v>0</v>
      </c>
      <c r="AG7334">
        <v>0</v>
      </c>
    </row>
    <row r="7335" spans="31:33">
      <c r="AE7335">
        <v>0</v>
      </c>
      <c r="AG7335">
        <v>0</v>
      </c>
    </row>
    <row r="7336" spans="31:33">
      <c r="AE7336">
        <v>0</v>
      </c>
      <c r="AG7336">
        <v>0</v>
      </c>
    </row>
    <row r="7337" spans="31:33">
      <c r="AE7337" s="31">
        <v>1112.67</v>
      </c>
      <c r="AG7337">
        <v>938.48</v>
      </c>
    </row>
    <row r="7338" spans="31:33">
      <c r="AE7338">
        <v>0</v>
      </c>
      <c r="AG7338">
        <v>0</v>
      </c>
    </row>
    <row r="7339" spans="31:33">
      <c r="AE7339">
        <v>0</v>
      </c>
      <c r="AG7339">
        <v>0</v>
      </c>
    </row>
    <row r="7340" spans="31:33">
      <c r="AE7340">
        <v>0</v>
      </c>
      <c r="AG7340">
        <v>0</v>
      </c>
    </row>
    <row r="7341" spans="31:33">
      <c r="AE7341">
        <v>0</v>
      </c>
      <c r="AG7341" s="31">
        <v>2956.73</v>
      </c>
    </row>
    <row r="7342" spans="31:33">
      <c r="AE7342">
        <v>0</v>
      </c>
      <c r="AG7342">
        <v>0</v>
      </c>
    </row>
    <row r="7343" spans="31:33">
      <c r="AE7343">
        <v>0</v>
      </c>
      <c r="AG7343">
        <v>0</v>
      </c>
    </row>
    <row r="7344" spans="31:33">
      <c r="AE7344" s="31">
        <v>10000</v>
      </c>
      <c r="AG7344">
        <v>0</v>
      </c>
    </row>
    <row r="7345" spans="31:33">
      <c r="AE7345">
        <v>0</v>
      </c>
      <c r="AG7345">
        <v>0</v>
      </c>
    </row>
    <row r="7346" spans="31:33">
      <c r="AE7346">
        <v>0</v>
      </c>
      <c r="AG7346">
        <v>0</v>
      </c>
    </row>
    <row r="7347" spans="31:33">
      <c r="AE7347">
        <v>0</v>
      </c>
      <c r="AG7347">
        <v>0</v>
      </c>
    </row>
    <row r="7348" spans="31:33">
      <c r="AE7348">
        <v>0</v>
      </c>
      <c r="AG7348">
        <v>0</v>
      </c>
    </row>
    <row r="7349" spans="31:33">
      <c r="AE7349">
        <v>0</v>
      </c>
      <c r="AG7349">
        <v>0</v>
      </c>
    </row>
    <row r="7350" spans="31:33">
      <c r="AE7350">
        <v>277.18</v>
      </c>
      <c r="AG7350">
        <v>0</v>
      </c>
    </row>
    <row r="7351" spans="31:33">
      <c r="AE7351">
        <v>0</v>
      </c>
      <c r="AG7351">
        <v>0</v>
      </c>
    </row>
    <row r="7352" spans="31:33">
      <c r="AE7352" s="31">
        <v>9979.11</v>
      </c>
      <c r="AG7352" s="31">
        <v>10915.6</v>
      </c>
    </row>
    <row r="7353" spans="31:33">
      <c r="AE7353">
        <v>0</v>
      </c>
      <c r="AG7353">
        <v>0</v>
      </c>
    </row>
    <row r="7354" spans="31:33">
      <c r="AE7354" s="31">
        <v>58073.03</v>
      </c>
      <c r="AG7354" s="31">
        <v>36886.67</v>
      </c>
    </row>
    <row r="7355" spans="31:33">
      <c r="AE7355">
        <v>0</v>
      </c>
      <c r="AG7355">
        <v>0</v>
      </c>
    </row>
    <row r="7356" spans="31:33">
      <c r="AE7356">
        <v>0</v>
      </c>
      <c r="AG7356">
        <v>0</v>
      </c>
    </row>
    <row r="7357" spans="31:33">
      <c r="AE7357">
        <v>0</v>
      </c>
      <c r="AG7357">
        <v>0</v>
      </c>
    </row>
    <row r="7358" spans="31:33">
      <c r="AE7358">
        <v>0</v>
      </c>
      <c r="AG7358">
        <v>0</v>
      </c>
    </row>
    <row r="7359" spans="31:33">
      <c r="AE7359">
        <v>0</v>
      </c>
      <c r="AG7359">
        <v>0</v>
      </c>
    </row>
    <row r="7360" spans="31:33">
      <c r="AE7360">
        <v>0</v>
      </c>
      <c r="AG7360">
        <v>0</v>
      </c>
    </row>
    <row r="7361" spans="31:33">
      <c r="AE7361" s="31">
        <v>101217.53</v>
      </c>
      <c r="AG7361">
        <v>0</v>
      </c>
    </row>
    <row r="7362" spans="31:33">
      <c r="AE7362" s="31">
        <v>-853493.07</v>
      </c>
      <c r="AG7362" s="31">
        <v>-985780.54</v>
      </c>
    </row>
    <row r="7363" spans="31:33">
      <c r="AE7363">
        <v>0</v>
      </c>
      <c r="AG7363">
        <v>0</v>
      </c>
    </row>
    <row r="7364" spans="31:33">
      <c r="AE7364">
        <v>0</v>
      </c>
      <c r="AG7364" s="31">
        <v>21019.35</v>
      </c>
    </row>
    <row r="7365" spans="31:33">
      <c r="AE7365">
        <v>0</v>
      </c>
      <c r="AG7365" s="31">
        <v>-310219.73</v>
      </c>
    </row>
    <row r="7366" spans="31:33">
      <c r="AE7366">
        <v>0</v>
      </c>
      <c r="AG7366">
        <v>0</v>
      </c>
    </row>
    <row r="7367" spans="31:33">
      <c r="AE7367">
        <v>0</v>
      </c>
      <c r="AG7367">
        <v>0</v>
      </c>
    </row>
    <row r="7368" spans="31:33">
      <c r="AE7368">
        <v>0</v>
      </c>
      <c r="AG7368">
        <v>0</v>
      </c>
    </row>
    <row r="7369" spans="31:33">
      <c r="AE7369">
        <v>0</v>
      </c>
      <c r="AG7369">
        <v>0</v>
      </c>
    </row>
    <row r="7370" spans="31:33">
      <c r="AE7370">
        <v>0</v>
      </c>
      <c r="AG7370">
        <v>0</v>
      </c>
    </row>
    <row r="7371" spans="31:33">
      <c r="AE7371">
        <v>0</v>
      </c>
      <c r="AG7371">
        <v>0</v>
      </c>
    </row>
    <row r="7372" spans="31:33">
      <c r="AE7372">
        <v>0</v>
      </c>
      <c r="AG7372">
        <v>0</v>
      </c>
    </row>
    <row r="7373" spans="31:33">
      <c r="AE7373">
        <v>0</v>
      </c>
      <c r="AG7373">
        <v>0</v>
      </c>
    </row>
    <row r="7374" spans="31:33">
      <c r="AE7374">
        <v>0</v>
      </c>
      <c r="AG7374">
        <v>0</v>
      </c>
    </row>
    <row r="7375" spans="31:33">
      <c r="AE7375">
        <v>0</v>
      </c>
      <c r="AG7375">
        <v>0</v>
      </c>
    </row>
    <row r="7376" spans="31:33">
      <c r="AE7376">
        <v>0</v>
      </c>
      <c r="AG7376">
        <v>0</v>
      </c>
    </row>
    <row r="7377" spans="31:33">
      <c r="AE7377">
        <v>0</v>
      </c>
      <c r="AG7377">
        <v>0</v>
      </c>
    </row>
    <row r="7378" spans="31:33">
      <c r="AE7378">
        <v>0</v>
      </c>
      <c r="AG7378">
        <v>0</v>
      </c>
    </row>
    <row r="7379" spans="31:33">
      <c r="AE7379">
        <v>0</v>
      </c>
      <c r="AG7379">
        <v>0</v>
      </c>
    </row>
    <row r="7380" spans="31:33">
      <c r="AE7380">
        <v>0</v>
      </c>
      <c r="AG7380">
        <v>0</v>
      </c>
    </row>
    <row r="7381" spans="31:33">
      <c r="AE7381">
        <v>0</v>
      </c>
      <c r="AG7381">
        <v>0</v>
      </c>
    </row>
    <row r="7382" spans="31:33">
      <c r="AE7382">
        <v>0</v>
      </c>
      <c r="AG7382">
        <v>0</v>
      </c>
    </row>
    <row r="7383" spans="31:33">
      <c r="AE7383">
        <v>0</v>
      </c>
      <c r="AG7383">
        <v>0</v>
      </c>
    </row>
    <row r="7384" spans="31:33">
      <c r="AE7384">
        <v>0</v>
      </c>
      <c r="AG7384">
        <v>0</v>
      </c>
    </row>
    <row r="7385" spans="31:33">
      <c r="AE7385">
        <v>0</v>
      </c>
      <c r="AG7385">
        <v>0</v>
      </c>
    </row>
    <row r="7386" spans="31:33">
      <c r="AE7386">
        <v>0</v>
      </c>
      <c r="AG7386">
        <v>0</v>
      </c>
    </row>
    <row r="7387" spans="31:33">
      <c r="AE7387">
        <v>0</v>
      </c>
      <c r="AG7387">
        <v>0</v>
      </c>
    </row>
    <row r="7388" spans="31:33">
      <c r="AE7388">
        <v>0</v>
      </c>
      <c r="AG7388">
        <v>0</v>
      </c>
    </row>
    <row r="7389" spans="31:33">
      <c r="AE7389">
        <v>0</v>
      </c>
      <c r="AG7389">
        <v>0</v>
      </c>
    </row>
    <row r="7390" spans="31:33">
      <c r="AE7390">
        <v>0</v>
      </c>
      <c r="AG7390">
        <v>0</v>
      </c>
    </row>
    <row r="7391" spans="31:33">
      <c r="AE7391">
        <v>0</v>
      </c>
      <c r="AG7391">
        <v>0</v>
      </c>
    </row>
    <row r="7392" spans="31:33">
      <c r="AE7392">
        <v>0</v>
      </c>
      <c r="AG7392">
        <v>0</v>
      </c>
    </row>
    <row r="7393" spans="31:33">
      <c r="AE7393">
        <v>0</v>
      </c>
      <c r="AG7393">
        <v>0</v>
      </c>
    </row>
    <row r="7394" spans="31:33">
      <c r="AE7394">
        <v>0</v>
      </c>
      <c r="AG7394">
        <v>0</v>
      </c>
    </row>
    <row r="7395" spans="31:33">
      <c r="AE7395">
        <v>0</v>
      </c>
      <c r="AG7395">
        <v>0</v>
      </c>
    </row>
    <row r="7396" spans="31:33">
      <c r="AE7396">
        <v>0</v>
      </c>
      <c r="AG7396">
        <v>0</v>
      </c>
    </row>
    <row r="7397" spans="31:33">
      <c r="AE7397">
        <v>0</v>
      </c>
      <c r="AG7397">
        <v>0</v>
      </c>
    </row>
    <row r="7398" spans="31:33">
      <c r="AE7398">
        <v>0</v>
      </c>
      <c r="AG7398">
        <v>0</v>
      </c>
    </row>
    <row r="7399" spans="31:33">
      <c r="AE7399">
        <v>0</v>
      </c>
      <c r="AG7399">
        <v>0</v>
      </c>
    </row>
    <row r="7400" spans="31:33">
      <c r="AE7400">
        <v>0</v>
      </c>
      <c r="AG7400">
        <v>0</v>
      </c>
    </row>
    <row r="7401" spans="31:33">
      <c r="AE7401">
        <v>0</v>
      </c>
      <c r="AG7401">
        <v>0</v>
      </c>
    </row>
    <row r="7402" spans="31:33">
      <c r="AE7402">
        <v>0</v>
      </c>
      <c r="AG7402">
        <v>0</v>
      </c>
    </row>
    <row r="7403" spans="31:33">
      <c r="AE7403">
        <v>0</v>
      </c>
      <c r="AG7403">
        <v>0</v>
      </c>
    </row>
    <row r="7404" spans="31:33">
      <c r="AE7404" s="31">
        <v>81246.58</v>
      </c>
      <c r="AG7404" s="31">
        <v>93173.95</v>
      </c>
    </row>
    <row r="7405" spans="31:33">
      <c r="AE7405">
        <v>0</v>
      </c>
      <c r="AG7405">
        <v>0</v>
      </c>
    </row>
    <row r="7406" spans="31:33">
      <c r="AE7406">
        <v>0</v>
      </c>
      <c r="AG7406">
        <v>0</v>
      </c>
    </row>
    <row r="7407" spans="31:33">
      <c r="AE7407">
        <v>0</v>
      </c>
      <c r="AG7407">
        <v>0</v>
      </c>
    </row>
    <row r="7408" spans="31:33">
      <c r="AE7408">
        <v>0</v>
      </c>
      <c r="AG7408">
        <v>0</v>
      </c>
    </row>
    <row r="7409" spans="31:33">
      <c r="AE7409">
        <v>0</v>
      </c>
      <c r="AG7409">
        <v>0</v>
      </c>
    </row>
    <row r="7410" spans="31:33">
      <c r="AE7410">
        <v>0</v>
      </c>
      <c r="AG7410">
        <v>0</v>
      </c>
    </row>
    <row r="7411" spans="31:33">
      <c r="AE7411">
        <v>0</v>
      </c>
      <c r="AG7411">
        <v>0</v>
      </c>
    </row>
    <row r="7412" spans="31:33">
      <c r="AE7412">
        <v>0</v>
      </c>
      <c r="AG7412">
        <v>0</v>
      </c>
    </row>
    <row r="7413" spans="31:33">
      <c r="AE7413">
        <v>0</v>
      </c>
      <c r="AG7413">
        <v>0</v>
      </c>
    </row>
    <row r="7414" spans="31:33">
      <c r="AE7414">
        <v>0</v>
      </c>
      <c r="AG7414">
        <v>0</v>
      </c>
    </row>
    <row r="7415" spans="31:33">
      <c r="AE7415">
        <v>0</v>
      </c>
      <c r="AG7415">
        <v>0</v>
      </c>
    </row>
    <row r="7416" spans="31:33">
      <c r="AE7416">
        <v>0</v>
      </c>
      <c r="AG7416">
        <v>0</v>
      </c>
    </row>
    <row r="7417" spans="31:33">
      <c r="AE7417">
        <v>0</v>
      </c>
      <c r="AG7417">
        <v>0</v>
      </c>
    </row>
    <row r="7418" spans="31:33">
      <c r="AE7418">
        <v>0</v>
      </c>
      <c r="AG7418">
        <v>0</v>
      </c>
    </row>
    <row r="7419" spans="31:33">
      <c r="AE7419">
        <v>0</v>
      </c>
      <c r="AG7419">
        <v>0</v>
      </c>
    </row>
    <row r="7420" spans="31:33">
      <c r="AE7420">
        <v>0</v>
      </c>
      <c r="AG7420">
        <v>0</v>
      </c>
    </row>
    <row r="7421" spans="31:33">
      <c r="AE7421">
        <v>0</v>
      </c>
      <c r="AG7421">
        <v>0</v>
      </c>
    </row>
    <row r="7422" spans="31:33">
      <c r="AE7422">
        <v>0</v>
      </c>
      <c r="AG7422">
        <v>0</v>
      </c>
    </row>
    <row r="7423" spans="31:33">
      <c r="AE7423">
        <v>0</v>
      </c>
      <c r="AG7423">
        <v>0</v>
      </c>
    </row>
    <row r="7424" spans="31:33">
      <c r="AE7424">
        <v>0</v>
      </c>
      <c r="AG7424">
        <v>0</v>
      </c>
    </row>
    <row r="7425" spans="31:33">
      <c r="AE7425" s="31">
        <v>29069.21</v>
      </c>
      <c r="AG7425" s="31">
        <v>22257.52</v>
      </c>
    </row>
    <row r="7426" spans="31:33">
      <c r="AE7426">
        <v>0</v>
      </c>
      <c r="AG7426">
        <v>0</v>
      </c>
    </row>
    <row r="7427" spans="31:33">
      <c r="AE7427">
        <v>0</v>
      </c>
      <c r="AG7427">
        <v>0</v>
      </c>
    </row>
    <row r="7428" spans="31:33">
      <c r="AE7428">
        <v>0</v>
      </c>
      <c r="AG7428">
        <v>0</v>
      </c>
    </row>
    <row r="7429" spans="31:33">
      <c r="AE7429">
        <v>0</v>
      </c>
      <c r="AG7429">
        <v>0</v>
      </c>
    </row>
    <row r="7430" spans="31:33">
      <c r="AE7430">
        <v>0</v>
      </c>
      <c r="AG7430">
        <v>0</v>
      </c>
    </row>
    <row r="7431" spans="31:33">
      <c r="AE7431">
        <v>0</v>
      </c>
      <c r="AG7431">
        <v>0</v>
      </c>
    </row>
    <row r="7432" spans="31:33">
      <c r="AE7432">
        <v>0</v>
      </c>
      <c r="AG7432">
        <v>0</v>
      </c>
    </row>
    <row r="7433" spans="31:33">
      <c r="AE7433">
        <v>0</v>
      </c>
      <c r="AG7433">
        <v>0</v>
      </c>
    </row>
    <row r="7434" spans="31:33">
      <c r="AE7434">
        <v>0</v>
      </c>
      <c r="AG7434">
        <v>0</v>
      </c>
    </row>
    <row r="7435" spans="31:33">
      <c r="AE7435">
        <v>0</v>
      </c>
      <c r="AG7435">
        <v>0</v>
      </c>
    </row>
    <row r="7436" spans="31:33">
      <c r="AE7436">
        <v>0</v>
      </c>
      <c r="AG7436">
        <v>0</v>
      </c>
    </row>
    <row r="7439" spans="31:33">
      <c r="AE7439">
        <v>0</v>
      </c>
      <c r="AG7439">
        <v>0</v>
      </c>
    </row>
    <row r="7440" spans="31:33">
      <c r="AE7440">
        <v>0</v>
      </c>
      <c r="AG7440">
        <v>0</v>
      </c>
    </row>
    <row r="7441" spans="31:33">
      <c r="AE7441">
        <v>0</v>
      </c>
      <c r="AG7441">
        <v>0</v>
      </c>
    </row>
    <row r="7442" spans="31:33">
      <c r="AE7442">
        <v>0</v>
      </c>
      <c r="AG7442">
        <v>0</v>
      </c>
    </row>
    <row r="7443" spans="31:33">
      <c r="AE7443">
        <v>0</v>
      </c>
      <c r="AG7443">
        <v>0</v>
      </c>
    </row>
    <row r="7444" spans="31:33">
      <c r="AE7444">
        <v>0</v>
      </c>
      <c r="AG7444">
        <v>0</v>
      </c>
    </row>
    <row r="7445" spans="31:33">
      <c r="AE7445">
        <v>0</v>
      </c>
      <c r="AG7445">
        <v>0</v>
      </c>
    </row>
    <row r="7446" spans="31:33">
      <c r="AE7446">
        <v>0</v>
      </c>
      <c r="AG7446">
        <v>0</v>
      </c>
    </row>
    <row r="7447" spans="31:33">
      <c r="AE7447">
        <v>0</v>
      </c>
      <c r="AG7447">
        <v>0</v>
      </c>
    </row>
    <row r="7448" spans="31:33">
      <c r="AE7448">
        <v>0</v>
      </c>
      <c r="AG7448">
        <v>0</v>
      </c>
    </row>
    <row r="7449" spans="31:33">
      <c r="AE7449">
        <v>0</v>
      </c>
      <c r="AG7449">
        <v>0</v>
      </c>
    </row>
    <row r="7450" spans="31:33">
      <c r="AE7450">
        <v>0</v>
      </c>
      <c r="AG7450">
        <v>0</v>
      </c>
    </row>
    <row r="7451" spans="31:33">
      <c r="AE7451">
        <v>0</v>
      </c>
      <c r="AG7451">
        <v>0</v>
      </c>
    </row>
    <row r="7452" spans="31:33">
      <c r="AE7452">
        <v>0</v>
      </c>
      <c r="AG7452">
        <v>0</v>
      </c>
    </row>
    <row r="7453" spans="31:33">
      <c r="AE7453">
        <v>0</v>
      </c>
      <c r="AG7453">
        <v>0</v>
      </c>
    </row>
    <row r="7454" spans="31:33">
      <c r="AE7454">
        <v>0</v>
      </c>
      <c r="AG7454">
        <v>0</v>
      </c>
    </row>
    <row r="7455" spans="31:33">
      <c r="AE7455">
        <v>0</v>
      </c>
      <c r="AG7455">
        <v>0</v>
      </c>
    </row>
    <row r="7456" spans="31:33">
      <c r="AE7456">
        <v>0</v>
      </c>
      <c r="AG7456">
        <v>0</v>
      </c>
    </row>
    <row r="7457" spans="31:33">
      <c r="AE7457">
        <v>0</v>
      </c>
      <c r="AG7457">
        <v>0</v>
      </c>
    </row>
    <row r="7458" spans="31:33">
      <c r="AE7458">
        <v>0</v>
      </c>
      <c r="AG7458">
        <v>0</v>
      </c>
    </row>
    <row r="7459" spans="31:33">
      <c r="AE7459">
        <v>0</v>
      </c>
      <c r="AG7459">
        <v>0</v>
      </c>
    </row>
    <row r="7460" spans="31:33">
      <c r="AE7460">
        <v>0</v>
      </c>
      <c r="AG7460">
        <v>0</v>
      </c>
    </row>
    <row r="7461" spans="31:33">
      <c r="AE7461">
        <v>0</v>
      </c>
      <c r="AG7461">
        <v>0</v>
      </c>
    </row>
    <row r="7462" spans="31:33">
      <c r="AE7462">
        <v>0</v>
      </c>
      <c r="AG7462">
        <v>0</v>
      </c>
    </row>
    <row r="7463" spans="31:33">
      <c r="AE7463">
        <v>0</v>
      </c>
      <c r="AG7463">
        <v>0</v>
      </c>
    </row>
    <row r="7464" spans="31:33">
      <c r="AE7464">
        <v>0</v>
      </c>
      <c r="AG7464">
        <v>0</v>
      </c>
    </row>
    <row r="7465" spans="31:33">
      <c r="AE7465">
        <v>0</v>
      </c>
      <c r="AG7465">
        <v>0</v>
      </c>
    </row>
    <row r="7466" spans="31:33">
      <c r="AE7466">
        <v>0</v>
      </c>
      <c r="AG7466">
        <v>0</v>
      </c>
    </row>
    <row r="7467" spans="31:33">
      <c r="AE7467">
        <v>0</v>
      </c>
      <c r="AG7467">
        <v>0</v>
      </c>
    </row>
    <row r="7468" spans="31:33">
      <c r="AE7468">
        <v>0</v>
      </c>
      <c r="AG7468">
        <v>0</v>
      </c>
    </row>
    <row r="7469" spans="31:33">
      <c r="AE7469">
        <v>0</v>
      </c>
      <c r="AG7469">
        <v>0</v>
      </c>
    </row>
    <row r="7470" spans="31:33">
      <c r="AE7470">
        <v>0</v>
      </c>
      <c r="AG7470">
        <v>0</v>
      </c>
    </row>
    <row r="7471" spans="31:33">
      <c r="AE7471">
        <v>0</v>
      </c>
      <c r="AG7471">
        <v>0</v>
      </c>
    </row>
    <row r="7472" spans="31:33">
      <c r="AE7472">
        <v>0</v>
      </c>
      <c r="AG7472">
        <v>0</v>
      </c>
    </row>
    <row r="7473" spans="31:33">
      <c r="AE7473">
        <v>0</v>
      </c>
      <c r="AG7473">
        <v>0</v>
      </c>
    </row>
    <row r="7474" spans="31:33">
      <c r="AE7474">
        <v>0</v>
      </c>
      <c r="AG7474">
        <v>0</v>
      </c>
    </row>
    <row r="7475" spans="31:33">
      <c r="AE7475">
        <v>0</v>
      </c>
      <c r="AG7475">
        <v>0</v>
      </c>
    </row>
    <row r="7476" spans="31:33">
      <c r="AE7476">
        <v>0</v>
      </c>
      <c r="AG7476">
        <v>0</v>
      </c>
    </row>
    <row r="7477" spans="31:33">
      <c r="AE7477">
        <v>0</v>
      </c>
      <c r="AG7477">
        <v>0</v>
      </c>
    </row>
    <row r="7478" spans="31:33">
      <c r="AE7478">
        <v>0</v>
      </c>
      <c r="AG7478">
        <v>0</v>
      </c>
    </row>
    <row r="7479" spans="31:33">
      <c r="AE7479">
        <v>0</v>
      </c>
      <c r="AG7479">
        <v>0</v>
      </c>
    </row>
    <row r="7480" spans="31:33">
      <c r="AE7480">
        <v>0</v>
      </c>
      <c r="AG7480">
        <v>0</v>
      </c>
    </row>
    <row r="7481" spans="31:33">
      <c r="AE7481">
        <v>0</v>
      </c>
      <c r="AG7481">
        <v>0</v>
      </c>
    </row>
    <row r="7482" spans="31:33">
      <c r="AE7482">
        <v>0</v>
      </c>
      <c r="AG7482">
        <v>0</v>
      </c>
    </row>
    <row r="7483" spans="31:33">
      <c r="AE7483">
        <v>0</v>
      </c>
      <c r="AG7483">
        <v>0</v>
      </c>
    </row>
    <row r="7484" spans="31:33">
      <c r="AE7484">
        <v>0</v>
      </c>
      <c r="AG7484">
        <v>0</v>
      </c>
    </row>
    <row r="7485" spans="31:33">
      <c r="AE7485">
        <v>0</v>
      </c>
      <c r="AG7485">
        <v>0</v>
      </c>
    </row>
    <row r="7486" spans="31:33">
      <c r="AE7486">
        <v>0</v>
      </c>
      <c r="AG7486">
        <v>0</v>
      </c>
    </row>
    <row r="7487" spans="31:33">
      <c r="AE7487">
        <v>0</v>
      </c>
      <c r="AG7487">
        <v>0</v>
      </c>
    </row>
    <row r="7488" spans="31:33">
      <c r="AE7488">
        <v>0</v>
      </c>
      <c r="AG7488">
        <v>0</v>
      </c>
    </row>
    <row r="7489" spans="31:33">
      <c r="AE7489">
        <v>0</v>
      </c>
      <c r="AG7489">
        <v>0</v>
      </c>
    </row>
    <row r="7490" spans="31:33">
      <c r="AE7490">
        <v>0</v>
      </c>
      <c r="AG7490">
        <v>0</v>
      </c>
    </row>
    <row r="7491" spans="31:33">
      <c r="AE7491">
        <v>0</v>
      </c>
      <c r="AG7491">
        <v>0</v>
      </c>
    </row>
    <row r="7492" spans="31:33">
      <c r="AE7492">
        <v>0</v>
      </c>
      <c r="AG7492">
        <v>0</v>
      </c>
    </row>
    <row r="7493" spans="31:33">
      <c r="AE7493">
        <v>0</v>
      </c>
      <c r="AG7493">
        <v>0</v>
      </c>
    </row>
    <row r="7494" spans="31:33">
      <c r="AE7494">
        <v>0</v>
      </c>
      <c r="AG7494">
        <v>0</v>
      </c>
    </row>
    <row r="7495" spans="31:33">
      <c r="AE7495">
        <v>0</v>
      </c>
      <c r="AG7495">
        <v>0</v>
      </c>
    </row>
    <row r="7496" spans="31:33">
      <c r="AE7496">
        <v>0</v>
      </c>
      <c r="AG7496">
        <v>0</v>
      </c>
    </row>
    <row r="7497" spans="31:33">
      <c r="AE7497">
        <v>0</v>
      </c>
      <c r="AG7497">
        <v>0</v>
      </c>
    </row>
    <row r="7498" spans="31:33">
      <c r="AE7498">
        <v>0</v>
      </c>
      <c r="AG7498">
        <v>0</v>
      </c>
    </row>
    <row r="7499" spans="31:33">
      <c r="AE7499">
        <v>0</v>
      </c>
      <c r="AG7499">
        <v>0</v>
      </c>
    </row>
    <row r="7500" spans="31:33">
      <c r="AE7500">
        <v>0</v>
      </c>
      <c r="AG7500">
        <v>0</v>
      </c>
    </row>
    <row r="7501" spans="31:33">
      <c r="AE7501">
        <v>0</v>
      </c>
      <c r="AG7501">
        <v>0</v>
      </c>
    </row>
    <row r="7502" spans="31:33">
      <c r="AE7502">
        <v>0</v>
      </c>
      <c r="AG7502">
        <v>0</v>
      </c>
    </row>
    <row r="7503" spans="31:33">
      <c r="AE7503">
        <v>0</v>
      </c>
      <c r="AG7503">
        <v>0</v>
      </c>
    </row>
    <row r="7504" spans="31:33">
      <c r="AE7504">
        <v>0</v>
      </c>
      <c r="AG7504">
        <v>0</v>
      </c>
    </row>
    <row r="7505" spans="31:33">
      <c r="AE7505">
        <v>0</v>
      </c>
      <c r="AG7505">
        <v>0</v>
      </c>
    </row>
    <row r="7506" spans="31:33">
      <c r="AE7506">
        <v>0</v>
      </c>
      <c r="AG7506">
        <v>0</v>
      </c>
    </row>
    <row r="7507" spans="31:33">
      <c r="AE7507">
        <v>0</v>
      </c>
      <c r="AG7507">
        <v>0</v>
      </c>
    </row>
    <row r="7508" spans="31:33">
      <c r="AE7508">
        <v>0</v>
      </c>
      <c r="AG7508">
        <v>0</v>
      </c>
    </row>
    <row r="7509" spans="31:33">
      <c r="AE7509">
        <v>0</v>
      </c>
      <c r="AG7509">
        <v>0</v>
      </c>
    </row>
    <row r="7510" spans="31:33">
      <c r="AE7510">
        <v>0</v>
      </c>
      <c r="AG7510">
        <v>0</v>
      </c>
    </row>
    <row r="7511" spans="31:33">
      <c r="AE7511">
        <v>0</v>
      </c>
      <c r="AG7511">
        <v>0</v>
      </c>
    </row>
    <row r="7512" spans="31:33">
      <c r="AE7512">
        <v>0</v>
      </c>
      <c r="AG7512">
        <v>0</v>
      </c>
    </row>
    <row r="7513" spans="31:33">
      <c r="AE7513">
        <v>0</v>
      </c>
      <c r="AG7513">
        <v>0</v>
      </c>
    </row>
    <row r="7514" spans="31:33">
      <c r="AE7514">
        <v>0</v>
      </c>
      <c r="AG7514">
        <v>0</v>
      </c>
    </row>
    <row r="7515" spans="31:33">
      <c r="AE7515">
        <v>0</v>
      </c>
      <c r="AG7515">
        <v>0</v>
      </c>
    </row>
    <row r="7516" spans="31:33">
      <c r="AE7516">
        <v>0</v>
      </c>
      <c r="AG7516">
        <v>0</v>
      </c>
    </row>
    <row r="7517" spans="31:33">
      <c r="AE7517">
        <v>0</v>
      </c>
      <c r="AG7517">
        <v>0</v>
      </c>
    </row>
    <row r="7518" spans="31:33">
      <c r="AE7518">
        <v>0</v>
      </c>
      <c r="AG7518">
        <v>0</v>
      </c>
    </row>
    <row r="7519" spans="31:33">
      <c r="AE7519">
        <v>0</v>
      </c>
      <c r="AG7519">
        <v>0</v>
      </c>
    </row>
    <row r="7520" spans="31:33">
      <c r="AE7520">
        <v>0</v>
      </c>
      <c r="AG7520">
        <v>0</v>
      </c>
    </row>
    <row r="7521" spans="31:33">
      <c r="AE7521">
        <v>0</v>
      </c>
      <c r="AG7521">
        <v>0</v>
      </c>
    </row>
    <row r="7522" spans="31:33">
      <c r="AE7522">
        <v>0</v>
      </c>
      <c r="AG7522">
        <v>0</v>
      </c>
    </row>
    <row r="7523" spans="31:33">
      <c r="AE7523">
        <v>0</v>
      </c>
      <c r="AG7523">
        <v>0</v>
      </c>
    </row>
    <row r="7524" spans="31:33">
      <c r="AE7524">
        <v>0</v>
      </c>
      <c r="AG7524">
        <v>0</v>
      </c>
    </row>
    <row r="7525" spans="31:33">
      <c r="AE7525">
        <v>0</v>
      </c>
      <c r="AG7525">
        <v>0</v>
      </c>
    </row>
    <row r="7526" spans="31:33">
      <c r="AE7526">
        <v>0</v>
      </c>
      <c r="AG7526">
        <v>0</v>
      </c>
    </row>
    <row r="7527" spans="31:33">
      <c r="AE7527">
        <v>0</v>
      </c>
      <c r="AG7527">
        <v>0</v>
      </c>
    </row>
    <row r="7528" spans="31:33">
      <c r="AE7528">
        <v>0</v>
      </c>
      <c r="AG7528">
        <v>0</v>
      </c>
    </row>
    <row r="7529" spans="31:33">
      <c r="AE7529">
        <v>0</v>
      </c>
      <c r="AG7529">
        <v>0</v>
      </c>
    </row>
    <row r="7530" spans="31:33">
      <c r="AE7530">
        <v>0</v>
      </c>
      <c r="AG7530">
        <v>0</v>
      </c>
    </row>
    <row r="7531" spans="31:33">
      <c r="AE7531">
        <v>0</v>
      </c>
      <c r="AG7531">
        <v>0</v>
      </c>
    </row>
    <row r="7532" spans="31:33">
      <c r="AE7532">
        <v>0</v>
      </c>
      <c r="AG7532">
        <v>0</v>
      </c>
    </row>
    <row r="7533" spans="31:33">
      <c r="AE7533">
        <v>0</v>
      </c>
      <c r="AG7533">
        <v>0</v>
      </c>
    </row>
    <row r="7534" spans="31:33">
      <c r="AE7534">
        <v>0</v>
      </c>
      <c r="AG7534">
        <v>0</v>
      </c>
    </row>
    <row r="7535" spans="31:33">
      <c r="AE7535">
        <v>0</v>
      </c>
      <c r="AG7535">
        <v>0</v>
      </c>
    </row>
    <row r="7536" spans="31:33">
      <c r="AE7536">
        <v>0</v>
      </c>
      <c r="AG7536">
        <v>0</v>
      </c>
    </row>
    <row r="7537" spans="31:33">
      <c r="AE7537">
        <v>0</v>
      </c>
      <c r="AG7537">
        <v>0</v>
      </c>
    </row>
    <row r="7538" spans="31:33">
      <c r="AE7538">
        <v>0</v>
      </c>
      <c r="AG7538">
        <v>0</v>
      </c>
    </row>
    <row r="7539" spans="31:33">
      <c r="AE7539">
        <v>0</v>
      </c>
      <c r="AG7539">
        <v>0</v>
      </c>
    </row>
    <row r="7540" spans="31:33">
      <c r="AE7540">
        <v>0</v>
      </c>
      <c r="AG7540">
        <v>0</v>
      </c>
    </row>
    <row r="7541" spans="31:33">
      <c r="AE7541">
        <v>0</v>
      </c>
      <c r="AG7541">
        <v>0</v>
      </c>
    </row>
    <row r="7542" spans="31:33">
      <c r="AE7542">
        <v>0</v>
      </c>
      <c r="AG7542">
        <v>0</v>
      </c>
    </row>
    <row r="7543" spans="31:33">
      <c r="AE7543">
        <v>0</v>
      </c>
      <c r="AG7543">
        <v>0</v>
      </c>
    </row>
    <row r="7544" spans="31:33">
      <c r="AE7544">
        <v>0</v>
      </c>
      <c r="AG7544">
        <v>0</v>
      </c>
    </row>
    <row r="7545" spans="31:33">
      <c r="AE7545">
        <v>0</v>
      </c>
      <c r="AG7545">
        <v>0</v>
      </c>
    </row>
    <row r="7546" spans="31:33">
      <c r="AE7546">
        <v>0</v>
      </c>
      <c r="AG7546">
        <v>0</v>
      </c>
    </row>
    <row r="7547" spans="31:33">
      <c r="AE7547">
        <v>0</v>
      </c>
      <c r="AG7547">
        <v>0</v>
      </c>
    </row>
    <row r="7548" spans="31:33">
      <c r="AE7548">
        <v>0</v>
      </c>
      <c r="AG7548">
        <v>0</v>
      </c>
    </row>
    <row r="7549" spans="31:33">
      <c r="AE7549">
        <v>0</v>
      </c>
      <c r="AG7549">
        <v>0</v>
      </c>
    </row>
    <row r="7550" spans="31:33">
      <c r="AE7550">
        <v>0</v>
      </c>
      <c r="AG7550">
        <v>0</v>
      </c>
    </row>
    <row r="7551" spans="31:33">
      <c r="AE7551">
        <v>0</v>
      </c>
      <c r="AG7551">
        <v>0</v>
      </c>
    </row>
    <row r="7552" spans="31:33">
      <c r="AE7552">
        <v>0</v>
      </c>
      <c r="AG7552">
        <v>0</v>
      </c>
    </row>
    <row r="7553" spans="31:33">
      <c r="AE7553">
        <v>0</v>
      </c>
      <c r="AG7553">
        <v>0</v>
      </c>
    </row>
    <row r="7554" spans="31:33">
      <c r="AE7554">
        <v>0</v>
      </c>
      <c r="AG7554">
        <v>0</v>
      </c>
    </row>
    <row r="7555" spans="31:33">
      <c r="AE7555">
        <v>0</v>
      </c>
      <c r="AG7555">
        <v>0</v>
      </c>
    </row>
    <row r="7556" spans="31:33">
      <c r="AE7556">
        <v>0</v>
      </c>
      <c r="AG7556">
        <v>0</v>
      </c>
    </row>
    <row r="7557" spans="31:33">
      <c r="AE7557">
        <v>0</v>
      </c>
      <c r="AG7557">
        <v>0</v>
      </c>
    </row>
    <row r="7558" spans="31:33">
      <c r="AE7558">
        <v>0</v>
      </c>
      <c r="AG7558">
        <v>0</v>
      </c>
    </row>
    <row r="7559" spans="31:33">
      <c r="AE7559">
        <v>0</v>
      </c>
      <c r="AG7559">
        <v>0</v>
      </c>
    </row>
    <row r="7560" spans="31:33">
      <c r="AE7560">
        <v>0</v>
      </c>
      <c r="AG7560">
        <v>0</v>
      </c>
    </row>
    <row r="7561" spans="31:33">
      <c r="AE7561">
        <v>0</v>
      </c>
      <c r="AG7561">
        <v>0</v>
      </c>
    </row>
    <row r="7562" spans="31:33">
      <c r="AE7562">
        <v>0</v>
      </c>
      <c r="AG7562">
        <v>0</v>
      </c>
    </row>
    <row r="7563" spans="31:33">
      <c r="AE7563">
        <v>0</v>
      </c>
      <c r="AG7563">
        <v>0</v>
      </c>
    </row>
    <row r="7564" spans="31:33">
      <c r="AE7564">
        <v>0</v>
      </c>
      <c r="AG7564">
        <v>0</v>
      </c>
    </row>
    <row r="7565" spans="31:33">
      <c r="AE7565">
        <v>0</v>
      </c>
      <c r="AG7565">
        <v>0</v>
      </c>
    </row>
    <row r="7566" spans="31:33">
      <c r="AE7566">
        <v>0</v>
      </c>
      <c r="AG7566">
        <v>0</v>
      </c>
    </row>
    <row r="7567" spans="31:33">
      <c r="AE7567">
        <v>0</v>
      </c>
      <c r="AG7567">
        <v>0</v>
      </c>
    </row>
    <row r="7568" spans="31:33">
      <c r="AE7568">
        <v>0</v>
      </c>
      <c r="AG7568">
        <v>0</v>
      </c>
    </row>
    <row r="7569" spans="31:33">
      <c r="AE7569">
        <v>0</v>
      </c>
      <c r="AG7569">
        <v>0</v>
      </c>
    </row>
    <row r="7570" spans="31:33">
      <c r="AE7570">
        <v>0</v>
      </c>
      <c r="AG7570">
        <v>0</v>
      </c>
    </row>
    <row r="7571" spans="31:33">
      <c r="AE7571">
        <v>0</v>
      </c>
      <c r="AG7571">
        <v>0</v>
      </c>
    </row>
    <row r="7572" spans="31:33">
      <c r="AE7572">
        <v>0</v>
      </c>
      <c r="AG7572">
        <v>0</v>
      </c>
    </row>
    <row r="7573" spans="31:33">
      <c r="AE7573">
        <v>0</v>
      </c>
      <c r="AG7573">
        <v>0</v>
      </c>
    </row>
    <row r="7574" spans="31:33">
      <c r="AE7574">
        <v>0</v>
      </c>
      <c r="AG7574">
        <v>0</v>
      </c>
    </row>
    <row r="7575" spans="31:33">
      <c r="AE7575">
        <v>0</v>
      </c>
      <c r="AG7575">
        <v>0</v>
      </c>
    </row>
    <row r="7576" spans="31:33">
      <c r="AE7576">
        <v>0</v>
      </c>
      <c r="AG7576">
        <v>0</v>
      </c>
    </row>
    <row r="7577" spans="31:33">
      <c r="AE7577">
        <v>0</v>
      </c>
      <c r="AG7577">
        <v>0</v>
      </c>
    </row>
    <row r="7578" spans="31:33">
      <c r="AE7578">
        <v>0</v>
      </c>
      <c r="AG7578">
        <v>0</v>
      </c>
    </row>
    <row r="7579" spans="31:33">
      <c r="AE7579">
        <v>0</v>
      </c>
      <c r="AG7579">
        <v>0</v>
      </c>
    </row>
    <row r="7580" spans="31:33">
      <c r="AE7580">
        <v>0</v>
      </c>
      <c r="AG7580">
        <v>0</v>
      </c>
    </row>
    <row r="7581" spans="31:33">
      <c r="AE7581">
        <v>0</v>
      </c>
      <c r="AG7581">
        <v>0</v>
      </c>
    </row>
    <row r="7582" spans="31:33">
      <c r="AE7582">
        <v>0</v>
      </c>
      <c r="AG7582">
        <v>0</v>
      </c>
    </row>
    <row r="7583" spans="31:33">
      <c r="AE7583">
        <v>0</v>
      </c>
      <c r="AG7583">
        <v>0</v>
      </c>
    </row>
    <row r="7584" spans="31:33">
      <c r="AE7584">
        <v>0</v>
      </c>
      <c r="AG7584">
        <v>0</v>
      </c>
    </row>
    <row r="7585" spans="31:33">
      <c r="AE7585">
        <v>0</v>
      </c>
      <c r="AG7585">
        <v>0</v>
      </c>
    </row>
    <row r="7586" spans="31:33">
      <c r="AE7586">
        <v>0</v>
      </c>
      <c r="AG7586">
        <v>0</v>
      </c>
    </row>
    <row r="7587" spans="31:33">
      <c r="AE7587">
        <v>0</v>
      </c>
      <c r="AG7587">
        <v>0</v>
      </c>
    </row>
    <row r="7588" spans="31:33">
      <c r="AE7588">
        <v>0</v>
      </c>
      <c r="AG7588">
        <v>0</v>
      </c>
    </row>
    <row r="7589" spans="31:33">
      <c r="AE7589">
        <v>0</v>
      </c>
      <c r="AG7589">
        <v>0</v>
      </c>
    </row>
    <row r="7590" spans="31:33">
      <c r="AE7590">
        <v>0</v>
      </c>
      <c r="AG7590">
        <v>0</v>
      </c>
    </row>
    <row r="7591" spans="31:33">
      <c r="AE7591">
        <v>0</v>
      </c>
      <c r="AG7591">
        <v>0</v>
      </c>
    </row>
    <row r="7592" spans="31:33">
      <c r="AE7592">
        <v>0</v>
      </c>
      <c r="AG7592">
        <v>0</v>
      </c>
    </row>
    <row r="7593" spans="31:33">
      <c r="AE7593">
        <v>0</v>
      </c>
      <c r="AG7593">
        <v>0</v>
      </c>
    </row>
    <row r="7594" spans="31:33">
      <c r="AE7594">
        <v>0</v>
      </c>
      <c r="AG7594">
        <v>0</v>
      </c>
    </row>
    <row r="7595" spans="31:33">
      <c r="AE7595">
        <v>0</v>
      </c>
      <c r="AG7595">
        <v>0</v>
      </c>
    </row>
    <row r="7596" spans="31:33">
      <c r="AE7596">
        <v>0</v>
      </c>
      <c r="AG7596">
        <v>0</v>
      </c>
    </row>
    <row r="7597" spans="31:33">
      <c r="AE7597">
        <v>0</v>
      </c>
      <c r="AG7597">
        <v>0</v>
      </c>
    </row>
    <row r="7598" spans="31:33">
      <c r="AE7598">
        <v>0</v>
      </c>
      <c r="AG7598">
        <v>0</v>
      </c>
    </row>
    <row r="7599" spans="31:33">
      <c r="AE7599">
        <v>0</v>
      </c>
      <c r="AG7599">
        <v>0</v>
      </c>
    </row>
    <row r="7600" spans="31:33">
      <c r="AE7600">
        <v>0</v>
      </c>
      <c r="AG7600">
        <v>0</v>
      </c>
    </row>
    <row r="7601" spans="31:33">
      <c r="AE7601">
        <v>0</v>
      </c>
      <c r="AG7601">
        <v>0</v>
      </c>
    </row>
    <row r="7602" spans="31:33">
      <c r="AE7602">
        <v>0</v>
      </c>
      <c r="AG7602">
        <v>0</v>
      </c>
    </row>
    <row r="7603" spans="31:33">
      <c r="AE7603">
        <v>0</v>
      </c>
      <c r="AG7603">
        <v>0</v>
      </c>
    </row>
    <row r="7604" spans="31:33">
      <c r="AE7604">
        <v>0</v>
      </c>
      <c r="AG7604">
        <v>0</v>
      </c>
    </row>
    <row r="7605" spans="31:33">
      <c r="AE7605">
        <v>0</v>
      </c>
      <c r="AG7605">
        <v>0</v>
      </c>
    </row>
    <row r="7606" spans="31:33">
      <c r="AE7606">
        <v>0</v>
      </c>
      <c r="AG7606">
        <v>0</v>
      </c>
    </row>
    <row r="7607" spans="31:33">
      <c r="AE7607">
        <v>0</v>
      </c>
      <c r="AG7607">
        <v>0</v>
      </c>
    </row>
    <row r="7608" spans="31:33">
      <c r="AE7608">
        <v>0</v>
      </c>
      <c r="AG7608">
        <v>0</v>
      </c>
    </row>
    <row r="7609" spans="31:33">
      <c r="AE7609">
        <v>0</v>
      </c>
      <c r="AG7609">
        <v>0</v>
      </c>
    </row>
    <row r="7610" spans="31:33">
      <c r="AE7610">
        <v>0</v>
      </c>
      <c r="AG7610">
        <v>0</v>
      </c>
    </row>
    <row r="7611" spans="31:33">
      <c r="AE7611">
        <v>0</v>
      </c>
      <c r="AG7611">
        <v>0</v>
      </c>
    </row>
    <row r="7612" spans="31:33">
      <c r="AE7612">
        <v>0</v>
      </c>
      <c r="AG7612">
        <v>0</v>
      </c>
    </row>
    <row r="7613" spans="31:33">
      <c r="AE7613">
        <v>0</v>
      </c>
      <c r="AG7613">
        <v>0</v>
      </c>
    </row>
    <row r="7614" spans="31:33">
      <c r="AE7614">
        <v>0</v>
      </c>
      <c r="AG7614">
        <v>0</v>
      </c>
    </row>
    <row r="7615" spans="31:33">
      <c r="AE7615">
        <v>0</v>
      </c>
      <c r="AG7615">
        <v>0</v>
      </c>
    </row>
    <row r="7616" spans="31:33">
      <c r="AE7616">
        <v>0</v>
      </c>
      <c r="AG7616">
        <v>0</v>
      </c>
    </row>
    <row r="7617" spans="31:33">
      <c r="AE7617">
        <v>0</v>
      </c>
      <c r="AG7617">
        <v>0</v>
      </c>
    </row>
    <row r="7618" spans="31:33">
      <c r="AE7618">
        <v>0</v>
      </c>
      <c r="AG7618">
        <v>0</v>
      </c>
    </row>
    <row r="7619" spans="31:33">
      <c r="AE7619">
        <v>0</v>
      </c>
      <c r="AG7619">
        <v>0</v>
      </c>
    </row>
    <row r="7620" spans="31:33">
      <c r="AE7620">
        <v>0</v>
      </c>
      <c r="AG7620">
        <v>0</v>
      </c>
    </row>
    <row r="7621" spans="31:33">
      <c r="AE7621">
        <v>0</v>
      </c>
      <c r="AG7621">
        <v>0</v>
      </c>
    </row>
    <row r="7622" spans="31:33">
      <c r="AE7622">
        <v>0</v>
      </c>
      <c r="AG7622">
        <v>0</v>
      </c>
    </row>
    <row r="7623" spans="31:33">
      <c r="AE7623">
        <v>0</v>
      </c>
      <c r="AG7623">
        <v>0</v>
      </c>
    </row>
    <row r="7624" spans="31:33">
      <c r="AE7624">
        <v>0</v>
      </c>
      <c r="AG7624">
        <v>0</v>
      </c>
    </row>
    <row r="7625" spans="31:33">
      <c r="AE7625">
        <v>0</v>
      </c>
      <c r="AG7625">
        <v>0</v>
      </c>
    </row>
    <row r="7626" spans="31:33">
      <c r="AE7626">
        <v>0</v>
      </c>
      <c r="AG7626">
        <v>0</v>
      </c>
    </row>
    <row r="7627" spans="31:33">
      <c r="AE7627">
        <v>0</v>
      </c>
      <c r="AG7627">
        <v>0</v>
      </c>
    </row>
    <row r="7628" spans="31:33">
      <c r="AE7628">
        <v>0</v>
      </c>
      <c r="AG7628">
        <v>0</v>
      </c>
    </row>
    <row r="7629" spans="31:33">
      <c r="AE7629">
        <v>0</v>
      </c>
      <c r="AG7629">
        <v>0</v>
      </c>
    </row>
    <row r="7630" spans="31:33">
      <c r="AE7630">
        <v>0</v>
      </c>
      <c r="AG7630">
        <v>0</v>
      </c>
    </row>
    <row r="7631" spans="31:33">
      <c r="AE7631">
        <v>0</v>
      </c>
      <c r="AG7631">
        <v>0</v>
      </c>
    </row>
    <row r="7632" spans="31:33">
      <c r="AE7632">
        <v>0</v>
      </c>
      <c r="AG7632">
        <v>0</v>
      </c>
    </row>
    <row r="7633" spans="31:33">
      <c r="AE7633">
        <v>0</v>
      </c>
      <c r="AG7633">
        <v>0</v>
      </c>
    </row>
    <row r="7634" spans="31:33">
      <c r="AE7634">
        <v>0</v>
      </c>
      <c r="AG7634">
        <v>0</v>
      </c>
    </row>
    <row r="7635" spans="31:33">
      <c r="AE7635">
        <v>0</v>
      </c>
      <c r="AG7635">
        <v>0</v>
      </c>
    </row>
    <row r="7636" spans="31:33">
      <c r="AE7636">
        <v>0</v>
      </c>
      <c r="AG7636">
        <v>0</v>
      </c>
    </row>
    <row r="7637" spans="31:33">
      <c r="AE7637">
        <v>0</v>
      </c>
      <c r="AG7637">
        <v>0</v>
      </c>
    </row>
    <row r="7638" spans="31:33">
      <c r="AE7638">
        <v>0</v>
      </c>
      <c r="AG7638">
        <v>0</v>
      </c>
    </row>
    <row r="7639" spans="31:33">
      <c r="AE7639">
        <v>0</v>
      </c>
      <c r="AG7639">
        <v>0</v>
      </c>
    </row>
    <row r="7640" spans="31:33">
      <c r="AE7640">
        <v>0</v>
      </c>
      <c r="AG7640">
        <v>0</v>
      </c>
    </row>
    <row r="7641" spans="31:33">
      <c r="AE7641">
        <v>0</v>
      </c>
      <c r="AG7641">
        <v>0</v>
      </c>
    </row>
    <row r="7642" spans="31:33">
      <c r="AE7642">
        <v>0</v>
      </c>
      <c r="AG7642">
        <v>0</v>
      </c>
    </row>
    <row r="7643" spans="31:33">
      <c r="AE7643">
        <v>0</v>
      </c>
      <c r="AG7643">
        <v>0</v>
      </c>
    </row>
    <row r="7644" spans="31:33">
      <c r="AE7644">
        <v>0</v>
      </c>
      <c r="AG7644">
        <v>0</v>
      </c>
    </row>
    <row r="7645" spans="31:33">
      <c r="AE7645">
        <v>0</v>
      </c>
      <c r="AG7645">
        <v>0</v>
      </c>
    </row>
    <row r="7646" spans="31:33">
      <c r="AE7646">
        <v>0</v>
      </c>
      <c r="AG7646">
        <v>0</v>
      </c>
    </row>
    <row r="7647" spans="31:33">
      <c r="AE7647">
        <v>0</v>
      </c>
      <c r="AG7647">
        <v>0</v>
      </c>
    </row>
    <row r="7648" spans="31:33">
      <c r="AE7648">
        <v>0</v>
      </c>
      <c r="AG7648">
        <v>0</v>
      </c>
    </row>
    <row r="7649" spans="31:33">
      <c r="AE7649">
        <v>0</v>
      </c>
      <c r="AG7649">
        <v>0</v>
      </c>
    </row>
    <row r="7650" spans="31:33">
      <c r="AE7650">
        <v>0</v>
      </c>
      <c r="AG7650">
        <v>0</v>
      </c>
    </row>
    <row r="7651" spans="31:33">
      <c r="AE7651">
        <v>0</v>
      </c>
      <c r="AG7651">
        <v>0</v>
      </c>
    </row>
    <row r="7652" spans="31:33">
      <c r="AE7652">
        <v>0</v>
      </c>
      <c r="AG7652">
        <v>0</v>
      </c>
    </row>
    <row r="7653" spans="31:33">
      <c r="AE7653">
        <v>0</v>
      </c>
      <c r="AG7653">
        <v>0</v>
      </c>
    </row>
    <row r="7654" spans="31:33">
      <c r="AE7654">
        <v>0</v>
      </c>
      <c r="AG7654">
        <v>0</v>
      </c>
    </row>
    <row r="7655" spans="31:33">
      <c r="AE7655">
        <v>0</v>
      </c>
      <c r="AG7655">
        <v>0</v>
      </c>
    </row>
    <row r="7656" spans="31:33">
      <c r="AE7656">
        <v>0</v>
      </c>
      <c r="AG7656">
        <v>0</v>
      </c>
    </row>
    <row r="7657" spans="31:33">
      <c r="AE7657">
        <v>0</v>
      </c>
      <c r="AG7657">
        <v>0</v>
      </c>
    </row>
    <row r="7658" spans="31:33">
      <c r="AE7658">
        <v>0</v>
      </c>
      <c r="AG7658">
        <v>0</v>
      </c>
    </row>
    <row r="7659" spans="31:33">
      <c r="AE7659">
        <v>0</v>
      </c>
      <c r="AG7659">
        <v>0</v>
      </c>
    </row>
    <row r="7660" spans="31:33">
      <c r="AE7660">
        <v>0</v>
      </c>
      <c r="AG7660">
        <v>0</v>
      </c>
    </row>
    <row r="7661" spans="31:33">
      <c r="AE7661">
        <v>0</v>
      </c>
      <c r="AG7661">
        <v>0</v>
      </c>
    </row>
    <row r="7662" spans="31:33">
      <c r="AE7662">
        <v>0</v>
      </c>
      <c r="AG7662">
        <v>0</v>
      </c>
    </row>
    <row r="7663" spans="31:33">
      <c r="AE7663">
        <v>0</v>
      </c>
      <c r="AG7663">
        <v>0</v>
      </c>
    </row>
    <row r="7664" spans="31:33">
      <c r="AE7664">
        <v>0</v>
      </c>
      <c r="AG7664">
        <v>0</v>
      </c>
    </row>
    <row r="7665" spans="31:33">
      <c r="AE7665">
        <v>0</v>
      </c>
      <c r="AG7665">
        <v>0</v>
      </c>
    </row>
    <row r="7666" spans="31:33">
      <c r="AE7666">
        <v>0</v>
      </c>
      <c r="AG7666">
        <v>0</v>
      </c>
    </row>
    <row r="7667" spans="31:33">
      <c r="AE7667">
        <v>0</v>
      </c>
      <c r="AG7667">
        <v>0</v>
      </c>
    </row>
    <row r="7668" spans="31:33">
      <c r="AE7668">
        <v>0</v>
      </c>
      <c r="AG7668">
        <v>0</v>
      </c>
    </row>
    <row r="7669" spans="31:33">
      <c r="AE7669">
        <v>0</v>
      </c>
      <c r="AG7669">
        <v>0</v>
      </c>
    </row>
    <row r="7670" spans="31:33">
      <c r="AE7670">
        <v>0</v>
      </c>
      <c r="AG7670">
        <v>0</v>
      </c>
    </row>
    <row r="7671" spans="31:33">
      <c r="AE7671">
        <v>0</v>
      </c>
      <c r="AG7671">
        <v>0</v>
      </c>
    </row>
    <row r="7672" spans="31:33">
      <c r="AE7672">
        <v>0</v>
      </c>
      <c r="AG7672">
        <v>0</v>
      </c>
    </row>
    <row r="7673" spans="31:33">
      <c r="AE7673">
        <v>0</v>
      </c>
      <c r="AG7673">
        <v>0</v>
      </c>
    </row>
    <row r="7674" spans="31:33">
      <c r="AE7674">
        <v>0</v>
      </c>
      <c r="AG7674">
        <v>0</v>
      </c>
    </row>
    <row r="7675" spans="31:33">
      <c r="AE7675">
        <v>0</v>
      </c>
      <c r="AG7675">
        <v>0</v>
      </c>
    </row>
    <row r="7676" spans="31:33">
      <c r="AE7676">
        <v>0</v>
      </c>
      <c r="AG7676">
        <v>0</v>
      </c>
    </row>
    <row r="7677" spans="31:33">
      <c r="AE7677">
        <v>0</v>
      </c>
      <c r="AG7677">
        <v>0</v>
      </c>
    </row>
    <row r="7678" spans="31:33">
      <c r="AE7678">
        <v>0</v>
      </c>
      <c r="AG7678">
        <v>0</v>
      </c>
    </row>
    <row r="7679" spans="31:33">
      <c r="AE7679">
        <v>0</v>
      </c>
      <c r="AG7679">
        <v>0</v>
      </c>
    </row>
    <row r="7680" spans="31:33">
      <c r="AE7680">
        <v>0</v>
      </c>
      <c r="AG7680">
        <v>0</v>
      </c>
    </row>
    <row r="7681" spans="31:33">
      <c r="AE7681">
        <v>0</v>
      </c>
      <c r="AG7681">
        <v>0</v>
      </c>
    </row>
    <row r="7682" spans="31:33">
      <c r="AE7682">
        <v>0</v>
      </c>
      <c r="AG7682">
        <v>0</v>
      </c>
    </row>
    <row r="7683" spans="31:33">
      <c r="AE7683">
        <v>0</v>
      </c>
      <c r="AG7683">
        <v>0</v>
      </c>
    </row>
    <row r="7684" spans="31:33">
      <c r="AE7684">
        <v>0</v>
      </c>
      <c r="AG7684">
        <v>0</v>
      </c>
    </row>
    <row r="7685" spans="31:33">
      <c r="AE7685">
        <v>0</v>
      </c>
      <c r="AG7685">
        <v>0</v>
      </c>
    </row>
    <row r="7686" spans="31:33">
      <c r="AE7686">
        <v>0</v>
      </c>
      <c r="AG7686">
        <v>0</v>
      </c>
    </row>
    <row r="7687" spans="31:33">
      <c r="AE7687">
        <v>0</v>
      </c>
      <c r="AG7687">
        <v>0</v>
      </c>
    </row>
    <row r="7688" spans="31:33">
      <c r="AE7688">
        <v>0</v>
      </c>
      <c r="AG7688">
        <v>0</v>
      </c>
    </row>
    <row r="7689" spans="31:33">
      <c r="AE7689">
        <v>0</v>
      </c>
      <c r="AG7689">
        <v>0</v>
      </c>
    </row>
    <row r="7690" spans="31:33">
      <c r="AE7690">
        <v>0</v>
      </c>
      <c r="AG7690">
        <v>0</v>
      </c>
    </row>
    <row r="7691" spans="31:33">
      <c r="AE7691">
        <v>0</v>
      </c>
      <c r="AG7691">
        <v>0</v>
      </c>
    </row>
    <row r="7692" spans="31:33">
      <c r="AE7692">
        <v>0</v>
      </c>
      <c r="AG7692">
        <v>0</v>
      </c>
    </row>
    <row r="7693" spans="31:33">
      <c r="AE7693">
        <v>0</v>
      </c>
      <c r="AG7693">
        <v>0</v>
      </c>
    </row>
    <row r="7694" spans="31:33">
      <c r="AE7694">
        <v>0</v>
      </c>
      <c r="AG7694">
        <v>0</v>
      </c>
    </row>
    <row r="7695" spans="31:33">
      <c r="AE7695">
        <v>0</v>
      </c>
      <c r="AG7695">
        <v>0</v>
      </c>
    </row>
    <row r="7696" spans="31:33">
      <c r="AE7696">
        <v>0</v>
      </c>
      <c r="AG7696">
        <v>0</v>
      </c>
    </row>
    <row r="7697" spans="31:33">
      <c r="AE7697">
        <v>0</v>
      </c>
      <c r="AG7697">
        <v>0</v>
      </c>
    </row>
    <row r="7698" spans="31:33">
      <c r="AE7698">
        <v>0</v>
      </c>
      <c r="AG7698">
        <v>0</v>
      </c>
    </row>
    <row r="7699" spans="31:33">
      <c r="AE7699">
        <v>0</v>
      </c>
      <c r="AG7699">
        <v>0</v>
      </c>
    </row>
    <row r="7700" spans="31:33">
      <c r="AE7700">
        <v>0</v>
      </c>
      <c r="AG7700">
        <v>0</v>
      </c>
    </row>
    <row r="7701" spans="31:33">
      <c r="AE7701">
        <v>0</v>
      </c>
      <c r="AG7701">
        <v>0</v>
      </c>
    </row>
    <row r="7702" spans="31:33">
      <c r="AE7702">
        <v>0</v>
      </c>
      <c r="AG7702">
        <v>0</v>
      </c>
    </row>
    <row r="7703" spans="31:33">
      <c r="AE7703">
        <v>0</v>
      </c>
      <c r="AG7703">
        <v>0</v>
      </c>
    </row>
    <row r="7704" spans="31:33">
      <c r="AE7704">
        <v>0</v>
      </c>
      <c r="AG7704">
        <v>0</v>
      </c>
    </row>
    <row r="7705" spans="31:33">
      <c r="AE7705">
        <v>0</v>
      </c>
      <c r="AG7705">
        <v>0</v>
      </c>
    </row>
    <row r="7706" spans="31:33">
      <c r="AE7706">
        <v>0</v>
      </c>
      <c r="AG7706">
        <v>0</v>
      </c>
    </row>
    <row r="7707" spans="31:33">
      <c r="AE7707">
        <v>0</v>
      </c>
      <c r="AG7707">
        <v>0</v>
      </c>
    </row>
    <row r="7708" spans="31:33">
      <c r="AE7708">
        <v>0</v>
      </c>
      <c r="AG7708">
        <v>0</v>
      </c>
    </row>
    <row r="7709" spans="31:33">
      <c r="AE7709">
        <v>0</v>
      </c>
      <c r="AG7709">
        <v>0</v>
      </c>
    </row>
    <row r="7710" spans="31:33">
      <c r="AE7710">
        <v>0</v>
      </c>
      <c r="AG7710">
        <v>0</v>
      </c>
    </row>
    <row r="7711" spans="31:33">
      <c r="AE7711">
        <v>0</v>
      </c>
      <c r="AG7711">
        <v>0</v>
      </c>
    </row>
    <row r="7712" spans="31:33">
      <c r="AE7712">
        <v>0</v>
      </c>
      <c r="AG7712">
        <v>0</v>
      </c>
    </row>
    <row r="7713" spans="31:33">
      <c r="AE7713">
        <v>0</v>
      </c>
      <c r="AG7713">
        <v>0</v>
      </c>
    </row>
    <row r="7714" spans="31:33">
      <c r="AE7714">
        <v>0</v>
      </c>
      <c r="AG7714">
        <v>0</v>
      </c>
    </row>
    <row r="7715" spans="31:33">
      <c r="AE7715">
        <v>0</v>
      </c>
      <c r="AG7715">
        <v>0</v>
      </c>
    </row>
    <row r="7716" spans="31:33">
      <c r="AE7716">
        <v>0</v>
      </c>
      <c r="AG7716">
        <v>0</v>
      </c>
    </row>
    <row r="7717" spans="31:33">
      <c r="AE7717">
        <v>0</v>
      </c>
      <c r="AG7717">
        <v>0</v>
      </c>
    </row>
    <row r="7718" spans="31:33">
      <c r="AE7718">
        <v>0</v>
      </c>
      <c r="AG7718">
        <v>0</v>
      </c>
    </row>
    <row r="7719" spans="31:33">
      <c r="AE7719">
        <v>0</v>
      </c>
      <c r="AG7719">
        <v>0</v>
      </c>
    </row>
    <row r="7720" spans="31:33">
      <c r="AE7720">
        <v>0</v>
      </c>
      <c r="AG7720">
        <v>0</v>
      </c>
    </row>
    <row r="7721" spans="31:33">
      <c r="AE7721">
        <v>0</v>
      </c>
      <c r="AG7721">
        <v>0</v>
      </c>
    </row>
    <row r="7722" spans="31:33">
      <c r="AE7722">
        <v>0</v>
      </c>
      <c r="AG7722">
        <v>0</v>
      </c>
    </row>
    <row r="7723" spans="31:33">
      <c r="AE7723">
        <v>0</v>
      </c>
      <c r="AG7723">
        <v>0</v>
      </c>
    </row>
    <row r="7724" spans="31:33">
      <c r="AE7724">
        <v>0</v>
      </c>
      <c r="AG7724">
        <v>0</v>
      </c>
    </row>
    <row r="7725" spans="31:33">
      <c r="AE7725">
        <v>0</v>
      </c>
      <c r="AG7725">
        <v>0</v>
      </c>
    </row>
    <row r="7726" spans="31:33">
      <c r="AE7726">
        <v>0</v>
      </c>
      <c r="AG7726">
        <v>0</v>
      </c>
    </row>
    <row r="7727" spans="31:33">
      <c r="AE7727">
        <v>0</v>
      </c>
      <c r="AG7727">
        <v>0</v>
      </c>
    </row>
    <row r="7728" spans="31:33">
      <c r="AE7728">
        <v>0</v>
      </c>
      <c r="AG7728">
        <v>0</v>
      </c>
    </row>
    <row r="7729" spans="31:33">
      <c r="AE7729">
        <v>0</v>
      </c>
      <c r="AG7729">
        <v>0</v>
      </c>
    </row>
    <row r="7730" spans="31:33">
      <c r="AE7730">
        <v>0</v>
      </c>
      <c r="AG7730">
        <v>0</v>
      </c>
    </row>
    <row r="7731" spans="31:33">
      <c r="AE7731">
        <v>0</v>
      </c>
      <c r="AG7731">
        <v>0</v>
      </c>
    </row>
    <row r="7732" spans="31:33">
      <c r="AE7732">
        <v>0</v>
      </c>
      <c r="AG7732">
        <v>0</v>
      </c>
    </row>
    <row r="7733" spans="31:33">
      <c r="AE7733">
        <v>0</v>
      </c>
      <c r="AG7733">
        <v>0</v>
      </c>
    </row>
    <row r="7734" spans="31:33">
      <c r="AE7734">
        <v>0</v>
      </c>
      <c r="AG7734">
        <v>0</v>
      </c>
    </row>
    <row r="7737" spans="31:33">
      <c r="AE7737">
        <v>0</v>
      </c>
      <c r="AG7737">
        <v>0</v>
      </c>
    </row>
    <row r="7738" spans="31:33">
      <c r="AE7738">
        <v>0</v>
      </c>
      <c r="AG7738">
        <v>0</v>
      </c>
    </row>
    <row r="7739" spans="31:33">
      <c r="AE7739">
        <v>0</v>
      </c>
      <c r="AG7739">
        <v>0</v>
      </c>
    </row>
    <row r="7740" spans="31:33">
      <c r="AE7740">
        <v>0</v>
      </c>
      <c r="AG7740">
        <v>0</v>
      </c>
    </row>
    <row r="7741" spans="31:33">
      <c r="AE7741">
        <v>0</v>
      </c>
      <c r="AG7741">
        <v>0</v>
      </c>
    </row>
    <row r="7742" spans="31:33">
      <c r="AE7742">
        <v>0</v>
      </c>
      <c r="AG7742">
        <v>0</v>
      </c>
    </row>
    <row r="7743" spans="31:33">
      <c r="AE7743">
        <v>0</v>
      </c>
      <c r="AG7743">
        <v>0</v>
      </c>
    </row>
    <row r="7744" spans="31:33">
      <c r="AE7744">
        <v>0</v>
      </c>
      <c r="AG7744">
        <v>0</v>
      </c>
    </row>
    <row r="7745" spans="31:33">
      <c r="AE7745">
        <v>0</v>
      </c>
      <c r="AG7745">
        <v>0</v>
      </c>
    </row>
    <row r="7746" spans="31:33">
      <c r="AE7746">
        <v>0</v>
      </c>
      <c r="AG7746">
        <v>0</v>
      </c>
    </row>
    <row r="7747" spans="31:33">
      <c r="AE7747">
        <v>0</v>
      </c>
      <c r="AG7747">
        <v>0</v>
      </c>
    </row>
    <row r="7748" spans="31:33">
      <c r="AE7748">
        <v>0</v>
      </c>
      <c r="AG7748">
        <v>0</v>
      </c>
    </row>
    <row r="7749" spans="31:33">
      <c r="AE7749">
        <v>0</v>
      </c>
      <c r="AG7749">
        <v>0</v>
      </c>
    </row>
    <row r="7750" spans="31:33">
      <c r="AE7750">
        <v>0</v>
      </c>
      <c r="AG7750">
        <v>0</v>
      </c>
    </row>
    <row r="7751" spans="31:33">
      <c r="AE7751">
        <v>0</v>
      </c>
      <c r="AG7751">
        <v>0</v>
      </c>
    </row>
    <row r="7752" spans="31:33">
      <c r="AE7752">
        <v>0</v>
      </c>
      <c r="AG7752">
        <v>0</v>
      </c>
    </row>
    <row r="7753" spans="31:33">
      <c r="AE7753">
        <v>0</v>
      </c>
      <c r="AG7753">
        <v>0</v>
      </c>
    </row>
    <row r="7754" spans="31:33">
      <c r="AE7754">
        <v>0</v>
      </c>
      <c r="AG7754">
        <v>0</v>
      </c>
    </row>
    <row r="7755" spans="31:33">
      <c r="AE7755">
        <v>0</v>
      </c>
      <c r="AG7755">
        <v>0</v>
      </c>
    </row>
    <row r="7756" spans="31:33">
      <c r="AE7756">
        <v>0</v>
      </c>
      <c r="AG7756">
        <v>0</v>
      </c>
    </row>
    <row r="7757" spans="31:33">
      <c r="AE7757">
        <v>0</v>
      </c>
      <c r="AG7757">
        <v>0</v>
      </c>
    </row>
    <row r="7758" spans="31:33">
      <c r="AE7758">
        <v>0</v>
      </c>
      <c r="AG7758">
        <v>0</v>
      </c>
    </row>
    <row r="7759" spans="31:33">
      <c r="AE7759">
        <v>0</v>
      </c>
      <c r="AG7759">
        <v>0</v>
      </c>
    </row>
    <row r="7760" spans="31:33">
      <c r="AE7760">
        <v>0</v>
      </c>
      <c r="AG7760">
        <v>0</v>
      </c>
    </row>
    <row r="7761" spans="31:33">
      <c r="AE7761">
        <v>0</v>
      </c>
      <c r="AG7761">
        <v>0</v>
      </c>
    </row>
    <row r="7762" spans="31:33">
      <c r="AE7762">
        <v>0</v>
      </c>
      <c r="AG7762">
        <v>0</v>
      </c>
    </row>
    <row r="7764" spans="31:33">
      <c r="AE7764" s="31">
        <v>-3110.19</v>
      </c>
      <c r="AG7764" s="31">
        <v>-2571.1799999999998</v>
      </c>
    </row>
    <row r="7765" spans="31:33">
      <c r="AE7765">
        <v>0</v>
      </c>
      <c r="AG7765">
        <v>0</v>
      </c>
    </row>
    <row r="7766" spans="31:33">
      <c r="AE7766" s="31">
        <v>-48287.05</v>
      </c>
      <c r="AG7766" s="31">
        <v>-67609.91</v>
      </c>
    </row>
    <row r="7767" spans="31:33">
      <c r="AE7767">
        <v>0</v>
      </c>
      <c r="AG7767">
        <v>0</v>
      </c>
    </row>
    <row r="7768" spans="31:33">
      <c r="AE7768" s="31">
        <v>-73167.149999999994</v>
      </c>
      <c r="AG7768" s="31">
        <v>-10063.77</v>
      </c>
    </row>
    <row r="7769" spans="31:33">
      <c r="AE7769">
        <v>0</v>
      </c>
      <c r="AG7769">
        <v>0</v>
      </c>
    </row>
    <row r="7770" spans="31:33">
      <c r="AE7770">
        <v>-67.97</v>
      </c>
      <c r="AG7770">
        <v>-11.64</v>
      </c>
    </row>
    <row r="7771" spans="31:33">
      <c r="AE7771">
        <v>0</v>
      </c>
      <c r="AG7771">
        <v>0</v>
      </c>
    </row>
    <row r="7772" spans="31:33">
      <c r="AE7772" s="31">
        <v>206290.66</v>
      </c>
      <c r="AG7772" s="31">
        <v>321584.82</v>
      </c>
    </row>
    <row r="7773" spans="31:33">
      <c r="AE7773">
        <v>0</v>
      </c>
      <c r="AG7773">
        <v>0</v>
      </c>
    </row>
    <row r="7774" spans="31:33">
      <c r="AE7774" s="31">
        <v>-87631.08</v>
      </c>
      <c r="AG7774" s="31">
        <v>588320.15</v>
      </c>
    </row>
    <row r="7775" spans="31:33">
      <c r="AE7775">
        <v>0</v>
      </c>
      <c r="AG7775">
        <v>0</v>
      </c>
    </row>
    <row r="7776" spans="31:33">
      <c r="AE7776" s="31">
        <v>55946.1</v>
      </c>
      <c r="AG7776" s="31">
        <v>113220.41</v>
      </c>
    </row>
    <row r="7777" spans="31:33">
      <c r="AE7777">
        <v>0</v>
      </c>
      <c r="AG7777">
        <v>0</v>
      </c>
    </row>
    <row r="7778" spans="31:33">
      <c r="AE7778">
        <v>-213.96</v>
      </c>
      <c r="AG7778">
        <v>0</v>
      </c>
    </row>
    <row r="7779" spans="31:33">
      <c r="AE7779">
        <v>0</v>
      </c>
      <c r="AG7779">
        <v>0</v>
      </c>
    </row>
    <row r="7780" spans="31:33">
      <c r="AE7780" s="31">
        <v>-5038.1099999999997</v>
      </c>
      <c r="AG7780" s="31">
        <v>35787.19</v>
      </c>
    </row>
    <row r="7781" spans="31:33">
      <c r="AE7781">
        <v>0</v>
      </c>
      <c r="AG7781">
        <v>0</v>
      </c>
    </row>
    <row r="7782" spans="31:33">
      <c r="AE7782">
        <v>-0.01</v>
      </c>
      <c r="AG7782">
        <v>-0.01</v>
      </c>
    </row>
    <row r="7783" spans="31:33">
      <c r="AE7783" s="31">
        <v>5679.28</v>
      </c>
      <c r="AG7783" s="31">
        <v>-17926.22</v>
      </c>
    </row>
    <row r="7784" spans="31:33">
      <c r="AE7784">
        <v>0</v>
      </c>
      <c r="AG7784">
        <v>0</v>
      </c>
    </row>
    <row r="7785" spans="31:33">
      <c r="AE7785" s="31">
        <v>-7846.06</v>
      </c>
      <c r="AG7785" s="31">
        <v>-14315.8</v>
      </c>
    </row>
    <row r="7786" spans="31:33">
      <c r="AE7786">
        <v>0</v>
      </c>
      <c r="AG7786">
        <v>0</v>
      </c>
    </row>
    <row r="7787" spans="31:33">
      <c r="AE7787" s="31">
        <v>49128.85</v>
      </c>
      <c r="AG7787" s="31">
        <v>2934.3</v>
      </c>
    </row>
    <row r="7788" spans="31:33">
      <c r="AE7788">
        <v>0</v>
      </c>
      <c r="AG7788">
        <v>0</v>
      </c>
    </row>
    <row r="7789" spans="31:33">
      <c r="AE7789" s="31">
        <v>22802454.219999999</v>
      </c>
      <c r="AG7789" s="31">
        <v>25741691.120000001</v>
      </c>
    </row>
    <row r="7790" spans="31:33">
      <c r="AE7790">
        <v>0</v>
      </c>
      <c r="AG7790">
        <v>0</v>
      </c>
    </row>
    <row r="7791" spans="31:33">
      <c r="AE7791" s="31">
        <v>2956814.56</v>
      </c>
      <c r="AG7791" s="31">
        <v>2858668.33</v>
      </c>
    </row>
    <row r="7792" spans="31:33">
      <c r="AE7792">
        <v>0</v>
      </c>
      <c r="AG7792">
        <v>0</v>
      </c>
    </row>
    <row r="7793" spans="31:33">
      <c r="AE7793" s="31">
        <v>255042.06</v>
      </c>
      <c r="AG7793" s="31">
        <v>371877.1</v>
      </c>
    </row>
    <row r="7794" spans="31:33">
      <c r="AE7794">
        <v>0</v>
      </c>
      <c r="AG7794">
        <v>0</v>
      </c>
    </row>
    <row r="7795" spans="31:33">
      <c r="AE7795" s="31">
        <v>-24114.83</v>
      </c>
      <c r="AG7795" s="31">
        <v>-45805.57</v>
      </c>
    </row>
    <row r="7796" spans="31:33">
      <c r="AE7796">
        <v>0</v>
      </c>
      <c r="AG7796">
        <v>0</v>
      </c>
    </row>
    <row r="7797" spans="31:33">
      <c r="AE7797" s="31">
        <v>-24701.55</v>
      </c>
      <c r="AG7797" s="31">
        <v>-55572.66</v>
      </c>
    </row>
    <row r="7798" spans="31:33">
      <c r="AE7798">
        <v>0</v>
      </c>
      <c r="AG7798">
        <v>0</v>
      </c>
    </row>
    <row r="7799" spans="31:33">
      <c r="AE7799" s="31">
        <v>915355.45</v>
      </c>
      <c r="AG7799" s="31">
        <v>1181059.3400000001</v>
      </c>
    </row>
    <row r="7800" spans="31:33">
      <c r="AE7800">
        <v>0</v>
      </c>
      <c r="AG7800">
        <v>0</v>
      </c>
    </row>
    <row r="7801" spans="31:33">
      <c r="AE7801" s="31">
        <v>-3855.82</v>
      </c>
      <c r="AG7801" s="31">
        <v>8927.4699999999993</v>
      </c>
    </row>
    <row r="7802" spans="31:33">
      <c r="AE7802">
        <v>0</v>
      </c>
      <c r="AG7802">
        <v>0</v>
      </c>
    </row>
    <row r="7803" spans="31:33">
      <c r="AE7803">
        <v>0</v>
      </c>
      <c r="AG7803">
        <v>0</v>
      </c>
    </row>
    <row r="7804" spans="31:33">
      <c r="AE7804">
        <v>-0.25</v>
      </c>
      <c r="AG7804">
        <v>0.27</v>
      </c>
    </row>
    <row r="7805" spans="31:33">
      <c r="AE7805">
        <v>0</v>
      </c>
      <c r="AG7805">
        <v>0</v>
      </c>
    </row>
    <row r="7806" spans="31:33">
      <c r="AE7806">
        <v>-0.05</v>
      </c>
      <c r="AG7806">
        <v>0.05</v>
      </c>
    </row>
    <row r="7807" spans="31:33">
      <c r="AE7807">
        <v>0</v>
      </c>
      <c r="AG7807">
        <v>0</v>
      </c>
    </row>
    <row r="7808" spans="31:33">
      <c r="AE7808">
        <v>0</v>
      </c>
      <c r="AG7808">
        <v>0</v>
      </c>
    </row>
    <row r="7809" spans="31:33">
      <c r="AE7809">
        <v>0</v>
      </c>
      <c r="AG7809">
        <v>0</v>
      </c>
    </row>
    <row r="7810" spans="31:33">
      <c r="AE7810" s="31">
        <v>-904960.98</v>
      </c>
      <c r="AG7810" s="31">
        <v>-846982.34</v>
      </c>
    </row>
    <row r="7811" spans="31:33">
      <c r="AE7811">
        <v>0</v>
      </c>
      <c r="AG7811">
        <v>0</v>
      </c>
    </row>
    <row r="7812" spans="31:33">
      <c r="AE7812">
        <v>0</v>
      </c>
      <c r="AG7812">
        <v>0</v>
      </c>
    </row>
    <row r="7813" spans="31:33">
      <c r="AE7813" s="31">
        <v>343886.02</v>
      </c>
      <c r="AG7813" s="31">
        <v>400145.43</v>
      </c>
    </row>
    <row r="7814" spans="31:33">
      <c r="AE7814">
        <v>0</v>
      </c>
      <c r="AG7814">
        <v>0</v>
      </c>
    </row>
    <row r="7815" spans="31:33">
      <c r="AE7815">
        <v>0</v>
      </c>
      <c r="AG7815">
        <v>0</v>
      </c>
    </row>
    <row r="7816" spans="31:33">
      <c r="AE7816" s="31">
        <v>119477.85</v>
      </c>
      <c r="AG7816" s="31">
        <v>-7739.54</v>
      </c>
    </row>
    <row r="7817" spans="31:33">
      <c r="AE7817">
        <v>0</v>
      </c>
      <c r="AG7817">
        <v>0</v>
      </c>
    </row>
    <row r="7818" spans="31:33">
      <c r="AE7818">
        <v>0</v>
      </c>
      <c r="AG7818">
        <v>0</v>
      </c>
    </row>
    <row r="7819" spans="31:33">
      <c r="AE7819">
        <v>982.36</v>
      </c>
      <c r="AG7819" s="31">
        <v>1107.47</v>
      </c>
    </row>
    <row r="7820" spans="31:33">
      <c r="AE7820">
        <v>0</v>
      </c>
      <c r="AG7820">
        <v>0</v>
      </c>
    </row>
    <row r="7821" spans="31:33">
      <c r="AE7821" s="31">
        <v>-234018.41</v>
      </c>
      <c r="AG7821" s="31">
        <v>-220935.53</v>
      </c>
    </row>
    <row r="7822" spans="31:33">
      <c r="AE7822" s="31">
        <v>1163.3399999999999</v>
      </c>
      <c r="AG7822">
        <v>0</v>
      </c>
    </row>
    <row r="7823" spans="31:33">
      <c r="AE7823">
        <v>0</v>
      </c>
      <c r="AG7823">
        <v>0</v>
      </c>
    </row>
    <row r="7824" spans="31:33">
      <c r="AE7824" s="31">
        <v>764581.98</v>
      </c>
      <c r="AG7824" s="31">
        <v>43045.29</v>
      </c>
    </row>
    <row r="7825" spans="31:33">
      <c r="AE7825">
        <v>0</v>
      </c>
      <c r="AG7825">
        <v>0</v>
      </c>
    </row>
    <row r="7826" spans="31:33">
      <c r="AE7826">
        <v>0</v>
      </c>
      <c r="AG7826">
        <v>0</v>
      </c>
    </row>
    <row r="7827" spans="31:33">
      <c r="AE7827">
        <v>0</v>
      </c>
      <c r="AG7827">
        <v>0</v>
      </c>
    </row>
    <row r="7828" spans="31:33">
      <c r="AE7828">
        <v>0</v>
      </c>
      <c r="AG7828">
        <v>0</v>
      </c>
    </row>
    <row r="7829" spans="31:33">
      <c r="AE7829">
        <v>0</v>
      </c>
      <c r="AG7829">
        <v>0</v>
      </c>
    </row>
    <row r="7830" spans="31:33">
      <c r="AE7830">
        <v>0</v>
      </c>
      <c r="AG7830">
        <v>0</v>
      </c>
    </row>
    <row r="7831" spans="31:33">
      <c r="AE7831">
        <v>0</v>
      </c>
      <c r="AG7831">
        <v>0</v>
      </c>
    </row>
    <row r="7832" spans="31:33">
      <c r="AE7832">
        <v>0</v>
      </c>
      <c r="AG7832">
        <v>0</v>
      </c>
    </row>
    <row r="7833" spans="31:33">
      <c r="AE7833">
        <v>0</v>
      </c>
      <c r="AG7833">
        <v>0</v>
      </c>
    </row>
    <row r="7834" spans="31:33">
      <c r="AE7834">
        <v>0</v>
      </c>
      <c r="AG7834">
        <v>0</v>
      </c>
    </row>
    <row r="7835" spans="31:33">
      <c r="AE7835">
        <v>0</v>
      </c>
      <c r="AG7835">
        <v>0</v>
      </c>
    </row>
    <row r="7836" spans="31:33">
      <c r="AE7836">
        <v>0</v>
      </c>
      <c r="AG7836">
        <v>0</v>
      </c>
    </row>
    <row r="7837" spans="31:33">
      <c r="AE7837">
        <v>0</v>
      </c>
      <c r="AG7837">
        <v>20.87</v>
      </c>
    </row>
    <row r="7838" spans="31:33">
      <c r="AE7838">
        <v>0</v>
      </c>
      <c r="AG7838">
        <v>0</v>
      </c>
    </row>
    <row r="7839" spans="31:33">
      <c r="AE7839">
        <v>0</v>
      </c>
      <c r="AG7839">
        <v>0</v>
      </c>
    </row>
    <row r="7840" spans="31:33">
      <c r="AE7840">
        <v>0</v>
      </c>
      <c r="AG7840">
        <v>0</v>
      </c>
    </row>
    <row r="7841" spans="31:33">
      <c r="AE7841">
        <v>0</v>
      </c>
      <c r="AG7841">
        <v>0</v>
      </c>
    </row>
    <row r="7842" spans="31:33">
      <c r="AE7842">
        <v>0</v>
      </c>
      <c r="AG7842">
        <v>0</v>
      </c>
    </row>
    <row r="7843" spans="31:33">
      <c r="AE7843">
        <v>0</v>
      </c>
      <c r="AG7843">
        <v>0</v>
      </c>
    </row>
    <row r="7844" spans="31:33">
      <c r="AE7844">
        <v>0</v>
      </c>
      <c r="AG7844">
        <v>0</v>
      </c>
    </row>
    <row r="7845" spans="31:33">
      <c r="AE7845">
        <v>0</v>
      </c>
      <c r="AG7845">
        <v>0</v>
      </c>
    </row>
    <row r="7846" spans="31:33">
      <c r="AE7846">
        <v>0</v>
      </c>
      <c r="AG7846">
        <v>0</v>
      </c>
    </row>
    <row r="7847" spans="31:33">
      <c r="AE7847">
        <v>0</v>
      </c>
      <c r="AG7847">
        <v>0</v>
      </c>
    </row>
    <row r="7848" spans="31:33">
      <c r="AE7848">
        <v>0</v>
      </c>
      <c r="AG7848">
        <v>0</v>
      </c>
    </row>
    <row r="7849" spans="31:33">
      <c r="AE7849">
        <v>0</v>
      </c>
      <c r="AG7849">
        <v>0</v>
      </c>
    </row>
    <row r="7850" spans="31:33">
      <c r="AE7850">
        <v>0</v>
      </c>
      <c r="AG7850">
        <v>0</v>
      </c>
    </row>
    <row r="7851" spans="31:33">
      <c r="AE7851">
        <v>0</v>
      </c>
      <c r="AG7851">
        <v>0</v>
      </c>
    </row>
    <row r="7852" spans="31:33">
      <c r="AE7852">
        <v>0</v>
      </c>
      <c r="AG7852">
        <v>0</v>
      </c>
    </row>
    <row r="7853" spans="31:33">
      <c r="AE7853">
        <v>0</v>
      </c>
      <c r="AG7853">
        <v>0</v>
      </c>
    </row>
    <row r="7854" spans="31:33">
      <c r="AE7854">
        <v>0</v>
      </c>
      <c r="AG7854">
        <v>0</v>
      </c>
    </row>
    <row r="7855" spans="31:33">
      <c r="AE7855">
        <v>0</v>
      </c>
      <c r="AG7855">
        <v>0</v>
      </c>
    </row>
    <row r="7856" spans="31:33">
      <c r="AE7856">
        <v>0</v>
      </c>
      <c r="AG7856">
        <v>0</v>
      </c>
    </row>
    <row r="7857" spans="31:33">
      <c r="AE7857">
        <v>0</v>
      </c>
      <c r="AG7857">
        <v>0</v>
      </c>
    </row>
    <row r="7858" spans="31:33">
      <c r="AE7858">
        <v>0</v>
      </c>
      <c r="AG7858">
        <v>0</v>
      </c>
    </row>
    <row r="7859" spans="31:33">
      <c r="AE7859">
        <v>0</v>
      </c>
      <c r="AG7859">
        <v>0</v>
      </c>
    </row>
    <row r="7860" spans="31:33">
      <c r="AE7860">
        <v>0</v>
      </c>
      <c r="AG7860">
        <v>0</v>
      </c>
    </row>
    <row r="7861" spans="31:33">
      <c r="AE7861">
        <v>0</v>
      </c>
      <c r="AG7861">
        <v>0</v>
      </c>
    </row>
    <row r="7862" spans="31:33">
      <c r="AE7862">
        <v>0</v>
      </c>
      <c r="AG7862">
        <v>0</v>
      </c>
    </row>
    <row r="7863" spans="31:33">
      <c r="AE7863">
        <v>0</v>
      </c>
      <c r="AG7863">
        <v>0</v>
      </c>
    </row>
    <row r="7864" spans="31:33">
      <c r="AE7864">
        <v>0</v>
      </c>
      <c r="AG7864">
        <v>0</v>
      </c>
    </row>
    <row r="7865" spans="31:33">
      <c r="AE7865" s="31">
        <v>-2948</v>
      </c>
      <c r="AG7865" s="31">
        <v>-40468</v>
      </c>
    </row>
    <row r="7866" spans="31:33">
      <c r="AE7866">
        <v>0</v>
      </c>
      <c r="AG7866">
        <v>0</v>
      </c>
    </row>
    <row r="7867" spans="31:33">
      <c r="AE7867" s="31">
        <v>510793.27</v>
      </c>
      <c r="AG7867" s="31">
        <v>593362.35</v>
      </c>
    </row>
    <row r="7868" spans="31:33">
      <c r="AE7868">
        <v>0</v>
      </c>
      <c r="AG7868">
        <v>0</v>
      </c>
    </row>
    <row r="7869" spans="31:33">
      <c r="AE7869" s="31">
        <v>637510.93999999994</v>
      </c>
      <c r="AG7869" s="31">
        <v>611258.48</v>
      </c>
    </row>
    <row r="7870" spans="31:33">
      <c r="AE7870">
        <v>0</v>
      </c>
      <c r="AG7870">
        <v>0</v>
      </c>
    </row>
    <row r="7871" spans="31:33">
      <c r="AE7871" s="31">
        <v>6239469.6299999999</v>
      </c>
      <c r="AG7871" s="31">
        <v>6002633.5999999996</v>
      </c>
    </row>
    <row r="7872" spans="31:33">
      <c r="AE7872">
        <v>0</v>
      </c>
      <c r="AG7872">
        <v>0</v>
      </c>
    </row>
    <row r="7873" spans="31:33">
      <c r="AE7873" s="31">
        <v>2737852.53</v>
      </c>
      <c r="AG7873" s="31">
        <v>2747245.87</v>
      </c>
    </row>
    <row r="7874" spans="31:33">
      <c r="AE7874">
        <v>0</v>
      </c>
      <c r="AG7874">
        <v>0</v>
      </c>
    </row>
    <row r="7875" spans="31:33">
      <c r="AE7875">
        <v>0</v>
      </c>
      <c r="AG7875">
        <v>0</v>
      </c>
    </row>
    <row r="7876" spans="31:33">
      <c r="AE7876">
        <v>281.12</v>
      </c>
      <c r="AG7876">
        <v>209.92</v>
      </c>
    </row>
    <row r="7877" spans="31:33">
      <c r="AE7877">
        <v>0</v>
      </c>
      <c r="AG7877">
        <v>0</v>
      </c>
    </row>
    <row r="7878" spans="31:33">
      <c r="AE7878" s="31">
        <v>-1005.93</v>
      </c>
      <c r="AG7878">
        <v>262.04000000000002</v>
      </c>
    </row>
    <row r="7879" spans="31:33">
      <c r="AE7879">
        <v>0</v>
      </c>
      <c r="AG7879">
        <v>0</v>
      </c>
    </row>
    <row r="7880" spans="31:33">
      <c r="AE7880">
        <v>0</v>
      </c>
      <c r="AG7880">
        <v>0</v>
      </c>
    </row>
    <row r="7881" spans="31:33">
      <c r="AE7881">
        <v>0</v>
      </c>
      <c r="AG7881">
        <v>0</v>
      </c>
    </row>
    <row r="7882" spans="31:33">
      <c r="AE7882" s="31">
        <v>13626745.99</v>
      </c>
      <c r="AG7882" s="31">
        <v>13082014.75</v>
      </c>
    </row>
    <row r="7883" spans="31:33">
      <c r="AE7883">
        <v>0</v>
      </c>
      <c r="AG7883">
        <v>0</v>
      </c>
    </row>
    <row r="7884" spans="31:33">
      <c r="AE7884" s="31">
        <v>844374.95</v>
      </c>
      <c r="AG7884" s="31">
        <v>694555.16</v>
      </c>
    </row>
    <row r="7885" spans="31:33">
      <c r="AE7885">
        <v>0</v>
      </c>
      <c r="AG7885">
        <v>0</v>
      </c>
    </row>
    <row r="7886" spans="31:33">
      <c r="AE7886" s="31">
        <v>34726.5</v>
      </c>
      <c r="AG7886" s="31">
        <v>69334.070000000007</v>
      </c>
    </row>
    <row r="7887" spans="31:33">
      <c r="AE7887">
        <v>0</v>
      </c>
      <c r="AG7887">
        <v>0</v>
      </c>
    </row>
    <row r="7888" spans="31:33">
      <c r="AE7888" s="31">
        <v>794879.77</v>
      </c>
      <c r="AG7888" s="31">
        <v>333172.59000000003</v>
      </c>
    </row>
    <row r="7889" spans="31:33">
      <c r="AE7889">
        <v>0</v>
      </c>
      <c r="AG7889">
        <v>0</v>
      </c>
    </row>
    <row r="7890" spans="31:33">
      <c r="AE7890" s="31">
        <v>1181785.77</v>
      </c>
      <c r="AG7890" s="31">
        <v>1509388.59</v>
      </c>
    </row>
    <row r="7891" spans="31:33">
      <c r="AE7891">
        <v>0</v>
      </c>
      <c r="AG7891">
        <v>0</v>
      </c>
    </row>
    <row r="7892" spans="31:33">
      <c r="AE7892">
        <v>0</v>
      </c>
      <c r="AG7892">
        <v>0</v>
      </c>
    </row>
    <row r="7893" spans="31:33">
      <c r="AE7893" s="31">
        <v>914362.37</v>
      </c>
      <c r="AG7893" s="31">
        <v>984552.93</v>
      </c>
    </row>
    <row r="7894" spans="31:33">
      <c r="AE7894">
        <v>0</v>
      </c>
      <c r="AG7894">
        <v>0</v>
      </c>
    </row>
    <row r="7895" spans="31:33">
      <c r="AE7895">
        <v>0</v>
      </c>
      <c r="AG7895">
        <v>0</v>
      </c>
    </row>
    <row r="7896" spans="31:33">
      <c r="AE7896">
        <v>0</v>
      </c>
      <c r="AG7896">
        <v>0</v>
      </c>
    </row>
    <row r="7897" spans="31:33">
      <c r="AE7897">
        <v>0</v>
      </c>
      <c r="AG7897">
        <v>0</v>
      </c>
    </row>
    <row r="7898" spans="31:33">
      <c r="AE7898">
        <v>0</v>
      </c>
      <c r="AG7898">
        <v>0</v>
      </c>
    </row>
    <row r="7899" spans="31:33">
      <c r="AE7899" s="31">
        <v>17817.310000000001</v>
      </c>
      <c r="AG7899" s="31">
        <v>76248.240000000005</v>
      </c>
    </row>
    <row r="7900" spans="31:33">
      <c r="AE7900">
        <v>0</v>
      </c>
      <c r="AG7900">
        <v>0</v>
      </c>
    </row>
    <row r="7901" spans="31:33">
      <c r="AE7901" s="31">
        <v>3334.9</v>
      </c>
      <c r="AG7901" s="31">
        <v>45854.87</v>
      </c>
    </row>
    <row r="7902" spans="31:33">
      <c r="AE7902" s="31">
        <v>180380.63</v>
      </c>
      <c r="AG7902" s="31">
        <v>314399.19</v>
      </c>
    </row>
    <row r="7903" spans="31:33">
      <c r="AE7903" s="31">
        <v>6059535.5599999996</v>
      </c>
      <c r="AG7903" s="31">
        <v>7827233.3300000001</v>
      </c>
    </row>
    <row r="7904" spans="31:33">
      <c r="AE7904">
        <v>0</v>
      </c>
      <c r="AG7904">
        <v>0</v>
      </c>
    </row>
    <row r="7905" spans="31:33">
      <c r="AE7905" s="31">
        <v>4334.3999999999996</v>
      </c>
      <c r="AG7905" s="31">
        <v>51738.22</v>
      </c>
    </row>
    <row r="7906" spans="31:33">
      <c r="AE7906" s="31">
        <v>691605.31</v>
      </c>
      <c r="AG7906" s="31">
        <v>233962.93</v>
      </c>
    </row>
    <row r="7907" spans="31:33">
      <c r="AE7907">
        <v>0</v>
      </c>
      <c r="AG7907">
        <v>0</v>
      </c>
    </row>
    <row r="7908" spans="31:33">
      <c r="AE7908" s="31">
        <v>-20644.55</v>
      </c>
      <c r="AG7908" s="31">
        <v>-64183.35</v>
      </c>
    </row>
    <row r="7909" spans="31:33">
      <c r="AE7909">
        <v>0</v>
      </c>
      <c r="AG7909">
        <v>0</v>
      </c>
    </row>
    <row r="7910" spans="31:33">
      <c r="AE7910">
        <v>0</v>
      </c>
      <c r="AG7910">
        <v>0</v>
      </c>
    </row>
    <row r="7911" spans="31:33">
      <c r="AE7911">
        <v>0</v>
      </c>
      <c r="AG7911">
        <v>0</v>
      </c>
    </row>
    <row r="7912" spans="31:33">
      <c r="AE7912">
        <v>0.14000000000000001</v>
      </c>
      <c r="AG7912">
        <v>0</v>
      </c>
    </row>
    <row r="7913" spans="31:33">
      <c r="AE7913">
        <v>0</v>
      </c>
      <c r="AG7913">
        <v>0</v>
      </c>
    </row>
    <row r="7914" spans="31:33">
      <c r="AE7914" s="31">
        <v>393027.37</v>
      </c>
      <c r="AG7914" s="31">
        <v>418052.67</v>
      </c>
    </row>
    <row r="7915" spans="31:33">
      <c r="AE7915">
        <v>0</v>
      </c>
      <c r="AG7915">
        <v>0</v>
      </c>
    </row>
    <row r="7916" spans="31:33">
      <c r="AE7916" s="31">
        <v>304818.24</v>
      </c>
      <c r="AG7916" s="31">
        <v>536091.27</v>
      </c>
    </row>
    <row r="7917" spans="31:33">
      <c r="AE7917">
        <v>0</v>
      </c>
      <c r="AG7917">
        <v>0</v>
      </c>
    </row>
    <row r="7918" spans="31:33">
      <c r="AE7918" s="31">
        <v>1932502.07</v>
      </c>
      <c r="AG7918" s="31">
        <v>1673005.72</v>
      </c>
    </row>
    <row r="7919" spans="31:33">
      <c r="AE7919">
        <v>0</v>
      </c>
      <c r="AG7919">
        <v>0</v>
      </c>
    </row>
    <row r="7920" spans="31:33">
      <c r="AE7920" s="31">
        <v>138167.15</v>
      </c>
      <c r="AG7920" s="31">
        <v>47356.98</v>
      </c>
    </row>
    <row r="7921" spans="31:33">
      <c r="AE7921">
        <v>0</v>
      </c>
      <c r="AG7921">
        <v>0</v>
      </c>
    </row>
    <row r="7922" spans="31:33">
      <c r="AE7922">
        <v>386.54</v>
      </c>
      <c r="AG7922">
        <v>0</v>
      </c>
    </row>
    <row r="7923" spans="31:33">
      <c r="AE7923">
        <v>0</v>
      </c>
      <c r="AG7923">
        <v>0</v>
      </c>
    </row>
    <row r="7924" spans="31:33">
      <c r="AE7924" s="31">
        <v>91317.53</v>
      </c>
      <c r="AG7924" s="31">
        <v>103880.33</v>
      </c>
    </row>
    <row r="7925" spans="31:33">
      <c r="AE7925">
        <v>0</v>
      </c>
      <c r="AG7925">
        <v>0</v>
      </c>
    </row>
    <row r="7926" spans="31:33">
      <c r="AE7926" s="31">
        <v>202085.12</v>
      </c>
      <c r="AG7926" s="31">
        <v>246247.44</v>
      </c>
    </row>
    <row r="7927" spans="31:33">
      <c r="AE7927">
        <v>0</v>
      </c>
      <c r="AG7927">
        <v>0</v>
      </c>
    </row>
    <row r="7928" spans="31:33">
      <c r="AE7928" s="31">
        <v>1099304.47</v>
      </c>
      <c r="AG7928" s="31">
        <v>1307932.7</v>
      </c>
    </row>
    <row r="7929" spans="31:33">
      <c r="AE7929">
        <v>0</v>
      </c>
      <c r="AG7929">
        <v>0</v>
      </c>
    </row>
    <row r="7930" spans="31:33">
      <c r="AE7930" s="31">
        <v>2903.04</v>
      </c>
      <c r="AG7930" s="31">
        <v>2222.29</v>
      </c>
    </row>
    <row r="7931" spans="31:33">
      <c r="AE7931">
        <v>0</v>
      </c>
      <c r="AG7931">
        <v>0</v>
      </c>
    </row>
    <row r="7932" spans="31:33">
      <c r="AE7932" s="31">
        <v>1118389.29</v>
      </c>
      <c r="AG7932" s="31">
        <v>331244.15000000002</v>
      </c>
    </row>
    <row r="7933" spans="31:33">
      <c r="AE7933">
        <v>0</v>
      </c>
      <c r="AG7933">
        <v>0</v>
      </c>
    </row>
    <row r="7934" spans="31:33">
      <c r="AE7934" s="31">
        <v>-6050.11</v>
      </c>
      <c r="AG7934" s="31">
        <v>-14161.44</v>
      </c>
    </row>
    <row r="7935" spans="31:33">
      <c r="AE7935">
        <v>0</v>
      </c>
      <c r="AG7935">
        <v>0</v>
      </c>
    </row>
    <row r="7936" spans="31:33">
      <c r="AE7936" s="31">
        <v>-3965.42</v>
      </c>
      <c r="AG7936" s="31">
        <v>-13992.32</v>
      </c>
    </row>
    <row r="7937" spans="31:33">
      <c r="AE7937">
        <v>0</v>
      </c>
      <c r="AG7937">
        <v>0</v>
      </c>
    </row>
    <row r="7938" spans="31:33">
      <c r="AE7938" s="31">
        <v>-35812.980000000003</v>
      </c>
      <c r="AG7938" s="31">
        <v>14135.86</v>
      </c>
    </row>
    <row r="7939" spans="31:33">
      <c r="AE7939">
        <v>0</v>
      </c>
      <c r="AG7939">
        <v>0</v>
      </c>
    </row>
    <row r="7940" spans="31:33">
      <c r="AE7940">
        <v>0</v>
      </c>
      <c r="AG7940">
        <v>0</v>
      </c>
    </row>
    <row r="7941" spans="31:33">
      <c r="AE7941" s="31">
        <v>295809.18</v>
      </c>
      <c r="AG7941" s="31">
        <v>532776.79</v>
      </c>
    </row>
    <row r="7942" spans="31:33">
      <c r="AE7942">
        <v>0</v>
      </c>
      <c r="AG7942">
        <v>0</v>
      </c>
    </row>
    <row r="7943" spans="31:33">
      <c r="AE7943">
        <v>0</v>
      </c>
      <c r="AG7943">
        <v>0</v>
      </c>
    </row>
    <row r="7944" spans="31:33">
      <c r="AE7944">
        <v>0</v>
      </c>
      <c r="AG7944">
        <v>58.61</v>
      </c>
    </row>
    <row r="7945" spans="31:33">
      <c r="AE7945">
        <v>0</v>
      </c>
      <c r="AG7945">
        <v>0</v>
      </c>
    </row>
    <row r="7946" spans="31:33">
      <c r="AE7946">
        <v>0</v>
      </c>
      <c r="AG7946">
        <v>0</v>
      </c>
    </row>
    <row r="7947" spans="31:33">
      <c r="AE7947">
        <v>0</v>
      </c>
      <c r="AG7947">
        <v>0</v>
      </c>
    </row>
    <row r="7948" spans="31:33">
      <c r="AE7948">
        <v>0</v>
      </c>
      <c r="AG7948">
        <v>0</v>
      </c>
    </row>
    <row r="7949" spans="31:33">
      <c r="AE7949">
        <v>0</v>
      </c>
      <c r="AG7949">
        <v>0</v>
      </c>
    </row>
    <row r="7950" spans="31:33">
      <c r="AE7950">
        <v>0</v>
      </c>
      <c r="AG7950">
        <v>21.1</v>
      </c>
    </row>
    <row r="7951" spans="31:33">
      <c r="AE7951">
        <v>0</v>
      </c>
      <c r="AG7951">
        <v>0</v>
      </c>
    </row>
    <row r="7952" spans="31:33">
      <c r="AE7952">
        <v>0</v>
      </c>
      <c r="AG7952">
        <v>0</v>
      </c>
    </row>
    <row r="7953" spans="31:33">
      <c r="AE7953">
        <v>0</v>
      </c>
      <c r="AG7953">
        <v>0</v>
      </c>
    </row>
    <row r="7954" spans="31:33">
      <c r="AE7954">
        <v>0</v>
      </c>
      <c r="AG7954">
        <v>0</v>
      </c>
    </row>
    <row r="7955" spans="31:33">
      <c r="AE7955">
        <v>0</v>
      </c>
      <c r="AG7955">
        <v>0</v>
      </c>
    </row>
    <row r="7956" spans="31:33">
      <c r="AE7956">
        <v>0</v>
      </c>
      <c r="AG7956">
        <v>0</v>
      </c>
    </row>
    <row r="7957" spans="31:33">
      <c r="AE7957">
        <v>0</v>
      </c>
      <c r="AG7957">
        <v>0</v>
      </c>
    </row>
    <row r="7958" spans="31:33">
      <c r="AE7958">
        <v>0</v>
      </c>
      <c r="AG7958">
        <v>401.78</v>
      </c>
    </row>
    <row r="7959" spans="31:33">
      <c r="AE7959">
        <v>0</v>
      </c>
      <c r="AG7959">
        <v>0</v>
      </c>
    </row>
    <row r="7960" spans="31:33">
      <c r="AE7960">
        <v>0</v>
      </c>
      <c r="AG7960">
        <v>0</v>
      </c>
    </row>
    <row r="7961" spans="31:33">
      <c r="AE7961">
        <v>0</v>
      </c>
      <c r="AG7961">
        <v>0</v>
      </c>
    </row>
    <row r="7962" spans="31:33">
      <c r="AE7962">
        <v>0</v>
      </c>
      <c r="AG7962">
        <v>0</v>
      </c>
    </row>
    <row r="7963" spans="31:33">
      <c r="AE7963" s="31">
        <v>-13290.05</v>
      </c>
      <c r="AG7963">
        <v>11.64</v>
      </c>
    </row>
    <row r="7964" spans="31:33">
      <c r="AE7964">
        <v>0</v>
      </c>
      <c r="AG7964">
        <v>0</v>
      </c>
    </row>
    <row r="7965" spans="31:33">
      <c r="AE7965">
        <v>0</v>
      </c>
      <c r="AG7965">
        <v>0</v>
      </c>
    </row>
    <row r="7966" spans="31:33">
      <c r="AE7966">
        <v>0</v>
      </c>
      <c r="AG7966">
        <v>0</v>
      </c>
    </row>
    <row r="7967" spans="31:33">
      <c r="AE7967">
        <v>709.63</v>
      </c>
      <c r="AG7967">
        <v>0</v>
      </c>
    </row>
    <row r="7968" spans="31:33">
      <c r="AE7968">
        <v>0</v>
      </c>
      <c r="AG7968">
        <v>0</v>
      </c>
    </row>
    <row r="7969" spans="31:33">
      <c r="AE7969">
        <v>0</v>
      </c>
      <c r="AG7969">
        <v>0</v>
      </c>
    </row>
    <row r="7970" spans="31:33">
      <c r="AE7970">
        <v>0</v>
      </c>
      <c r="AG7970">
        <v>0</v>
      </c>
    </row>
    <row r="7971" spans="31:33">
      <c r="AE7971">
        <v>0</v>
      </c>
      <c r="AG7971">
        <v>0</v>
      </c>
    </row>
    <row r="7972" spans="31:33">
      <c r="AE7972">
        <v>0</v>
      </c>
      <c r="AG7972">
        <v>0</v>
      </c>
    </row>
    <row r="7973" spans="31:33">
      <c r="AE7973" s="31">
        <v>2592.25</v>
      </c>
      <c r="AG7973">
        <v>0</v>
      </c>
    </row>
    <row r="7974" spans="31:33">
      <c r="AE7974">
        <v>0</v>
      </c>
      <c r="AG7974">
        <v>0</v>
      </c>
    </row>
    <row r="7975" spans="31:33">
      <c r="AE7975">
        <v>0</v>
      </c>
      <c r="AG7975">
        <v>0</v>
      </c>
    </row>
    <row r="7976" spans="31:33">
      <c r="AE7976">
        <v>0</v>
      </c>
      <c r="AG7976">
        <v>0</v>
      </c>
    </row>
    <row r="7977" spans="31:33">
      <c r="AE7977">
        <v>0</v>
      </c>
      <c r="AG7977">
        <v>0</v>
      </c>
    </row>
    <row r="7978" spans="31:33">
      <c r="AE7978">
        <v>0</v>
      </c>
      <c r="AG7978">
        <v>0</v>
      </c>
    </row>
    <row r="7979" spans="31:33">
      <c r="AE7979">
        <v>0</v>
      </c>
      <c r="AG7979">
        <v>0</v>
      </c>
    </row>
    <row r="7980" spans="31:33">
      <c r="AE7980">
        <v>0</v>
      </c>
      <c r="AG7980">
        <v>0</v>
      </c>
    </row>
    <row r="7981" spans="31:33">
      <c r="AE7981">
        <v>0</v>
      </c>
      <c r="AG7981">
        <v>0</v>
      </c>
    </row>
    <row r="7982" spans="31:33">
      <c r="AE7982">
        <v>0</v>
      </c>
      <c r="AG7982">
        <v>0</v>
      </c>
    </row>
    <row r="7983" spans="31:33">
      <c r="AE7983" s="31">
        <v>23927.68</v>
      </c>
      <c r="AG7983" s="31">
        <v>101765.07</v>
      </c>
    </row>
    <row r="7984" spans="31:33">
      <c r="AE7984">
        <v>0</v>
      </c>
      <c r="AG7984">
        <v>0</v>
      </c>
    </row>
    <row r="7985" spans="31:33">
      <c r="AE7985">
        <v>0</v>
      </c>
      <c r="AG7985">
        <v>0</v>
      </c>
    </row>
    <row r="7986" spans="31:33">
      <c r="AE7986">
        <v>0</v>
      </c>
      <c r="AG7986">
        <v>0</v>
      </c>
    </row>
    <row r="7987" spans="31:33">
      <c r="AE7987" s="31">
        <v>492653.81</v>
      </c>
      <c r="AG7987" s="31">
        <v>539004.43000000005</v>
      </c>
    </row>
    <row r="7988" spans="31:33">
      <c r="AE7988">
        <v>0</v>
      </c>
      <c r="AG7988">
        <v>0</v>
      </c>
    </row>
    <row r="7989" spans="31:33">
      <c r="AE7989" s="31">
        <v>62014.97</v>
      </c>
      <c r="AG7989" s="31">
        <v>133527.31</v>
      </c>
    </row>
    <row r="7990" spans="31:33">
      <c r="AE7990">
        <v>0</v>
      </c>
      <c r="AG7990">
        <v>0</v>
      </c>
    </row>
    <row r="7991" spans="31:33">
      <c r="AE7991" s="31">
        <v>107805.39</v>
      </c>
      <c r="AG7991" s="31">
        <v>124062.26</v>
      </c>
    </row>
    <row r="7992" spans="31:33">
      <c r="AE7992">
        <v>0</v>
      </c>
      <c r="AG7992">
        <v>0</v>
      </c>
    </row>
    <row r="7993" spans="31:33">
      <c r="AE7993" s="31">
        <v>3226.98</v>
      </c>
      <c r="AG7993" s="31">
        <v>1890.54</v>
      </c>
    </row>
    <row r="7994" spans="31:33">
      <c r="AE7994">
        <v>0</v>
      </c>
      <c r="AG7994">
        <v>0</v>
      </c>
    </row>
    <row r="7995" spans="31:33">
      <c r="AE7995" s="31">
        <v>387505.32</v>
      </c>
      <c r="AG7995" s="31">
        <v>285408.32</v>
      </c>
    </row>
    <row r="7996" spans="31:33">
      <c r="AE7996">
        <v>0</v>
      </c>
      <c r="AG7996">
        <v>0</v>
      </c>
    </row>
    <row r="7997" spans="31:33">
      <c r="AE7997" s="31">
        <v>651439.51</v>
      </c>
      <c r="AG7997" s="31">
        <v>940783.9</v>
      </c>
    </row>
    <row r="7998" spans="31:33">
      <c r="AE7998">
        <v>0</v>
      </c>
      <c r="AG7998">
        <v>0</v>
      </c>
    </row>
    <row r="7999" spans="31:33">
      <c r="AE7999">
        <v>0</v>
      </c>
      <c r="AG7999">
        <v>0</v>
      </c>
    </row>
    <row r="8000" spans="31:33">
      <c r="AE8000">
        <v>0</v>
      </c>
      <c r="AG8000">
        <v>0</v>
      </c>
    </row>
    <row r="8001" spans="31:33">
      <c r="AE8001">
        <v>0</v>
      </c>
      <c r="AG8001">
        <v>0</v>
      </c>
    </row>
    <row r="8002" spans="31:33">
      <c r="AE8002">
        <v>0</v>
      </c>
      <c r="AG8002">
        <v>0</v>
      </c>
    </row>
    <row r="8003" spans="31:33">
      <c r="AE8003">
        <v>0</v>
      </c>
      <c r="AG8003">
        <v>0</v>
      </c>
    </row>
    <row r="8004" spans="31:33">
      <c r="AE8004">
        <v>0</v>
      </c>
      <c r="AG8004">
        <v>0</v>
      </c>
    </row>
    <row r="8005" spans="31:33">
      <c r="AE8005">
        <v>0</v>
      </c>
      <c r="AG8005">
        <v>0</v>
      </c>
    </row>
    <row r="8006" spans="31:33">
      <c r="AE8006">
        <v>0</v>
      </c>
      <c r="AG8006">
        <v>0</v>
      </c>
    </row>
    <row r="8007" spans="31:33">
      <c r="AE8007">
        <v>0</v>
      </c>
      <c r="AG8007">
        <v>0</v>
      </c>
    </row>
    <row r="8008" spans="31:33">
      <c r="AE8008">
        <v>0</v>
      </c>
      <c r="AG8008">
        <v>0</v>
      </c>
    </row>
    <row r="8009" spans="31:33">
      <c r="AE8009">
        <v>0</v>
      </c>
      <c r="AG8009">
        <v>0</v>
      </c>
    </row>
    <row r="8010" spans="31:33">
      <c r="AE8010">
        <v>0</v>
      </c>
      <c r="AG8010">
        <v>0</v>
      </c>
    </row>
    <row r="8011" spans="31:33">
      <c r="AE8011">
        <v>0</v>
      </c>
      <c r="AG8011">
        <v>0</v>
      </c>
    </row>
    <row r="8012" spans="31:33">
      <c r="AE8012">
        <v>0</v>
      </c>
      <c r="AG8012">
        <v>0</v>
      </c>
    </row>
    <row r="8013" spans="31:33">
      <c r="AE8013">
        <v>0</v>
      </c>
      <c r="AG8013">
        <v>0</v>
      </c>
    </row>
    <row r="8014" spans="31:33">
      <c r="AE8014">
        <v>0</v>
      </c>
      <c r="AG8014">
        <v>0</v>
      </c>
    </row>
    <row r="8015" spans="31:33">
      <c r="AE8015">
        <v>0</v>
      </c>
      <c r="AG8015">
        <v>0</v>
      </c>
    </row>
    <row r="8016" spans="31:33">
      <c r="AE8016">
        <v>0</v>
      </c>
      <c r="AG8016">
        <v>0</v>
      </c>
    </row>
    <row r="8017" spans="31:33">
      <c r="AE8017">
        <v>0</v>
      </c>
      <c r="AG8017">
        <v>0</v>
      </c>
    </row>
    <row r="8018" spans="31:33">
      <c r="AE8018">
        <v>0</v>
      </c>
      <c r="AG8018">
        <v>0</v>
      </c>
    </row>
    <row r="8019" spans="31:33">
      <c r="AE8019">
        <v>0</v>
      </c>
      <c r="AG8019">
        <v>0</v>
      </c>
    </row>
    <row r="8020" spans="31:33">
      <c r="AE8020">
        <v>0</v>
      </c>
      <c r="AG8020">
        <v>0</v>
      </c>
    </row>
    <row r="8021" spans="31:33">
      <c r="AE8021">
        <v>0</v>
      </c>
      <c r="AG8021">
        <v>0</v>
      </c>
    </row>
    <row r="8022" spans="31:33">
      <c r="AE8022">
        <v>0</v>
      </c>
      <c r="AG8022">
        <v>0</v>
      </c>
    </row>
    <row r="8023" spans="31:33">
      <c r="AE8023">
        <v>0</v>
      </c>
      <c r="AG8023">
        <v>0</v>
      </c>
    </row>
    <row r="8024" spans="31:33">
      <c r="AE8024">
        <v>0</v>
      </c>
      <c r="AG8024">
        <v>0</v>
      </c>
    </row>
    <row r="8025" spans="31:33">
      <c r="AE8025">
        <v>0</v>
      </c>
      <c r="AG8025">
        <v>0</v>
      </c>
    </row>
    <row r="8026" spans="31:33">
      <c r="AE8026">
        <v>0</v>
      </c>
      <c r="AG8026">
        <v>0</v>
      </c>
    </row>
    <row r="8027" spans="31:33">
      <c r="AE8027">
        <v>0</v>
      </c>
      <c r="AG8027">
        <v>0</v>
      </c>
    </row>
    <row r="8028" spans="31:33">
      <c r="AE8028">
        <v>0</v>
      </c>
      <c r="AG8028">
        <v>0</v>
      </c>
    </row>
    <row r="8029" spans="31:33">
      <c r="AE8029">
        <v>0</v>
      </c>
      <c r="AG8029">
        <v>0</v>
      </c>
    </row>
    <row r="8030" spans="31:33">
      <c r="AE8030">
        <v>0</v>
      </c>
      <c r="AG8030">
        <v>0</v>
      </c>
    </row>
    <row r="8031" spans="31:33">
      <c r="AE8031">
        <v>0</v>
      </c>
      <c r="AG8031">
        <v>0</v>
      </c>
    </row>
    <row r="8032" spans="31:33">
      <c r="AE8032">
        <v>0</v>
      </c>
      <c r="AG8032">
        <v>0</v>
      </c>
    </row>
    <row r="8033" spans="31:33">
      <c r="AE8033">
        <v>0</v>
      </c>
      <c r="AG8033">
        <v>0</v>
      </c>
    </row>
    <row r="8034" spans="31:33">
      <c r="AE8034">
        <v>0</v>
      </c>
      <c r="AG8034">
        <v>0</v>
      </c>
    </row>
    <row r="8035" spans="31:33">
      <c r="AE8035">
        <v>0</v>
      </c>
      <c r="AG8035">
        <v>0</v>
      </c>
    </row>
    <row r="8036" spans="31:33">
      <c r="AE8036">
        <v>0</v>
      </c>
      <c r="AG8036">
        <v>0</v>
      </c>
    </row>
    <row r="8037" spans="31:33">
      <c r="AE8037">
        <v>0</v>
      </c>
      <c r="AG8037">
        <v>0</v>
      </c>
    </row>
    <row r="8038" spans="31:33">
      <c r="AE8038">
        <v>0</v>
      </c>
      <c r="AG8038">
        <v>0</v>
      </c>
    </row>
    <row r="8039" spans="31:33">
      <c r="AE8039">
        <v>0</v>
      </c>
      <c r="AG8039">
        <v>0</v>
      </c>
    </row>
    <row r="8040" spans="31:33">
      <c r="AE8040">
        <v>0</v>
      </c>
      <c r="AG8040">
        <v>0</v>
      </c>
    </row>
    <row r="8041" spans="31:33">
      <c r="AE8041">
        <v>0</v>
      </c>
      <c r="AG8041">
        <v>0</v>
      </c>
    </row>
    <row r="8042" spans="31:33">
      <c r="AE8042">
        <v>0</v>
      </c>
      <c r="AG8042">
        <v>0</v>
      </c>
    </row>
    <row r="8043" spans="31:33">
      <c r="AE8043">
        <v>0</v>
      </c>
      <c r="AG8043">
        <v>0</v>
      </c>
    </row>
    <row r="8044" spans="31:33">
      <c r="AE8044">
        <v>0</v>
      </c>
      <c r="AG8044">
        <v>0</v>
      </c>
    </row>
    <row r="8045" spans="31:33">
      <c r="AE8045" s="31">
        <v>703361.3</v>
      </c>
      <c r="AG8045" s="31">
        <v>721588.09</v>
      </c>
    </row>
    <row r="8046" spans="31:33">
      <c r="AE8046">
        <v>0</v>
      </c>
      <c r="AG8046">
        <v>0</v>
      </c>
    </row>
    <row r="8047" spans="31:33">
      <c r="AE8047">
        <v>0</v>
      </c>
      <c r="AG8047">
        <v>0</v>
      </c>
    </row>
    <row r="8048" spans="31:33">
      <c r="AE8048">
        <v>0</v>
      </c>
      <c r="AG8048">
        <v>0</v>
      </c>
    </row>
    <row r="8049" spans="31:33">
      <c r="AE8049" s="31">
        <v>1034.8599999999999</v>
      </c>
      <c r="AG8049" s="31">
        <v>2541.29</v>
      </c>
    </row>
    <row r="8050" spans="31:33">
      <c r="AE8050">
        <v>0</v>
      </c>
      <c r="AG8050">
        <v>0</v>
      </c>
    </row>
    <row r="8051" spans="31:33">
      <c r="AE8051">
        <v>0</v>
      </c>
      <c r="AG8051">
        <v>0</v>
      </c>
    </row>
    <row r="8052" spans="31:33">
      <c r="AE8052">
        <v>0</v>
      </c>
      <c r="AG8052">
        <v>0</v>
      </c>
    </row>
    <row r="8053" spans="31:33">
      <c r="AE8053">
        <v>0</v>
      </c>
      <c r="AG8053">
        <v>0</v>
      </c>
    </row>
    <row r="8054" spans="31:33">
      <c r="AE8054">
        <v>0</v>
      </c>
      <c r="AG8054">
        <v>0</v>
      </c>
    </row>
    <row r="8055" spans="31:33">
      <c r="AE8055">
        <v>0</v>
      </c>
      <c r="AG8055">
        <v>0</v>
      </c>
    </row>
    <row r="8056" spans="31:33">
      <c r="AE8056">
        <v>0</v>
      </c>
      <c r="AG8056">
        <v>0</v>
      </c>
    </row>
    <row r="8057" spans="31:33">
      <c r="AE8057">
        <v>0</v>
      </c>
      <c r="AG8057">
        <v>0</v>
      </c>
    </row>
    <row r="8058" spans="31:33">
      <c r="AE8058">
        <v>0</v>
      </c>
      <c r="AG8058">
        <v>0</v>
      </c>
    </row>
    <row r="8059" spans="31:33">
      <c r="AE8059">
        <v>0</v>
      </c>
      <c r="AG8059">
        <v>0</v>
      </c>
    </row>
    <row r="8060" spans="31:33">
      <c r="AE8060">
        <v>0</v>
      </c>
      <c r="AG8060">
        <v>0</v>
      </c>
    </row>
    <row r="8061" spans="31:33">
      <c r="AE8061">
        <v>0</v>
      </c>
      <c r="AG8061">
        <v>0</v>
      </c>
    </row>
    <row r="8062" spans="31:33">
      <c r="AE8062">
        <v>0</v>
      </c>
      <c r="AG8062">
        <v>0</v>
      </c>
    </row>
    <row r="8063" spans="31:33">
      <c r="AE8063">
        <v>0</v>
      </c>
      <c r="AG8063">
        <v>0</v>
      </c>
    </row>
    <row r="8064" spans="31:33">
      <c r="AE8064">
        <v>0</v>
      </c>
      <c r="AG8064">
        <v>0</v>
      </c>
    </row>
    <row r="8065" spans="31:33">
      <c r="AE8065">
        <v>0</v>
      </c>
      <c r="AG8065">
        <v>0</v>
      </c>
    </row>
    <row r="8066" spans="31:33">
      <c r="AE8066">
        <v>0</v>
      </c>
      <c r="AG8066">
        <v>0</v>
      </c>
    </row>
    <row r="8067" spans="31:33">
      <c r="AE8067">
        <v>0</v>
      </c>
      <c r="AG8067">
        <v>0</v>
      </c>
    </row>
    <row r="8068" spans="31:33">
      <c r="AE8068">
        <v>0</v>
      </c>
      <c r="AG8068">
        <v>0</v>
      </c>
    </row>
    <row r="8069" spans="31:33">
      <c r="AE8069">
        <v>0</v>
      </c>
      <c r="AG8069">
        <v>0</v>
      </c>
    </row>
    <row r="8070" spans="31:33">
      <c r="AE8070">
        <v>0</v>
      </c>
      <c r="AG8070">
        <v>0</v>
      </c>
    </row>
    <row r="8071" spans="31:33">
      <c r="AE8071">
        <v>0</v>
      </c>
      <c r="AG8071">
        <v>0</v>
      </c>
    </row>
    <row r="8072" spans="31:33">
      <c r="AE8072">
        <v>0</v>
      </c>
      <c r="AG8072">
        <v>0</v>
      </c>
    </row>
    <row r="8073" spans="31:33">
      <c r="AE8073">
        <v>0</v>
      </c>
      <c r="AG8073">
        <v>0</v>
      </c>
    </row>
    <row r="8074" spans="31:33">
      <c r="AE8074">
        <v>0</v>
      </c>
      <c r="AG8074">
        <v>0</v>
      </c>
    </row>
    <row r="8075" spans="31:33">
      <c r="AE8075">
        <v>0</v>
      </c>
      <c r="AG8075">
        <v>0</v>
      </c>
    </row>
    <row r="8076" spans="31:33">
      <c r="AE8076">
        <v>0</v>
      </c>
      <c r="AG8076">
        <v>0</v>
      </c>
    </row>
    <row r="8077" spans="31:33">
      <c r="AE8077">
        <v>0</v>
      </c>
      <c r="AG8077">
        <v>0</v>
      </c>
    </row>
    <row r="8078" spans="31:33">
      <c r="AE8078">
        <v>0</v>
      </c>
      <c r="AG8078">
        <v>0</v>
      </c>
    </row>
    <row r="8079" spans="31:33">
      <c r="AE8079">
        <v>0</v>
      </c>
      <c r="AG8079">
        <v>0</v>
      </c>
    </row>
    <row r="8080" spans="31:33">
      <c r="AE8080">
        <v>0</v>
      </c>
      <c r="AG8080">
        <v>0</v>
      </c>
    </row>
    <row r="8081" spans="31:33">
      <c r="AE8081">
        <v>0</v>
      </c>
      <c r="AG8081">
        <v>0</v>
      </c>
    </row>
    <row r="8082" spans="31:33">
      <c r="AE8082">
        <v>0</v>
      </c>
      <c r="AG8082">
        <v>0</v>
      </c>
    </row>
    <row r="8083" spans="31:33">
      <c r="AE8083">
        <v>0</v>
      </c>
      <c r="AG8083">
        <v>0</v>
      </c>
    </row>
    <row r="8084" spans="31:33">
      <c r="AE8084">
        <v>0</v>
      </c>
      <c r="AG8084">
        <v>0</v>
      </c>
    </row>
    <row r="8085" spans="31:33">
      <c r="AE8085">
        <v>0</v>
      </c>
      <c r="AG8085">
        <v>0</v>
      </c>
    </row>
    <row r="8086" spans="31:33">
      <c r="AE8086">
        <v>0</v>
      </c>
      <c r="AG8086">
        <v>0</v>
      </c>
    </row>
    <row r="8087" spans="31:33">
      <c r="AE8087">
        <v>0</v>
      </c>
      <c r="AG8087">
        <v>0</v>
      </c>
    </row>
    <row r="8088" spans="31:33">
      <c r="AE8088">
        <v>0</v>
      </c>
      <c r="AG8088">
        <v>0</v>
      </c>
    </row>
    <row r="8089" spans="31:33">
      <c r="AE8089">
        <v>0</v>
      </c>
      <c r="AG8089">
        <v>0</v>
      </c>
    </row>
    <row r="8090" spans="31:33">
      <c r="AE8090">
        <v>0</v>
      </c>
      <c r="AG8090">
        <v>0</v>
      </c>
    </row>
    <row r="8091" spans="31:33">
      <c r="AE8091">
        <v>0</v>
      </c>
      <c r="AG8091">
        <v>0</v>
      </c>
    </row>
    <row r="8092" spans="31:33">
      <c r="AE8092">
        <v>0</v>
      </c>
      <c r="AG8092">
        <v>0</v>
      </c>
    </row>
    <row r="8093" spans="31:33">
      <c r="AE8093">
        <v>0</v>
      </c>
      <c r="AG8093">
        <v>0</v>
      </c>
    </row>
    <row r="8094" spans="31:33">
      <c r="AE8094">
        <v>0</v>
      </c>
      <c r="AG8094">
        <v>0</v>
      </c>
    </row>
    <row r="8095" spans="31:33">
      <c r="AE8095" s="31">
        <v>-1057.29</v>
      </c>
      <c r="AG8095">
        <v>-980.78</v>
      </c>
    </row>
    <row r="8096" spans="31:33">
      <c r="AE8096" s="31">
        <v>-85687.79</v>
      </c>
      <c r="AG8096" s="31">
        <v>-141177.48000000001</v>
      </c>
    </row>
    <row r="8097" spans="31:33">
      <c r="AE8097" s="31">
        <v>435699.97</v>
      </c>
      <c r="AG8097" s="31">
        <v>400663.17</v>
      </c>
    </row>
    <row r="8098" spans="31:33">
      <c r="AE8098" s="31">
        <v>20273.41</v>
      </c>
      <c r="AG8098" s="31">
        <v>232425.18</v>
      </c>
    </row>
    <row r="8099" spans="31:33">
      <c r="AE8099">
        <v>0</v>
      </c>
      <c r="AG8099">
        <v>0</v>
      </c>
    </row>
    <row r="8100" spans="31:33">
      <c r="AE8100" s="31">
        <v>-37930.080000000002</v>
      </c>
      <c r="AG8100" s="31">
        <v>-36326.949999999997</v>
      </c>
    </row>
    <row r="8101" spans="31:33">
      <c r="AE8101">
        <v>0</v>
      </c>
      <c r="AG8101">
        <v>0</v>
      </c>
    </row>
    <row r="8102" spans="31:33">
      <c r="AE8102">
        <v>0</v>
      </c>
      <c r="AG8102">
        <v>0</v>
      </c>
    </row>
    <row r="8103" spans="31:33">
      <c r="AE8103">
        <v>0</v>
      </c>
      <c r="AG8103">
        <v>0</v>
      </c>
    </row>
    <row r="8104" spans="31:33">
      <c r="AE8104">
        <v>0</v>
      </c>
      <c r="AG8104">
        <v>0</v>
      </c>
    </row>
    <row r="8105" spans="31:33">
      <c r="AE8105">
        <v>0</v>
      </c>
      <c r="AG8105">
        <v>0</v>
      </c>
    </row>
    <row r="8106" spans="31:33">
      <c r="AE8106">
        <v>0</v>
      </c>
      <c r="AG8106">
        <v>0</v>
      </c>
    </row>
    <row r="8107" spans="31:33">
      <c r="AE8107" s="31">
        <v>132431.17000000001</v>
      </c>
      <c r="AG8107" s="31">
        <v>90215.38</v>
      </c>
    </row>
    <row r="8108" spans="31:33">
      <c r="AE8108" s="31">
        <v>29850722.879999999</v>
      </c>
      <c r="AG8108" s="31">
        <v>31995103.280000001</v>
      </c>
    </row>
    <row r="8109" spans="31:33">
      <c r="AE8109" s="31">
        <v>22414.49</v>
      </c>
      <c r="AG8109" s="31">
        <v>19142.189999999999</v>
      </c>
    </row>
    <row r="8110" spans="31:33">
      <c r="AE8110" s="31">
        <v>105637.82</v>
      </c>
      <c r="AG8110" s="31">
        <v>105637.82</v>
      </c>
    </row>
    <row r="8111" spans="31:33">
      <c r="AE8111" s="31">
        <v>1413774.47</v>
      </c>
      <c r="AG8111" s="31">
        <v>1151425.83</v>
      </c>
    </row>
    <row r="8112" spans="31:33">
      <c r="AE8112" s="31">
        <v>249537.64</v>
      </c>
      <c r="AG8112" s="31">
        <v>519466.34</v>
      </c>
    </row>
    <row r="8113" spans="31:33">
      <c r="AE8113" s="31">
        <v>22602.41</v>
      </c>
      <c r="AG8113" s="31">
        <v>28146.720000000001</v>
      </c>
    </row>
    <row r="8114" spans="31:33">
      <c r="AE8114" s="31">
        <v>24343.93</v>
      </c>
      <c r="AG8114" s="31">
        <v>2056.79</v>
      </c>
    </row>
    <row r="8115" spans="31:33">
      <c r="AE8115">
        <v>0</v>
      </c>
      <c r="AG8115">
        <v>0</v>
      </c>
    </row>
    <row r="8116" spans="31:33">
      <c r="AE8116">
        <v>0</v>
      </c>
      <c r="AG8116">
        <v>0</v>
      </c>
    </row>
    <row r="8117" spans="31:33">
      <c r="AE8117">
        <v>0</v>
      </c>
      <c r="AG8117">
        <v>0</v>
      </c>
    </row>
    <row r="8118" spans="31:33">
      <c r="AE8118">
        <v>0</v>
      </c>
      <c r="AG8118">
        <v>0</v>
      </c>
    </row>
    <row r="8119" spans="31:33">
      <c r="AE8119">
        <v>0</v>
      </c>
      <c r="AG8119">
        <v>0</v>
      </c>
    </row>
    <row r="8120" spans="31:33">
      <c r="AE8120">
        <v>0</v>
      </c>
      <c r="AG8120">
        <v>0</v>
      </c>
    </row>
    <row r="8121" spans="31:33">
      <c r="AE8121">
        <v>0</v>
      </c>
      <c r="AG8121">
        <v>0</v>
      </c>
    </row>
    <row r="8122" spans="31:33">
      <c r="AE8122" s="31">
        <v>280434.84999999998</v>
      </c>
      <c r="AG8122" s="31">
        <v>214232.98</v>
      </c>
    </row>
    <row r="8123" spans="31:33">
      <c r="AE8123" s="31">
        <v>704168.69</v>
      </c>
      <c r="AG8123" s="31">
        <v>241107.26</v>
      </c>
    </row>
    <row r="8124" spans="31:33">
      <c r="AE8124">
        <v>0</v>
      </c>
      <c r="AG8124">
        <v>0</v>
      </c>
    </row>
    <row r="8125" spans="31:33">
      <c r="AE8125">
        <v>0</v>
      </c>
      <c r="AG8125">
        <v>0</v>
      </c>
    </row>
    <row r="8126" spans="31:33">
      <c r="AE8126">
        <v>0</v>
      </c>
      <c r="AG8126">
        <v>0</v>
      </c>
    </row>
    <row r="8127" spans="31:33">
      <c r="AE8127">
        <v>0</v>
      </c>
      <c r="AG8127">
        <v>0</v>
      </c>
    </row>
    <row r="8128" spans="31:33">
      <c r="AE8128">
        <v>0</v>
      </c>
      <c r="AG8128">
        <v>0</v>
      </c>
    </row>
    <row r="8129" spans="31:33">
      <c r="AE8129">
        <v>0</v>
      </c>
      <c r="AG8129">
        <v>0</v>
      </c>
    </row>
    <row r="8130" spans="31:33">
      <c r="AE8130">
        <v>0</v>
      </c>
      <c r="AG8130">
        <v>0</v>
      </c>
    </row>
    <row r="8131" spans="31:33">
      <c r="AE8131">
        <v>0</v>
      </c>
      <c r="AG8131">
        <v>0</v>
      </c>
    </row>
    <row r="8132" spans="31:33">
      <c r="AE8132">
        <v>0</v>
      </c>
      <c r="AG8132">
        <v>0</v>
      </c>
    </row>
    <row r="8133" spans="31:33">
      <c r="AE8133">
        <v>0</v>
      </c>
      <c r="AG8133">
        <v>0</v>
      </c>
    </row>
    <row r="8134" spans="31:33">
      <c r="AE8134">
        <v>0</v>
      </c>
      <c r="AG8134">
        <v>0</v>
      </c>
    </row>
    <row r="8135" spans="31:33">
      <c r="AE8135">
        <v>0</v>
      </c>
      <c r="AG8135">
        <v>0</v>
      </c>
    </row>
    <row r="8136" spans="31:33">
      <c r="AE8136">
        <v>0</v>
      </c>
      <c r="AG8136">
        <v>0</v>
      </c>
    </row>
    <row r="8137" spans="31:33">
      <c r="AE8137">
        <v>0</v>
      </c>
      <c r="AG8137">
        <v>0</v>
      </c>
    </row>
    <row r="8138" spans="31:33">
      <c r="AE8138">
        <v>0</v>
      </c>
      <c r="AG8138">
        <v>0</v>
      </c>
    </row>
    <row r="8139" spans="31:33">
      <c r="AE8139">
        <v>0</v>
      </c>
      <c r="AG8139">
        <v>0</v>
      </c>
    </row>
    <row r="8140" spans="31:33">
      <c r="AE8140">
        <v>0</v>
      </c>
      <c r="AG8140">
        <v>0</v>
      </c>
    </row>
    <row r="8141" spans="31:33">
      <c r="AE8141">
        <v>0</v>
      </c>
      <c r="AG8141">
        <v>0</v>
      </c>
    </row>
    <row r="8142" spans="31:33">
      <c r="AE8142">
        <v>0</v>
      </c>
      <c r="AG8142">
        <v>0</v>
      </c>
    </row>
    <row r="8143" spans="31:33">
      <c r="AE8143">
        <v>0</v>
      </c>
      <c r="AG8143">
        <v>0</v>
      </c>
    </row>
    <row r="8144" spans="31:33">
      <c r="AE8144">
        <v>0</v>
      </c>
      <c r="AG8144">
        <v>0</v>
      </c>
    </row>
    <row r="8145" spans="31:33">
      <c r="AE8145">
        <v>0</v>
      </c>
      <c r="AG8145">
        <v>0</v>
      </c>
    </row>
    <row r="8146" spans="31:33">
      <c r="AE8146">
        <v>0</v>
      </c>
      <c r="AG8146">
        <v>0</v>
      </c>
    </row>
    <row r="8147" spans="31:33">
      <c r="AE8147">
        <v>0</v>
      </c>
      <c r="AG8147">
        <v>0</v>
      </c>
    </row>
    <row r="8148" spans="31:33">
      <c r="AE8148">
        <v>0</v>
      </c>
      <c r="AG8148">
        <v>0</v>
      </c>
    </row>
    <row r="8149" spans="31:33">
      <c r="AE8149">
        <v>0</v>
      </c>
      <c r="AG8149">
        <v>0</v>
      </c>
    </row>
    <row r="8150" spans="31:33">
      <c r="AE8150">
        <v>0</v>
      </c>
      <c r="AG8150">
        <v>0</v>
      </c>
    </row>
    <row r="8151" spans="31:33">
      <c r="AE8151">
        <v>0</v>
      </c>
      <c r="AG8151">
        <v>0</v>
      </c>
    </row>
    <row r="8152" spans="31:33">
      <c r="AE8152">
        <v>0</v>
      </c>
      <c r="AG8152">
        <v>0</v>
      </c>
    </row>
    <row r="8153" spans="31:33">
      <c r="AE8153">
        <v>0</v>
      </c>
      <c r="AG8153">
        <v>0</v>
      </c>
    </row>
    <row r="8154" spans="31:33">
      <c r="AE8154">
        <v>0</v>
      </c>
      <c r="AG8154">
        <v>0</v>
      </c>
    </row>
    <row r="8155" spans="31:33">
      <c r="AE8155">
        <v>0</v>
      </c>
      <c r="AG8155">
        <v>0</v>
      </c>
    </row>
    <row r="8156" spans="31:33">
      <c r="AE8156">
        <v>0</v>
      </c>
      <c r="AG8156">
        <v>0</v>
      </c>
    </row>
    <row r="8157" spans="31:33">
      <c r="AE8157">
        <v>0</v>
      </c>
      <c r="AG8157">
        <v>0</v>
      </c>
    </row>
    <row r="8158" spans="31:33">
      <c r="AE8158">
        <v>0</v>
      </c>
      <c r="AG8158">
        <v>0</v>
      </c>
    </row>
    <row r="8159" spans="31:33">
      <c r="AE8159">
        <v>0</v>
      </c>
      <c r="AG8159">
        <v>0</v>
      </c>
    </row>
    <row r="8160" spans="31:33">
      <c r="AE8160">
        <v>0</v>
      </c>
      <c r="AG8160">
        <v>0</v>
      </c>
    </row>
    <row r="8161" spans="31:33">
      <c r="AE8161">
        <v>0</v>
      </c>
      <c r="AG8161">
        <v>0</v>
      </c>
    </row>
    <row r="8162" spans="31:33">
      <c r="AE8162">
        <v>0</v>
      </c>
      <c r="AG8162">
        <v>0</v>
      </c>
    </row>
    <row r="8163" spans="31:33">
      <c r="AE8163">
        <v>0</v>
      </c>
      <c r="AG8163">
        <v>0</v>
      </c>
    </row>
    <row r="8164" spans="31:33">
      <c r="AE8164">
        <v>0</v>
      </c>
      <c r="AG8164">
        <v>0</v>
      </c>
    </row>
    <row r="8165" spans="31:33">
      <c r="AE8165">
        <v>0</v>
      </c>
      <c r="AG8165">
        <v>0</v>
      </c>
    </row>
    <row r="8166" spans="31:33">
      <c r="AE8166">
        <v>0</v>
      </c>
      <c r="AG8166">
        <v>0</v>
      </c>
    </row>
    <row r="8167" spans="31:33">
      <c r="AE8167">
        <v>0</v>
      </c>
      <c r="AG8167">
        <v>0</v>
      </c>
    </row>
    <row r="8168" spans="31:33">
      <c r="AE8168">
        <v>0</v>
      </c>
      <c r="AG8168">
        <v>0</v>
      </c>
    </row>
    <row r="8169" spans="31:33">
      <c r="AE8169">
        <v>0</v>
      </c>
      <c r="AG8169">
        <v>0</v>
      </c>
    </row>
    <row r="8170" spans="31:33">
      <c r="AE8170">
        <v>0</v>
      </c>
      <c r="AG8170">
        <v>0</v>
      </c>
    </row>
    <row r="8171" spans="31:33">
      <c r="AE8171">
        <v>0</v>
      </c>
      <c r="AG8171">
        <v>0</v>
      </c>
    </row>
    <row r="8172" spans="31:33">
      <c r="AE8172">
        <v>0</v>
      </c>
      <c r="AG8172">
        <v>0</v>
      </c>
    </row>
    <row r="8173" spans="31:33">
      <c r="AE8173">
        <v>0</v>
      </c>
      <c r="AG8173">
        <v>0</v>
      </c>
    </row>
    <row r="8174" spans="31:33">
      <c r="AE8174">
        <v>0</v>
      </c>
      <c r="AG8174">
        <v>0</v>
      </c>
    </row>
    <row r="8175" spans="31:33">
      <c r="AE8175">
        <v>0</v>
      </c>
      <c r="AG8175">
        <v>0</v>
      </c>
    </row>
    <row r="8176" spans="31:33">
      <c r="AE8176">
        <v>0</v>
      </c>
      <c r="AG8176">
        <v>0</v>
      </c>
    </row>
    <row r="8177" spans="31:33">
      <c r="AE8177">
        <v>0</v>
      </c>
      <c r="AG8177">
        <v>0</v>
      </c>
    </row>
    <row r="8178" spans="31:33">
      <c r="AE8178">
        <v>0</v>
      </c>
      <c r="AG8178">
        <v>0</v>
      </c>
    </row>
    <row r="8179" spans="31:33">
      <c r="AE8179">
        <v>0</v>
      </c>
      <c r="AG8179">
        <v>0</v>
      </c>
    </row>
    <row r="8180" spans="31:33">
      <c r="AE8180">
        <v>0</v>
      </c>
      <c r="AG8180">
        <v>0</v>
      </c>
    </row>
    <row r="8181" spans="31:33">
      <c r="AE8181">
        <v>0</v>
      </c>
      <c r="AG8181">
        <v>0</v>
      </c>
    </row>
    <row r="8182" spans="31:33">
      <c r="AE8182">
        <v>0</v>
      </c>
      <c r="AG8182">
        <v>0</v>
      </c>
    </row>
    <row r="8183" spans="31:33">
      <c r="AE8183">
        <v>0</v>
      </c>
      <c r="AG8183">
        <v>0</v>
      </c>
    </row>
    <row r="8184" spans="31:33">
      <c r="AE8184">
        <v>0</v>
      </c>
      <c r="AG8184">
        <v>0</v>
      </c>
    </row>
    <row r="8185" spans="31:33">
      <c r="AE8185">
        <v>0</v>
      </c>
      <c r="AG8185">
        <v>0</v>
      </c>
    </row>
    <row r="8186" spans="31:33">
      <c r="AE8186">
        <v>0</v>
      </c>
      <c r="AG8186">
        <v>0</v>
      </c>
    </row>
    <row r="8187" spans="31:33">
      <c r="AE8187">
        <v>0</v>
      </c>
      <c r="AG8187">
        <v>0</v>
      </c>
    </row>
    <row r="8188" spans="31:33">
      <c r="AE8188">
        <v>0</v>
      </c>
      <c r="AG8188">
        <v>0</v>
      </c>
    </row>
    <row r="8189" spans="31:33">
      <c r="AE8189">
        <v>0</v>
      </c>
      <c r="AG8189">
        <v>0</v>
      </c>
    </row>
    <row r="8190" spans="31:33">
      <c r="AE8190">
        <v>0</v>
      </c>
      <c r="AG8190">
        <v>0</v>
      </c>
    </row>
    <row r="8191" spans="31:33">
      <c r="AE8191">
        <v>0</v>
      </c>
      <c r="AG8191">
        <v>0</v>
      </c>
    </row>
    <row r="8192" spans="31:33">
      <c r="AE8192">
        <v>0</v>
      </c>
      <c r="AG8192">
        <v>0</v>
      </c>
    </row>
    <row r="8193" spans="31:33">
      <c r="AE8193">
        <v>0</v>
      </c>
      <c r="AG8193">
        <v>0</v>
      </c>
    </row>
    <row r="8194" spans="31:33">
      <c r="AE8194">
        <v>0</v>
      </c>
      <c r="AG8194">
        <v>0</v>
      </c>
    </row>
    <row r="8195" spans="31:33">
      <c r="AE8195">
        <v>0</v>
      </c>
      <c r="AG8195">
        <v>0</v>
      </c>
    </row>
    <row r="8196" spans="31:33">
      <c r="AE8196">
        <v>0</v>
      </c>
      <c r="AG8196">
        <v>0</v>
      </c>
    </row>
    <row r="8197" spans="31:33">
      <c r="AE8197">
        <v>0</v>
      </c>
      <c r="AG8197">
        <v>0</v>
      </c>
    </row>
    <row r="8198" spans="31:33">
      <c r="AE8198">
        <v>0</v>
      </c>
      <c r="AG8198">
        <v>0</v>
      </c>
    </row>
    <row r="8199" spans="31:33">
      <c r="AE8199">
        <v>0</v>
      </c>
      <c r="AG8199">
        <v>0</v>
      </c>
    </row>
    <row r="8200" spans="31:33">
      <c r="AE8200">
        <v>0</v>
      </c>
      <c r="AG8200">
        <v>0</v>
      </c>
    </row>
    <row r="8201" spans="31:33">
      <c r="AE8201">
        <v>0</v>
      </c>
      <c r="AG8201">
        <v>0</v>
      </c>
    </row>
    <row r="8202" spans="31:33">
      <c r="AE8202">
        <v>0</v>
      </c>
      <c r="AG8202">
        <v>0</v>
      </c>
    </row>
    <row r="8203" spans="31:33">
      <c r="AE8203">
        <v>0</v>
      </c>
      <c r="AG8203">
        <v>0</v>
      </c>
    </row>
    <row r="8204" spans="31:33">
      <c r="AE8204">
        <v>0</v>
      </c>
      <c r="AG8204">
        <v>0</v>
      </c>
    </row>
    <row r="8205" spans="31:33">
      <c r="AE8205">
        <v>0</v>
      </c>
      <c r="AG8205">
        <v>0</v>
      </c>
    </row>
    <row r="8206" spans="31:33">
      <c r="AE8206">
        <v>0</v>
      </c>
      <c r="AG8206">
        <v>0</v>
      </c>
    </row>
    <row r="8207" spans="31:33">
      <c r="AE8207">
        <v>0</v>
      </c>
      <c r="AG8207">
        <v>0</v>
      </c>
    </row>
    <row r="8208" spans="31:33">
      <c r="AE8208">
        <v>0</v>
      </c>
      <c r="AG8208">
        <v>0</v>
      </c>
    </row>
    <row r="8209" spans="31:33">
      <c r="AE8209">
        <v>0</v>
      </c>
      <c r="AG8209">
        <v>0</v>
      </c>
    </row>
    <row r="8210" spans="31:33">
      <c r="AE8210">
        <v>0</v>
      </c>
      <c r="AG8210">
        <v>0</v>
      </c>
    </row>
    <row r="8211" spans="31:33">
      <c r="AE8211">
        <v>0</v>
      </c>
      <c r="AG8211">
        <v>0</v>
      </c>
    </row>
    <row r="8212" spans="31:33">
      <c r="AE8212">
        <v>0</v>
      </c>
      <c r="AG8212">
        <v>0</v>
      </c>
    </row>
    <row r="8213" spans="31:33">
      <c r="AE8213">
        <v>0</v>
      </c>
      <c r="AG8213">
        <v>0</v>
      </c>
    </row>
    <row r="8214" spans="31:33">
      <c r="AE8214">
        <v>0</v>
      </c>
      <c r="AG8214">
        <v>0</v>
      </c>
    </row>
    <row r="8215" spans="31:33">
      <c r="AE8215">
        <v>0</v>
      </c>
      <c r="AG8215">
        <v>0</v>
      </c>
    </row>
    <row r="8216" spans="31:33">
      <c r="AE8216">
        <v>0</v>
      </c>
      <c r="AG8216">
        <v>0</v>
      </c>
    </row>
    <row r="8217" spans="31:33">
      <c r="AE8217">
        <v>0</v>
      </c>
      <c r="AG8217">
        <v>0</v>
      </c>
    </row>
    <row r="8218" spans="31:33">
      <c r="AE8218">
        <v>0</v>
      </c>
      <c r="AG8218">
        <v>0</v>
      </c>
    </row>
    <row r="8219" spans="31:33">
      <c r="AE8219">
        <v>0</v>
      </c>
      <c r="AG8219">
        <v>0</v>
      </c>
    </row>
    <row r="8220" spans="31:33">
      <c r="AE8220">
        <v>0</v>
      </c>
      <c r="AG8220">
        <v>0</v>
      </c>
    </row>
    <row r="8221" spans="31:33">
      <c r="AE8221">
        <v>0</v>
      </c>
      <c r="AG8221">
        <v>0</v>
      </c>
    </row>
    <row r="8222" spans="31:33">
      <c r="AE8222">
        <v>0</v>
      </c>
      <c r="AG8222">
        <v>0</v>
      </c>
    </row>
    <row r="8223" spans="31:33">
      <c r="AE8223">
        <v>0</v>
      </c>
      <c r="AG8223">
        <v>0</v>
      </c>
    </row>
    <row r="8224" spans="31:33">
      <c r="AE8224">
        <v>0</v>
      </c>
      <c r="AG8224">
        <v>0</v>
      </c>
    </row>
    <row r="8225" spans="31:33">
      <c r="AE8225">
        <v>0</v>
      </c>
      <c r="AG8225">
        <v>0</v>
      </c>
    </row>
    <row r="8226" spans="31:33">
      <c r="AE8226">
        <v>0</v>
      </c>
      <c r="AG8226">
        <v>0</v>
      </c>
    </row>
    <row r="8227" spans="31:33">
      <c r="AE8227">
        <v>0</v>
      </c>
      <c r="AG8227">
        <v>0</v>
      </c>
    </row>
    <row r="8228" spans="31:33">
      <c r="AE8228">
        <v>0</v>
      </c>
      <c r="AG8228">
        <v>0</v>
      </c>
    </row>
    <row r="8229" spans="31:33">
      <c r="AE8229">
        <v>0</v>
      </c>
      <c r="AG8229">
        <v>0</v>
      </c>
    </row>
    <row r="8230" spans="31:33">
      <c r="AE8230">
        <v>0</v>
      </c>
      <c r="AG8230">
        <v>0</v>
      </c>
    </row>
    <row r="8231" spans="31:33">
      <c r="AE8231">
        <v>0</v>
      </c>
      <c r="AG8231">
        <v>0</v>
      </c>
    </row>
    <row r="8232" spans="31:33">
      <c r="AE8232">
        <v>0</v>
      </c>
      <c r="AG8232">
        <v>0</v>
      </c>
    </row>
    <row r="8233" spans="31:33">
      <c r="AE8233">
        <v>0</v>
      </c>
      <c r="AG8233">
        <v>0</v>
      </c>
    </row>
    <row r="8234" spans="31:33">
      <c r="AE8234">
        <v>0</v>
      </c>
      <c r="AG8234">
        <v>0</v>
      </c>
    </row>
    <row r="8235" spans="31:33">
      <c r="AE8235">
        <v>0</v>
      </c>
      <c r="AG8235">
        <v>0</v>
      </c>
    </row>
    <row r="8238" spans="31:33">
      <c r="AE8238">
        <v>0</v>
      </c>
      <c r="AG8238">
        <v>0</v>
      </c>
    </row>
    <row r="8239" spans="31:33">
      <c r="AE8239">
        <v>0</v>
      </c>
      <c r="AG8239">
        <v>0</v>
      </c>
    </row>
    <row r="8240" spans="31:33">
      <c r="AE8240">
        <v>0</v>
      </c>
      <c r="AG8240">
        <v>0</v>
      </c>
    </row>
    <row r="8241" spans="31:33">
      <c r="AE8241">
        <v>0</v>
      </c>
      <c r="AG8241">
        <v>0</v>
      </c>
    </row>
    <row r="8242" spans="31:33">
      <c r="AE8242">
        <v>0</v>
      </c>
      <c r="AG8242">
        <v>0</v>
      </c>
    </row>
    <row r="8243" spans="31:33">
      <c r="AE8243">
        <v>0</v>
      </c>
      <c r="AG8243">
        <v>0</v>
      </c>
    </row>
    <row r="8244" spans="31:33">
      <c r="AE8244">
        <v>0</v>
      </c>
      <c r="AG8244">
        <v>0</v>
      </c>
    </row>
    <row r="8245" spans="31:33">
      <c r="AE8245">
        <v>0</v>
      </c>
      <c r="AG8245">
        <v>0</v>
      </c>
    </row>
    <row r="8246" spans="31:33">
      <c r="AE8246">
        <v>0</v>
      </c>
      <c r="AG8246">
        <v>0</v>
      </c>
    </row>
    <row r="8247" spans="31:33">
      <c r="AE8247">
        <v>0</v>
      </c>
      <c r="AG8247">
        <v>0</v>
      </c>
    </row>
    <row r="8248" spans="31:33">
      <c r="AE8248">
        <v>0</v>
      </c>
      <c r="AG8248">
        <v>0</v>
      </c>
    </row>
    <row r="8249" spans="31:33">
      <c r="AE8249">
        <v>0</v>
      </c>
      <c r="AG8249">
        <v>0</v>
      </c>
    </row>
    <row r="8250" spans="31:33">
      <c r="AE8250">
        <v>0</v>
      </c>
      <c r="AG8250">
        <v>0</v>
      </c>
    </row>
    <row r="8251" spans="31:33">
      <c r="AE8251">
        <v>0</v>
      </c>
      <c r="AG8251">
        <v>0</v>
      </c>
    </row>
    <row r="8252" spans="31:33">
      <c r="AE8252">
        <v>0</v>
      </c>
      <c r="AG8252">
        <v>0</v>
      </c>
    </row>
    <row r="8253" spans="31:33">
      <c r="AE8253">
        <v>0</v>
      </c>
      <c r="AG8253">
        <v>0</v>
      </c>
    </row>
    <row r="8254" spans="31:33">
      <c r="AE8254" s="31">
        <v>142170.14000000001</v>
      </c>
      <c r="AG8254" s="31">
        <v>81756.960000000006</v>
      </c>
    </row>
    <row r="8255" spans="31:33">
      <c r="AE8255">
        <v>0</v>
      </c>
      <c r="AG8255">
        <v>0</v>
      </c>
    </row>
    <row r="8256" spans="31:33">
      <c r="AE8256">
        <v>0</v>
      </c>
      <c r="AG8256">
        <v>0</v>
      </c>
    </row>
    <row r="8257" spans="31:33">
      <c r="AE8257">
        <v>0</v>
      </c>
      <c r="AG8257">
        <v>0</v>
      </c>
    </row>
    <row r="8258" spans="31:33">
      <c r="AE8258">
        <v>0</v>
      </c>
      <c r="AG8258">
        <v>0</v>
      </c>
    </row>
    <row r="8259" spans="31:33">
      <c r="AE8259">
        <v>0</v>
      </c>
      <c r="AG8259">
        <v>0</v>
      </c>
    </row>
    <row r="8260" spans="31:33">
      <c r="AE8260">
        <v>0</v>
      </c>
      <c r="AG8260">
        <v>0</v>
      </c>
    </row>
    <row r="8261" spans="31:33">
      <c r="AE8261">
        <v>0</v>
      </c>
      <c r="AG8261">
        <v>0</v>
      </c>
    </row>
    <row r="8262" spans="31:33">
      <c r="AE8262">
        <v>0</v>
      </c>
      <c r="AG8262">
        <v>0</v>
      </c>
    </row>
    <row r="8263" spans="31:33">
      <c r="AE8263">
        <v>0</v>
      </c>
      <c r="AG8263">
        <v>0</v>
      </c>
    </row>
    <row r="8264" spans="31:33">
      <c r="AE8264">
        <v>0</v>
      </c>
      <c r="AG8264">
        <v>0</v>
      </c>
    </row>
    <row r="8265" spans="31:33">
      <c r="AE8265">
        <v>0</v>
      </c>
      <c r="AG8265">
        <v>0</v>
      </c>
    </row>
    <row r="8266" spans="31:33">
      <c r="AE8266">
        <v>0</v>
      </c>
      <c r="AG8266">
        <v>0</v>
      </c>
    </row>
    <row r="8267" spans="31:33">
      <c r="AE8267">
        <v>0</v>
      </c>
      <c r="AG8267">
        <v>0</v>
      </c>
    </row>
    <row r="8268" spans="31:33">
      <c r="AE8268">
        <v>0</v>
      </c>
      <c r="AG8268">
        <v>0</v>
      </c>
    </row>
    <row r="8269" spans="31:33">
      <c r="AE8269">
        <v>0</v>
      </c>
      <c r="AG8269">
        <v>0</v>
      </c>
    </row>
    <row r="8270" spans="31:33">
      <c r="AE8270" s="31">
        <v>2382998.6800000002</v>
      </c>
      <c r="AG8270" s="31">
        <v>1850552.97</v>
      </c>
    </row>
    <row r="8271" spans="31:33">
      <c r="AE8271" s="31">
        <v>31729.84</v>
      </c>
      <c r="AG8271" s="31">
        <v>181840.49</v>
      </c>
    </row>
    <row r="8272" spans="31:33">
      <c r="AE8272">
        <v>0</v>
      </c>
      <c r="AG8272">
        <v>0</v>
      </c>
    </row>
    <row r="8273" spans="31:33">
      <c r="AE8273">
        <v>0</v>
      </c>
      <c r="AG8273">
        <v>0</v>
      </c>
    </row>
    <row r="8274" spans="31:33">
      <c r="AE8274">
        <v>0</v>
      </c>
      <c r="AG8274">
        <v>0</v>
      </c>
    </row>
    <row r="8275" spans="31:33">
      <c r="AE8275">
        <v>0</v>
      </c>
      <c r="AG8275">
        <v>0</v>
      </c>
    </row>
    <row r="8276" spans="31:33">
      <c r="AE8276">
        <v>0</v>
      </c>
      <c r="AG8276">
        <v>0</v>
      </c>
    </row>
    <row r="8277" spans="31:33">
      <c r="AE8277">
        <v>0</v>
      </c>
      <c r="AG8277">
        <v>0</v>
      </c>
    </row>
    <row r="8278" spans="31:33">
      <c r="AE8278">
        <v>0</v>
      </c>
      <c r="AG8278">
        <v>0</v>
      </c>
    </row>
    <row r="8279" spans="31:33">
      <c r="AE8279">
        <v>0</v>
      </c>
      <c r="AG8279">
        <v>0</v>
      </c>
    </row>
    <row r="8280" spans="31:33">
      <c r="AE8280">
        <v>0</v>
      </c>
      <c r="AG8280">
        <v>0</v>
      </c>
    </row>
    <row r="8281" spans="31:33">
      <c r="AE8281">
        <v>0</v>
      </c>
      <c r="AG8281">
        <v>0</v>
      </c>
    </row>
    <row r="8282" spans="31:33">
      <c r="AE8282">
        <v>0</v>
      </c>
      <c r="AG8282">
        <v>0</v>
      </c>
    </row>
    <row r="8283" spans="31:33">
      <c r="AE8283">
        <v>0</v>
      </c>
      <c r="AG8283">
        <v>0</v>
      </c>
    </row>
    <row r="8284" spans="31:33">
      <c r="AE8284">
        <v>0</v>
      </c>
      <c r="AG8284">
        <v>0</v>
      </c>
    </row>
    <row r="8285" spans="31:33">
      <c r="AE8285">
        <v>0</v>
      </c>
      <c r="AG8285">
        <v>0</v>
      </c>
    </row>
    <row r="8286" spans="31:33">
      <c r="AE8286">
        <v>0</v>
      </c>
      <c r="AG8286">
        <v>0</v>
      </c>
    </row>
    <row r="8287" spans="31:33">
      <c r="AE8287">
        <v>0</v>
      </c>
      <c r="AG8287">
        <v>0</v>
      </c>
    </row>
    <row r="8288" spans="31:33">
      <c r="AE8288">
        <v>0</v>
      </c>
      <c r="AG8288">
        <v>0</v>
      </c>
    </row>
    <row r="8289" spans="31:33">
      <c r="AE8289">
        <v>0</v>
      </c>
      <c r="AG8289">
        <v>0</v>
      </c>
    </row>
    <row r="8290" spans="31:33">
      <c r="AE8290">
        <v>0</v>
      </c>
      <c r="AG8290">
        <v>0</v>
      </c>
    </row>
    <row r="8291" spans="31:33">
      <c r="AE8291">
        <v>0</v>
      </c>
      <c r="AG8291">
        <v>0</v>
      </c>
    </row>
    <row r="8292" spans="31:33">
      <c r="AE8292">
        <v>0</v>
      </c>
      <c r="AG8292">
        <v>0</v>
      </c>
    </row>
    <row r="8293" spans="31:33">
      <c r="AE8293">
        <v>0</v>
      </c>
      <c r="AG8293">
        <v>0</v>
      </c>
    </row>
    <row r="8294" spans="31:33">
      <c r="AE8294">
        <v>0</v>
      </c>
      <c r="AG8294">
        <v>0</v>
      </c>
    </row>
    <row r="8295" spans="31:33">
      <c r="AE8295">
        <v>0</v>
      </c>
      <c r="AG8295">
        <v>0</v>
      </c>
    </row>
    <row r="8296" spans="31:33">
      <c r="AE8296">
        <v>0</v>
      </c>
      <c r="AG8296">
        <v>0</v>
      </c>
    </row>
    <row r="8297" spans="31:33">
      <c r="AE8297">
        <v>0</v>
      </c>
      <c r="AG8297">
        <v>0</v>
      </c>
    </row>
    <row r="8298" spans="31:33">
      <c r="AE8298">
        <v>0</v>
      </c>
      <c r="AG8298">
        <v>0</v>
      </c>
    </row>
    <row r="8299" spans="31:33">
      <c r="AE8299">
        <v>0</v>
      </c>
      <c r="AG8299">
        <v>0</v>
      </c>
    </row>
    <row r="8300" spans="31:33">
      <c r="AE8300">
        <v>0</v>
      </c>
      <c r="AG8300">
        <v>0</v>
      </c>
    </row>
    <row r="8301" spans="31:33">
      <c r="AE8301">
        <v>0</v>
      </c>
      <c r="AG8301">
        <v>0</v>
      </c>
    </row>
    <row r="8302" spans="31:33">
      <c r="AE8302">
        <v>0</v>
      </c>
      <c r="AG8302">
        <v>0</v>
      </c>
    </row>
    <row r="8303" spans="31:33">
      <c r="AE8303">
        <v>0</v>
      </c>
      <c r="AG8303">
        <v>0</v>
      </c>
    </row>
    <row r="8304" spans="31:33">
      <c r="AE8304">
        <v>0</v>
      </c>
      <c r="AG8304">
        <v>0</v>
      </c>
    </row>
    <row r="8305" spans="31:33">
      <c r="AE8305">
        <v>0</v>
      </c>
      <c r="AG8305">
        <v>0</v>
      </c>
    </row>
    <row r="8306" spans="31:33">
      <c r="AE8306">
        <v>0</v>
      </c>
      <c r="AG8306">
        <v>0</v>
      </c>
    </row>
    <row r="8307" spans="31:33">
      <c r="AE8307">
        <v>0</v>
      </c>
      <c r="AG8307">
        <v>0</v>
      </c>
    </row>
    <row r="8308" spans="31:33">
      <c r="AE8308">
        <v>0</v>
      </c>
      <c r="AG8308">
        <v>0</v>
      </c>
    </row>
    <row r="8309" spans="31:33">
      <c r="AE8309">
        <v>0</v>
      </c>
      <c r="AG8309">
        <v>0</v>
      </c>
    </row>
    <row r="8310" spans="31:33">
      <c r="AE8310">
        <v>0</v>
      </c>
      <c r="AG8310">
        <v>0</v>
      </c>
    </row>
    <row r="8311" spans="31:33">
      <c r="AE8311">
        <v>0</v>
      </c>
      <c r="AG8311">
        <v>0</v>
      </c>
    </row>
    <row r="8312" spans="31:33">
      <c r="AE8312">
        <v>0</v>
      </c>
      <c r="AG8312">
        <v>0</v>
      </c>
    </row>
    <row r="8313" spans="31:33">
      <c r="AE8313">
        <v>0</v>
      </c>
      <c r="AG8313">
        <v>0</v>
      </c>
    </row>
    <row r="8314" spans="31:33">
      <c r="AE8314">
        <v>0</v>
      </c>
      <c r="AG8314">
        <v>0</v>
      </c>
    </row>
    <row r="8315" spans="31:33">
      <c r="AE8315">
        <v>0</v>
      </c>
      <c r="AG8315">
        <v>0</v>
      </c>
    </row>
    <row r="8316" spans="31:33">
      <c r="AE8316">
        <v>0</v>
      </c>
      <c r="AG8316">
        <v>0</v>
      </c>
    </row>
    <row r="8317" spans="31:33">
      <c r="AE8317">
        <v>0</v>
      </c>
      <c r="AG8317">
        <v>0</v>
      </c>
    </row>
    <row r="8318" spans="31:33">
      <c r="AE8318">
        <v>0</v>
      </c>
      <c r="AG8318">
        <v>0</v>
      </c>
    </row>
    <row r="8319" spans="31:33">
      <c r="AE8319">
        <v>0</v>
      </c>
      <c r="AG8319">
        <v>0</v>
      </c>
    </row>
    <row r="8320" spans="31:33">
      <c r="AE8320">
        <v>0</v>
      </c>
      <c r="AG8320">
        <v>0</v>
      </c>
    </row>
    <row r="8321" spans="31:33">
      <c r="AE8321">
        <v>0</v>
      </c>
      <c r="AG8321">
        <v>0</v>
      </c>
    </row>
    <row r="8322" spans="31:33">
      <c r="AE8322">
        <v>0</v>
      </c>
      <c r="AG8322">
        <v>0</v>
      </c>
    </row>
    <row r="8323" spans="31:33">
      <c r="AE8323">
        <v>0</v>
      </c>
      <c r="AG8323">
        <v>0</v>
      </c>
    </row>
    <row r="8324" spans="31:33">
      <c r="AE8324">
        <v>0</v>
      </c>
      <c r="AG8324">
        <v>0</v>
      </c>
    </row>
    <row r="8325" spans="31:33">
      <c r="AE8325">
        <v>0</v>
      </c>
      <c r="AG8325">
        <v>0</v>
      </c>
    </row>
    <row r="8326" spans="31:33">
      <c r="AE8326">
        <v>0</v>
      </c>
      <c r="AG8326">
        <v>0</v>
      </c>
    </row>
    <row r="8327" spans="31:33">
      <c r="AE8327">
        <v>0</v>
      </c>
      <c r="AG8327">
        <v>0</v>
      </c>
    </row>
    <row r="8328" spans="31:33">
      <c r="AE8328">
        <v>0</v>
      </c>
      <c r="AG8328">
        <v>0</v>
      </c>
    </row>
    <row r="8329" spans="31:33">
      <c r="AE8329">
        <v>0</v>
      </c>
      <c r="AG8329">
        <v>0</v>
      </c>
    </row>
    <row r="8330" spans="31:33">
      <c r="AE8330">
        <v>0</v>
      </c>
      <c r="AG8330">
        <v>0</v>
      </c>
    </row>
    <row r="8331" spans="31:33">
      <c r="AE8331">
        <v>0</v>
      </c>
      <c r="AG8331">
        <v>0</v>
      </c>
    </row>
    <row r="8332" spans="31:33">
      <c r="AE8332">
        <v>0</v>
      </c>
      <c r="AG8332">
        <v>0</v>
      </c>
    </row>
    <row r="8333" spans="31:33">
      <c r="AE8333">
        <v>0</v>
      </c>
      <c r="AG8333">
        <v>0</v>
      </c>
    </row>
    <row r="8334" spans="31:33">
      <c r="AE8334">
        <v>0</v>
      </c>
      <c r="AG8334">
        <v>0</v>
      </c>
    </row>
    <row r="8335" spans="31:33">
      <c r="AE8335">
        <v>0</v>
      </c>
      <c r="AG8335">
        <v>0</v>
      </c>
    </row>
    <row r="8336" spans="31:33">
      <c r="AE8336">
        <v>0</v>
      </c>
      <c r="AG8336">
        <v>0</v>
      </c>
    </row>
    <row r="8337" spans="31:33">
      <c r="AE8337">
        <v>0</v>
      </c>
      <c r="AG8337">
        <v>0</v>
      </c>
    </row>
    <row r="8338" spans="31:33">
      <c r="AE8338">
        <v>0</v>
      </c>
      <c r="AG8338">
        <v>0</v>
      </c>
    </row>
    <row r="8339" spans="31:33">
      <c r="AE8339">
        <v>0</v>
      </c>
      <c r="AG8339">
        <v>0</v>
      </c>
    </row>
    <row r="8340" spans="31:33">
      <c r="AE8340">
        <v>0</v>
      </c>
      <c r="AG8340">
        <v>0</v>
      </c>
    </row>
    <row r="8341" spans="31:33">
      <c r="AE8341">
        <v>0</v>
      </c>
      <c r="AG8341">
        <v>0</v>
      </c>
    </row>
    <row r="8342" spans="31:33">
      <c r="AE8342">
        <v>0</v>
      </c>
      <c r="AG8342">
        <v>0</v>
      </c>
    </row>
    <row r="8343" spans="31:33">
      <c r="AE8343">
        <v>0</v>
      </c>
      <c r="AG8343">
        <v>0</v>
      </c>
    </row>
    <row r="8344" spans="31:33">
      <c r="AE8344">
        <v>0</v>
      </c>
      <c r="AG8344">
        <v>0</v>
      </c>
    </row>
    <row r="8345" spans="31:33">
      <c r="AE8345">
        <v>0</v>
      </c>
      <c r="AG8345">
        <v>0</v>
      </c>
    </row>
    <row r="8346" spans="31:33">
      <c r="AE8346">
        <v>0</v>
      </c>
      <c r="AG8346">
        <v>0</v>
      </c>
    </row>
    <row r="8347" spans="31:33">
      <c r="AE8347">
        <v>0</v>
      </c>
      <c r="AG8347">
        <v>0</v>
      </c>
    </row>
    <row r="8348" spans="31:33">
      <c r="AE8348">
        <v>0</v>
      </c>
      <c r="AG8348">
        <v>0</v>
      </c>
    </row>
    <row r="8349" spans="31:33">
      <c r="AE8349">
        <v>0</v>
      </c>
      <c r="AG8349">
        <v>0</v>
      </c>
    </row>
    <row r="8350" spans="31:33">
      <c r="AE8350">
        <v>0</v>
      </c>
      <c r="AG8350">
        <v>0</v>
      </c>
    </row>
    <row r="8351" spans="31:33">
      <c r="AE8351">
        <v>0</v>
      </c>
      <c r="AG8351">
        <v>0</v>
      </c>
    </row>
    <row r="8352" spans="31:33">
      <c r="AE8352">
        <v>0</v>
      </c>
      <c r="AG8352">
        <v>0</v>
      </c>
    </row>
    <row r="8353" spans="31:33">
      <c r="AE8353">
        <v>0</v>
      </c>
      <c r="AG8353">
        <v>0</v>
      </c>
    </row>
    <row r="8354" spans="31:33">
      <c r="AE8354">
        <v>0</v>
      </c>
      <c r="AG8354">
        <v>0</v>
      </c>
    </row>
    <row r="8355" spans="31:33">
      <c r="AE8355">
        <v>0</v>
      </c>
      <c r="AG8355">
        <v>0</v>
      </c>
    </row>
    <row r="8356" spans="31:33">
      <c r="AE8356">
        <v>0</v>
      </c>
      <c r="AG8356">
        <v>0</v>
      </c>
    </row>
    <row r="8357" spans="31:33">
      <c r="AE8357">
        <v>0</v>
      </c>
      <c r="AG8357">
        <v>0</v>
      </c>
    </row>
    <row r="8358" spans="31:33">
      <c r="AE8358">
        <v>0</v>
      </c>
      <c r="AG8358">
        <v>0</v>
      </c>
    </row>
    <row r="8359" spans="31:33">
      <c r="AE8359">
        <v>0</v>
      </c>
      <c r="AG8359">
        <v>0</v>
      </c>
    </row>
    <row r="8360" spans="31:33">
      <c r="AE8360">
        <v>0</v>
      </c>
      <c r="AG8360">
        <v>0</v>
      </c>
    </row>
    <row r="8361" spans="31:33">
      <c r="AE8361">
        <v>0</v>
      </c>
      <c r="AG8361">
        <v>0</v>
      </c>
    </row>
    <row r="8362" spans="31:33">
      <c r="AE8362">
        <v>0</v>
      </c>
      <c r="AG8362">
        <v>0</v>
      </c>
    </row>
    <row r="8363" spans="31:33">
      <c r="AE8363">
        <v>0</v>
      </c>
      <c r="AG8363">
        <v>0</v>
      </c>
    </row>
    <row r="8364" spans="31:33">
      <c r="AE8364">
        <v>0</v>
      </c>
      <c r="AG8364">
        <v>0</v>
      </c>
    </row>
    <row r="8365" spans="31:33">
      <c r="AE8365">
        <v>0</v>
      </c>
      <c r="AG8365">
        <v>0</v>
      </c>
    </row>
    <row r="8366" spans="31:33">
      <c r="AE8366">
        <v>0</v>
      </c>
      <c r="AG8366">
        <v>0</v>
      </c>
    </row>
    <row r="8367" spans="31:33">
      <c r="AE8367">
        <v>0</v>
      </c>
      <c r="AG8367">
        <v>0</v>
      </c>
    </row>
    <row r="8368" spans="31:33">
      <c r="AE8368">
        <v>0</v>
      </c>
      <c r="AG8368">
        <v>0</v>
      </c>
    </row>
    <row r="8369" spans="31:33">
      <c r="AE8369">
        <v>0</v>
      </c>
      <c r="AG8369">
        <v>0</v>
      </c>
    </row>
    <row r="8370" spans="31:33">
      <c r="AE8370">
        <v>0</v>
      </c>
      <c r="AG8370">
        <v>0</v>
      </c>
    </row>
    <row r="8371" spans="31:33">
      <c r="AE8371">
        <v>0</v>
      </c>
      <c r="AG8371">
        <v>0</v>
      </c>
    </row>
    <row r="8372" spans="31:33">
      <c r="AE8372">
        <v>0</v>
      </c>
      <c r="AG8372">
        <v>0</v>
      </c>
    </row>
    <row r="8373" spans="31:33">
      <c r="AE8373">
        <v>0</v>
      </c>
      <c r="AG8373">
        <v>0</v>
      </c>
    </row>
    <row r="8374" spans="31:33">
      <c r="AE8374">
        <v>0</v>
      </c>
      <c r="AG8374">
        <v>0</v>
      </c>
    </row>
    <row r="8375" spans="31:33">
      <c r="AE8375">
        <v>0</v>
      </c>
      <c r="AG8375">
        <v>0</v>
      </c>
    </row>
    <row r="8376" spans="31:33">
      <c r="AE8376">
        <v>0</v>
      </c>
      <c r="AG8376">
        <v>0</v>
      </c>
    </row>
    <row r="8377" spans="31:33">
      <c r="AE8377">
        <v>0</v>
      </c>
      <c r="AG8377">
        <v>0</v>
      </c>
    </row>
    <row r="8378" spans="31:33">
      <c r="AE8378">
        <v>0</v>
      </c>
      <c r="AG8378">
        <v>0</v>
      </c>
    </row>
    <row r="8379" spans="31:33">
      <c r="AE8379">
        <v>0</v>
      </c>
      <c r="AG8379">
        <v>0</v>
      </c>
    </row>
    <row r="8380" spans="31:33">
      <c r="AE8380">
        <v>0</v>
      </c>
      <c r="AG8380">
        <v>0</v>
      </c>
    </row>
    <row r="8381" spans="31:33">
      <c r="AE8381">
        <v>0</v>
      </c>
      <c r="AG8381">
        <v>0</v>
      </c>
    </row>
    <row r="8382" spans="31:33">
      <c r="AE8382">
        <v>0</v>
      </c>
      <c r="AG8382">
        <v>0</v>
      </c>
    </row>
    <row r="8383" spans="31:33">
      <c r="AE8383">
        <v>0</v>
      </c>
      <c r="AG8383">
        <v>0</v>
      </c>
    </row>
    <row r="8384" spans="31:33">
      <c r="AE8384">
        <v>0</v>
      </c>
      <c r="AG8384">
        <v>0</v>
      </c>
    </row>
    <row r="8385" spans="31:33">
      <c r="AE8385">
        <v>0</v>
      </c>
      <c r="AG8385">
        <v>0</v>
      </c>
    </row>
    <row r="8386" spans="31:33">
      <c r="AE8386">
        <v>0</v>
      </c>
      <c r="AG8386">
        <v>0</v>
      </c>
    </row>
    <row r="8387" spans="31:33">
      <c r="AE8387">
        <v>0</v>
      </c>
      <c r="AG8387">
        <v>0</v>
      </c>
    </row>
    <row r="8388" spans="31:33">
      <c r="AE8388">
        <v>0</v>
      </c>
      <c r="AG8388">
        <v>0</v>
      </c>
    </row>
    <row r="8389" spans="31:33">
      <c r="AE8389">
        <v>0</v>
      </c>
      <c r="AG8389">
        <v>0</v>
      </c>
    </row>
    <row r="8390" spans="31:33">
      <c r="AE8390">
        <v>0</v>
      </c>
      <c r="AG8390">
        <v>0</v>
      </c>
    </row>
    <row r="8391" spans="31:33">
      <c r="AE8391">
        <v>0</v>
      </c>
      <c r="AG8391">
        <v>0</v>
      </c>
    </row>
    <row r="8392" spans="31:33">
      <c r="AE8392">
        <v>0</v>
      </c>
      <c r="AG8392">
        <v>0</v>
      </c>
    </row>
    <row r="8393" spans="31:33">
      <c r="AE8393">
        <v>0</v>
      </c>
      <c r="AG8393">
        <v>0</v>
      </c>
    </row>
    <row r="8394" spans="31:33">
      <c r="AE8394">
        <v>0</v>
      </c>
      <c r="AG8394">
        <v>0</v>
      </c>
    </row>
    <row r="8395" spans="31:33">
      <c r="AE8395">
        <v>0</v>
      </c>
      <c r="AG8395">
        <v>0</v>
      </c>
    </row>
    <row r="8396" spans="31:33">
      <c r="AE8396">
        <v>0</v>
      </c>
      <c r="AG8396">
        <v>0</v>
      </c>
    </row>
    <row r="8397" spans="31:33">
      <c r="AE8397">
        <v>0</v>
      </c>
      <c r="AG8397">
        <v>0</v>
      </c>
    </row>
    <row r="8398" spans="31:33">
      <c r="AE8398">
        <v>0</v>
      </c>
      <c r="AG8398">
        <v>0</v>
      </c>
    </row>
    <row r="8399" spans="31:33">
      <c r="AE8399">
        <v>0</v>
      </c>
      <c r="AG8399">
        <v>0</v>
      </c>
    </row>
    <row r="8400" spans="31:33">
      <c r="AE8400">
        <v>0</v>
      </c>
      <c r="AG8400">
        <v>0</v>
      </c>
    </row>
    <row r="8401" spans="31:33">
      <c r="AE8401">
        <v>0</v>
      </c>
      <c r="AG8401">
        <v>0</v>
      </c>
    </row>
    <row r="8402" spans="31:33">
      <c r="AE8402">
        <v>0</v>
      </c>
      <c r="AG8402">
        <v>0</v>
      </c>
    </row>
    <row r="8403" spans="31:33">
      <c r="AE8403">
        <v>0</v>
      </c>
      <c r="AG8403">
        <v>0</v>
      </c>
    </row>
    <row r="8404" spans="31:33">
      <c r="AE8404">
        <v>0</v>
      </c>
      <c r="AG8404">
        <v>0</v>
      </c>
    </row>
    <row r="8405" spans="31:33">
      <c r="AE8405">
        <v>0</v>
      </c>
      <c r="AG8405">
        <v>0</v>
      </c>
    </row>
    <row r="8406" spans="31:33">
      <c r="AE8406">
        <v>0</v>
      </c>
      <c r="AG8406">
        <v>0</v>
      </c>
    </row>
    <row r="8407" spans="31:33">
      <c r="AE8407">
        <v>0</v>
      </c>
      <c r="AG8407">
        <v>0</v>
      </c>
    </row>
    <row r="8408" spans="31:33">
      <c r="AE8408">
        <v>0</v>
      </c>
      <c r="AG8408">
        <v>0</v>
      </c>
    </row>
    <row r="8409" spans="31:33">
      <c r="AE8409">
        <v>0</v>
      </c>
      <c r="AG8409">
        <v>0</v>
      </c>
    </row>
    <row r="8410" spans="31:33">
      <c r="AE8410">
        <v>0</v>
      </c>
      <c r="AG8410">
        <v>0</v>
      </c>
    </row>
    <row r="8411" spans="31:33">
      <c r="AE8411">
        <v>0</v>
      </c>
      <c r="AG8411">
        <v>0</v>
      </c>
    </row>
    <row r="8412" spans="31:33">
      <c r="AE8412">
        <v>0</v>
      </c>
      <c r="AG8412">
        <v>0</v>
      </c>
    </row>
    <row r="8413" spans="31:33">
      <c r="AE8413">
        <v>0</v>
      </c>
      <c r="AG8413">
        <v>0</v>
      </c>
    </row>
    <row r="8414" spans="31:33">
      <c r="AE8414">
        <v>0</v>
      </c>
      <c r="AG8414">
        <v>0</v>
      </c>
    </row>
    <row r="8415" spans="31:33">
      <c r="AE8415">
        <v>0</v>
      </c>
      <c r="AG8415">
        <v>0</v>
      </c>
    </row>
    <row r="8416" spans="31:33">
      <c r="AE8416">
        <v>0</v>
      </c>
      <c r="AG8416">
        <v>0</v>
      </c>
    </row>
    <row r="8417" spans="31:33">
      <c r="AE8417">
        <v>0</v>
      </c>
      <c r="AG8417">
        <v>0</v>
      </c>
    </row>
    <row r="8418" spans="31:33">
      <c r="AE8418">
        <v>0</v>
      </c>
      <c r="AG8418">
        <v>0</v>
      </c>
    </row>
    <row r="8419" spans="31:33">
      <c r="AE8419">
        <v>0</v>
      </c>
      <c r="AG8419">
        <v>0</v>
      </c>
    </row>
    <row r="8420" spans="31:33">
      <c r="AE8420">
        <v>0</v>
      </c>
      <c r="AG8420">
        <v>0</v>
      </c>
    </row>
    <row r="8421" spans="31:33">
      <c r="AE8421">
        <v>0</v>
      </c>
      <c r="AG8421">
        <v>0</v>
      </c>
    </row>
    <row r="8422" spans="31:33">
      <c r="AE8422">
        <v>0</v>
      </c>
      <c r="AG8422">
        <v>0</v>
      </c>
    </row>
    <row r="8423" spans="31:33">
      <c r="AE8423">
        <v>0</v>
      </c>
      <c r="AG8423">
        <v>0</v>
      </c>
    </row>
    <row r="8424" spans="31:33">
      <c r="AE8424">
        <v>0</v>
      </c>
      <c r="AG8424">
        <v>0</v>
      </c>
    </row>
    <row r="8425" spans="31:33">
      <c r="AE8425">
        <v>0</v>
      </c>
      <c r="AG8425">
        <v>0</v>
      </c>
    </row>
    <row r="8426" spans="31:33">
      <c r="AE8426">
        <v>0</v>
      </c>
      <c r="AG8426">
        <v>0</v>
      </c>
    </row>
    <row r="8427" spans="31:33">
      <c r="AE8427">
        <v>0</v>
      </c>
      <c r="AG8427">
        <v>0</v>
      </c>
    </row>
    <row r="8428" spans="31:33">
      <c r="AE8428">
        <v>0</v>
      </c>
      <c r="AG8428">
        <v>0</v>
      </c>
    </row>
    <row r="8429" spans="31:33">
      <c r="AE8429">
        <v>0</v>
      </c>
      <c r="AG8429">
        <v>0</v>
      </c>
    </row>
    <row r="8430" spans="31:33">
      <c r="AE8430">
        <v>0</v>
      </c>
      <c r="AG8430">
        <v>0</v>
      </c>
    </row>
    <row r="8431" spans="31:33">
      <c r="AE8431">
        <v>0</v>
      </c>
      <c r="AG8431">
        <v>0</v>
      </c>
    </row>
    <row r="8432" spans="31:33">
      <c r="AE8432">
        <v>0</v>
      </c>
      <c r="AG8432">
        <v>0</v>
      </c>
    </row>
    <row r="8433" spans="31:33">
      <c r="AE8433">
        <v>0</v>
      </c>
      <c r="AG8433">
        <v>0</v>
      </c>
    </row>
    <row r="8434" spans="31:33">
      <c r="AE8434">
        <v>0</v>
      </c>
      <c r="AG8434">
        <v>0</v>
      </c>
    </row>
    <row r="8435" spans="31:33">
      <c r="AE8435">
        <v>0</v>
      </c>
      <c r="AG8435">
        <v>0</v>
      </c>
    </row>
    <row r="8436" spans="31:33">
      <c r="AE8436">
        <v>0</v>
      </c>
      <c r="AG8436">
        <v>0</v>
      </c>
    </row>
    <row r="8437" spans="31:33">
      <c r="AE8437">
        <v>0</v>
      </c>
      <c r="AG8437">
        <v>0</v>
      </c>
    </row>
    <row r="8438" spans="31:33">
      <c r="AE8438">
        <v>0</v>
      </c>
      <c r="AG8438">
        <v>0</v>
      </c>
    </row>
    <row r="8439" spans="31:33">
      <c r="AE8439">
        <v>0</v>
      </c>
      <c r="AG8439">
        <v>0</v>
      </c>
    </row>
    <row r="8440" spans="31:33">
      <c r="AE8440">
        <v>0</v>
      </c>
      <c r="AG8440">
        <v>0</v>
      </c>
    </row>
    <row r="8441" spans="31:33">
      <c r="AE8441">
        <v>0</v>
      </c>
      <c r="AG8441">
        <v>0</v>
      </c>
    </row>
    <row r="8442" spans="31:33">
      <c r="AE8442">
        <v>0</v>
      </c>
      <c r="AG8442">
        <v>0</v>
      </c>
    </row>
    <row r="8443" spans="31:33">
      <c r="AE8443">
        <v>0</v>
      </c>
      <c r="AG8443">
        <v>0</v>
      </c>
    </row>
    <row r="8444" spans="31:33">
      <c r="AE8444">
        <v>0</v>
      </c>
      <c r="AG8444">
        <v>0</v>
      </c>
    </row>
    <row r="8445" spans="31:33">
      <c r="AE8445">
        <v>0</v>
      </c>
      <c r="AG8445">
        <v>0</v>
      </c>
    </row>
    <row r="8446" spans="31:33">
      <c r="AE8446">
        <v>0</v>
      </c>
      <c r="AG8446">
        <v>0</v>
      </c>
    </row>
    <row r="8447" spans="31:33">
      <c r="AE8447">
        <v>0</v>
      </c>
      <c r="AG8447">
        <v>0</v>
      </c>
    </row>
    <row r="8448" spans="31:33">
      <c r="AE8448">
        <v>0</v>
      </c>
      <c r="AG8448">
        <v>0</v>
      </c>
    </row>
    <row r="8449" spans="31:33">
      <c r="AE8449">
        <v>0</v>
      </c>
      <c r="AG8449">
        <v>0</v>
      </c>
    </row>
    <row r="8450" spans="31:33">
      <c r="AE8450">
        <v>0</v>
      </c>
      <c r="AG8450">
        <v>0</v>
      </c>
    </row>
    <row r="8451" spans="31:33">
      <c r="AE8451">
        <v>0</v>
      </c>
      <c r="AG8451">
        <v>0</v>
      </c>
    </row>
    <row r="8452" spans="31:33">
      <c r="AE8452">
        <v>0</v>
      </c>
      <c r="AG8452">
        <v>0</v>
      </c>
    </row>
    <row r="8453" spans="31:33">
      <c r="AE8453">
        <v>0</v>
      </c>
      <c r="AG8453">
        <v>0</v>
      </c>
    </row>
    <row r="8454" spans="31:33">
      <c r="AE8454">
        <v>0</v>
      </c>
      <c r="AG8454">
        <v>0</v>
      </c>
    </row>
    <row r="8455" spans="31:33">
      <c r="AE8455">
        <v>0</v>
      </c>
      <c r="AG8455">
        <v>0</v>
      </c>
    </row>
    <row r="8456" spans="31:33">
      <c r="AE8456">
        <v>0</v>
      </c>
      <c r="AG8456">
        <v>0</v>
      </c>
    </row>
    <row r="8457" spans="31:33">
      <c r="AE8457">
        <v>0</v>
      </c>
      <c r="AG8457">
        <v>0</v>
      </c>
    </row>
    <row r="8458" spans="31:33">
      <c r="AE8458">
        <v>0</v>
      </c>
      <c r="AG8458">
        <v>0</v>
      </c>
    </row>
    <row r="8459" spans="31:33">
      <c r="AE8459">
        <v>0</v>
      </c>
      <c r="AG8459">
        <v>0</v>
      </c>
    </row>
    <row r="8460" spans="31:33">
      <c r="AE8460">
        <v>0</v>
      </c>
      <c r="AG8460">
        <v>0</v>
      </c>
    </row>
    <row r="8461" spans="31:33">
      <c r="AE8461">
        <v>0</v>
      </c>
      <c r="AG8461">
        <v>0</v>
      </c>
    </row>
    <row r="8462" spans="31:33">
      <c r="AE8462">
        <v>0</v>
      </c>
      <c r="AG8462">
        <v>0</v>
      </c>
    </row>
    <row r="8463" spans="31:33">
      <c r="AE8463">
        <v>0</v>
      </c>
      <c r="AG8463">
        <v>0</v>
      </c>
    </row>
    <row r="8464" spans="31:33">
      <c r="AE8464">
        <v>0</v>
      </c>
      <c r="AG8464">
        <v>0</v>
      </c>
    </row>
    <row r="8465" spans="31:33">
      <c r="AE8465">
        <v>0</v>
      </c>
      <c r="AG8465">
        <v>0</v>
      </c>
    </row>
    <row r="8466" spans="31:33">
      <c r="AE8466">
        <v>0</v>
      </c>
      <c r="AG8466">
        <v>0</v>
      </c>
    </row>
    <row r="8467" spans="31:33">
      <c r="AE8467">
        <v>0</v>
      </c>
      <c r="AG8467">
        <v>0</v>
      </c>
    </row>
    <row r="8468" spans="31:33">
      <c r="AE8468">
        <v>0</v>
      </c>
      <c r="AG8468">
        <v>0</v>
      </c>
    </row>
    <row r="8469" spans="31:33">
      <c r="AE8469">
        <v>0</v>
      </c>
      <c r="AG8469">
        <v>0</v>
      </c>
    </row>
    <row r="8470" spans="31:33">
      <c r="AE8470">
        <v>0</v>
      </c>
      <c r="AG8470">
        <v>0</v>
      </c>
    </row>
    <row r="8471" spans="31:33">
      <c r="AE8471">
        <v>0</v>
      </c>
      <c r="AG8471">
        <v>0</v>
      </c>
    </row>
    <row r="8472" spans="31:33">
      <c r="AE8472">
        <v>0</v>
      </c>
      <c r="AG8472">
        <v>0</v>
      </c>
    </row>
    <row r="8473" spans="31:33">
      <c r="AE8473">
        <v>0</v>
      </c>
      <c r="AG8473">
        <v>0</v>
      </c>
    </row>
    <row r="8474" spans="31:33">
      <c r="AE8474">
        <v>0</v>
      </c>
      <c r="AG8474">
        <v>0</v>
      </c>
    </row>
    <row r="8475" spans="31:33">
      <c r="AE8475">
        <v>0</v>
      </c>
      <c r="AG8475">
        <v>0</v>
      </c>
    </row>
    <row r="8476" spans="31:33">
      <c r="AE8476">
        <v>0</v>
      </c>
      <c r="AG8476">
        <v>0</v>
      </c>
    </row>
    <row r="8477" spans="31:33">
      <c r="AE8477">
        <v>0</v>
      </c>
      <c r="AG8477">
        <v>0</v>
      </c>
    </row>
    <row r="8478" spans="31:33">
      <c r="AE8478">
        <v>0</v>
      </c>
      <c r="AG8478">
        <v>0</v>
      </c>
    </row>
    <row r="8479" spans="31:33">
      <c r="AE8479">
        <v>0</v>
      </c>
      <c r="AG8479">
        <v>0</v>
      </c>
    </row>
    <row r="8480" spans="31:33">
      <c r="AE8480">
        <v>0</v>
      </c>
      <c r="AG8480">
        <v>0</v>
      </c>
    </row>
    <row r="8481" spans="31:33">
      <c r="AE8481">
        <v>0</v>
      </c>
      <c r="AG8481">
        <v>0</v>
      </c>
    </row>
    <row r="8482" spans="31:33">
      <c r="AE8482">
        <v>0</v>
      </c>
      <c r="AG8482">
        <v>0</v>
      </c>
    </row>
    <row r="8483" spans="31:33">
      <c r="AE8483">
        <v>0</v>
      </c>
      <c r="AG8483">
        <v>0</v>
      </c>
    </row>
    <row r="8484" spans="31:33">
      <c r="AE8484">
        <v>0</v>
      </c>
      <c r="AG8484">
        <v>0</v>
      </c>
    </row>
    <row r="8485" spans="31:33">
      <c r="AE8485">
        <v>0</v>
      </c>
      <c r="AG8485">
        <v>0</v>
      </c>
    </row>
    <row r="8486" spans="31:33">
      <c r="AE8486">
        <v>0</v>
      </c>
      <c r="AG8486">
        <v>0</v>
      </c>
    </row>
    <row r="8487" spans="31:33">
      <c r="AE8487" s="31">
        <v>-1332.2</v>
      </c>
      <c r="AG8487" s="31">
        <v>-2209</v>
      </c>
    </row>
    <row r="8488" spans="31:33">
      <c r="AE8488">
        <v>0</v>
      </c>
      <c r="AG8488">
        <v>0</v>
      </c>
    </row>
    <row r="8489" spans="31:33">
      <c r="AE8489">
        <v>0</v>
      </c>
      <c r="AG8489">
        <v>0</v>
      </c>
    </row>
    <row r="8490" spans="31:33">
      <c r="AE8490">
        <v>0</v>
      </c>
      <c r="AG8490">
        <v>0</v>
      </c>
    </row>
    <row r="8491" spans="31:33">
      <c r="AE8491">
        <v>0</v>
      </c>
      <c r="AG8491">
        <v>0</v>
      </c>
    </row>
    <row r="8492" spans="31:33">
      <c r="AE8492">
        <v>0</v>
      </c>
      <c r="AG8492">
        <v>0</v>
      </c>
    </row>
    <row r="8493" spans="31:33">
      <c r="AE8493">
        <v>0</v>
      </c>
      <c r="AG8493">
        <v>0</v>
      </c>
    </row>
    <row r="8494" spans="31:33">
      <c r="AE8494">
        <v>0</v>
      </c>
      <c r="AG8494">
        <v>0</v>
      </c>
    </row>
    <row r="8495" spans="31:33">
      <c r="AE8495">
        <v>0</v>
      </c>
      <c r="AG8495">
        <v>0</v>
      </c>
    </row>
    <row r="8496" spans="31:33">
      <c r="AE8496">
        <v>0</v>
      </c>
      <c r="AG8496">
        <v>0</v>
      </c>
    </row>
    <row r="8497" spans="31:33">
      <c r="AE8497" s="31">
        <v>1975.31</v>
      </c>
      <c r="AG8497" s="31">
        <v>-6975.91</v>
      </c>
    </row>
    <row r="8498" spans="31:33">
      <c r="AE8498">
        <v>0</v>
      </c>
      <c r="AG8498">
        <v>0</v>
      </c>
    </row>
    <row r="8499" spans="31:33">
      <c r="AE8499">
        <v>0</v>
      </c>
      <c r="AG8499">
        <v>0</v>
      </c>
    </row>
    <row r="8500" spans="31:33">
      <c r="AE8500">
        <v>0</v>
      </c>
      <c r="AG8500">
        <v>0</v>
      </c>
    </row>
    <row r="8501" spans="31:33">
      <c r="AE8501">
        <v>0</v>
      </c>
      <c r="AG8501">
        <v>0</v>
      </c>
    </row>
    <row r="8502" spans="31:33">
      <c r="AE8502">
        <v>0</v>
      </c>
      <c r="AG8502">
        <v>0</v>
      </c>
    </row>
    <row r="8503" spans="31:33">
      <c r="AE8503">
        <v>0</v>
      </c>
      <c r="AG8503">
        <v>0</v>
      </c>
    </row>
    <row r="8504" spans="31:33">
      <c r="AE8504">
        <v>0</v>
      </c>
      <c r="AG8504">
        <v>0</v>
      </c>
    </row>
    <row r="8505" spans="31:33">
      <c r="AE8505">
        <v>0</v>
      </c>
      <c r="AG8505">
        <v>0</v>
      </c>
    </row>
    <row r="8506" spans="31:33">
      <c r="AE8506">
        <v>0</v>
      </c>
      <c r="AG8506">
        <v>0</v>
      </c>
    </row>
    <row r="8507" spans="31:33">
      <c r="AE8507">
        <v>0</v>
      </c>
      <c r="AG8507">
        <v>0</v>
      </c>
    </row>
    <row r="8508" spans="31:33">
      <c r="AE8508">
        <v>0</v>
      </c>
      <c r="AG8508">
        <v>0</v>
      </c>
    </row>
    <row r="8509" spans="31:33">
      <c r="AE8509">
        <v>0</v>
      </c>
      <c r="AG8509">
        <v>0</v>
      </c>
    </row>
    <row r="8510" spans="31:33">
      <c r="AE8510">
        <v>0</v>
      </c>
      <c r="AG8510">
        <v>0</v>
      </c>
    </row>
    <row r="8511" spans="31:33">
      <c r="AE8511">
        <v>0</v>
      </c>
      <c r="AG8511">
        <v>0</v>
      </c>
    </row>
    <row r="8512" spans="31:33">
      <c r="AE8512">
        <v>0</v>
      </c>
      <c r="AG8512">
        <v>0</v>
      </c>
    </row>
    <row r="8513" spans="31:33">
      <c r="AE8513">
        <v>0</v>
      </c>
      <c r="AG8513">
        <v>0</v>
      </c>
    </row>
    <row r="8514" spans="31:33">
      <c r="AE8514">
        <v>0</v>
      </c>
      <c r="AG8514">
        <v>0</v>
      </c>
    </row>
    <row r="8515" spans="31:33">
      <c r="AE8515">
        <v>0</v>
      </c>
      <c r="AG8515">
        <v>0</v>
      </c>
    </row>
    <row r="8516" spans="31:33">
      <c r="AE8516">
        <v>0</v>
      </c>
      <c r="AG8516">
        <v>0</v>
      </c>
    </row>
    <row r="8517" spans="31:33">
      <c r="AE8517">
        <v>0</v>
      </c>
      <c r="AG8517">
        <v>0</v>
      </c>
    </row>
    <row r="8518" spans="31:33">
      <c r="AE8518">
        <v>0</v>
      </c>
      <c r="AG8518">
        <v>0</v>
      </c>
    </row>
    <row r="8519" spans="31:33">
      <c r="AE8519">
        <v>0</v>
      </c>
      <c r="AG8519">
        <v>0</v>
      </c>
    </row>
    <row r="8520" spans="31:33">
      <c r="AE8520">
        <v>0</v>
      </c>
      <c r="AG8520">
        <v>0</v>
      </c>
    </row>
    <row r="8521" spans="31:33">
      <c r="AE8521">
        <v>0</v>
      </c>
      <c r="AG8521">
        <v>0</v>
      </c>
    </row>
    <row r="8522" spans="31:33">
      <c r="AE8522">
        <v>0</v>
      </c>
      <c r="AG8522">
        <v>0</v>
      </c>
    </row>
    <row r="8523" spans="31:33">
      <c r="AE8523">
        <v>0</v>
      </c>
      <c r="AG8523">
        <v>0</v>
      </c>
    </row>
    <row r="8524" spans="31:33">
      <c r="AE8524">
        <v>0</v>
      </c>
      <c r="AG8524">
        <v>0</v>
      </c>
    </row>
    <row r="8525" spans="31:33">
      <c r="AE8525">
        <v>0</v>
      </c>
      <c r="AG8525">
        <v>0</v>
      </c>
    </row>
    <row r="8526" spans="31:33">
      <c r="AE8526">
        <v>0</v>
      </c>
      <c r="AG8526">
        <v>0</v>
      </c>
    </row>
    <row r="8527" spans="31:33">
      <c r="AE8527">
        <v>0</v>
      </c>
      <c r="AG8527">
        <v>0</v>
      </c>
    </row>
    <row r="8528" spans="31:33">
      <c r="AE8528">
        <v>0</v>
      </c>
      <c r="AG8528">
        <v>0</v>
      </c>
    </row>
    <row r="8529" spans="31:33">
      <c r="AE8529">
        <v>0</v>
      </c>
      <c r="AG8529">
        <v>0</v>
      </c>
    </row>
    <row r="8530" spans="31:33">
      <c r="AE8530">
        <v>0</v>
      </c>
      <c r="AG8530">
        <v>0</v>
      </c>
    </row>
    <row r="8531" spans="31:33">
      <c r="AE8531">
        <v>0</v>
      </c>
      <c r="AG8531">
        <v>0</v>
      </c>
    </row>
    <row r="8532" spans="31:33">
      <c r="AE8532">
        <v>0</v>
      </c>
      <c r="AG8532">
        <v>0</v>
      </c>
    </row>
    <row r="8533" spans="31:33">
      <c r="AE8533">
        <v>0</v>
      </c>
      <c r="AG8533">
        <v>0</v>
      </c>
    </row>
    <row r="8534" spans="31:33">
      <c r="AE8534">
        <v>0</v>
      </c>
      <c r="AG8534">
        <v>0</v>
      </c>
    </row>
    <row r="8535" spans="31:33">
      <c r="AE8535">
        <v>0</v>
      </c>
      <c r="AG8535">
        <v>0</v>
      </c>
    </row>
    <row r="8536" spans="31:33">
      <c r="AE8536">
        <v>0</v>
      </c>
      <c r="AG8536" s="31">
        <v>226491.81</v>
      </c>
    </row>
    <row r="8537" spans="31:33">
      <c r="AE8537">
        <v>0</v>
      </c>
      <c r="AG8537">
        <v>0</v>
      </c>
    </row>
    <row r="8538" spans="31:33">
      <c r="AE8538" s="31">
        <v>45496.25</v>
      </c>
      <c r="AG8538" s="31">
        <v>138334.47</v>
      </c>
    </row>
    <row r="8539" spans="31:33">
      <c r="AE8539">
        <v>0</v>
      </c>
      <c r="AG8539">
        <v>0</v>
      </c>
    </row>
    <row r="8540" spans="31:33">
      <c r="AE8540">
        <v>0</v>
      </c>
      <c r="AG8540">
        <v>0</v>
      </c>
    </row>
    <row r="8541" spans="31:33">
      <c r="AE8541">
        <v>0</v>
      </c>
      <c r="AG8541">
        <v>0</v>
      </c>
    </row>
    <row r="8542" spans="31:33">
      <c r="AE8542">
        <v>0</v>
      </c>
      <c r="AG8542">
        <v>0</v>
      </c>
    </row>
    <row r="8543" spans="31:33">
      <c r="AE8543">
        <v>0</v>
      </c>
      <c r="AG8543">
        <v>0</v>
      </c>
    </row>
    <row r="8544" spans="31:33">
      <c r="AE8544">
        <v>0</v>
      </c>
      <c r="AG8544">
        <v>0</v>
      </c>
    </row>
    <row r="8545" spans="31:33">
      <c r="AE8545">
        <v>0</v>
      </c>
      <c r="AG8545">
        <v>0</v>
      </c>
    </row>
    <row r="8546" spans="31:33">
      <c r="AE8546">
        <v>0</v>
      </c>
      <c r="AG8546">
        <v>0</v>
      </c>
    </row>
    <row r="8547" spans="31:33">
      <c r="AE8547">
        <v>0</v>
      </c>
      <c r="AG8547">
        <v>0</v>
      </c>
    </row>
    <row r="8548" spans="31:33">
      <c r="AE8548">
        <v>0</v>
      </c>
      <c r="AG8548">
        <v>0</v>
      </c>
    </row>
    <row r="8549" spans="31:33">
      <c r="AE8549">
        <v>0</v>
      </c>
      <c r="AG8549">
        <v>0</v>
      </c>
    </row>
    <row r="8550" spans="31:33">
      <c r="AE8550">
        <v>0</v>
      </c>
      <c r="AG8550">
        <v>0</v>
      </c>
    </row>
    <row r="8551" spans="31:33">
      <c r="AE8551">
        <v>0</v>
      </c>
      <c r="AG8551">
        <v>0</v>
      </c>
    </row>
    <row r="8552" spans="31:33">
      <c r="AE8552">
        <v>0</v>
      </c>
      <c r="AG8552">
        <v>0</v>
      </c>
    </row>
    <row r="8553" spans="31:33">
      <c r="AE8553">
        <v>0</v>
      </c>
      <c r="AG8553">
        <v>0</v>
      </c>
    </row>
    <row r="8554" spans="31:33">
      <c r="AE8554">
        <v>0</v>
      </c>
      <c r="AG8554">
        <v>0</v>
      </c>
    </row>
    <row r="8555" spans="31:33">
      <c r="AE8555">
        <v>0</v>
      </c>
      <c r="AG8555">
        <v>0</v>
      </c>
    </row>
    <row r="8556" spans="31:33">
      <c r="AE8556">
        <v>0</v>
      </c>
      <c r="AG8556">
        <v>0</v>
      </c>
    </row>
    <row r="8557" spans="31:33">
      <c r="AE8557">
        <v>0</v>
      </c>
      <c r="AG8557">
        <v>0</v>
      </c>
    </row>
    <row r="8558" spans="31:33">
      <c r="AE8558">
        <v>0</v>
      </c>
      <c r="AG8558">
        <v>0</v>
      </c>
    </row>
    <row r="8559" spans="31:33">
      <c r="AE8559">
        <v>0</v>
      </c>
      <c r="AG8559">
        <v>0</v>
      </c>
    </row>
    <row r="8560" spans="31:33">
      <c r="AE8560">
        <v>0</v>
      </c>
      <c r="AG8560">
        <v>0</v>
      </c>
    </row>
    <row r="8561" spans="31:33">
      <c r="AE8561">
        <v>0</v>
      </c>
      <c r="AG8561">
        <v>0</v>
      </c>
    </row>
    <row r="8562" spans="31:33">
      <c r="AE8562">
        <v>0</v>
      </c>
      <c r="AG8562">
        <v>0</v>
      </c>
    </row>
    <row r="8563" spans="31:33">
      <c r="AE8563">
        <v>0</v>
      </c>
      <c r="AG8563">
        <v>0</v>
      </c>
    </row>
    <row r="8564" spans="31:33">
      <c r="AE8564">
        <v>0</v>
      </c>
      <c r="AG8564">
        <v>0</v>
      </c>
    </row>
    <row r="8565" spans="31:33">
      <c r="AE8565">
        <v>0</v>
      </c>
      <c r="AG8565">
        <v>0</v>
      </c>
    </row>
    <row r="8566" spans="31:33">
      <c r="AE8566">
        <v>0</v>
      </c>
      <c r="AG8566">
        <v>0</v>
      </c>
    </row>
    <row r="8567" spans="31:33">
      <c r="AE8567">
        <v>0</v>
      </c>
      <c r="AG8567">
        <v>0</v>
      </c>
    </row>
    <row r="8568" spans="31:33">
      <c r="AE8568">
        <v>0</v>
      </c>
      <c r="AG8568">
        <v>0</v>
      </c>
    </row>
    <row r="8569" spans="31:33">
      <c r="AE8569">
        <v>0</v>
      </c>
      <c r="AG8569">
        <v>0</v>
      </c>
    </row>
    <row r="8570" spans="31:33">
      <c r="AE8570">
        <v>0</v>
      </c>
      <c r="AG8570">
        <v>0</v>
      </c>
    </row>
    <row r="8571" spans="31:33">
      <c r="AE8571">
        <v>0</v>
      </c>
      <c r="AG8571">
        <v>0</v>
      </c>
    </row>
    <row r="8572" spans="31:33">
      <c r="AE8572">
        <v>0</v>
      </c>
      <c r="AG8572">
        <v>0</v>
      </c>
    </row>
    <row r="8573" spans="31:33">
      <c r="AE8573">
        <v>0</v>
      </c>
      <c r="AG8573">
        <v>0</v>
      </c>
    </row>
    <row r="8574" spans="31:33">
      <c r="AE8574">
        <v>0</v>
      </c>
      <c r="AG8574">
        <v>0</v>
      </c>
    </row>
    <row r="8575" spans="31:33">
      <c r="AE8575">
        <v>0</v>
      </c>
      <c r="AG8575">
        <v>0</v>
      </c>
    </row>
    <row r="8576" spans="31:33">
      <c r="AE8576">
        <v>0</v>
      </c>
      <c r="AG8576">
        <v>0</v>
      </c>
    </row>
    <row r="8577" spans="31:33">
      <c r="AE8577">
        <v>0</v>
      </c>
      <c r="AG8577">
        <v>0</v>
      </c>
    </row>
    <row r="8578" spans="31:33">
      <c r="AE8578">
        <v>0</v>
      </c>
      <c r="AG8578">
        <v>0</v>
      </c>
    </row>
    <row r="8579" spans="31:33">
      <c r="AE8579">
        <v>0</v>
      </c>
      <c r="AG8579">
        <v>0</v>
      </c>
    </row>
    <row r="8580" spans="31:33">
      <c r="AE8580">
        <v>0</v>
      </c>
      <c r="AG8580">
        <v>0</v>
      </c>
    </row>
    <row r="8581" spans="31:33">
      <c r="AE8581">
        <v>0</v>
      </c>
      <c r="AG8581">
        <v>0</v>
      </c>
    </row>
    <row r="8582" spans="31:33">
      <c r="AE8582">
        <v>0</v>
      </c>
      <c r="AG8582">
        <v>0</v>
      </c>
    </row>
    <row r="8583" spans="31:33">
      <c r="AE8583">
        <v>0</v>
      </c>
      <c r="AG8583">
        <v>0</v>
      </c>
    </row>
    <row r="8584" spans="31:33">
      <c r="AE8584">
        <v>0</v>
      </c>
      <c r="AG8584">
        <v>0</v>
      </c>
    </row>
    <row r="8585" spans="31:33">
      <c r="AE8585">
        <v>0</v>
      </c>
      <c r="AG8585">
        <v>0</v>
      </c>
    </row>
    <row r="8586" spans="31:33">
      <c r="AE8586">
        <v>0</v>
      </c>
      <c r="AG8586">
        <v>0</v>
      </c>
    </row>
    <row r="8587" spans="31:33">
      <c r="AE8587">
        <v>0</v>
      </c>
      <c r="AG8587">
        <v>0</v>
      </c>
    </row>
    <row r="8588" spans="31:33">
      <c r="AE8588">
        <v>0</v>
      </c>
      <c r="AG8588">
        <v>0</v>
      </c>
    </row>
    <row r="8589" spans="31:33">
      <c r="AE8589">
        <v>0</v>
      </c>
      <c r="AG8589">
        <v>0</v>
      </c>
    </row>
    <row r="8590" spans="31:33">
      <c r="AE8590">
        <v>0</v>
      </c>
      <c r="AG8590">
        <v>0</v>
      </c>
    </row>
    <row r="8591" spans="31:33">
      <c r="AE8591">
        <v>0</v>
      </c>
      <c r="AG8591">
        <v>0</v>
      </c>
    </row>
    <row r="8592" spans="31:33">
      <c r="AE8592">
        <v>0</v>
      </c>
      <c r="AG8592">
        <v>0</v>
      </c>
    </row>
    <row r="8593" spans="31:33">
      <c r="AE8593">
        <v>0</v>
      </c>
      <c r="AG8593">
        <v>0</v>
      </c>
    </row>
    <row r="8594" spans="31:33">
      <c r="AE8594">
        <v>0</v>
      </c>
      <c r="AG8594">
        <v>0</v>
      </c>
    </row>
    <row r="8595" spans="31:33">
      <c r="AE8595">
        <v>0</v>
      </c>
      <c r="AG8595">
        <v>0</v>
      </c>
    </row>
    <row r="8596" spans="31:33">
      <c r="AE8596">
        <v>0</v>
      </c>
      <c r="AG8596">
        <v>0</v>
      </c>
    </row>
    <row r="8597" spans="31:33">
      <c r="AE8597">
        <v>0</v>
      </c>
      <c r="AG8597">
        <v>0</v>
      </c>
    </row>
    <row r="8598" spans="31:33">
      <c r="AE8598">
        <v>0</v>
      </c>
      <c r="AG8598">
        <v>0</v>
      </c>
    </row>
    <row r="8599" spans="31:33">
      <c r="AE8599">
        <v>0</v>
      </c>
      <c r="AG8599">
        <v>0</v>
      </c>
    </row>
    <row r="8600" spans="31:33">
      <c r="AE8600">
        <v>0</v>
      </c>
      <c r="AG8600">
        <v>0</v>
      </c>
    </row>
    <row r="8601" spans="31:33">
      <c r="AE8601">
        <v>0</v>
      </c>
      <c r="AG8601">
        <v>0</v>
      </c>
    </row>
    <row r="8602" spans="31:33">
      <c r="AE8602">
        <v>0</v>
      </c>
      <c r="AG8602">
        <v>0</v>
      </c>
    </row>
    <row r="8603" spans="31:33">
      <c r="AE8603">
        <v>0</v>
      </c>
      <c r="AG8603">
        <v>0</v>
      </c>
    </row>
    <row r="8604" spans="31:33">
      <c r="AE8604">
        <v>0</v>
      </c>
      <c r="AG8604">
        <v>0</v>
      </c>
    </row>
    <row r="8605" spans="31:33">
      <c r="AE8605">
        <v>0</v>
      </c>
      <c r="AG8605">
        <v>0</v>
      </c>
    </row>
    <row r="8606" spans="31:33">
      <c r="AE8606">
        <v>0</v>
      </c>
      <c r="AG8606">
        <v>0</v>
      </c>
    </row>
    <row r="8607" spans="31:33">
      <c r="AE8607">
        <v>0</v>
      </c>
      <c r="AG8607">
        <v>0</v>
      </c>
    </row>
    <row r="8608" spans="31:33">
      <c r="AE8608">
        <v>0</v>
      </c>
      <c r="AG8608">
        <v>0</v>
      </c>
    </row>
    <row r="8609" spans="31:33">
      <c r="AE8609">
        <v>0</v>
      </c>
      <c r="AG8609">
        <v>0</v>
      </c>
    </row>
    <row r="8610" spans="31:33">
      <c r="AE8610">
        <v>0</v>
      </c>
      <c r="AG8610">
        <v>0</v>
      </c>
    </row>
    <row r="8611" spans="31:33">
      <c r="AE8611">
        <v>0</v>
      </c>
      <c r="AG8611">
        <v>0</v>
      </c>
    </row>
    <row r="8612" spans="31:33">
      <c r="AE8612">
        <v>0</v>
      </c>
      <c r="AG8612">
        <v>0</v>
      </c>
    </row>
    <row r="8613" spans="31:33">
      <c r="AE8613">
        <v>0</v>
      </c>
      <c r="AG8613">
        <v>0</v>
      </c>
    </row>
    <row r="8614" spans="31:33">
      <c r="AE8614">
        <v>0</v>
      </c>
      <c r="AG8614">
        <v>0</v>
      </c>
    </row>
    <row r="8615" spans="31:33">
      <c r="AE8615">
        <v>0</v>
      </c>
      <c r="AG8615">
        <v>0</v>
      </c>
    </row>
    <row r="8616" spans="31:33">
      <c r="AE8616">
        <v>0</v>
      </c>
      <c r="AG8616">
        <v>0</v>
      </c>
    </row>
    <row r="8617" spans="31:33">
      <c r="AE8617">
        <v>0</v>
      </c>
      <c r="AG8617">
        <v>0</v>
      </c>
    </row>
    <row r="8618" spans="31:33">
      <c r="AE8618">
        <v>0</v>
      </c>
      <c r="AG8618">
        <v>0</v>
      </c>
    </row>
    <row r="8619" spans="31:33">
      <c r="AE8619">
        <v>0</v>
      </c>
      <c r="AG8619">
        <v>0</v>
      </c>
    </row>
    <row r="8620" spans="31:33">
      <c r="AE8620">
        <v>0</v>
      </c>
      <c r="AG8620">
        <v>0</v>
      </c>
    </row>
    <row r="8621" spans="31:33">
      <c r="AE8621">
        <v>0</v>
      </c>
      <c r="AG8621">
        <v>0</v>
      </c>
    </row>
    <row r="8622" spans="31:33">
      <c r="AE8622">
        <v>0</v>
      </c>
      <c r="AG8622">
        <v>0</v>
      </c>
    </row>
    <row r="8623" spans="31:33">
      <c r="AE8623">
        <v>0</v>
      </c>
      <c r="AG8623">
        <v>0</v>
      </c>
    </row>
    <row r="8624" spans="31:33">
      <c r="AE8624">
        <v>0</v>
      </c>
      <c r="AG8624">
        <v>0</v>
      </c>
    </row>
    <row r="8625" spans="31:33">
      <c r="AE8625">
        <v>0</v>
      </c>
      <c r="AG8625">
        <v>0</v>
      </c>
    </row>
    <row r="8626" spans="31:33">
      <c r="AE8626">
        <v>0</v>
      </c>
      <c r="AG8626">
        <v>0</v>
      </c>
    </row>
    <row r="8627" spans="31:33">
      <c r="AE8627">
        <v>0</v>
      </c>
      <c r="AG8627">
        <v>0</v>
      </c>
    </row>
    <row r="8628" spans="31:33">
      <c r="AE8628">
        <v>0</v>
      </c>
      <c r="AG8628">
        <v>0</v>
      </c>
    </row>
    <row r="8629" spans="31:33">
      <c r="AE8629">
        <v>0</v>
      </c>
      <c r="AG8629">
        <v>0</v>
      </c>
    </row>
    <row r="8630" spans="31:33">
      <c r="AE8630">
        <v>0</v>
      </c>
      <c r="AG8630">
        <v>0</v>
      </c>
    </row>
    <row r="8631" spans="31:33">
      <c r="AE8631">
        <v>0</v>
      </c>
      <c r="AG8631">
        <v>0</v>
      </c>
    </row>
    <row r="8632" spans="31:33">
      <c r="AE8632">
        <v>0</v>
      </c>
      <c r="AG8632">
        <v>0</v>
      </c>
    </row>
    <row r="8633" spans="31:33">
      <c r="AE8633">
        <v>0</v>
      </c>
      <c r="AG8633">
        <v>0</v>
      </c>
    </row>
    <row r="8634" spans="31:33">
      <c r="AE8634" s="31">
        <v>321489045.24000001</v>
      </c>
      <c r="AG8634" s="31">
        <v>423962291.22000003</v>
      </c>
    </row>
    <row r="8635" spans="31:33">
      <c r="AE8635">
        <v>0</v>
      </c>
      <c r="AG8635">
        <v>0</v>
      </c>
    </row>
    <row r="8636" spans="31:33">
      <c r="AE8636" s="31">
        <v>673219.6</v>
      </c>
      <c r="AG8636" s="31">
        <v>516451.78</v>
      </c>
    </row>
    <row r="8637" spans="31:33">
      <c r="AE8637" s="31">
        <v>38912.26</v>
      </c>
      <c r="AG8637" s="31">
        <v>-8825.5300000000007</v>
      </c>
    </row>
    <row r="8638" spans="31:33">
      <c r="AE8638">
        <v>0</v>
      </c>
      <c r="AG8638">
        <v>0</v>
      </c>
    </row>
    <row r="8639" spans="31:33">
      <c r="AE8639">
        <v>0</v>
      </c>
      <c r="AG8639">
        <v>0</v>
      </c>
    </row>
    <row r="8640" spans="31:33">
      <c r="AE8640">
        <v>0</v>
      </c>
      <c r="AG8640">
        <v>0</v>
      </c>
    </row>
    <row r="8641" spans="31:33">
      <c r="AE8641">
        <v>0</v>
      </c>
      <c r="AG8641" s="31">
        <v>138584.16</v>
      </c>
    </row>
    <row r="8642" spans="31:33">
      <c r="AE8642">
        <v>0</v>
      </c>
      <c r="AG8642">
        <v>0</v>
      </c>
    </row>
    <row r="8643" spans="31:33">
      <c r="AE8643">
        <v>0</v>
      </c>
      <c r="AG8643">
        <v>0</v>
      </c>
    </row>
    <row r="8644" spans="31:33">
      <c r="AE8644">
        <v>0</v>
      </c>
      <c r="AG8644">
        <v>0</v>
      </c>
    </row>
    <row r="8645" spans="31:33">
      <c r="AE8645" s="31">
        <v>1324102.92</v>
      </c>
      <c r="AG8645" s="31">
        <v>1967388.61</v>
      </c>
    </row>
    <row r="8646" spans="31:33">
      <c r="AE8646" s="31">
        <v>11476847.699999999</v>
      </c>
      <c r="AG8646" s="31">
        <v>11476847.699999999</v>
      </c>
    </row>
    <row r="8647" spans="31:33">
      <c r="AE8647">
        <v>0</v>
      </c>
      <c r="AG8647">
        <v>0</v>
      </c>
    </row>
    <row r="8648" spans="31:33">
      <c r="AE8648">
        <v>0</v>
      </c>
      <c r="AG8648">
        <v>0</v>
      </c>
    </row>
    <row r="8649" spans="31:33">
      <c r="AE8649">
        <v>0</v>
      </c>
      <c r="AG8649">
        <v>0</v>
      </c>
    </row>
    <row r="8650" spans="31:33">
      <c r="AE8650">
        <v>0</v>
      </c>
      <c r="AG8650">
        <v>0</v>
      </c>
    </row>
    <row r="8651" spans="31:33">
      <c r="AE8651">
        <v>0</v>
      </c>
      <c r="AG8651">
        <v>0</v>
      </c>
    </row>
    <row r="8652" spans="31:33">
      <c r="AE8652">
        <v>0</v>
      </c>
      <c r="AG8652">
        <v>0</v>
      </c>
    </row>
    <row r="8653" spans="31:33">
      <c r="AE8653">
        <v>0</v>
      </c>
      <c r="AG8653">
        <v>0</v>
      </c>
    </row>
    <row r="8654" spans="31:33">
      <c r="AE8654" s="31">
        <v>138584.16</v>
      </c>
      <c r="AG8654">
        <v>0</v>
      </c>
    </row>
    <row r="8655" spans="31:33">
      <c r="AE8655">
        <v>0</v>
      </c>
      <c r="AG8655">
        <v>0</v>
      </c>
    </row>
    <row r="8656" spans="31:33">
      <c r="AE8656">
        <v>0</v>
      </c>
      <c r="AG8656">
        <v>0</v>
      </c>
    </row>
    <row r="8657" spans="31:33">
      <c r="AE8657">
        <v>0</v>
      </c>
      <c r="AG8657">
        <v>0</v>
      </c>
    </row>
    <row r="8658" spans="31:33">
      <c r="AE8658" s="31">
        <v>502569.64</v>
      </c>
      <c r="AG8658" s="31">
        <v>1236959.6200000001</v>
      </c>
    </row>
    <row r="8659" spans="31:33">
      <c r="AE8659">
        <v>0</v>
      </c>
      <c r="AG8659">
        <v>0</v>
      </c>
    </row>
    <row r="8660" spans="31:33">
      <c r="AE8660">
        <v>0</v>
      </c>
      <c r="AG8660">
        <v>0</v>
      </c>
    </row>
    <row r="8661" spans="31:33">
      <c r="AE8661">
        <v>0</v>
      </c>
      <c r="AG8661">
        <v>0</v>
      </c>
    </row>
    <row r="8662" spans="31:33">
      <c r="AE8662">
        <v>0</v>
      </c>
      <c r="AG8662">
        <v>0</v>
      </c>
    </row>
    <row r="8663" spans="31:33">
      <c r="AE8663">
        <v>0</v>
      </c>
      <c r="AG8663">
        <v>0</v>
      </c>
    </row>
    <row r="8664" spans="31:33">
      <c r="AE8664" s="31">
        <v>-115648.18</v>
      </c>
      <c r="AG8664" s="31">
        <v>-149170.29999999999</v>
      </c>
    </row>
    <row r="8665" spans="31:33">
      <c r="AE8665">
        <v>0</v>
      </c>
      <c r="AG8665">
        <v>0</v>
      </c>
    </row>
    <row r="8666" spans="31:33">
      <c r="AE8666">
        <v>0</v>
      </c>
      <c r="AG8666">
        <v>0</v>
      </c>
    </row>
    <row r="8667" spans="31:33">
      <c r="AE8667">
        <v>0</v>
      </c>
      <c r="AG8667">
        <v>0</v>
      </c>
    </row>
    <row r="8668" spans="31:33">
      <c r="AE8668">
        <v>0</v>
      </c>
      <c r="AG8668">
        <v>0</v>
      </c>
    </row>
    <row r="8669" spans="31:33">
      <c r="AE8669">
        <v>0</v>
      </c>
      <c r="AG8669">
        <v>0</v>
      </c>
    </row>
    <row r="8670" spans="31:33">
      <c r="AE8670">
        <v>0</v>
      </c>
      <c r="AG8670">
        <v>0</v>
      </c>
    </row>
    <row r="8671" spans="31:33">
      <c r="AE8671">
        <v>0</v>
      </c>
      <c r="AG8671">
        <v>0</v>
      </c>
    </row>
    <row r="8672" spans="31:33">
      <c r="AE8672">
        <v>0</v>
      </c>
      <c r="AG8672">
        <v>0</v>
      </c>
    </row>
    <row r="8673" spans="31:33">
      <c r="AE8673">
        <v>0</v>
      </c>
      <c r="AG8673">
        <v>0</v>
      </c>
    </row>
    <row r="8674" spans="31:33">
      <c r="AE8674">
        <v>0</v>
      </c>
      <c r="AG8674">
        <v>0</v>
      </c>
    </row>
    <row r="8675" spans="31:33">
      <c r="AE8675">
        <v>0</v>
      </c>
      <c r="AG8675">
        <v>0</v>
      </c>
    </row>
    <row r="8676" spans="31:33">
      <c r="AE8676">
        <v>0</v>
      </c>
      <c r="AG8676">
        <v>0</v>
      </c>
    </row>
    <row r="8677" spans="31:33">
      <c r="AE8677">
        <v>0</v>
      </c>
      <c r="AG8677">
        <v>0</v>
      </c>
    </row>
    <row r="8678" spans="31:33">
      <c r="AE8678">
        <v>0</v>
      </c>
      <c r="AG8678">
        <v>0</v>
      </c>
    </row>
    <row r="8679" spans="31:33">
      <c r="AE8679">
        <v>0</v>
      </c>
      <c r="AG8679">
        <v>0</v>
      </c>
    </row>
    <row r="8680" spans="31:33">
      <c r="AE8680">
        <v>0</v>
      </c>
      <c r="AG8680">
        <v>0</v>
      </c>
    </row>
    <row r="8681" spans="31:33">
      <c r="AE8681">
        <v>0</v>
      </c>
      <c r="AG8681">
        <v>0</v>
      </c>
    </row>
    <row r="8682" spans="31:33">
      <c r="AE8682">
        <v>0</v>
      </c>
      <c r="AG8682">
        <v>0</v>
      </c>
    </row>
    <row r="8683" spans="31:33">
      <c r="AE8683">
        <v>0</v>
      </c>
      <c r="AG8683">
        <v>0</v>
      </c>
    </row>
    <row r="8684" spans="31:33">
      <c r="AE8684">
        <v>0</v>
      </c>
      <c r="AG8684">
        <v>0</v>
      </c>
    </row>
    <row r="8685" spans="31:33">
      <c r="AE8685">
        <v>0</v>
      </c>
      <c r="AG8685">
        <v>0</v>
      </c>
    </row>
    <row r="8686" spans="31:33">
      <c r="AE8686">
        <v>0</v>
      </c>
      <c r="AG8686">
        <v>0</v>
      </c>
    </row>
    <row r="8687" spans="31:33">
      <c r="AE8687">
        <v>0</v>
      </c>
      <c r="AG8687">
        <v>0</v>
      </c>
    </row>
    <row r="8688" spans="31:33">
      <c r="AE8688">
        <v>0</v>
      </c>
      <c r="AG8688">
        <v>0</v>
      </c>
    </row>
    <row r="8689" spans="31:33">
      <c r="AE8689">
        <v>0</v>
      </c>
      <c r="AG8689">
        <v>0</v>
      </c>
    </row>
    <row r="8690" spans="31:33">
      <c r="AE8690">
        <v>0</v>
      </c>
      <c r="AG8690">
        <v>0</v>
      </c>
    </row>
    <row r="8691" spans="31:33">
      <c r="AE8691">
        <v>0</v>
      </c>
      <c r="AG8691">
        <v>0</v>
      </c>
    </row>
    <row r="8692" spans="31:33">
      <c r="AE8692">
        <v>0</v>
      </c>
      <c r="AG8692">
        <v>0</v>
      </c>
    </row>
    <row r="8693" spans="31:33">
      <c r="AE8693">
        <v>0</v>
      </c>
      <c r="AG8693">
        <v>0</v>
      </c>
    </row>
    <row r="8694" spans="31:33">
      <c r="AE8694" s="31">
        <v>21385800.859999999</v>
      </c>
      <c r="AG8694" s="31">
        <v>25266572.960000001</v>
      </c>
    </row>
    <row r="8695" spans="31:33">
      <c r="AE8695">
        <v>0</v>
      </c>
      <c r="AG8695">
        <v>0</v>
      </c>
    </row>
    <row r="8696" spans="31:33">
      <c r="AE8696">
        <v>0</v>
      </c>
      <c r="AG8696">
        <v>0</v>
      </c>
    </row>
    <row r="8697" spans="31:33">
      <c r="AE8697">
        <v>0</v>
      </c>
      <c r="AG8697">
        <v>0</v>
      </c>
    </row>
    <row r="8698" spans="31:33">
      <c r="AE8698">
        <v>0</v>
      </c>
      <c r="AG8698">
        <v>0</v>
      </c>
    </row>
    <row r="8699" spans="31:33">
      <c r="AE8699" s="31">
        <v>792198.06</v>
      </c>
      <c r="AG8699" s="31">
        <v>1085656.3</v>
      </c>
    </row>
    <row r="8700" spans="31:33">
      <c r="AE8700" s="31">
        <v>4672.29</v>
      </c>
      <c r="AG8700" s="31">
        <v>9463.18</v>
      </c>
    </row>
    <row r="8701" spans="31:33">
      <c r="AE8701">
        <v>0</v>
      </c>
      <c r="AG8701">
        <v>0</v>
      </c>
    </row>
    <row r="8702" spans="31:33">
      <c r="AE8702" s="31">
        <v>-3372199.71</v>
      </c>
      <c r="AG8702" s="31">
        <v>-6658653.0899999999</v>
      </c>
    </row>
    <row r="8703" spans="31:33">
      <c r="AE8703" s="31">
        <v>-21385800.859999999</v>
      </c>
      <c r="AG8703" s="31">
        <v>-25266572.960000001</v>
      </c>
    </row>
    <row r="8704" spans="31:33">
      <c r="AE8704">
        <v>0</v>
      </c>
      <c r="AG8704">
        <v>0</v>
      </c>
    </row>
    <row r="8705" spans="31:33">
      <c r="AE8705">
        <v>0</v>
      </c>
      <c r="AG8705">
        <v>0</v>
      </c>
    </row>
    <row r="8706" spans="31:33">
      <c r="AE8706">
        <v>0</v>
      </c>
      <c r="AG8706">
        <v>0</v>
      </c>
    </row>
    <row r="8707" spans="31:33">
      <c r="AE8707">
        <v>0</v>
      </c>
      <c r="AG8707">
        <v>0</v>
      </c>
    </row>
    <row r="8708" spans="31:33">
      <c r="AE8708">
        <v>0</v>
      </c>
      <c r="AG8708">
        <v>0</v>
      </c>
    </row>
    <row r="8709" spans="31:33">
      <c r="AE8709">
        <v>0</v>
      </c>
      <c r="AG8709">
        <v>0</v>
      </c>
    </row>
    <row r="8710" spans="31:33">
      <c r="AE8710" s="31">
        <v>3576.79</v>
      </c>
      <c r="AG8710" s="31">
        <v>3696.36</v>
      </c>
    </row>
    <row r="8711" spans="31:33">
      <c r="AE8711">
        <v>0</v>
      </c>
      <c r="AG8711">
        <v>0</v>
      </c>
    </row>
    <row r="8712" spans="31:33">
      <c r="AE8712" s="31">
        <v>-2533459.7200000002</v>
      </c>
      <c r="AG8712" s="31">
        <v>-2191517.41</v>
      </c>
    </row>
    <row r="8713" spans="31:33">
      <c r="AE8713" s="31">
        <v>317452.53000000003</v>
      </c>
      <c r="AG8713" s="31">
        <v>35609.050000000003</v>
      </c>
    </row>
    <row r="8714" spans="31:33">
      <c r="AE8714">
        <v>0</v>
      </c>
      <c r="AG8714">
        <v>0</v>
      </c>
    </row>
    <row r="8715" spans="31:33">
      <c r="AE8715">
        <v>0</v>
      </c>
      <c r="AG8715">
        <v>0</v>
      </c>
    </row>
    <row r="8716" spans="31:33">
      <c r="AE8716" s="31">
        <v>68058.149999999994</v>
      </c>
      <c r="AG8716" s="31">
        <v>102296.05</v>
      </c>
    </row>
    <row r="8717" spans="31:33">
      <c r="AE8717">
        <v>0</v>
      </c>
      <c r="AG8717">
        <v>0</v>
      </c>
    </row>
    <row r="8718" spans="31:33">
      <c r="AE8718">
        <v>0</v>
      </c>
      <c r="AG8718">
        <v>0</v>
      </c>
    </row>
    <row r="8719" spans="31:33">
      <c r="AE8719">
        <v>0</v>
      </c>
      <c r="AG8719">
        <v>0</v>
      </c>
    </row>
    <row r="8720" spans="31:33">
      <c r="AE8720">
        <v>0</v>
      </c>
      <c r="AG8720">
        <v>0</v>
      </c>
    </row>
    <row r="8721" spans="31:33">
      <c r="AE8721">
        <v>0</v>
      </c>
      <c r="AG8721">
        <v>0</v>
      </c>
    </row>
    <row r="8722" spans="31:33">
      <c r="AE8722">
        <v>0</v>
      </c>
      <c r="AG8722">
        <v>0</v>
      </c>
    </row>
    <row r="8723" spans="31:33">
      <c r="AE8723">
        <v>0</v>
      </c>
      <c r="AG8723">
        <v>0</v>
      </c>
    </row>
    <row r="8724" spans="31:33">
      <c r="AE8724">
        <v>0</v>
      </c>
      <c r="AG8724">
        <v>0</v>
      </c>
    </row>
    <row r="8725" spans="31:33">
      <c r="AE8725">
        <v>0</v>
      </c>
      <c r="AG8725">
        <v>0</v>
      </c>
    </row>
    <row r="8726" spans="31:33">
      <c r="AE8726">
        <v>0</v>
      </c>
      <c r="AG8726">
        <v>0</v>
      </c>
    </row>
    <row r="8727" spans="31:33">
      <c r="AE8727">
        <v>0</v>
      </c>
      <c r="AG8727">
        <v>0</v>
      </c>
    </row>
    <row r="8728" spans="31:33">
      <c r="AE8728">
        <v>0</v>
      </c>
      <c r="AG8728">
        <v>0</v>
      </c>
    </row>
    <row r="8729" spans="31:33">
      <c r="AE8729">
        <v>0</v>
      </c>
      <c r="AG8729">
        <v>0</v>
      </c>
    </row>
    <row r="8730" spans="31:33">
      <c r="AE8730">
        <v>0</v>
      </c>
      <c r="AG8730">
        <v>0</v>
      </c>
    </row>
    <row r="8731" spans="31:33">
      <c r="AE8731">
        <v>0</v>
      </c>
      <c r="AG8731">
        <v>0</v>
      </c>
    </row>
    <row r="8732" spans="31:33">
      <c r="AE8732">
        <v>0</v>
      </c>
      <c r="AG8732">
        <v>0</v>
      </c>
    </row>
    <row r="8733" spans="31:33">
      <c r="AE8733">
        <v>0</v>
      </c>
      <c r="AG8733">
        <v>0</v>
      </c>
    </row>
    <row r="8734" spans="31:33">
      <c r="AE8734">
        <v>0</v>
      </c>
      <c r="AG8734">
        <v>0</v>
      </c>
    </row>
    <row r="8735" spans="31:33">
      <c r="AE8735">
        <v>0</v>
      </c>
      <c r="AG8735">
        <v>0</v>
      </c>
    </row>
    <row r="8736" spans="31:33">
      <c r="AE8736">
        <v>0</v>
      </c>
      <c r="AG8736">
        <v>0</v>
      </c>
    </row>
    <row r="8737" spans="31:33">
      <c r="AE8737">
        <v>0</v>
      </c>
      <c r="AG8737">
        <v>0</v>
      </c>
    </row>
    <row r="8738" spans="31:33">
      <c r="AE8738">
        <v>0</v>
      </c>
      <c r="AG8738">
        <v>0</v>
      </c>
    </row>
    <row r="8739" spans="31:33">
      <c r="AE8739">
        <v>0</v>
      </c>
      <c r="AG8739">
        <v>0</v>
      </c>
    </row>
    <row r="8740" spans="31:33">
      <c r="AE8740">
        <v>0</v>
      </c>
      <c r="AG8740">
        <v>0</v>
      </c>
    </row>
    <row r="8741" spans="31:33">
      <c r="AE8741">
        <v>0</v>
      </c>
      <c r="AG8741">
        <v>0</v>
      </c>
    </row>
    <row r="8742" spans="31:33">
      <c r="AE8742">
        <v>0</v>
      </c>
      <c r="AG8742">
        <v>0</v>
      </c>
    </row>
    <row r="8743" spans="31:33">
      <c r="AE8743">
        <v>0</v>
      </c>
      <c r="AG8743">
        <v>0</v>
      </c>
    </row>
    <row r="8744" spans="31:33">
      <c r="AE8744">
        <v>0</v>
      </c>
      <c r="AG8744">
        <v>0</v>
      </c>
    </row>
    <row r="8745" spans="31:33">
      <c r="AE8745">
        <v>0</v>
      </c>
      <c r="AG8745">
        <v>0</v>
      </c>
    </row>
    <row r="8746" spans="31:33">
      <c r="AE8746">
        <v>0</v>
      </c>
      <c r="AG8746">
        <v>0</v>
      </c>
    </row>
    <row r="8747" spans="31:33">
      <c r="AE8747">
        <v>0</v>
      </c>
      <c r="AG8747">
        <v>0</v>
      </c>
    </row>
    <row r="8748" spans="31:33">
      <c r="AE8748">
        <v>0</v>
      </c>
      <c r="AG8748">
        <v>0</v>
      </c>
    </row>
    <row r="8749" spans="31:33">
      <c r="AE8749">
        <v>0</v>
      </c>
      <c r="AG8749">
        <v>0</v>
      </c>
    </row>
    <row r="8750" spans="31:33">
      <c r="AE8750">
        <v>0</v>
      </c>
      <c r="AG8750">
        <v>0</v>
      </c>
    </row>
    <row r="8751" spans="31:33">
      <c r="AE8751">
        <v>0</v>
      </c>
      <c r="AG8751">
        <v>0</v>
      </c>
    </row>
    <row r="8752" spans="31:33">
      <c r="AE8752">
        <v>0</v>
      </c>
      <c r="AG8752">
        <v>0</v>
      </c>
    </row>
    <row r="8753" spans="31:33">
      <c r="AE8753">
        <v>0</v>
      </c>
      <c r="AG8753">
        <v>0</v>
      </c>
    </row>
    <row r="8754" spans="31:33">
      <c r="AE8754">
        <v>0</v>
      </c>
      <c r="AG8754">
        <v>0</v>
      </c>
    </row>
    <row r="8755" spans="31:33">
      <c r="AE8755">
        <v>0</v>
      </c>
      <c r="AG8755">
        <v>0</v>
      </c>
    </row>
    <row r="8756" spans="31:33">
      <c r="AE8756">
        <v>0</v>
      </c>
      <c r="AG8756">
        <v>0</v>
      </c>
    </row>
    <row r="8757" spans="31:33">
      <c r="AE8757">
        <v>0</v>
      </c>
      <c r="AG8757">
        <v>0</v>
      </c>
    </row>
    <row r="8758" spans="31:33">
      <c r="AE8758">
        <v>0</v>
      </c>
      <c r="AG8758">
        <v>0</v>
      </c>
    </row>
    <row r="8759" spans="31:33">
      <c r="AE8759">
        <v>0</v>
      </c>
      <c r="AG8759">
        <v>0</v>
      </c>
    </row>
    <row r="8760" spans="31:33">
      <c r="AE8760">
        <v>0</v>
      </c>
      <c r="AG8760">
        <v>0</v>
      </c>
    </row>
    <row r="8761" spans="31:33">
      <c r="AE8761">
        <v>0</v>
      </c>
      <c r="AG8761">
        <v>0</v>
      </c>
    </row>
    <row r="8762" spans="31:33">
      <c r="AE8762">
        <v>0</v>
      </c>
      <c r="AG8762">
        <v>0</v>
      </c>
    </row>
    <row r="8763" spans="31:33">
      <c r="AE8763">
        <v>0</v>
      </c>
      <c r="AG8763">
        <v>0</v>
      </c>
    </row>
    <row r="8764" spans="31:33">
      <c r="AE8764">
        <v>0</v>
      </c>
      <c r="AG8764">
        <v>0</v>
      </c>
    </row>
    <row r="8765" spans="31:33">
      <c r="AE8765">
        <v>0</v>
      </c>
      <c r="AG8765">
        <v>0</v>
      </c>
    </row>
    <row r="8766" spans="31:33">
      <c r="AE8766">
        <v>0</v>
      </c>
      <c r="AG8766">
        <v>0</v>
      </c>
    </row>
    <row r="8767" spans="31:33">
      <c r="AE8767">
        <v>0</v>
      </c>
      <c r="AG8767">
        <v>0</v>
      </c>
    </row>
    <row r="8768" spans="31:33">
      <c r="AE8768">
        <v>0</v>
      </c>
      <c r="AG8768">
        <v>0</v>
      </c>
    </row>
    <row r="8769" spans="31:33">
      <c r="AE8769">
        <v>0</v>
      </c>
      <c r="AG8769">
        <v>0</v>
      </c>
    </row>
    <row r="8770" spans="31:33">
      <c r="AE8770">
        <v>0</v>
      </c>
      <c r="AG8770">
        <v>0</v>
      </c>
    </row>
    <row r="8771" spans="31:33">
      <c r="AE8771">
        <v>0</v>
      </c>
      <c r="AG8771">
        <v>0</v>
      </c>
    </row>
    <row r="8772" spans="31:33">
      <c r="AE8772">
        <v>0</v>
      </c>
      <c r="AG8772">
        <v>0</v>
      </c>
    </row>
    <row r="8773" spans="31:33">
      <c r="AE8773">
        <v>0</v>
      </c>
      <c r="AG8773">
        <v>0</v>
      </c>
    </row>
    <row r="8774" spans="31:33">
      <c r="AE8774">
        <v>0</v>
      </c>
      <c r="AG8774">
        <v>0</v>
      </c>
    </row>
    <row r="8775" spans="31:33">
      <c r="AE8775">
        <v>0</v>
      </c>
      <c r="AG8775">
        <v>0</v>
      </c>
    </row>
    <row r="8776" spans="31:33">
      <c r="AE8776">
        <v>0</v>
      </c>
      <c r="AG8776">
        <v>0</v>
      </c>
    </row>
    <row r="8777" spans="31:33">
      <c r="AE8777">
        <v>0</v>
      </c>
      <c r="AG8777">
        <v>0</v>
      </c>
    </row>
    <row r="8778" spans="31:33">
      <c r="AE8778">
        <v>0</v>
      </c>
      <c r="AG8778">
        <v>0</v>
      </c>
    </row>
    <row r="8779" spans="31:33">
      <c r="AE8779">
        <v>0</v>
      </c>
      <c r="AG8779">
        <v>0</v>
      </c>
    </row>
    <row r="8780" spans="31:33">
      <c r="AE8780">
        <v>0</v>
      </c>
      <c r="AG8780">
        <v>0</v>
      </c>
    </row>
    <row r="8781" spans="31:33">
      <c r="AE8781">
        <v>0</v>
      </c>
      <c r="AG8781">
        <v>0</v>
      </c>
    </row>
    <row r="8782" spans="31:33">
      <c r="AE8782">
        <v>0</v>
      </c>
      <c r="AG8782">
        <v>0</v>
      </c>
    </row>
    <row r="8783" spans="31:33">
      <c r="AE8783">
        <v>0</v>
      </c>
      <c r="AG8783">
        <v>0</v>
      </c>
    </row>
    <row r="8784" spans="31:33">
      <c r="AE8784">
        <v>0</v>
      </c>
      <c r="AG8784">
        <v>0</v>
      </c>
    </row>
    <row r="8785" spans="31:33">
      <c r="AE8785">
        <v>0</v>
      </c>
      <c r="AG8785">
        <v>0</v>
      </c>
    </row>
    <row r="8786" spans="31:33">
      <c r="AE8786">
        <v>0</v>
      </c>
      <c r="AG8786">
        <v>0</v>
      </c>
    </row>
    <row r="8787" spans="31:33">
      <c r="AE8787">
        <v>0</v>
      </c>
      <c r="AG8787">
        <v>0</v>
      </c>
    </row>
    <row r="8788" spans="31:33">
      <c r="AE8788">
        <v>0</v>
      </c>
      <c r="AG8788">
        <v>0</v>
      </c>
    </row>
    <row r="8789" spans="31:33">
      <c r="AE8789">
        <v>0</v>
      </c>
      <c r="AG8789">
        <v>0</v>
      </c>
    </row>
    <row r="8790" spans="31:33">
      <c r="AE8790">
        <v>0</v>
      </c>
      <c r="AG8790">
        <v>0</v>
      </c>
    </row>
    <row r="8791" spans="31:33">
      <c r="AE8791">
        <v>0</v>
      </c>
      <c r="AG8791">
        <v>0</v>
      </c>
    </row>
    <row r="8792" spans="31:33">
      <c r="AE8792">
        <v>0</v>
      </c>
      <c r="AG8792">
        <v>0</v>
      </c>
    </row>
    <row r="8793" spans="31:33">
      <c r="AE8793">
        <v>0</v>
      </c>
      <c r="AG8793">
        <v>0</v>
      </c>
    </row>
    <row r="8794" spans="31:33">
      <c r="AE8794">
        <v>0</v>
      </c>
      <c r="AG8794">
        <v>0</v>
      </c>
    </row>
    <row r="8795" spans="31:33">
      <c r="AE8795">
        <v>0</v>
      </c>
      <c r="AG8795">
        <v>0</v>
      </c>
    </row>
    <row r="8796" spans="31:33">
      <c r="AE8796">
        <v>0</v>
      </c>
      <c r="AG8796">
        <v>0</v>
      </c>
    </row>
    <row r="8797" spans="31:33">
      <c r="AE8797">
        <v>0</v>
      </c>
      <c r="AG8797">
        <v>0</v>
      </c>
    </row>
    <row r="8798" spans="31:33">
      <c r="AE8798">
        <v>0</v>
      </c>
      <c r="AG8798">
        <v>0</v>
      </c>
    </row>
    <row r="8799" spans="31:33">
      <c r="AE8799">
        <v>0</v>
      </c>
      <c r="AG8799">
        <v>0</v>
      </c>
    </row>
    <row r="8800" spans="31:33">
      <c r="AE8800">
        <v>0</v>
      </c>
      <c r="AG8800">
        <v>0</v>
      </c>
    </row>
    <row r="8801" spans="31:33">
      <c r="AE8801">
        <v>0</v>
      </c>
      <c r="AG8801">
        <v>0</v>
      </c>
    </row>
    <row r="8802" spans="31:33">
      <c r="AE8802">
        <v>0</v>
      </c>
      <c r="AG8802">
        <v>0</v>
      </c>
    </row>
    <row r="8803" spans="31:33">
      <c r="AE8803">
        <v>0</v>
      </c>
      <c r="AG8803">
        <v>0</v>
      </c>
    </row>
    <row r="8804" spans="31:33">
      <c r="AE8804">
        <v>0</v>
      </c>
      <c r="AG8804">
        <v>0</v>
      </c>
    </row>
    <row r="8805" spans="31:33">
      <c r="AE8805">
        <v>0</v>
      </c>
      <c r="AG8805">
        <v>0</v>
      </c>
    </row>
    <row r="8806" spans="31:33">
      <c r="AE8806">
        <v>0</v>
      </c>
      <c r="AG8806">
        <v>0</v>
      </c>
    </row>
    <row r="8807" spans="31:33">
      <c r="AE8807">
        <v>0</v>
      </c>
      <c r="AG8807">
        <v>0</v>
      </c>
    </row>
    <row r="8808" spans="31:33">
      <c r="AE8808">
        <v>0</v>
      </c>
      <c r="AG8808">
        <v>0</v>
      </c>
    </row>
    <row r="8809" spans="31:33">
      <c r="AE8809">
        <v>0</v>
      </c>
      <c r="AG8809">
        <v>0</v>
      </c>
    </row>
    <row r="8810" spans="31:33">
      <c r="AE8810">
        <v>0</v>
      </c>
      <c r="AG8810">
        <v>0</v>
      </c>
    </row>
    <row r="8811" spans="31:33">
      <c r="AE8811">
        <v>0</v>
      </c>
      <c r="AG8811">
        <v>0</v>
      </c>
    </row>
    <row r="8812" spans="31:33">
      <c r="AE8812">
        <v>0</v>
      </c>
      <c r="AG8812">
        <v>0</v>
      </c>
    </row>
    <row r="8813" spans="31:33">
      <c r="AE8813">
        <v>0</v>
      </c>
      <c r="AG8813">
        <v>0</v>
      </c>
    </row>
    <row r="8814" spans="31:33">
      <c r="AE8814">
        <v>0</v>
      </c>
      <c r="AG8814">
        <v>0</v>
      </c>
    </row>
    <row r="8815" spans="31:33">
      <c r="AE8815">
        <v>0</v>
      </c>
      <c r="AG8815">
        <v>0</v>
      </c>
    </row>
    <row r="8816" spans="31:33">
      <c r="AE8816">
        <v>0</v>
      </c>
      <c r="AG8816">
        <v>0</v>
      </c>
    </row>
    <row r="8817" spans="31:33">
      <c r="AE8817">
        <v>0</v>
      </c>
      <c r="AG8817">
        <v>0</v>
      </c>
    </row>
    <row r="8818" spans="31:33">
      <c r="AE8818">
        <v>0</v>
      </c>
      <c r="AG8818">
        <v>0</v>
      </c>
    </row>
    <row r="8819" spans="31:33">
      <c r="AE8819">
        <v>0</v>
      </c>
      <c r="AG8819">
        <v>0</v>
      </c>
    </row>
    <row r="8820" spans="31:33">
      <c r="AE8820">
        <v>0</v>
      </c>
      <c r="AG8820">
        <v>0</v>
      </c>
    </row>
    <row r="8821" spans="31:33">
      <c r="AE8821" s="31">
        <v>2318413.7599999998</v>
      </c>
      <c r="AG8821" s="31">
        <v>2495709.2999999998</v>
      </c>
    </row>
    <row r="8822" spans="31:33">
      <c r="AE8822">
        <v>0</v>
      </c>
      <c r="AG8822">
        <v>0</v>
      </c>
    </row>
    <row r="8823" spans="31:33">
      <c r="AE8823">
        <v>0</v>
      </c>
      <c r="AG8823">
        <v>0</v>
      </c>
    </row>
    <row r="8824" spans="31:33">
      <c r="AE8824">
        <v>0</v>
      </c>
      <c r="AG8824">
        <v>0</v>
      </c>
    </row>
    <row r="8825" spans="31:33">
      <c r="AE8825" s="31">
        <v>150591.26</v>
      </c>
      <c r="AG8825">
        <v>0</v>
      </c>
    </row>
    <row r="8826" spans="31:33">
      <c r="AE8826">
        <v>0</v>
      </c>
      <c r="AG8826">
        <v>0</v>
      </c>
    </row>
    <row r="8827" spans="31:33">
      <c r="AE8827">
        <v>0</v>
      </c>
      <c r="AG8827">
        <v>0</v>
      </c>
    </row>
    <row r="8828" spans="31:33">
      <c r="AE8828">
        <v>0</v>
      </c>
      <c r="AG8828">
        <v>0</v>
      </c>
    </row>
    <row r="8829" spans="31:33">
      <c r="AE8829">
        <v>0</v>
      </c>
      <c r="AG8829">
        <v>0</v>
      </c>
    </row>
    <row r="8830" spans="31:33">
      <c r="AE8830">
        <v>0</v>
      </c>
      <c r="AG8830">
        <v>0</v>
      </c>
    </row>
    <row r="8831" spans="31:33">
      <c r="AE8831">
        <v>0</v>
      </c>
      <c r="AG8831">
        <v>0</v>
      </c>
    </row>
    <row r="8832" spans="31:33">
      <c r="AE8832">
        <v>0</v>
      </c>
      <c r="AG8832">
        <v>0</v>
      </c>
    </row>
    <row r="8833" spans="31:33">
      <c r="AE8833">
        <v>0</v>
      </c>
      <c r="AG8833">
        <v>0</v>
      </c>
    </row>
    <row r="8834" spans="31:33">
      <c r="AE8834">
        <v>0</v>
      </c>
      <c r="AG8834">
        <v>0</v>
      </c>
    </row>
    <row r="8835" spans="31:33">
      <c r="AE8835">
        <v>0</v>
      </c>
      <c r="AG8835">
        <v>0</v>
      </c>
    </row>
    <row r="8836" spans="31:33">
      <c r="AE8836">
        <v>0</v>
      </c>
      <c r="AG8836">
        <v>0</v>
      </c>
    </row>
    <row r="8837" spans="31:33">
      <c r="AE8837">
        <v>0</v>
      </c>
      <c r="AG8837">
        <v>0</v>
      </c>
    </row>
    <row r="8838" spans="31:33">
      <c r="AE8838">
        <v>0</v>
      </c>
      <c r="AG8838">
        <v>0</v>
      </c>
    </row>
    <row r="8839" spans="31:33">
      <c r="AE8839">
        <v>0</v>
      </c>
      <c r="AG8839">
        <v>0</v>
      </c>
    </row>
    <row r="8840" spans="31:33">
      <c r="AE8840">
        <v>0</v>
      </c>
      <c r="AG8840">
        <v>0</v>
      </c>
    </row>
    <row r="8841" spans="31:33">
      <c r="AE8841">
        <v>0</v>
      </c>
      <c r="AG8841">
        <v>0</v>
      </c>
    </row>
    <row r="8842" spans="31:33">
      <c r="AE8842">
        <v>0</v>
      </c>
      <c r="AG8842">
        <v>0</v>
      </c>
    </row>
    <row r="8843" spans="31:33">
      <c r="AE8843">
        <v>0</v>
      </c>
      <c r="AG8843">
        <v>0</v>
      </c>
    </row>
    <row r="8844" spans="31:33">
      <c r="AE8844">
        <v>0</v>
      </c>
      <c r="AG8844">
        <v>0</v>
      </c>
    </row>
    <row r="8845" spans="31:33">
      <c r="AE8845">
        <v>0</v>
      </c>
      <c r="AG8845">
        <v>0</v>
      </c>
    </row>
    <row r="8846" spans="31:33">
      <c r="AE8846">
        <v>0</v>
      </c>
      <c r="AG8846">
        <v>0</v>
      </c>
    </row>
    <row r="8847" spans="31:33">
      <c r="AE8847">
        <v>0</v>
      </c>
      <c r="AG8847">
        <v>0</v>
      </c>
    </row>
    <row r="8848" spans="31:33">
      <c r="AE8848">
        <v>0</v>
      </c>
      <c r="AG8848">
        <v>0</v>
      </c>
    </row>
    <row r="8849" spans="31:33">
      <c r="AE8849">
        <v>0</v>
      </c>
      <c r="AG8849">
        <v>0</v>
      </c>
    </row>
    <row r="8850" spans="31:33">
      <c r="AE8850">
        <v>0</v>
      </c>
      <c r="AG8850">
        <v>0</v>
      </c>
    </row>
    <row r="8851" spans="31:33">
      <c r="AE8851">
        <v>0</v>
      </c>
      <c r="AG8851">
        <v>0</v>
      </c>
    </row>
    <row r="8852" spans="31:33">
      <c r="AE8852">
        <v>0</v>
      </c>
      <c r="AG8852">
        <v>0</v>
      </c>
    </row>
    <row r="8853" spans="31:33">
      <c r="AE8853">
        <v>0</v>
      </c>
      <c r="AG8853">
        <v>0</v>
      </c>
    </row>
    <row r="8854" spans="31:33">
      <c r="AE8854">
        <v>0</v>
      </c>
      <c r="AG8854">
        <v>0</v>
      </c>
    </row>
    <row r="8855" spans="31:33">
      <c r="AE8855">
        <v>0</v>
      </c>
      <c r="AG8855">
        <v>0</v>
      </c>
    </row>
    <row r="8856" spans="31:33">
      <c r="AE8856">
        <v>0</v>
      </c>
      <c r="AG8856">
        <v>0</v>
      </c>
    </row>
    <row r="8857" spans="31:33">
      <c r="AE8857">
        <v>0</v>
      </c>
      <c r="AG8857">
        <v>0</v>
      </c>
    </row>
    <row r="8858" spans="31:33">
      <c r="AE8858">
        <v>0</v>
      </c>
      <c r="AG8858">
        <v>0</v>
      </c>
    </row>
    <row r="8859" spans="31:33">
      <c r="AE8859">
        <v>0</v>
      </c>
      <c r="AG8859">
        <v>0</v>
      </c>
    </row>
    <row r="8860" spans="31:33">
      <c r="AE8860">
        <v>0</v>
      </c>
      <c r="AG8860">
        <v>0</v>
      </c>
    </row>
    <row r="8861" spans="31:33">
      <c r="AE8861">
        <v>0</v>
      </c>
      <c r="AG8861">
        <v>0</v>
      </c>
    </row>
    <row r="8862" spans="31:33">
      <c r="AE8862" s="31">
        <v>-150591.26</v>
      </c>
      <c r="AG8862">
        <v>0</v>
      </c>
    </row>
    <row r="8863" spans="31:33">
      <c r="AE8863">
        <v>0</v>
      </c>
      <c r="AG8863">
        <v>0</v>
      </c>
    </row>
    <row r="8864" spans="31:33">
      <c r="AE8864">
        <v>0</v>
      </c>
      <c r="AG8864">
        <v>0</v>
      </c>
    </row>
    <row r="8865" spans="31:33">
      <c r="AE8865">
        <v>0</v>
      </c>
      <c r="AG8865">
        <v>0</v>
      </c>
    </row>
    <row r="8866" spans="31:33">
      <c r="AE8866">
        <v>0</v>
      </c>
      <c r="AG8866">
        <v>0</v>
      </c>
    </row>
    <row r="8867" spans="31:33">
      <c r="AE8867">
        <v>0</v>
      </c>
      <c r="AG8867">
        <v>0</v>
      </c>
    </row>
    <row r="8868" spans="31:33">
      <c r="AE8868">
        <v>0</v>
      </c>
      <c r="AG8868">
        <v>0</v>
      </c>
    </row>
    <row r="8869" spans="31:33">
      <c r="AE8869">
        <v>0</v>
      </c>
      <c r="AG8869">
        <v>0</v>
      </c>
    </row>
    <row r="8870" spans="31:33">
      <c r="AE8870">
        <v>0</v>
      </c>
      <c r="AG8870">
        <v>0</v>
      </c>
    </row>
    <row r="8871" spans="31:33">
      <c r="AE8871">
        <v>0</v>
      </c>
      <c r="AG8871">
        <v>0</v>
      </c>
    </row>
    <row r="8872" spans="31:33">
      <c r="AE8872">
        <v>0</v>
      </c>
      <c r="AG8872">
        <v>0</v>
      </c>
    </row>
    <row r="8873" spans="31:33">
      <c r="AE8873" s="31">
        <v>2589749.98</v>
      </c>
      <c r="AG8873" s="31">
        <v>28852194.440000001</v>
      </c>
    </row>
    <row r="8874" spans="31:33">
      <c r="AE8874">
        <v>0</v>
      </c>
      <c r="AG8874">
        <v>0</v>
      </c>
    </row>
    <row r="8875" spans="31:33">
      <c r="AE8875">
        <v>0</v>
      </c>
      <c r="AG8875">
        <v>0</v>
      </c>
    </row>
    <row r="8876" spans="31:33">
      <c r="AE8876">
        <v>0</v>
      </c>
      <c r="AG8876">
        <v>0</v>
      </c>
    </row>
    <row r="8877" spans="31:33">
      <c r="AE8877">
        <v>0</v>
      </c>
      <c r="AG8877">
        <v>0</v>
      </c>
    </row>
    <row r="8878" spans="31:33">
      <c r="AE8878">
        <v>0</v>
      </c>
      <c r="AG8878">
        <v>0</v>
      </c>
    </row>
    <row r="8879" spans="31:33">
      <c r="AE8879">
        <v>0</v>
      </c>
      <c r="AG8879">
        <v>0</v>
      </c>
    </row>
    <row r="8880" spans="31:33">
      <c r="AE8880" s="31">
        <v>1858827.15</v>
      </c>
      <c r="AG8880" s="31">
        <v>8076178.2599999998</v>
      </c>
    </row>
    <row r="8881" spans="31:33">
      <c r="AE8881">
        <v>0</v>
      </c>
      <c r="AG8881">
        <v>0</v>
      </c>
    </row>
    <row r="8882" spans="31:33">
      <c r="AE8882">
        <v>0</v>
      </c>
      <c r="AG8882">
        <v>0</v>
      </c>
    </row>
    <row r="8883" spans="31:33">
      <c r="AE8883" s="31">
        <v>1496259</v>
      </c>
      <c r="AG8883" s="31">
        <v>1496259</v>
      </c>
    </row>
    <row r="8884" spans="31:33">
      <c r="AE8884">
        <v>0</v>
      </c>
      <c r="AG8884">
        <v>0</v>
      </c>
    </row>
    <row r="8885" spans="31:33">
      <c r="AE8885">
        <v>0</v>
      </c>
      <c r="AG8885">
        <v>0</v>
      </c>
    </row>
    <row r="8886" spans="31:33">
      <c r="AE8886">
        <v>0</v>
      </c>
      <c r="AG8886">
        <v>0</v>
      </c>
    </row>
    <row r="8887" spans="31:33">
      <c r="AE8887">
        <v>0</v>
      </c>
      <c r="AG8887">
        <v>0</v>
      </c>
    </row>
    <row r="8888" spans="31:33">
      <c r="AE8888">
        <v>0</v>
      </c>
      <c r="AG8888">
        <v>0</v>
      </c>
    </row>
    <row r="8889" spans="31:33">
      <c r="AE8889">
        <v>0</v>
      </c>
      <c r="AG8889">
        <v>0</v>
      </c>
    </row>
    <row r="8890" spans="31:33">
      <c r="AE8890" s="31">
        <v>-1251565.8400000001</v>
      </c>
      <c r="AG8890" s="31">
        <v>-1251565.8400000001</v>
      </c>
    </row>
    <row r="8891" spans="31:33">
      <c r="AE8891">
        <v>0</v>
      </c>
      <c r="AG8891">
        <v>0</v>
      </c>
    </row>
    <row r="8892" spans="31:33">
      <c r="AE8892">
        <v>0</v>
      </c>
      <c r="AG8892">
        <v>0</v>
      </c>
    </row>
    <row r="8893" spans="31:33">
      <c r="AE8893">
        <v>0</v>
      </c>
      <c r="AG8893">
        <v>0</v>
      </c>
    </row>
    <row r="8894" spans="31:33">
      <c r="AE8894">
        <v>0</v>
      </c>
      <c r="AG8894">
        <v>0</v>
      </c>
    </row>
    <row r="8895" spans="31:33">
      <c r="AE8895">
        <v>0</v>
      </c>
      <c r="AG8895">
        <v>0</v>
      </c>
    </row>
    <row r="8896" spans="31:33">
      <c r="AE8896">
        <v>0</v>
      </c>
      <c r="AG8896">
        <v>0</v>
      </c>
    </row>
    <row r="8897" spans="31:33">
      <c r="AE8897">
        <v>0</v>
      </c>
      <c r="AG8897">
        <v>0</v>
      </c>
    </row>
    <row r="8898" spans="31:33">
      <c r="AE8898">
        <v>0</v>
      </c>
      <c r="AG8898">
        <v>0</v>
      </c>
    </row>
    <row r="8899" spans="31:33">
      <c r="AE8899">
        <v>0</v>
      </c>
      <c r="AG8899">
        <v>0</v>
      </c>
    </row>
    <row r="8900" spans="31:33">
      <c r="AE8900">
        <v>0</v>
      </c>
      <c r="AG8900">
        <v>0</v>
      </c>
    </row>
    <row r="8901" spans="31:33">
      <c r="AE8901">
        <v>0</v>
      </c>
      <c r="AG8901">
        <v>0</v>
      </c>
    </row>
    <row r="8902" spans="31:33">
      <c r="AE8902">
        <v>0</v>
      </c>
      <c r="AG8902">
        <v>0</v>
      </c>
    </row>
    <row r="8903" spans="31:33">
      <c r="AE8903">
        <v>0</v>
      </c>
      <c r="AG8903">
        <v>0</v>
      </c>
    </row>
    <row r="8904" spans="31:33">
      <c r="AE8904">
        <v>0</v>
      </c>
      <c r="AG8904">
        <v>0</v>
      </c>
    </row>
    <row r="8905" spans="31:33">
      <c r="AE8905">
        <v>0</v>
      </c>
      <c r="AG8905">
        <v>0</v>
      </c>
    </row>
    <row r="8906" spans="31:33">
      <c r="AE8906">
        <v>0</v>
      </c>
      <c r="AG8906">
        <v>0</v>
      </c>
    </row>
    <row r="8907" spans="31:33">
      <c r="AE8907">
        <v>0</v>
      </c>
      <c r="AG8907">
        <v>0</v>
      </c>
    </row>
    <row r="8908" spans="31:33">
      <c r="AE8908">
        <v>0</v>
      </c>
      <c r="AG8908">
        <v>0</v>
      </c>
    </row>
    <row r="8909" spans="31:33">
      <c r="AE8909">
        <v>0</v>
      </c>
      <c r="AG8909">
        <v>0</v>
      </c>
    </row>
    <row r="8910" spans="31:33">
      <c r="AE8910">
        <v>0</v>
      </c>
      <c r="AG8910">
        <v>0</v>
      </c>
    </row>
    <row r="8911" spans="31:33">
      <c r="AE8911">
        <v>0</v>
      </c>
      <c r="AG8911">
        <v>0</v>
      </c>
    </row>
    <row r="8912" spans="31:33">
      <c r="AE8912">
        <v>0</v>
      </c>
      <c r="AG8912">
        <v>0</v>
      </c>
    </row>
    <row r="8913" spans="31:33">
      <c r="AE8913" s="31">
        <v>24610535.850000001</v>
      </c>
      <c r="AG8913" s="31">
        <v>22364569.239999998</v>
      </c>
    </row>
    <row r="8914" spans="31:33">
      <c r="AE8914">
        <v>0</v>
      </c>
      <c r="AG8914">
        <v>0</v>
      </c>
    </row>
    <row r="8915" spans="31:33">
      <c r="AE8915">
        <v>0</v>
      </c>
      <c r="AG8915">
        <v>0</v>
      </c>
    </row>
    <row r="8916" spans="31:33">
      <c r="AE8916">
        <v>0</v>
      </c>
      <c r="AG8916">
        <v>0</v>
      </c>
    </row>
    <row r="8917" spans="31:33">
      <c r="AE8917">
        <v>0</v>
      </c>
      <c r="AG8917">
        <v>0</v>
      </c>
    </row>
    <row r="8918" spans="31:33">
      <c r="AE8918">
        <v>0</v>
      </c>
      <c r="AG8918">
        <v>0</v>
      </c>
    </row>
    <row r="8919" spans="31:33">
      <c r="AE8919">
        <v>0</v>
      </c>
      <c r="AG8919">
        <v>0</v>
      </c>
    </row>
    <row r="8920" spans="31:33">
      <c r="AE8920">
        <v>0</v>
      </c>
      <c r="AG8920">
        <v>0</v>
      </c>
    </row>
    <row r="8921" spans="31:33">
      <c r="AE8921">
        <v>0</v>
      </c>
      <c r="AG8921">
        <v>0</v>
      </c>
    </row>
    <row r="8922" spans="31:33">
      <c r="AE8922">
        <v>0</v>
      </c>
      <c r="AG8922">
        <v>0</v>
      </c>
    </row>
    <row r="8923" spans="31:33">
      <c r="AE8923">
        <v>0</v>
      </c>
      <c r="AG8923">
        <v>0</v>
      </c>
    </row>
    <row r="8924" spans="31:33">
      <c r="AE8924">
        <v>0</v>
      </c>
      <c r="AG8924">
        <v>0</v>
      </c>
    </row>
    <row r="8925" spans="31:33">
      <c r="AE8925">
        <v>0</v>
      </c>
      <c r="AG8925">
        <v>0</v>
      </c>
    </row>
    <row r="8926" spans="31:33">
      <c r="AE8926">
        <v>0</v>
      </c>
      <c r="AG8926">
        <v>0</v>
      </c>
    </row>
    <row r="8927" spans="31:33">
      <c r="AE8927">
        <v>0</v>
      </c>
      <c r="AG8927">
        <v>0</v>
      </c>
    </row>
    <row r="8928" spans="31:33">
      <c r="AE8928">
        <v>0</v>
      </c>
      <c r="AG8928">
        <v>0</v>
      </c>
    </row>
    <row r="8929" spans="31:33">
      <c r="AE8929">
        <v>0</v>
      </c>
      <c r="AG8929">
        <v>0</v>
      </c>
    </row>
    <row r="8930" spans="31:33">
      <c r="AE8930">
        <v>0</v>
      </c>
      <c r="AG8930">
        <v>0</v>
      </c>
    </row>
    <row r="8931" spans="31:33">
      <c r="AE8931">
        <v>0</v>
      </c>
      <c r="AG8931">
        <v>0</v>
      </c>
    </row>
    <row r="8932" spans="31:33">
      <c r="AE8932">
        <v>0</v>
      </c>
      <c r="AG8932">
        <v>0</v>
      </c>
    </row>
    <row r="8933" spans="31:33">
      <c r="AE8933">
        <v>0</v>
      </c>
      <c r="AG8933">
        <v>0</v>
      </c>
    </row>
    <row r="8934" spans="31:33">
      <c r="AE8934" s="31">
        <v>1600582.6</v>
      </c>
      <c r="AG8934" s="31">
        <v>2647998.23</v>
      </c>
    </row>
    <row r="8935" spans="31:33">
      <c r="AE8935">
        <v>0</v>
      </c>
      <c r="AG8935">
        <v>0</v>
      </c>
    </row>
    <row r="8936" spans="31:33">
      <c r="AE8936">
        <v>0</v>
      </c>
      <c r="AG8936">
        <v>0</v>
      </c>
    </row>
    <row r="8937" spans="31:33">
      <c r="AE8937">
        <v>0</v>
      </c>
      <c r="AG8937">
        <v>0</v>
      </c>
    </row>
    <row r="8938" spans="31:33">
      <c r="AE8938">
        <v>0</v>
      </c>
      <c r="AG8938">
        <v>0</v>
      </c>
    </row>
    <row r="8939" spans="31:33">
      <c r="AE8939">
        <v>0</v>
      </c>
      <c r="AG8939">
        <v>0</v>
      </c>
    </row>
    <row r="8940" spans="31:33">
      <c r="AE8940">
        <v>0</v>
      </c>
      <c r="AG8940">
        <v>0</v>
      </c>
    </row>
    <row r="8941" spans="31:33">
      <c r="AE8941">
        <v>0</v>
      </c>
      <c r="AG8941">
        <v>0</v>
      </c>
    </row>
    <row r="8942" spans="31:33">
      <c r="AE8942">
        <v>0</v>
      </c>
      <c r="AG8942">
        <v>0</v>
      </c>
    </row>
    <row r="8943" spans="31:33">
      <c r="AE8943">
        <v>0</v>
      </c>
      <c r="AG8943">
        <v>0</v>
      </c>
    </row>
    <row r="8944" spans="31:33">
      <c r="AE8944">
        <v>0</v>
      </c>
      <c r="AG8944">
        <v>0</v>
      </c>
    </row>
    <row r="8945" spans="31:33">
      <c r="AE8945">
        <v>0</v>
      </c>
      <c r="AG8945">
        <v>0</v>
      </c>
    </row>
    <row r="8946" spans="31:33">
      <c r="AE8946" s="31">
        <v>548553.56000000006</v>
      </c>
      <c r="AG8946" s="31">
        <v>198162.6</v>
      </c>
    </row>
    <row r="8947" spans="31:33">
      <c r="AE8947">
        <v>0</v>
      </c>
      <c r="AG8947">
        <v>0</v>
      </c>
    </row>
    <row r="8948" spans="31:33">
      <c r="AE8948">
        <v>0</v>
      </c>
      <c r="AG8948">
        <v>0</v>
      </c>
    </row>
    <row r="8949" spans="31:33">
      <c r="AE8949" s="31">
        <v>7123088.1799999997</v>
      </c>
      <c r="AG8949" s="31">
        <v>7287140.04</v>
      </c>
    </row>
    <row r="8950" spans="31:33">
      <c r="AE8950">
        <v>0</v>
      </c>
      <c r="AG8950">
        <v>0</v>
      </c>
    </row>
    <row r="8951" spans="31:33">
      <c r="AE8951">
        <v>0</v>
      </c>
      <c r="AG8951">
        <v>0</v>
      </c>
    </row>
    <row r="8952" spans="31:33">
      <c r="AE8952">
        <v>0</v>
      </c>
      <c r="AG8952">
        <v>0</v>
      </c>
    </row>
    <row r="8953" spans="31:33">
      <c r="AE8953">
        <v>0</v>
      </c>
      <c r="AG8953">
        <v>0</v>
      </c>
    </row>
    <row r="8954" spans="31:33">
      <c r="AE8954">
        <v>0</v>
      </c>
      <c r="AG8954">
        <v>0</v>
      </c>
    </row>
    <row r="8955" spans="31:33">
      <c r="AE8955" s="31">
        <v>12949797.609999999</v>
      </c>
      <c r="AG8955" s="31">
        <v>16690386.82</v>
      </c>
    </row>
    <row r="8956" spans="31:33">
      <c r="AE8956">
        <v>0</v>
      </c>
      <c r="AG8956">
        <v>0</v>
      </c>
    </row>
    <row r="8957" spans="31:33">
      <c r="AE8957">
        <v>0</v>
      </c>
      <c r="AG8957">
        <v>0</v>
      </c>
    </row>
    <row r="8958" spans="31:33">
      <c r="AE8958">
        <v>0</v>
      </c>
      <c r="AG8958">
        <v>0</v>
      </c>
    </row>
    <row r="8959" spans="31:33">
      <c r="AE8959">
        <v>0</v>
      </c>
      <c r="AG8959">
        <v>0</v>
      </c>
    </row>
    <row r="8960" spans="31:33">
      <c r="AE8960">
        <v>0</v>
      </c>
      <c r="AG8960">
        <v>0</v>
      </c>
    </row>
    <row r="8961" spans="31:33">
      <c r="AE8961">
        <v>0</v>
      </c>
      <c r="AG8961">
        <v>0</v>
      </c>
    </row>
    <row r="8962" spans="31:33">
      <c r="AE8962">
        <v>0</v>
      </c>
      <c r="AG8962">
        <v>0</v>
      </c>
    </row>
    <row r="8963" spans="31:33">
      <c r="AE8963">
        <v>0</v>
      </c>
      <c r="AG8963">
        <v>0</v>
      </c>
    </row>
    <row r="8964" spans="31:33">
      <c r="AE8964">
        <v>0</v>
      </c>
      <c r="AG8964">
        <v>0</v>
      </c>
    </row>
    <row r="8965" spans="31:33">
      <c r="AE8965">
        <v>0</v>
      </c>
      <c r="AG8965">
        <v>0</v>
      </c>
    </row>
    <row r="8966" spans="31:33">
      <c r="AE8966">
        <v>0</v>
      </c>
      <c r="AG8966">
        <v>0</v>
      </c>
    </row>
    <row r="8967" spans="31:33">
      <c r="AE8967">
        <v>0</v>
      </c>
      <c r="AG8967">
        <v>0</v>
      </c>
    </row>
    <row r="8968" spans="31:33">
      <c r="AE8968">
        <v>0</v>
      </c>
      <c r="AG8968">
        <v>0</v>
      </c>
    </row>
    <row r="8969" spans="31:33">
      <c r="AE8969">
        <v>0</v>
      </c>
      <c r="AG8969">
        <v>0</v>
      </c>
    </row>
    <row r="8970" spans="31:33">
      <c r="AE8970">
        <v>0</v>
      </c>
      <c r="AG8970">
        <v>0</v>
      </c>
    </row>
    <row r="8971" spans="31:33">
      <c r="AE8971">
        <v>0</v>
      </c>
      <c r="AG8971">
        <v>0</v>
      </c>
    </row>
    <row r="8972" spans="31:33">
      <c r="AE8972">
        <v>0</v>
      </c>
      <c r="AG8972">
        <v>0</v>
      </c>
    </row>
    <row r="8973" spans="31:33">
      <c r="AE8973">
        <v>0</v>
      </c>
      <c r="AG8973">
        <v>0</v>
      </c>
    </row>
    <row r="8974" spans="31:33">
      <c r="AE8974">
        <v>0</v>
      </c>
      <c r="AG8974">
        <v>0</v>
      </c>
    </row>
    <row r="8975" spans="31:33">
      <c r="AE8975" s="31">
        <v>-16989781.789999999</v>
      </c>
      <c r="AG8975" s="31">
        <v>-33470536.460000001</v>
      </c>
    </row>
    <row r="8976" spans="31:33">
      <c r="AE8976">
        <v>0</v>
      </c>
      <c r="AG8976">
        <v>0</v>
      </c>
    </row>
    <row r="8977" spans="31:33">
      <c r="AE8977">
        <v>0</v>
      </c>
      <c r="AG8977">
        <v>0</v>
      </c>
    </row>
    <row r="8978" spans="31:33">
      <c r="AE8978" s="31">
        <v>-12726114.189999999</v>
      </c>
      <c r="AG8978" s="31">
        <v>-12726114.189999999</v>
      </c>
    </row>
    <row r="8979" spans="31:33">
      <c r="AE8979">
        <v>0</v>
      </c>
      <c r="AG8979">
        <v>0</v>
      </c>
    </row>
    <row r="8980" spans="31:33">
      <c r="AE8980">
        <v>0</v>
      </c>
      <c r="AG8980">
        <v>0</v>
      </c>
    </row>
    <row r="8981" spans="31:33">
      <c r="AE8981">
        <v>0</v>
      </c>
      <c r="AG8981">
        <v>0</v>
      </c>
    </row>
    <row r="8982" spans="31:33">
      <c r="AE8982">
        <v>0</v>
      </c>
      <c r="AG8982">
        <v>0</v>
      </c>
    </row>
    <row r="8983" spans="31:33">
      <c r="AE8983" s="31">
        <v>148934.32</v>
      </c>
      <c r="AG8983" s="31">
        <v>34413.199999999997</v>
      </c>
    </row>
    <row r="8984" spans="31:33">
      <c r="AE8984">
        <v>0</v>
      </c>
      <c r="AG8984">
        <v>0</v>
      </c>
    </row>
    <row r="8985" spans="31:33">
      <c r="AE8985">
        <v>0</v>
      </c>
      <c r="AG8985">
        <v>0</v>
      </c>
    </row>
    <row r="8986" spans="31:33">
      <c r="AE8986">
        <v>0</v>
      </c>
      <c r="AG8986">
        <v>0</v>
      </c>
    </row>
    <row r="8987" spans="31:33">
      <c r="AE8987">
        <v>0</v>
      </c>
      <c r="AG8987">
        <v>0</v>
      </c>
    </row>
    <row r="8988" spans="31:33">
      <c r="AE8988" s="31">
        <v>-1176151.32</v>
      </c>
      <c r="AG8988" s="31">
        <v>-1176151.32</v>
      </c>
    </row>
    <row r="8989" spans="31:33">
      <c r="AE8989">
        <v>0</v>
      </c>
      <c r="AG8989">
        <v>0</v>
      </c>
    </row>
    <row r="8990" spans="31:33">
      <c r="AE8990">
        <v>0</v>
      </c>
      <c r="AG8990">
        <v>0</v>
      </c>
    </row>
    <row r="8991" spans="31:33">
      <c r="AE8991">
        <v>0</v>
      </c>
      <c r="AG8991">
        <v>0</v>
      </c>
    </row>
    <row r="8992" spans="31:33">
      <c r="AE8992">
        <v>0</v>
      </c>
      <c r="AG8992">
        <v>0</v>
      </c>
    </row>
    <row r="8993" spans="31:33">
      <c r="AE8993">
        <v>0</v>
      </c>
      <c r="AG8993">
        <v>0</v>
      </c>
    </row>
    <row r="8994" spans="31:33">
      <c r="AE8994">
        <v>0</v>
      </c>
      <c r="AG8994">
        <v>0</v>
      </c>
    </row>
    <row r="8995" spans="31:33">
      <c r="AE8995">
        <v>0</v>
      </c>
      <c r="AG8995">
        <v>0</v>
      </c>
    </row>
    <row r="8996" spans="31:33">
      <c r="AE8996">
        <v>0</v>
      </c>
      <c r="AG8996">
        <v>0</v>
      </c>
    </row>
    <row r="8997" spans="31:33">
      <c r="AE8997">
        <v>0</v>
      </c>
      <c r="AG8997">
        <v>0</v>
      </c>
    </row>
    <row r="8998" spans="31:33">
      <c r="AE8998">
        <v>0</v>
      </c>
      <c r="AG8998">
        <v>0</v>
      </c>
    </row>
    <row r="8999" spans="31:33">
      <c r="AE8999">
        <v>0</v>
      </c>
      <c r="AG8999">
        <v>0</v>
      </c>
    </row>
    <row r="9000" spans="31:33">
      <c r="AE9000">
        <v>0</v>
      </c>
      <c r="AG9000">
        <v>0</v>
      </c>
    </row>
    <row r="9001" spans="31:33">
      <c r="AE9001">
        <v>0</v>
      </c>
      <c r="AG9001">
        <v>0</v>
      </c>
    </row>
    <row r="9002" spans="31:33">
      <c r="AE9002">
        <v>0</v>
      </c>
      <c r="AG9002">
        <v>0</v>
      </c>
    </row>
    <row r="9003" spans="31:33">
      <c r="AE9003">
        <v>0</v>
      </c>
      <c r="AG9003">
        <v>0</v>
      </c>
    </row>
    <row r="9004" spans="31:33">
      <c r="AE9004" s="31">
        <v>1689750.51</v>
      </c>
      <c r="AG9004">
        <v>0</v>
      </c>
    </row>
    <row r="9005" spans="31:33">
      <c r="AE9005">
        <v>0</v>
      </c>
      <c r="AG9005">
        <v>0</v>
      </c>
    </row>
    <row r="9006" spans="31:33">
      <c r="AE9006">
        <v>0</v>
      </c>
      <c r="AG9006">
        <v>0</v>
      </c>
    </row>
    <row r="9007" spans="31:33">
      <c r="AE9007">
        <v>0</v>
      </c>
      <c r="AG9007">
        <v>0</v>
      </c>
    </row>
    <row r="9008" spans="31:33">
      <c r="AE9008">
        <v>0</v>
      </c>
      <c r="AG9008">
        <v>0</v>
      </c>
    </row>
    <row r="9009" spans="31:33">
      <c r="AE9009">
        <v>0</v>
      </c>
      <c r="AG9009">
        <v>0</v>
      </c>
    </row>
    <row r="9010" spans="31:33">
      <c r="AE9010">
        <v>0</v>
      </c>
      <c r="AG9010">
        <v>0</v>
      </c>
    </row>
    <row r="9011" spans="31:33">
      <c r="AE9011">
        <v>0</v>
      </c>
      <c r="AG9011">
        <v>0</v>
      </c>
    </row>
    <row r="9012" spans="31:33">
      <c r="AE9012">
        <v>0</v>
      </c>
      <c r="AG9012">
        <v>0</v>
      </c>
    </row>
    <row r="9013" spans="31:33">
      <c r="AE9013">
        <v>0</v>
      </c>
      <c r="AG9013">
        <v>0</v>
      </c>
    </row>
    <row r="9014" spans="31:33">
      <c r="AE9014">
        <v>0</v>
      </c>
      <c r="AG9014">
        <v>0</v>
      </c>
    </row>
    <row r="9015" spans="31:33">
      <c r="AE9015">
        <v>0</v>
      </c>
      <c r="AG9015">
        <v>0</v>
      </c>
    </row>
    <row r="9016" spans="31:33">
      <c r="AE9016">
        <v>0</v>
      </c>
      <c r="AG9016">
        <v>0</v>
      </c>
    </row>
    <row r="9017" spans="31:33">
      <c r="AE9017">
        <v>0</v>
      </c>
      <c r="AG9017">
        <v>0</v>
      </c>
    </row>
    <row r="9018" spans="31:33">
      <c r="AE9018">
        <v>0</v>
      </c>
      <c r="AG9018">
        <v>0</v>
      </c>
    </row>
    <row r="9019" spans="31:33">
      <c r="AE9019">
        <v>0</v>
      </c>
      <c r="AG9019">
        <v>0</v>
      </c>
    </row>
    <row r="9020" spans="31:33">
      <c r="AE9020">
        <v>0</v>
      </c>
      <c r="AG9020">
        <v>0</v>
      </c>
    </row>
    <row r="9021" spans="31:33">
      <c r="AE9021">
        <v>0</v>
      </c>
      <c r="AG9021">
        <v>0</v>
      </c>
    </row>
    <row r="9022" spans="31:33">
      <c r="AE9022">
        <v>0</v>
      </c>
      <c r="AG9022">
        <v>0</v>
      </c>
    </row>
    <row r="9023" spans="31:33">
      <c r="AE9023">
        <v>0</v>
      </c>
      <c r="AG9023">
        <v>0</v>
      </c>
    </row>
    <row r="9024" spans="31:33">
      <c r="AE9024">
        <v>0</v>
      </c>
      <c r="AG9024">
        <v>0</v>
      </c>
    </row>
    <row r="9025" spans="31:33">
      <c r="AE9025">
        <v>0</v>
      </c>
      <c r="AG9025">
        <v>0</v>
      </c>
    </row>
    <row r="9026" spans="31:33">
      <c r="AE9026">
        <v>0</v>
      </c>
      <c r="AG9026">
        <v>0</v>
      </c>
    </row>
    <row r="9027" spans="31:33">
      <c r="AE9027">
        <v>0</v>
      </c>
      <c r="AG9027">
        <v>0</v>
      </c>
    </row>
    <row r="9028" spans="31:33">
      <c r="AE9028">
        <v>0</v>
      </c>
      <c r="AG9028">
        <v>0</v>
      </c>
    </row>
    <row r="9029" spans="31:33">
      <c r="AE9029">
        <v>0</v>
      </c>
      <c r="AG9029">
        <v>0</v>
      </c>
    </row>
    <row r="9030" spans="31:33">
      <c r="AE9030">
        <v>0</v>
      </c>
      <c r="AG9030">
        <v>0</v>
      </c>
    </row>
    <row r="9031" spans="31:33">
      <c r="AE9031">
        <v>0</v>
      </c>
      <c r="AG9031">
        <v>0</v>
      </c>
    </row>
    <row r="9032" spans="31:33">
      <c r="AE9032">
        <v>0</v>
      </c>
      <c r="AG9032">
        <v>0</v>
      </c>
    </row>
    <row r="9033" spans="31:33">
      <c r="AE9033">
        <v>0</v>
      </c>
      <c r="AG9033">
        <v>0</v>
      </c>
    </row>
    <row r="9034" spans="31:33">
      <c r="AE9034">
        <v>0</v>
      </c>
      <c r="AG9034">
        <v>0</v>
      </c>
    </row>
    <row r="9035" spans="31:33">
      <c r="AE9035">
        <v>0</v>
      </c>
      <c r="AG9035">
        <v>0</v>
      </c>
    </row>
    <row r="9036" spans="31:33">
      <c r="AE9036">
        <v>0</v>
      </c>
      <c r="AG9036">
        <v>0</v>
      </c>
    </row>
    <row r="9037" spans="31:33">
      <c r="AE9037">
        <v>0</v>
      </c>
      <c r="AG9037">
        <v>0</v>
      </c>
    </row>
    <row r="9038" spans="31:33">
      <c r="AE9038" s="31">
        <v>-9693677.6899999995</v>
      </c>
      <c r="AG9038" s="31">
        <v>-30550847.93</v>
      </c>
    </row>
    <row r="9039" spans="31:33">
      <c r="AE9039" s="31">
        <v>-365540.92</v>
      </c>
      <c r="AG9039" s="31">
        <v>-16111317.93</v>
      </c>
    </row>
    <row r="9040" spans="31:33">
      <c r="AE9040">
        <v>0</v>
      </c>
      <c r="AG9040">
        <v>0</v>
      </c>
    </row>
    <row r="9041" spans="31:33">
      <c r="AE9041">
        <v>0</v>
      </c>
      <c r="AG9041">
        <v>0</v>
      </c>
    </row>
    <row r="9042" spans="31:33">
      <c r="AE9042">
        <v>0</v>
      </c>
      <c r="AG9042">
        <v>0</v>
      </c>
    </row>
    <row r="9043" spans="31:33">
      <c r="AE9043">
        <v>0</v>
      </c>
      <c r="AG9043">
        <v>0</v>
      </c>
    </row>
    <row r="9044" spans="31:33">
      <c r="AE9044">
        <v>0</v>
      </c>
      <c r="AG9044">
        <v>0</v>
      </c>
    </row>
    <row r="9045" spans="31:33">
      <c r="AE9045">
        <v>0</v>
      </c>
      <c r="AG9045">
        <v>0</v>
      </c>
    </row>
    <row r="9046" spans="31:33">
      <c r="AE9046">
        <v>0</v>
      </c>
      <c r="AG9046">
        <v>0</v>
      </c>
    </row>
    <row r="9047" spans="31:33">
      <c r="AE9047">
        <v>0</v>
      </c>
      <c r="AG9047">
        <v>0</v>
      </c>
    </row>
    <row r="9048" spans="31:33">
      <c r="AE9048">
        <v>0</v>
      </c>
      <c r="AG9048">
        <v>0</v>
      </c>
    </row>
    <row r="9049" spans="31:33">
      <c r="AE9049">
        <v>0</v>
      </c>
      <c r="AG9049">
        <v>0</v>
      </c>
    </row>
    <row r="9050" spans="31:33">
      <c r="AE9050">
        <v>0</v>
      </c>
      <c r="AG9050">
        <v>0</v>
      </c>
    </row>
    <row r="9051" spans="31:33">
      <c r="AE9051">
        <v>0</v>
      </c>
      <c r="AG9051">
        <v>0</v>
      </c>
    </row>
    <row r="9052" spans="31:33">
      <c r="AE9052">
        <v>0</v>
      </c>
      <c r="AG9052">
        <v>0</v>
      </c>
    </row>
    <row r="9053" spans="31:33">
      <c r="AE9053">
        <v>0</v>
      </c>
      <c r="AG9053">
        <v>0</v>
      </c>
    </row>
    <row r="9054" spans="31:33">
      <c r="AE9054">
        <v>0</v>
      </c>
      <c r="AG9054">
        <v>0</v>
      </c>
    </row>
    <row r="9055" spans="31:33">
      <c r="AE9055">
        <v>0</v>
      </c>
      <c r="AG9055">
        <v>0</v>
      </c>
    </row>
    <row r="9056" spans="31:33">
      <c r="AE9056">
        <v>0</v>
      </c>
      <c r="AG9056">
        <v>0</v>
      </c>
    </row>
    <row r="9057" spans="31:33">
      <c r="AE9057">
        <v>0</v>
      </c>
      <c r="AG9057">
        <v>0</v>
      </c>
    </row>
    <row r="9058" spans="31:33">
      <c r="AE9058">
        <v>0</v>
      </c>
      <c r="AG9058">
        <v>0</v>
      </c>
    </row>
    <row r="9059" spans="31:33">
      <c r="AE9059">
        <v>0</v>
      </c>
      <c r="AG9059">
        <v>0</v>
      </c>
    </row>
    <row r="9060" spans="31:33">
      <c r="AE9060">
        <v>0</v>
      </c>
      <c r="AG9060">
        <v>0</v>
      </c>
    </row>
    <row r="9061" spans="31:33">
      <c r="AE9061">
        <v>0</v>
      </c>
      <c r="AG9061">
        <v>0</v>
      </c>
    </row>
    <row r="9062" spans="31:33">
      <c r="AE9062">
        <v>0</v>
      </c>
      <c r="AG9062">
        <v>0</v>
      </c>
    </row>
    <row r="9063" spans="31:33">
      <c r="AE9063">
        <v>0</v>
      </c>
      <c r="AG9063">
        <v>0</v>
      </c>
    </row>
    <row r="9064" spans="31:33">
      <c r="AE9064">
        <v>0</v>
      </c>
      <c r="AG9064">
        <v>0</v>
      </c>
    </row>
    <row r="9065" spans="31:33">
      <c r="AE9065">
        <v>0</v>
      </c>
      <c r="AG9065">
        <v>0</v>
      </c>
    </row>
    <row r="9066" spans="31:33">
      <c r="AE9066">
        <v>0</v>
      </c>
      <c r="AG9066">
        <v>0</v>
      </c>
    </row>
    <row r="9067" spans="31:33">
      <c r="AE9067">
        <v>0</v>
      </c>
      <c r="AG9067">
        <v>0</v>
      </c>
    </row>
    <row r="9068" spans="31:33">
      <c r="AE9068">
        <v>0</v>
      </c>
      <c r="AG9068">
        <v>0</v>
      </c>
    </row>
    <row r="9069" spans="31:33">
      <c r="AE9069">
        <v>0</v>
      </c>
      <c r="AG9069">
        <v>0</v>
      </c>
    </row>
    <row r="9070" spans="31:33">
      <c r="AE9070">
        <v>0</v>
      </c>
      <c r="AG9070">
        <v>0</v>
      </c>
    </row>
    <row r="9071" spans="31:33">
      <c r="AE9071">
        <v>0</v>
      </c>
      <c r="AG9071">
        <v>0</v>
      </c>
    </row>
    <row r="9072" spans="31:33">
      <c r="AE9072" s="31">
        <v>188847.03</v>
      </c>
      <c r="AG9072" s="31">
        <v>683382.19</v>
      </c>
    </row>
    <row r="9073" spans="31:33">
      <c r="AE9073">
        <v>0</v>
      </c>
      <c r="AG9073">
        <v>0</v>
      </c>
    </row>
    <row r="9074" spans="31:33">
      <c r="AE9074">
        <v>0</v>
      </c>
      <c r="AG9074">
        <v>0</v>
      </c>
    </row>
    <row r="9075" spans="31:33">
      <c r="AE9075">
        <v>0</v>
      </c>
      <c r="AG9075">
        <v>0</v>
      </c>
    </row>
    <row r="9076" spans="31:33">
      <c r="AE9076">
        <v>0</v>
      </c>
      <c r="AG9076">
        <v>0</v>
      </c>
    </row>
    <row r="9077" spans="31:33">
      <c r="AE9077">
        <v>0</v>
      </c>
      <c r="AG9077">
        <v>0</v>
      </c>
    </row>
    <row r="9078" spans="31:33">
      <c r="AE9078">
        <v>0</v>
      </c>
      <c r="AG9078">
        <v>0</v>
      </c>
    </row>
    <row r="9079" spans="31:33">
      <c r="AE9079">
        <v>0</v>
      </c>
      <c r="AG9079">
        <v>0</v>
      </c>
    </row>
    <row r="9080" spans="31:33">
      <c r="AE9080">
        <v>0</v>
      </c>
      <c r="AG9080">
        <v>0</v>
      </c>
    </row>
    <row r="9081" spans="31:33">
      <c r="AE9081">
        <v>0</v>
      </c>
      <c r="AG9081">
        <v>0</v>
      </c>
    </row>
    <row r="9082" spans="31:33">
      <c r="AE9082">
        <v>0</v>
      </c>
      <c r="AG9082">
        <v>0</v>
      </c>
    </row>
    <row r="9083" spans="31:33">
      <c r="AE9083">
        <v>0</v>
      </c>
      <c r="AG9083">
        <v>0</v>
      </c>
    </row>
    <row r="9084" spans="31:33">
      <c r="AE9084" s="31">
        <v>-10568935.01</v>
      </c>
      <c r="AG9084" s="31">
        <v>-10734117.58</v>
      </c>
    </row>
    <row r="9085" spans="31:33">
      <c r="AE9085">
        <v>0</v>
      </c>
      <c r="AG9085">
        <v>0</v>
      </c>
    </row>
    <row r="9086" spans="31:33">
      <c r="AE9086">
        <v>0</v>
      </c>
      <c r="AG9086">
        <v>0</v>
      </c>
    </row>
    <row r="9087" spans="31:33">
      <c r="AE9087" s="31">
        <v>-5990341.6500000004</v>
      </c>
      <c r="AG9087" s="31">
        <v>-3660820.49</v>
      </c>
    </row>
    <row r="9088" spans="31:33">
      <c r="AE9088" s="31">
        <v>213237.86</v>
      </c>
      <c r="AG9088" s="31">
        <v>30777.06</v>
      </c>
    </row>
    <row r="9089" spans="31:33">
      <c r="AE9089">
        <v>0</v>
      </c>
      <c r="AG9089">
        <v>0</v>
      </c>
    </row>
    <row r="9090" spans="31:33">
      <c r="AE9090">
        <v>0</v>
      </c>
      <c r="AG9090">
        <v>0</v>
      </c>
    </row>
    <row r="9091" spans="31:33">
      <c r="AE9091">
        <v>0</v>
      </c>
      <c r="AG9091">
        <v>0</v>
      </c>
    </row>
    <row r="9092" spans="31:33">
      <c r="AE9092">
        <v>0</v>
      </c>
      <c r="AG9092">
        <v>0</v>
      </c>
    </row>
    <row r="9093" spans="31:33">
      <c r="AE9093">
        <v>0</v>
      </c>
      <c r="AG9093">
        <v>0</v>
      </c>
    </row>
    <row r="9094" spans="31:33">
      <c r="AE9094" s="31">
        <v>1182799.73</v>
      </c>
      <c r="AG9094" s="31">
        <v>1195484.7</v>
      </c>
    </row>
    <row r="9095" spans="31:33">
      <c r="AE9095">
        <v>0</v>
      </c>
      <c r="AG9095">
        <v>0</v>
      </c>
    </row>
    <row r="9096" spans="31:33">
      <c r="AE9096">
        <v>0</v>
      </c>
      <c r="AG9096">
        <v>0</v>
      </c>
    </row>
    <row r="9097" spans="31:33">
      <c r="AE9097">
        <v>0</v>
      </c>
      <c r="AG9097">
        <v>0</v>
      </c>
    </row>
    <row r="9098" spans="31:33">
      <c r="AE9098">
        <v>0</v>
      </c>
      <c r="AG9098">
        <v>0</v>
      </c>
    </row>
    <row r="9099" spans="31:33">
      <c r="AE9099">
        <v>0</v>
      </c>
      <c r="AG9099">
        <v>0</v>
      </c>
    </row>
    <row r="9100" spans="31:33">
      <c r="AE9100">
        <v>0</v>
      </c>
      <c r="AG9100">
        <v>0</v>
      </c>
    </row>
    <row r="9101" spans="31:33">
      <c r="AE9101" s="31">
        <v>895772.47</v>
      </c>
      <c r="AG9101" s="31">
        <v>397979.81</v>
      </c>
    </row>
    <row r="9102" spans="31:33">
      <c r="AE9102">
        <v>0</v>
      </c>
      <c r="AG9102">
        <v>0</v>
      </c>
    </row>
    <row r="9103" spans="31:33">
      <c r="AE9103">
        <v>0</v>
      </c>
      <c r="AG9103">
        <v>0</v>
      </c>
    </row>
    <row r="9104" spans="31:33">
      <c r="AE9104">
        <v>0</v>
      </c>
      <c r="AG9104">
        <v>0</v>
      </c>
    </row>
    <row r="9105" spans="31:33">
      <c r="AE9105">
        <v>0</v>
      </c>
      <c r="AG9105">
        <v>0</v>
      </c>
    </row>
    <row r="9106" spans="31:33">
      <c r="AE9106">
        <v>0</v>
      </c>
      <c r="AG9106">
        <v>0</v>
      </c>
    </row>
    <row r="9107" spans="31:33">
      <c r="AE9107">
        <v>0</v>
      </c>
      <c r="AG9107">
        <v>0</v>
      </c>
    </row>
    <row r="9108" spans="31:33">
      <c r="AE9108">
        <v>0</v>
      </c>
      <c r="AG9108">
        <v>0</v>
      </c>
    </row>
    <row r="9109" spans="31:33">
      <c r="AE9109">
        <v>0</v>
      </c>
      <c r="AG9109">
        <v>0</v>
      </c>
    </row>
    <row r="9110" spans="31:33">
      <c r="AE9110">
        <v>0</v>
      </c>
      <c r="AG9110">
        <v>0</v>
      </c>
    </row>
    <row r="9111" spans="31:33">
      <c r="AE9111">
        <v>0</v>
      </c>
      <c r="AG9111">
        <v>0</v>
      </c>
    </row>
    <row r="9112" spans="31:33">
      <c r="AE9112">
        <v>0</v>
      </c>
      <c r="AG9112">
        <v>0</v>
      </c>
    </row>
    <row r="9113" spans="31:33">
      <c r="AE9113">
        <v>0</v>
      </c>
      <c r="AG9113">
        <v>0</v>
      </c>
    </row>
    <row r="9114" spans="31:33">
      <c r="AE9114">
        <v>0</v>
      </c>
      <c r="AG9114">
        <v>0</v>
      </c>
    </row>
    <row r="9115" spans="31:33">
      <c r="AE9115">
        <v>0</v>
      </c>
      <c r="AG9115">
        <v>0</v>
      </c>
    </row>
    <row r="9116" spans="31:33">
      <c r="AE9116">
        <v>0</v>
      </c>
      <c r="AG9116">
        <v>0</v>
      </c>
    </row>
    <row r="9117" spans="31:33">
      <c r="AE9117">
        <v>0</v>
      </c>
      <c r="AG9117">
        <v>0</v>
      </c>
    </row>
    <row r="9118" spans="31:33">
      <c r="AE9118">
        <v>0</v>
      </c>
      <c r="AG9118">
        <v>0</v>
      </c>
    </row>
    <row r="9119" spans="31:33">
      <c r="AE9119">
        <v>0</v>
      </c>
      <c r="AG9119">
        <v>0</v>
      </c>
    </row>
    <row r="9120" spans="31:33">
      <c r="AE9120">
        <v>0</v>
      </c>
      <c r="AG9120">
        <v>0</v>
      </c>
    </row>
    <row r="9121" spans="31:33">
      <c r="AE9121">
        <v>0</v>
      </c>
      <c r="AG9121">
        <v>0</v>
      </c>
    </row>
    <row r="9122" spans="31:33">
      <c r="AE9122">
        <v>0</v>
      </c>
      <c r="AG9122">
        <v>0</v>
      </c>
    </row>
    <row r="9123" spans="31:33">
      <c r="AE9123">
        <v>0</v>
      </c>
      <c r="AG9123">
        <v>0</v>
      </c>
    </row>
    <row r="9124" spans="31:33">
      <c r="AE9124" s="31">
        <v>135024.71</v>
      </c>
      <c r="AG9124" s="31">
        <v>135024.71</v>
      </c>
    </row>
    <row r="9125" spans="31:33">
      <c r="AE9125" s="31">
        <v>-314164.95</v>
      </c>
      <c r="AG9125" s="31">
        <v>7186509.79</v>
      </c>
    </row>
    <row r="9126" spans="31:33">
      <c r="AE9126">
        <v>0</v>
      </c>
      <c r="AG9126">
        <v>0</v>
      </c>
    </row>
    <row r="9127" spans="31:33">
      <c r="AE9127">
        <v>0</v>
      </c>
      <c r="AG9127">
        <v>0</v>
      </c>
    </row>
    <row r="9128" spans="31:33">
      <c r="AE9128">
        <v>0</v>
      </c>
      <c r="AG9128">
        <v>0</v>
      </c>
    </row>
    <row r="9129" spans="31:33">
      <c r="AE9129">
        <v>0</v>
      </c>
      <c r="AG9129">
        <v>0</v>
      </c>
    </row>
    <row r="9130" spans="31:33">
      <c r="AE9130" s="31">
        <v>18378349.510000002</v>
      </c>
      <c r="AG9130" s="31">
        <v>21486543.859999999</v>
      </c>
    </row>
    <row r="9131" spans="31:33">
      <c r="AE9131">
        <v>0</v>
      </c>
      <c r="AG9131">
        <v>0</v>
      </c>
    </row>
    <row r="9132" spans="31:33">
      <c r="AE9132">
        <v>0</v>
      </c>
      <c r="AG9132">
        <v>0</v>
      </c>
    </row>
    <row r="9133" spans="31:33">
      <c r="AE9133">
        <v>0</v>
      </c>
      <c r="AG9133">
        <v>0</v>
      </c>
    </row>
    <row r="9134" spans="31:33">
      <c r="AE9134">
        <v>0</v>
      </c>
      <c r="AG9134">
        <v>0</v>
      </c>
    </row>
    <row r="9135" spans="31:33">
      <c r="AE9135">
        <v>0</v>
      </c>
      <c r="AG9135">
        <v>0</v>
      </c>
    </row>
    <row r="9136" spans="31:33">
      <c r="AE9136">
        <v>0</v>
      </c>
      <c r="AG9136">
        <v>0</v>
      </c>
    </row>
    <row r="9137" spans="31:33">
      <c r="AE9137">
        <v>0</v>
      </c>
      <c r="AG9137">
        <v>0</v>
      </c>
    </row>
    <row r="9138" spans="31:33">
      <c r="AE9138">
        <v>0</v>
      </c>
      <c r="AG9138">
        <v>0</v>
      </c>
    </row>
    <row r="9139" spans="31:33">
      <c r="AE9139" s="31">
        <v>56824.58</v>
      </c>
      <c r="AG9139" s="31">
        <v>56274.91</v>
      </c>
    </row>
    <row r="9140" spans="31:33">
      <c r="AE9140">
        <v>0</v>
      </c>
      <c r="AG9140">
        <v>0</v>
      </c>
    </row>
    <row r="9141" spans="31:33">
      <c r="AE9141">
        <v>0</v>
      </c>
      <c r="AG9141">
        <v>0</v>
      </c>
    </row>
    <row r="9142" spans="31:33">
      <c r="AE9142">
        <v>0</v>
      </c>
      <c r="AG9142">
        <v>0</v>
      </c>
    </row>
    <row r="9143" spans="31:33">
      <c r="AE9143">
        <v>0</v>
      </c>
      <c r="AG9143">
        <v>0</v>
      </c>
    </row>
    <row r="9144" spans="31:33">
      <c r="AE9144">
        <v>0</v>
      </c>
      <c r="AG9144">
        <v>0</v>
      </c>
    </row>
    <row r="9145" spans="31:33">
      <c r="AE9145">
        <v>0</v>
      </c>
      <c r="AG9145">
        <v>0</v>
      </c>
    </row>
    <row r="9146" spans="31:33">
      <c r="AE9146">
        <v>0</v>
      </c>
      <c r="AG9146">
        <v>0</v>
      </c>
    </row>
    <row r="9147" spans="31:33">
      <c r="AE9147">
        <v>0</v>
      </c>
      <c r="AG9147">
        <v>0</v>
      </c>
    </row>
    <row r="9148" spans="31:33">
      <c r="AE9148">
        <v>0</v>
      </c>
      <c r="AG9148">
        <v>0</v>
      </c>
    </row>
    <row r="9149" spans="31:33">
      <c r="AE9149">
        <v>0</v>
      </c>
      <c r="AG9149">
        <v>0</v>
      </c>
    </row>
    <row r="9150" spans="31:33">
      <c r="AE9150">
        <v>0</v>
      </c>
      <c r="AG9150">
        <v>0</v>
      </c>
    </row>
    <row r="9151" spans="31:33">
      <c r="AE9151">
        <v>0</v>
      </c>
      <c r="AG9151">
        <v>0</v>
      </c>
    </row>
    <row r="9152" spans="31:33">
      <c r="AE9152">
        <v>0</v>
      </c>
      <c r="AG9152">
        <v>0</v>
      </c>
    </row>
    <row r="9153" spans="31:33">
      <c r="AE9153">
        <v>0</v>
      </c>
      <c r="AG9153">
        <v>0</v>
      </c>
    </row>
    <row r="9154" spans="31:33">
      <c r="AE9154">
        <v>0</v>
      </c>
      <c r="AG9154">
        <v>0</v>
      </c>
    </row>
    <row r="9155" spans="31:33">
      <c r="AE9155">
        <v>0</v>
      </c>
      <c r="AG9155">
        <v>0</v>
      </c>
    </row>
    <row r="9156" spans="31:33">
      <c r="AE9156">
        <v>0</v>
      </c>
      <c r="AG9156">
        <v>0</v>
      </c>
    </row>
    <row r="9157" spans="31:33">
      <c r="AE9157">
        <v>0</v>
      </c>
      <c r="AG9157">
        <v>0</v>
      </c>
    </row>
    <row r="9158" spans="31:33">
      <c r="AE9158">
        <v>0</v>
      </c>
      <c r="AG9158">
        <v>0</v>
      </c>
    </row>
    <row r="9159" spans="31:33">
      <c r="AE9159">
        <v>0</v>
      </c>
      <c r="AG9159">
        <v>0</v>
      </c>
    </row>
    <row r="9160" spans="31:33">
      <c r="AE9160">
        <v>0</v>
      </c>
      <c r="AG9160">
        <v>0</v>
      </c>
    </row>
    <row r="9161" spans="31:33">
      <c r="AE9161">
        <v>0</v>
      </c>
      <c r="AG9161">
        <v>0</v>
      </c>
    </row>
    <row r="9162" spans="31:33">
      <c r="AE9162">
        <v>0</v>
      </c>
      <c r="AG9162">
        <v>0</v>
      </c>
    </row>
    <row r="9163" spans="31:33">
      <c r="AE9163">
        <v>0</v>
      </c>
      <c r="AG9163">
        <v>0</v>
      </c>
    </row>
    <row r="9164" spans="31:33">
      <c r="AE9164">
        <v>0</v>
      </c>
      <c r="AG9164">
        <v>0</v>
      </c>
    </row>
    <row r="9165" spans="31:33">
      <c r="AE9165">
        <v>0</v>
      </c>
      <c r="AG9165">
        <v>0</v>
      </c>
    </row>
    <row r="9166" spans="31:33">
      <c r="AE9166">
        <v>0</v>
      </c>
      <c r="AG9166">
        <v>0</v>
      </c>
    </row>
    <row r="9167" spans="31:33">
      <c r="AE9167">
        <v>0</v>
      </c>
      <c r="AG9167">
        <v>0</v>
      </c>
    </row>
    <row r="9168" spans="31:33">
      <c r="AE9168" s="31">
        <v>37760.32</v>
      </c>
      <c r="AG9168" s="31">
        <v>54641.62</v>
      </c>
    </row>
    <row r="9169" spans="31:33">
      <c r="AE9169">
        <v>0</v>
      </c>
      <c r="AG9169">
        <v>0</v>
      </c>
    </row>
    <row r="9170" spans="31:33">
      <c r="AE9170">
        <v>0</v>
      </c>
      <c r="AG9170">
        <v>0</v>
      </c>
    </row>
    <row r="9171" spans="31:33">
      <c r="AE9171" s="31">
        <v>8704.39</v>
      </c>
      <c r="AG9171">
        <v>0</v>
      </c>
    </row>
    <row r="9172" spans="31:33">
      <c r="AE9172">
        <v>0</v>
      </c>
      <c r="AG9172">
        <v>0</v>
      </c>
    </row>
    <row r="9173" spans="31:33">
      <c r="AE9173">
        <v>0</v>
      </c>
      <c r="AG9173">
        <v>0</v>
      </c>
    </row>
    <row r="9174" spans="31:33">
      <c r="AE9174">
        <v>0</v>
      </c>
      <c r="AG9174">
        <v>0</v>
      </c>
    </row>
    <row r="9175" spans="31:33">
      <c r="AE9175">
        <v>0</v>
      </c>
      <c r="AG9175">
        <v>0</v>
      </c>
    </row>
    <row r="9176" spans="31:33">
      <c r="AE9176">
        <v>0</v>
      </c>
      <c r="AG9176">
        <v>0</v>
      </c>
    </row>
    <row r="9177" spans="31:33">
      <c r="AE9177">
        <v>0</v>
      </c>
      <c r="AG9177">
        <v>0</v>
      </c>
    </row>
    <row r="9178" spans="31:33">
      <c r="AE9178">
        <v>0</v>
      </c>
      <c r="AG9178">
        <v>0</v>
      </c>
    </row>
    <row r="9179" spans="31:33">
      <c r="AE9179">
        <v>0</v>
      </c>
      <c r="AG9179">
        <v>0</v>
      </c>
    </row>
    <row r="9180" spans="31:33">
      <c r="AE9180">
        <v>0</v>
      </c>
      <c r="AG9180">
        <v>0</v>
      </c>
    </row>
    <row r="9181" spans="31:33">
      <c r="AE9181">
        <v>0</v>
      </c>
      <c r="AG9181">
        <v>0</v>
      </c>
    </row>
    <row r="9182" spans="31:33">
      <c r="AE9182">
        <v>0</v>
      </c>
      <c r="AG9182">
        <v>0</v>
      </c>
    </row>
    <row r="9183" spans="31:33">
      <c r="AE9183">
        <v>0</v>
      </c>
      <c r="AG9183">
        <v>0</v>
      </c>
    </row>
    <row r="9184" spans="31:33">
      <c r="AE9184">
        <v>0</v>
      </c>
      <c r="AG9184">
        <v>0</v>
      </c>
    </row>
    <row r="9185" spans="31:33">
      <c r="AE9185">
        <v>0</v>
      </c>
      <c r="AG9185">
        <v>0</v>
      </c>
    </row>
    <row r="9186" spans="31:33">
      <c r="AE9186">
        <v>0</v>
      </c>
      <c r="AG9186">
        <v>0</v>
      </c>
    </row>
    <row r="9187" spans="31:33">
      <c r="AE9187">
        <v>0</v>
      </c>
      <c r="AG9187">
        <v>0</v>
      </c>
    </row>
    <row r="9188" spans="31:33">
      <c r="AE9188" s="31">
        <v>2191779.19</v>
      </c>
      <c r="AG9188" s="31">
        <v>12538816.640000001</v>
      </c>
    </row>
    <row r="9189" spans="31:33">
      <c r="AE9189">
        <v>0</v>
      </c>
      <c r="AG9189">
        <v>0</v>
      </c>
    </row>
    <row r="9190" spans="31:33">
      <c r="AE9190">
        <v>0</v>
      </c>
      <c r="AG9190">
        <v>0</v>
      </c>
    </row>
    <row r="9191" spans="31:33">
      <c r="AE9191">
        <v>0</v>
      </c>
      <c r="AG9191">
        <v>0</v>
      </c>
    </row>
    <row r="9192" spans="31:33">
      <c r="AE9192">
        <v>0</v>
      </c>
      <c r="AG9192">
        <v>0</v>
      </c>
    </row>
    <row r="9193" spans="31:33">
      <c r="AE9193">
        <v>0</v>
      </c>
      <c r="AG9193">
        <v>0</v>
      </c>
    </row>
    <row r="9194" spans="31:33">
      <c r="AE9194">
        <v>0</v>
      </c>
      <c r="AG9194">
        <v>0</v>
      </c>
    </row>
    <row r="9195" spans="31:33">
      <c r="AE9195">
        <v>0</v>
      </c>
      <c r="AG9195">
        <v>0</v>
      </c>
    </row>
    <row r="9196" spans="31:33">
      <c r="AE9196">
        <v>0</v>
      </c>
      <c r="AG9196">
        <v>0</v>
      </c>
    </row>
    <row r="9197" spans="31:33">
      <c r="AE9197">
        <v>0</v>
      </c>
      <c r="AG9197">
        <v>0</v>
      </c>
    </row>
    <row r="9198" spans="31:33">
      <c r="AE9198">
        <v>0</v>
      </c>
      <c r="AG9198">
        <v>0</v>
      </c>
    </row>
    <row r="9199" spans="31:33">
      <c r="AE9199">
        <v>0</v>
      </c>
      <c r="AG9199">
        <v>0</v>
      </c>
    </row>
    <row r="9200" spans="31:33">
      <c r="AE9200">
        <v>0</v>
      </c>
      <c r="AG9200">
        <v>0</v>
      </c>
    </row>
    <row r="9201" spans="31:33">
      <c r="AE9201">
        <v>0</v>
      </c>
      <c r="AG9201">
        <v>0</v>
      </c>
    </row>
    <row r="9202" spans="31:33">
      <c r="AE9202">
        <v>0</v>
      </c>
      <c r="AG9202">
        <v>0</v>
      </c>
    </row>
    <row r="9203" spans="31:33">
      <c r="AE9203">
        <v>0</v>
      </c>
      <c r="AG9203">
        <v>0</v>
      </c>
    </row>
    <row r="9204" spans="31:33">
      <c r="AE9204">
        <v>0</v>
      </c>
      <c r="AG9204">
        <v>0</v>
      </c>
    </row>
    <row r="9205" spans="31:33">
      <c r="AE9205">
        <v>0</v>
      </c>
      <c r="AG9205">
        <v>0</v>
      </c>
    </row>
    <row r="9206" spans="31:33">
      <c r="AE9206">
        <v>0</v>
      </c>
      <c r="AG9206">
        <v>0</v>
      </c>
    </row>
    <row r="9207" spans="31:33">
      <c r="AE9207">
        <v>0</v>
      </c>
      <c r="AG9207">
        <v>0</v>
      </c>
    </row>
    <row r="9208" spans="31:33">
      <c r="AE9208">
        <v>0</v>
      </c>
      <c r="AG9208">
        <v>0</v>
      </c>
    </row>
    <row r="9209" spans="31:33">
      <c r="AE9209">
        <v>0</v>
      </c>
      <c r="AG9209">
        <v>0</v>
      </c>
    </row>
    <row r="9210" spans="31:33">
      <c r="AE9210">
        <v>0</v>
      </c>
      <c r="AG9210">
        <v>0</v>
      </c>
    </row>
    <row r="9211" spans="31:33">
      <c r="AE9211">
        <v>0</v>
      </c>
      <c r="AG9211">
        <v>0</v>
      </c>
    </row>
    <row r="9212" spans="31:33">
      <c r="AE9212">
        <v>0</v>
      </c>
      <c r="AG9212">
        <v>0</v>
      </c>
    </row>
    <row r="9213" spans="31:33">
      <c r="AE9213">
        <v>0</v>
      </c>
      <c r="AG9213">
        <v>0</v>
      </c>
    </row>
    <row r="9214" spans="31:33">
      <c r="AE9214">
        <v>0</v>
      </c>
      <c r="AG9214">
        <v>0</v>
      </c>
    </row>
    <row r="9215" spans="31:33">
      <c r="AE9215">
        <v>0</v>
      </c>
      <c r="AG9215">
        <v>0</v>
      </c>
    </row>
    <row r="9216" spans="31:33">
      <c r="AE9216">
        <v>0</v>
      </c>
      <c r="AG9216">
        <v>0</v>
      </c>
    </row>
    <row r="9217" spans="31:33">
      <c r="AE9217">
        <v>0</v>
      </c>
      <c r="AG9217">
        <v>0</v>
      </c>
    </row>
    <row r="9218" spans="31:33">
      <c r="AE9218">
        <v>0</v>
      </c>
      <c r="AG9218">
        <v>0</v>
      </c>
    </row>
    <row r="9219" spans="31:33">
      <c r="AE9219">
        <v>0</v>
      </c>
      <c r="AG9219">
        <v>0</v>
      </c>
    </row>
    <row r="9220" spans="31:33">
      <c r="AE9220">
        <v>0</v>
      </c>
      <c r="AG9220">
        <v>0</v>
      </c>
    </row>
    <row r="9221" spans="31:33">
      <c r="AE9221">
        <v>0</v>
      </c>
      <c r="AG9221">
        <v>0</v>
      </c>
    </row>
    <row r="9222" spans="31:33">
      <c r="AE9222">
        <v>0</v>
      </c>
      <c r="AG9222">
        <v>0</v>
      </c>
    </row>
    <row r="9223" spans="31:33">
      <c r="AE9223">
        <v>0</v>
      </c>
      <c r="AG9223">
        <v>0</v>
      </c>
    </row>
    <row r="9224" spans="31:33">
      <c r="AE9224">
        <v>0</v>
      </c>
      <c r="AG9224">
        <v>0</v>
      </c>
    </row>
    <row r="9225" spans="31:33">
      <c r="AE9225" s="31">
        <v>8289136.1399999997</v>
      </c>
      <c r="AG9225" s="31">
        <v>13439456.93</v>
      </c>
    </row>
    <row r="9226" spans="31:33">
      <c r="AE9226">
        <v>0</v>
      </c>
      <c r="AG9226">
        <v>0</v>
      </c>
    </row>
    <row r="9227" spans="31:33">
      <c r="AE9227">
        <v>0</v>
      </c>
      <c r="AG9227">
        <v>0</v>
      </c>
    </row>
    <row r="9228" spans="31:33">
      <c r="AE9228">
        <v>0</v>
      </c>
      <c r="AG9228">
        <v>0</v>
      </c>
    </row>
    <row r="9229" spans="31:33">
      <c r="AE9229">
        <v>0</v>
      </c>
      <c r="AG9229">
        <v>0</v>
      </c>
    </row>
    <row r="9230" spans="31:33">
      <c r="AE9230">
        <v>0</v>
      </c>
      <c r="AG9230">
        <v>0</v>
      </c>
    </row>
    <row r="9231" spans="31:33">
      <c r="AE9231">
        <v>0</v>
      </c>
      <c r="AG9231">
        <v>0</v>
      </c>
    </row>
    <row r="9232" spans="31:33">
      <c r="AE9232">
        <v>0</v>
      </c>
      <c r="AG9232">
        <v>0</v>
      </c>
    </row>
    <row r="9233" spans="31:33">
      <c r="AE9233">
        <v>0</v>
      </c>
      <c r="AG9233">
        <v>0</v>
      </c>
    </row>
    <row r="9234" spans="31:33">
      <c r="AE9234">
        <v>0</v>
      </c>
      <c r="AG9234">
        <v>0</v>
      </c>
    </row>
    <row r="9235" spans="31:33">
      <c r="AE9235">
        <v>0</v>
      </c>
      <c r="AG9235">
        <v>0</v>
      </c>
    </row>
    <row r="9236" spans="31:33">
      <c r="AE9236">
        <v>0</v>
      </c>
      <c r="AG9236">
        <v>0</v>
      </c>
    </row>
    <row r="9237" spans="31:33">
      <c r="AE9237">
        <v>0</v>
      </c>
      <c r="AG9237">
        <v>0</v>
      </c>
    </row>
    <row r="9238" spans="31:33">
      <c r="AE9238">
        <v>0</v>
      </c>
      <c r="AG9238">
        <v>0</v>
      </c>
    </row>
    <row r="9239" spans="31:33">
      <c r="AE9239">
        <v>0</v>
      </c>
      <c r="AG9239">
        <v>0</v>
      </c>
    </row>
    <row r="9240" spans="31:33">
      <c r="AE9240">
        <v>0</v>
      </c>
      <c r="AG9240">
        <v>0</v>
      </c>
    </row>
    <row r="9241" spans="31:33">
      <c r="AE9241">
        <v>0</v>
      </c>
      <c r="AG9241">
        <v>0</v>
      </c>
    </row>
    <row r="9242" spans="31:33">
      <c r="AE9242">
        <v>0</v>
      </c>
      <c r="AG9242">
        <v>0</v>
      </c>
    </row>
    <row r="9243" spans="31:33">
      <c r="AE9243">
        <v>0</v>
      </c>
      <c r="AG9243">
        <v>0</v>
      </c>
    </row>
    <row r="9244" spans="31:33">
      <c r="AE9244">
        <v>0</v>
      </c>
      <c r="AG9244">
        <v>0</v>
      </c>
    </row>
    <row r="9245" spans="31:33">
      <c r="AE9245">
        <v>0</v>
      </c>
      <c r="AG9245">
        <v>0</v>
      </c>
    </row>
    <row r="9246" spans="31:33">
      <c r="AE9246">
        <v>0</v>
      </c>
      <c r="AG9246">
        <v>0</v>
      </c>
    </row>
    <row r="9247" spans="31:33">
      <c r="AE9247">
        <v>0</v>
      </c>
      <c r="AG9247">
        <v>0</v>
      </c>
    </row>
    <row r="9248" spans="31:33">
      <c r="AE9248">
        <v>0</v>
      </c>
      <c r="AG9248">
        <v>0</v>
      </c>
    </row>
    <row r="9249" spans="31:33">
      <c r="AE9249">
        <v>0</v>
      </c>
      <c r="AG9249">
        <v>0</v>
      </c>
    </row>
    <row r="9250" spans="31:33">
      <c r="AE9250">
        <v>0</v>
      </c>
      <c r="AG9250">
        <v>0</v>
      </c>
    </row>
    <row r="9251" spans="31:33">
      <c r="AE9251">
        <v>0</v>
      </c>
      <c r="AG9251">
        <v>0</v>
      </c>
    </row>
    <row r="9252" spans="31:33">
      <c r="AE9252">
        <v>0</v>
      </c>
      <c r="AG9252">
        <v>0</v>
      </c>
    </row>
    <row r="9253" spans="31:33">
      <c r="AE9253">
        <v>0</v>
      </c>
      <c r="AG9253">
        <v>0</v>
      </c>
    </row>
    <row r="9254" spans="31:33">
      <c r="AE9254">
        <v>0</v>
      </c>
      <c r="AG9254">
        <v>0</v>
      </c>
    </row>
    <row r="9255" spans="31:33">
      <c r="AE9255">
        <v>0</v>
      </c>
      <c r="AG9255">
        <v>0</v>
      </c>
    </row>
    <row r="9256" spans="31:33">
      <c r="AE9256">
        <v>0</v>
      </c>
      <c r="AG9256">
        <v>0</v>
      </c>
    </row>
    <row r="9257" spans="31:33">
      <c r="AE9257">
        <v>0</v>
      </c>
      <c r="AG9257">
        <v>0</v>
      </c>
    </row>
    <row r="9258" spans="31:33">
      <c r="AE9258">
        <v>0</v>
      </c>
      <c r="AG9258">
        <v>0</v>
      </c>
    </row>
    <row r="9259" spans="31:33">
      <c r="AE9259">
        <v>0</v>
      </c>
      <c r="AG9259">
        <v>0</v>
      </c>
    </row>
    <row r="9260" spans="31:33">
      <c r="AE9260">
        <v>0</v>
      </c>
      <c r="AG9260">
        <v>0</v>
      </c>
    </row>
    <row r="9261" spans="31:33">
      <c r="AE9261">
        <v>0</v>
      </c>
      <c r="AG9261">
        <v>0</v>
      </c>
    </row>
    <row r="9262" spans="31:33">
      <c r="AE9262">
        <v>0</v>
      </c>
      <c r="AG9262">
        <v>0</v>
      </c>
    </row>
    <row r="9263" spans="31:33">
      <c r="AE9263">
        <v>0</v>
      </c>
      <c r="AG9263">
        <v>0</v>
      </c>
    </row>
    <row r="9264" spans="31:33">
      <c r="AE9264">
        <v>0</v>
      </c>
      <c r="AG9264">
        <v>0</v>
      </c>
    </row>
    <row r="9265" spans="31:33">
      <c r="AE9265">
        <v>0</v>
      </c>
      <c r="AG9265">
        <v>0</v>
      </c>
    </row>
    <row r="9266" spans="31:33">
      <c r="AE9266">
        <v>0</v>
      </c>
      <c r="AG9266">
        <v>0</v>
      </c>
    </row>
    <row r="9267" spans="31:33">
      <c r="AE9267">
        <v>0</v>
      </c>
      <c r="AG9267">
        <v>0</v>
      </c>
    </row>
    <row r="9268" spans="31:33">
      <c r="AE9268">
        <v>0</v>
      </c>
      <c r="AG9268">
        <v>0</v>
      </c>
    </row>
    <row r="9269" spans="31:33">
      <c r="AE9269">
        <v>0</v>
      </c>
      <c r="AG9269">
        <v>0</v>
      </c>
    </row>
    <row r="9270" spans="31:33">
      <c r="AE9270">
        <v>0</v>
      </c>
      <c r="AG9270">
        <v>0</v>
      </c>
    </row>
    <row r="9271" spans="31:33">
      <c r="AE9271">
        <v>0</v>
      </c>
      <c r="AG9271">
        <v>0</v>
      </c>
    </row>
    <row r="9272" spans="31:33">
      <c r="AE9272">
        <v>0</v>
      </c>
      <c r="AG9272">
        <v>0</v>
      </c>
    </row>
    <row r="9273" spans="31:33">
      <c r="AE9273">
        <v>0</v>
      </c>
      <c r="AG9273">
        <v>0</v>
      </c>
    </row>
    <row r="9274" spans="31:33">
      <c r="AE9274">
        <v>0</v>
      </c>
      <c r="AG9274">
        <v>0</v>
      </c>
    </row>
    <row r="9275" spans="31:33">
      <c r="AE9275">
        <v>0</v>
      </c>
      <c r="AG9275">
        <v>0</v>
      </c>
    </row>
    <row r="9276" spans="31:33">
      <c r="AE9276">
        <v>0</v>
      </c>
      <c r="AG9276">
        <v>0</v>
      </c>
    </row>
    <row r="9277" spans="31:33">
      <c r="AE9277">
        <v>0</v>
      </c>
      <c r="AG9277">
        <v>0</v>
      </c>
    </row>
    <row r="9278" spans="31:33">
      <c r="AE9278">
        <v>0</v>
      </c>
      <c r="AG9278">
        <v>0</v>
      </c>
    </row>
    <row r="9279" spans="31:33">
      <c r="AE9279">
        <v>0</v>
      </c>
      <c r="AG9279">
        <v>0</v>
      </c>
    </row>
    <row r="9280" spans="31:33">
      <c r="AE9280">
        <v>0</v>
      </c>
      <c r="AG9280">
        <v>0</v>
      </c>
    </row>
    <row r="9281" spans="31:33">
      <c r="AE9281">
        <v>0</v>
      </c>
      <c r="AG9281">
        <v>0</v>
      </c>
    </row>
    <row r="9282" spans="31:33">
      <c r="AE9282">
        <v>0</v>
      </c>
      <c r="AG9282">
        <v>0</v>
      </c>
    </row>
    <row r="9283" spans="31:33">
      <c r="AE9283">
        <v>0</v>
      </c>
      <c r="AG9283">
        <v>0</v>
      </c>
    </row>
    <row r="9284" spans="31:33">
      <c r="AE9284">
        <v>0</v>
      </c>
      <c r="AG9284">
        <v>0</v>
      </c>
    </row>
    <row r="9285" spans="31:33">
      <c r="AE9285">
        <v>0</v>
      </c>
      <c r="AG9285">
        <v>0</v>
      </c>
    </row>
    <row r="9286" spans="31:33">
      <c r="AE9286">
        <v>0</v>
      </c>
      <c r="AG9286">
        <v>0</v>
      </c>
    </row>
    <row r="9287" spans="31:33">
      <c r="AE9287">
        <v>0</v>
      </c>
      <c r="AG9287">
        <v>0</v>
      </c>
    </row>
    <row r="9288" spans="31:33">
      <c r="AE9288">
        <v>0</v>
      </c>
      <c r="AG9288">
        <v>0</v>
      </c>
    </row>
    <row r="9289" spans="31:33">
      <c r="AE9289">
        <v>0</v>
      </c>
      <c r="AG9289">
        <v>0</v>
      </c>
    </row>
    <row r="9290" spans="31:33">
      <c r="AE9290">
        <v>0</v>
      </c>
      <c r="AG9290">
        <v>0</v>
      </c>
    </row>
    <row r="9291" spans="31:33">
      <c r="AE9291">
        <v>0</v>
      </c>
      <c r="AG9291">
        <v>0</v>
      </c>
    </row>
    <row r="9292" spans="31:33">
      <c r="AE9292">
        <v>0</v>
      </c>
      <c r="AG9292">
        <v>0</v>
      </c>
    </row>
    <row r="9293" spans="31:33">
      <c r="AE9293">
        <v>0</v>
      </c>
      <c r="AG9293">
        <v>0</v>
      </c>
    </row>
    <row r="9294" spans="31:33">
      <c r="AE9294">
        <v>0</v>
      </c>
      <c r="AG9294">
        <v>0</v>
      </c>
    </row>
    <row r="9295" spans="31:33">
      <c r="AE9295">
        <v>0</v>
      </c>
      <c r="AG9295">
        <v>0</v>
      </c>
    </row>
    <row r="9296" spans="31:33">
      <c r="AE9296">
        <v>0</v>
      </c>
      <c r="AG9296">
        <v>0</v>
      </c>
    </row>
    <row r="9297" spans="31:33">
      <c r="AE9297">
        <v>0</v>
      </c>
      <c r="AG9297">
        <v>0</v>
      </c>
    </row>
    <row r="9298" spans="31:33">
      <c r="AE9298">
        <v>0</v>
      </c>
      <c r="AG9298">
        <v>0</v>
      </c>
    </row>
    <row r="9299" spans="31:33">
      <c r="AE9299">
        <v>0</v>
      </c>
      <c r="AG9299">
        <v>0</v>
      </c>
    </row>
    <row r="9300" spans="31:33">
      <c r="AE9300">
        <v>0</v>
      </c>
      <c r="AG9300">
        <v>0</v>
      </c>
    </row>
    <row r="9301" spans="31:33">
      <c r="AE9301">
        <v>0</v>
      </c>
      <c r="AG9301">
        <v>0</v>
      </c>
    </row>
    <row r="9302" spans="31:33">
      <c r="AE9302">
        <v>0</v>
      </c>
      <c r="AG9302">
        <v>0</v>
      </c>
    </row>
    <row r="9303" spans="31:33">
      <c r="AE9303">
        <v>0</v>
      </c>
      <c r="AG9303">
        <v>0</v>
      </c>
    </row>
    <row r="9304" spans="31:33">
      <c r="AE9304">
        <v>0</v>
      </c>
      <c r="AG9304">
        <v>0</v>
      </c>
    </row>
    <row r="9305" spans="31:33">
      <c r="AE9305">
        <v>0</v>
      </c>
      <c r="AG9305">
        <v>0</v>
      </c>
    </row>
    <row r="9306" spans="31:33">
      <c r="AE9306">
        <v>0</v>
      </c>
      <c r="AG9306">
        <v>0</v>
      </c>
    </row>
    <row r="9307" spans="31:33">
      <c r="AE9307">
        <v>0</v>
      </c>
      <c r="AG9307">
        <v>0</v>
      </c>
    </row>
    <row r="9308" spans="31:33">
      <c r="AE9308">
        <v>0</v>
      </c>
      <c r="AG9308">
        <v>0</v>
      </c>
    </row>
    <row r="9309" spans="31:33">
      <c r="AE9309">
        <v>0</v>
      </c>
      <c r="AG9309">
        <v>0</v>
      </c>
    </row>
    <row r="9310" spans="31:33">
      <c r="AE9310">
        <v>0</v>
      </c>
      <c r="AG9310">
        <v>0</v>
      </c>
    </row>
    <row r="9311" spans="31:33">
      <c r="AE9311">
        <v>0</v>
      </c>
      <c r="AG9311">
        <v>0</v>
      </c>
    </row>
    <row r="9312" spans="31:33">
      <c r="AE9312">
        <v>0</v>
      </c>
      <c r="AG9312">
        <v>0</v>
      </c>
    </row>
    <row r="9313" spans="31:33">
      <c r="AE9313" s="31">
        <v>834549.06</v>
      </c>
      <c r="AG9313" s="31">
        <v>408369.06</v>
      </c>
    </row>
    <row r="9314" spans="31:33">
      <c r="AE9314">
        <v>0</v>
      </c>
      <c r="AG9314" s="31">
        <v>581701.38</v>
      </c>
    </row>
    <row r="9315" spans="31:33">
      <c r="AE9315">
        <v>0</v>
      </c>
      <c r="AG9315">
        <v>0</v>
      </c>
    </row>
    <row r="9316" spans="31:33">
      <c r="AE9316">
        <v>0</v>
      </c>
      <c r="AG9316">
        <v>0</v>
      </c>
    </row>
    <row r="9317" spans="31:33">
      <c r="AE9317">
        <v>0</v>
      </c>
      <c r="AG9317">
        <v>0</v>
      </c>
    </row>
    <row r="9318" spans="31:33">
      <c r="AE9318">
        <v>0</v>
      </c>
      <c r="AG9318">
        <v>0</v>
      </c>
    </row>
    <row r="9319" spans="31:33">
      <c r="AE9319">
        <v>0</v>
      </c>
      <c r="AG9319">
        <v>0</v>
      </c>
    </row>
    <row r="9320" spans="31:33">
      <c r="AE9320">
        <v>0</v>
      </c>
      <c r="AG9320">
        <v>0</v>
      </c>
    </row>
    <row r="9321" spans="31:33">
      <c r="AE9321">
        <v>0</v>
      </c>
      <c r="AG9321">
        <v>0</v>
      </c>
    </row>
    <row r="9322" spans="31:33">
      <c r="AE9322">
        <v>0</v>
      </c>
      <c r="AG9322">
        <v>0</v>
      </c>
    </row>
    <row r="9323" spans="31:33">
      <c r="AE9323">
        <v>0</v>
      </c>
      <c r="AG9323">
        <v>0</v>
      </c>
    </row>
    <row r="9324" spans="31:33">
      <c r="AE9324">
        <v>0</v>
      </c>
      <c r="AG9324">
        <v>0</v>
      </c>
    </row>
    <row r="9325" spans="31:33">
      <c r="AE9325">
        <v>0</v>
      </c>
      <c r="AG9325">
        <v>0</v>
      </c>
    </row>
    <row r="9326" spans="31:33">
      <c r="AE9326">
        <v>0</v>
      </c>
      <c r="AG9326">
        <v>0</v>
      </c>
    </row>
    <row r="9327" spans="31:33">
      <c r="AE9327">
        <v>0</v>
      </c>
      <c r="AG9327">
        <v>0</v>
      </c>
    </row>
    <row r="9328" spans="31:33">
      <c r="AE9328">
        <v>0</v>
      </c>
      <c r="AG9328">
        <v>0</v>
      </c>
    </row>
    <row r="9329" spans="31:33">
      <c r="AE9329">
        <v>0</v>
      </c>
      <c r="AG9329">
        <v>0</v>
      </c>
    </row>
    <row r="9330" spans="31:33">
      <c r="AE9330">
        <v>0</v>
      </c>
      <c r="AG9330">
        <v>0</v>
      </c>
    </row>
    <row r="9331" spans="31:33">
      <c r="AE9331">
        <v>0</v>
      </c>
      <c r="AG9331">
        <v>0</v>
      </c>
    </row>
    <row r="9332" spans="31:33">
      <c r="AE9332">
        <v>0</v>
      </c>
      <c r="AG9332">
        <v>0</v>
      </c>
    </row>
    <row r="9333" spans="31:33">
      <c r="AE9333">
        <v>0</v>
      </c>
      <c r="AG9333">
        <v>0</v>
      </c>
    </row>
    <row r="9334" spans="31:33">
      <c r="AE9334">
        <v>0</v>
      </c>
      <c r="AG9334">
        <v>0</v>
      </c>
    </row>
    <row r="9335" spans="31:33">
      <c r="AE9335">
        <v>0</v>
      </c>
      <c r="AG9335">
        <v>0</v>
      </c>
    </row>
    <row r="9336" spans="31:33">
      <c r="AE9336">
        <v>0</v>
      </c>
      <c r="AG9336">
        <v>0</v>
      </c>
    </row>
    <row r="9337" spans="31:33">
      <c r="AE9337">
        <v>0</v>
      </c>
      <c r="AG9337">
        <v>0</v>
      </c>
    </row>
    <row r="9338" spans="31:33">
      <c r="AE9338">
        <v>0</v>
      </c>
      <c r="AG9338">
        <v>0</v>
      </c>
    </row>
    <row r="9339" spans="31:33">
      <c r="AE9339">
        <v>0</v>
      </c>
      <c r="AG9339">
        <v>0</v>
      </c>
    </row>
    <row r="9340" spans="31:33">
      <c r="AE9340">
        <v>0</v>
      </c>
      <c r="AG9340">
        <v>0</v>
      </c>
    </row>
    <row r="9341" spans="31:33">
      <c r="AE9341" s="31">
        <v>27245508.469999999</v>
      </c>
      <c r="AG9341" s="31">
        <v>28262460.989999998</v>
      </c>
    </row>
    <row r="9342" spans="31:33">
      <c r="AE9342" s="31">
        <v>7032202.4299999997</v>
      </c>
      <c r="AG9342" s="31">
        <v>7357928.5099999998</v>
      </c>
    </row>
    <row r="9343" spans="31:33">
      <c r="AE9343">
        <v>0</v>
      </c>
      <c r="AG9343">
        <v>0</v>
      </c>
    </row>
    <row r="9344" spans="31:33">
      <c r="AE9344">
        <v>0</v>
      </c>
      <c r="AG9344">
        <v>0</v>
      </c>
    </row>
    <row r="9345" spans="31:33">
      <c r="AE9345">
        <v>0</v>
      </c>
      <c r="AG9345">
        <v>0</v>
      </c>
    </row>
    <row r="9346" spans="31:33">
      <c r="AE9346">
        <v>0</v>
      </c>
      <c r="AG9346">
        <v>0</v>
      </c>
    </row>
    <row r="9347" spans="31:33">
      <c r="AE9347">
        <v>0</v>
      </c>
      <c r="AG9347">
        <v>0</v>
      </c>
    </row>
    <row r="9348" spans="31:33">
      <c r="AE9348">
        <v>0</v>
      </c>
      <c r="AG9348">
        <v>0</v>
      </c>
    </row>
    <row r="9349" spans="31:33">
      <c r="AE9349">
        <v>0</v>
      </c>
      <c r="AG9349">
        <v>0</v>
      </c>
    </row>
    <row r="9350" spans="31:33">
      <c r="AE9350">
        <v>0</v>
      </c>
      <c r="AG9350">
        <v>0</v>
      </c>
    </row>
    <row r="9351" spans="31:33">
      <c r="AE9351">
        <v>0</v>
      </c>
      <c r="AG9351">
        <v>0</v>
      </c>
    </row>
    <row r="9352" spans="31:33">
      <c r="AE9352">
        <v>0</v>
      </c>
      <c r="AG9352">
        <v>0</v>
      </c>
    </row>
    <row r="9353" spans="31:33">
      <c r="AE9353">
        <v>0</v>
      </c>
      <c r="AG9353">
        <v>0</v>
      </c>
    </row>
    <row r="9354" spans="31:33">
      <c r="AE9354">
        <v>0</v>
      </c>
      <c r="AG9354">
        <v>0</v>
      </c>
    </row>
    <row r="9355" spans="31:33">
      <c r="AE9355">
        <v>0</v>
      </c>
      <c r="AG9355">
        <v>0</v>
      </c>
    </row>
    <row r="9356" spans="31:33">
      <c r="AE9356">
        <v>0</v>
      </c>
      <c r="AG9356">
        <v>0</v>
      </c>
    </row>
    <row r="9357" spans="31:33">
      <c r="AE9357">
        <v>0</v>
      </c>
      <c r="AG9357">
        <v>0</v>
      </c>
    </row>
    <row r="9358" spans="31:33">
      <c r="AE9358">
        <v>0</v>
      </c>
      <c r="AG9358">
        <v>0</v>
      </c>
    </row>
    <row r="9359" spans="31:33">
      <c r="AE9359">
        <v>0</v>
      </c>
      <c r="AG9359">
        <v>0</v>
      </c>
    </row>
    <row r="9360" spans="31:33">
      <c r="AE9360">
        <v>0</v>
      </c>
      <c r="AG9360">
        <v>0</v>
      </c>
    </row>
    <row r="9361" spans="31:33">
      <c r="AE9361">
        <v>0</v>
      </c>
      <c r="AG9361">
        <v>0</v>
      </c>
    </row>
    <row r="9362" spans="31:33">
      <c r="AE9362">
        <v>0</v>
      </c>
      <c r="AG9362">
        <v>0</v>
      </c>
    </row>
    <row r="9363" spans="31:33">
      <c r="AE9363">
        <v>0</v>
      </c>
      <c r="AG9363">
        <v>0</v>
      </c>
    </row>
    <row r="9364" spans="31:33">
      <c r="AE9364">
        <v>0</v>
      </c>
      <c r="AG9364">
        <v>0</v>
      </c>
    </row>
    <row r="9365" spans="31:33">
      <c r="AE9365">
        <v>0</v>
      </c>
      <c r="AG9365">
        <v>0</v>
      </c>
    </row>
    <row r="9366" spans="31:33">
      <c r="AE9366">
        <v>0</v>
      </c>
      <c r="AG9366">
        <v>0</v>
      </c>
    </row>
    <row r="9367" spans="31:33">
      <c r="AE9367" s="31">
        <v>-3282</v>
      </c>
      <c r="AG9367" s="31">
        <v>-3282</v>
      </c>
    </row>
    <row r="9368" spans="31:33">
      <c r="AE9368">
        <v>0</v>
      </c>
      <c r="AG9368">
        <v>0</v>
      </c>
    </row>
    <row r="9369" spans="31:33">
      <c r="AE9369">
        <v>0</v>
      </c>
      <c r="AG9369">
        <v>0</v>
      </c>
    </row>
    <row r="9370" spans="31:33">
      <c r="AE9370">
        <v>0</v>
      </c>
      <c r="AG9370">
        <v>0</v>
      </c>
    </row>
    <row r="9371" spans="31:33">
      <c r="AE9371">
        <v>0</v>
      </c>
      <c r="AG9371">
        <v>0</v>
      </c>
    </row>
    <row r="9372" spans="31:33">
      <c r="AE9372">
        <v>0</v>
      </c>
      <c r="AG9372">
        <v>0</v>
      </c>
    </row>
    <row r="9373" spans="31:33">
      <c r="AE9373">
        <v>0</v>
      </c>
      <c r="AG9373">
        <v>0</v>
      </c>
    </row>
    <row r="9374" spans="31:33">
      <c r="AE9374">
        <v>0</v>
      </c>
      <c r="AG9374">
        <v>0</v>
      </c>
    </row>
    <row r="9375" spans="31:33">
      <c r="AE9375">
        <v>0</v>
      </c>
      <c r="AG9375">
        <v>0</v>
      </c>
    </row>
    <row r="9376" spans="31:33">
      <c r="AE9376">
        <v>0</v>
      </c>
      <c r="AG9376">
        <v>0</v>
      </c>
    </row>
    <row r="9377" spans="31:33">
      <c r="AE9377">
        <v>0</v>
      </c>
      <c r="AG9377">
        <v>0</v>
      </c>
    </row>
    <row r="9378" spans="31:33">
      <c r="AE9378">
        <v>0</v>
      </c>
      <c r="AG9378">
        <v>0</v>
      </c>
    </row>
    <row r="9379" spans="31:33">
      <c r="AE9379">
        <v>0</v>
      </c>
      <c r="AG9379">
        <v>0</v>
      </c>
    </row>
    <row r="9380" spans="31:33">
      <c r="AE9380">
        <v>0</v>
      </c>
      <c r="AG9380">
        <v>0</v>
      </c>
    </row>
    <row r="9381" spans="31:33">
      <c r="AE9381">
        <v>0</v>
      </c>
      <c r="AG9381">
        <v>0</v>
      </c>
    </row>
    <row r="9382" spans="31:33">
      <c r="AE9382">
        <v>0</v>
      </c>
      <c r="AG9382">
        <v>0</v>
      </c>
    </row>
    <row r="9383" spans="31:33">
      <c r="AE9383">
        <v>0</v>
      </c>
      <c r="AG9383">
        <v>0</v>
      </c>
    </row>
    <row r="9384" spans="31:33">
      <c r="AE9384">
        <v>0</v>
      </c>
      <c r="AG9384">
        <v>0</v>
      </c>
    </row>
    <row r="9385" spans="31:33">
      <c r="AE9385">
        <v>0</v>
      </c>
      <c r="AG9385">
        <v>0</v>
      </c>
    </row>
    <row r="9386" spans="31:33">
      <c r="AE9386">
        <v>0</v>
      </c>
      <c r="AG9386">
        <v>0</v>
      </c>
    </row>
    <row r="9387" spans="31:33">
      <c r="AE9387">
        <v>0</v>
      </c>
      <c r="AG9387">
        <v>0</v>
      </c>
    </row>
    <row r="9388" spans="31:33">
      <c r="AE9388">
        <v>0</v>
      </c>
      <c r="AG9388">
        <v>0</v>
      </c>
    </row>
    <row r="9389" spans="31:33">
      <c r="AE9389">
        <v>0</v>
      </c>
      <c r="AG9389">
        <v>0</v>
      </c>
    </row>
    <row r="9390" spans="31:33">
      <c r="AE9390">
        <v>0</v>
      </c>
      <c r="AG9390">
        <v>0</v>
      </c>
    </row>
    <row r="9391" spans="31:33">
      <c r="AE9391">
        <v>0</v>
      </c>
      <c r="AG9391">
        <v>0</v>
      </c>
    </row>
    <row r="9392" spans="31:33">
      <c r="AE9392">
        <v>0</v>
      </c>
      <c r="AG9392">
        <v>0</v>
      </c>
    </row>
    <row r="9393" spans="31:33">
      <c r="AE9393">
        <v>0</v>
      </c>
      <c r="AG9393">
        <v>0</v>
      </c>
    </row>
    <row r="9394" spans="31:33">
      <c r="AE9394">
        <v>0</v>
      </c>
      <c r="AG9394">
        <v>0</v>
      </c>
    </row>
    <row r="9395" spans="31:33">
      <c r="AE9395">
        <v>0</v>
      </c>
      <c r="AG9395">
        <v>0</v>
      </c>
    </row>
    <row r="9396" spans="31:33">
      <c r="AE9396">
        <v>0</v>
      </c>
      <c r="AG9396">
        <v>0</v>
      </c>
    </row>
    <row r="9397" spans="31:33">
      <c r="AE9397">
        <v>0</v>
      </c>
      <c r="AG9397">
        <v>0</v>
      </c>
    </row>
    <row r="9398" spans="31:33">
      <c r="AE9398">
        <v>0</v>
      </c>
      <c r="AG9398">
        <v>0</v>
      </c>
    </row>
    <row r="9399" spans="31:33">
      <c r="AE9399">
        <v>0</v>
      </c>
      <c r="AG9399">
        <v>0</v>
      </c>
    </row>
    <row r="9400" spans="31:33">
      <c r="AE9400">
        <v>0</v>
      </c>
      <c r="AG9400">
        <v>0</v>
      </c>
    </row>
    <row r="9401" spans="31:33">
      <c r="AE9401">
        <v>0</v>
      </c>
      <c r="AG9401">
        <v>0</v>
      </c>
    </row>
    <row r="9402" spans="31:33">
      <c r="AE9402">
        <v>0</v>
      </c>
      <c r="AG9402">
        <v>0</v>
      </c>
    </row>
    <row r="9403" spans="31:33">
      <c r="AE9403">
        <v>0</v>
      </c>
      <c r="AG9403">
        <v>0</v>
      </c>
    </row>
    <row r="9404" spans="31:33">
      <c r="AE9404">
        <v>0</v>
      </c>
      <c r="AG9404">
        <v>0</v>
      </c>
    </row>
    <row r="9405" spans="31:33">
      <c r="AE9405">
        <v>0</v>
      </c>
      <c r="AG9405">
        <v>0</v>
      </c>
    </row>
    <row r="9406" spans="31:33">
      <c r="AE9406">
        <v>0</v>
      </c>
      <c r="AG9406">
        <v>0</v>
      </c>
    </row>
    <row r="9407" spans="31:33">
      <c r="AE9407">
        <v>0</v>
      </c>
      <c r="AG9407">
        <v>0</v>
      </c>
    </row>
    <row r="9408" spans="31:33">
      <c r="AE9408">
        <v>0</v>
      </c>
      <c r="AG9408">
        <v>0</v>
      </c>
    </row>
    <row r="9409" spans="31:33">
      <c r="AE9409">
        <v>0</v>
      </c>
      <c r="AG9409">
        <v>0</v>
      </c>
    </row>
    <row r="9410" spans="31:33">
      <c r="AE9410">
        <v>0</v>
      </c>
      <c r="AG9410">
        <v>0</v>
      </c>
    </row>
    <row r="9411" spans="31:33">
      <c r="AE9411">
        <v>0</v>
      </c>
      <c r="AG9411">
        <v>0</v>
      </c>
    </row>
    <row r="9412" spans="31:33">
      <c r="AE9412">
        <v>0</v>
      </c>
      <c r="AG9412">
        <v>0</v>
      </c>
    </row>
    <row r="9413" spans="31:33">
      <c r="AE9413">
        <v>0</v>
      </c>
      <c r="AG9413">
        <v>0</v>
      </c>
    </row>
    <row r="9414" spans="31:33">
      <c r="AE9414">
        <v>0</v>
      </c>
      <c r="AG9414">
        <v>0</v>
      </c>
    </row>
    <row r="9415" spans="31:33">
      <c r="AE9415">
        <v>0</v>
      </c>
      <c r="AG9415">
        <v>0</v>
      </c>
    </row>
    <row r="9416" spans="31:33">
      <c r="AE9416">
        <v>0</v>
      </c>
      <c r="AG9416">
        <v>0</v>
      </c>
    </row>
    <row r="9417" spans="31:33">
      <c r="AE9417">
        <v>0</v>
      </c>
      <c r="AG9417">
        <v>0</v>
      </c>
    </row>
    <row r="9418" spans="31:33">
      <c r="AE9418">
        <v>0</v>
      </c>
      <c r="AG9418">
        <v>0</v>
      </c>
    </row>
    <row r="9419" spans="31:33">
      <c r="AE9419">
        <v>0</v>
      </c>
      <c r="AG9419">
        <v>0</v>
      </c>
    </row>
    <row r="9420" spans="31:33">
      <c r="AE9420">
        <v>0</v>
      </c>
      <c r="AG9420">
        <v>0</v>
      </c>
    </row>
    <row r="9421" spans="31:33">
      <c r="AE9421">
        <v>0</v>
      </c>
      <c r="AG9421">
        <v>0</v>
      </c>
    </row>
    <row r="9422" spans="31:33">
      <c r="AE9422">
        <v>0</v>
      </c>
      <c r="AG9422">
        <v>0</v>
      </c>
    </row>
    <row r="9423" spans="31:33">
      <c r="AE9423">
        <v>0</v>
      </c>
      <c r="AG9423">
        <v>0</v>
      </c>
    </row>
    <row r="9424" spans="31:33">
      <c r="AE9424">
        <v>0</v>
      </c>
      <c r="AG9424">
        <v>0</v>
      </c>
    </row>
    <row r="9425" spans="31:33">
      <c r="AE9425">
        <v>0</v>
      </c>
      <c r="AG9425">
        <v>0</v>
      </c>
    </row>
    <row r="9426" spans="31:33">
      <c r="AE9426">
        <v>0</v>
      </c>
      <c r="AG9426">
        <v>0</v>
      </c>
    </row>
    <row r="9427" spans="31:33">
      <c r="AE9427">
        <v>0</v>
      </c>
      <c r="AG9427">
        <v>0</v>
      </c>
    </row>
    <row r="9428" spans="31:33">
      <c r="AE9428">
        <v>0</v>
      </c>
      <c r="AG9428">
        <v>0</v>
      </c>
    </row>
    <row r="9429" spans="31:33">
      <c r="AE9429">
        <v>0</v>
      </c>
      <c r="AG9429">
        <v>0</v>
      </c>
    </row>
    <row r="9430" spans="31:33">
      <c r="AE9430">
        <v>0</v>
      </c>
      <c r="AG9430">
        <v>0</v>
      </c>
    </row>
    <row r="9431" spans="31:33">
      <c r="AE9431">
        <v>0</v>
      </c>
      <c r="AG9431">
        <v>0</v>
      </c>
    </row>
    <row r="9432" spans="31:33">
      <c r="AE9432">
        <v>0</v>
      </c>
      <c r="AG9432">
        <v>0</v>
      </c>
    </row>
    <row r="9433" spans="31:33">
      <c r="AE9433">
        <v>0</v>
      </c>
      <c r="AG9433">
        <v>0</v>
      </c>
    </row>
    <row r="9434" spans="31:33">
      <c r="AE9434">
        <v>0</v>
      </c>
      <c r="AG9434">
        <v>0</v>
      </c>
    </row>
    <row r="9435" spans="31:33">
      <c r="AE9435">
        <v>0</v>
      </c>
      <c r="AG9435">
        <v>0</v>
      </c>
    </row>
    <row r="9436" spans="31:33">
      <c r="AE9436">
        <v>0</v>
      </c>
      <c r="AG9436">
        <v>0</v>
      </c>
    </row>
    <row r="9437" spans="31:33">
      <c r="AE9437">
        <v>0</v>
      </c>
      <c r="AG9437">
        <v>0</v>
      </c>
    </row>
    <row r="9438" spans="31:33">
      <c r="AE9438">
        <v>0</v>
      </c>
      <c r="AG9438">
        <v>0</v>
      </c>
    </row>
    <row r="9439" spans="31:33">
      <c r="AE9439">
        <v>0</v>
      </c>
      <c r="AG9439">
        <v>0</v>
      </c>
    </row>
    <row r="9440" spans="31:33">
      <c r="AE9440">
        <v>0</v>
      </c>
      <c r="AG9440">
        <v>0</v>
      </c>
    </row>
    <row r="9441" spans="31:33">
      <c r="AE9441">
        <v>0</v>
      </c>
      <c r="AG9441">
        <v>0</v>
      </c>
    </row>
    <row r="9442" spans="31:33">
      <c r="AE9442">
        <v>0</v>
      </c>
      <c r="AG9442">
        <v>0</v>
      </c>
    </row>
    <row r="9443" spans="31:33">
      <c r="AE9443">
        <v>0</v>
      </c>
      <c r="AG9443">
        <v>0</v>
      </c>
    </row>
    <row r="9444" spans="31:33">
      <c r="AE9444">
        <v>0</v>
      </c>
      <c r="AG9444">
        <v>0</v>
      </c>
    </row>
    <row r="9445" spans="31:33">
      <c r="AE9445">
        <v>0</v>
      </c>
      <c r="AG9445">
        <v>0</v>
      </c>
    </row>
    <row r="9446" spans="31:33">
      <c r="AE9446">
        <v>0</v>
      </c>
      <c r="AG9446">
        <v>0</v>
      </c>
    </row>
    <row r="9447" spans="31:33">
      <c r="AE9447">
        <v>0</v>
      </c>
      <c r="AG9447">
        <v>0</v>
      </c>
    </row>
    <row r="9448" spans="31:33">
      <c r="AE9448">
        <v>0</v>
      </c>
      <c r="AG9448">
        <v>0</v>
      </c>
    </row>
    <row r="9449" spans="31:33">
      <c r="AE9449" s="31">
        <v>42726599.390000001</v>
      </c>
      <c r="AG9449" s="31">
        <v>15975832.300000001</v>
      </c>
    </row>
    <row r="9450" spans="31:33">
      <c r="AE9450">
        <v>0</v>
      </c>
      <c r="AG9450">
        <v>0</v>
      </c>
    </row>
    <row r="9451" spans="31:33">
      <c r="AE9451">
        <v>0</v>
      </c>
      <c r="AG9451">
        <v>0</v>
      </c>
    </row>
    <row r="9452" spans="31:33">
      <c r="AE9452">
        <v>0</v>
      </c>
      <c r="AG9452">
        <v>0</v>
      </c>
    </row>
    <row r="9453" spans="31:33">
      <c r="AE9453">
        <v>0</v>
      </c>
      <c r="AG9453">
        <v>0</v>
      </c>
    </row>
    <row r="9454" spans="31:33">
      <c r="AE9454">
        <v>0</v>
      </c>
      <c r="AG9454">
        <v>0</v>
      </c>
    </row>
    <row r="9455" spans="31:33">
      <c r="AE9455">
        <v>0</v>
      </c>
      <c r="AG9455">
        <v>0</v>
      </c>
    </row>
    <row r="9456" spans="31:33">
      <c r="AE9456">
        <v>0</v>
      </c>
      <c r="AG9456">
        <v>0</v>
      </c>
    </row>
    <row r="9457" spans="31:33">
      <c r="AE9457">
        <v>0</v>
      </c>
      <c r="AG9457">
        <v>0</v>
      </c>
    </row>
    <row r="9458" spans="31:33">
      <c r="AE9458">
        <v>0</v>
      </c>
      <c r="AG9458">
        <v>0</v>
      </c>
    </row>
    <row r="9459" spans="31:33">
      <c r="AE9459">
        <v>0</v>
      </c>
      <c r="AG9459">
        <v>0</v>
      </c>
    </row>
    <row r="9460" spans="31:33">
      <c r="AE9460">
        <v>0</v>
      </c>
      <c r="AG9460">
        <v>0</v>
      </c>
    </row>
    <row r="9461" spans="31:33">
      <c r="AE9461">
        <v>0</v>
      </c>
      <c r="AG9461">
        <v>0</v>
      </c>
    </row>
    <row r="9462" spans="31:33">
      <c r="AE9462">
        <v>0</v>
      </c>
      <c r="AG9462">
        <v>0</v>
      </c>
    </row>
    <row r="9463" spans="31:33">
      <c r="AE9463">
        <v>0</v>
      </c>
      <c r="AG9463">
        <v>0</v>
      </c>
    </row>
    <row r="9464" spans="31:33">
      <c r="AE9464">
        <v>0</v>
      </c>
      <c r="AG9464">
        <v>0</v>
      </c>
    </row>
    <row r="9465" spans="31:33">
      <c r="AE9465">
        <v>0</v>
      </c>
      <c r="AG9465">
        <v>0</v>
      </c>
    </row>
    <row r="9466" spans="31:33">
      <c r="AE9466">
        <v>0</v>
      </c>
      <c r="AG9466">
        <v>0</v>
      </c>
    </row>
    <row r="9467" spans="31:33">
      <c r="AE9467">
        <v>0</v>
      </c>
      <c r="AG9467">
        <v>0</v>
      </c>
    </row>
    <row r="9468" spans="31:33">
      <c r="AE9468">
        <v>0</v>
      </c>
      <c r="AG9468">
        <v>0</v>
      </c>
    </row>
    <row r="9469" spans="31:33">
      <c r="AE9469">
        <v>0</v>
      </c>
      <c r="AG9469">
        <v>0</v>
      </c>
    </row>
    <row r="9470" spans="31:33">
      <c r="AE9470">
        <v>0</v>
      </c>
      <c r="AG9470">
        <v>0</v>
      </c>
    </row>
    <row r="9471" spans="31:33">
      <c r="AE9471">
        <v>0</v>
      </c>
      <c r="AG9471">
        <v>0</v>
      </c>
    </row>
    <row r="9472" spans="31:33">
      <c r="AE9472">
        <v>0</v>
      </c>
      <c r="AG9472">
        <v>0</v>
      </c>
    </row>
    <row r="9473" spans="31:33">
      <c r="AE9473">
        <v>0</v>
      </c>
      <c r="AG9473">
        <v>0</v>
      </c>
    </row>
    <row r="9474" spans="31:33">
      <c r="AE9474">
        <v>0</v>
      </c>
      <c r="AG9474">
        <v>0</v>
      </c>
    </row>
    <row r="9475" spans="31:33">
      <c r="AE9475">
        <v>0</v>
      </c>
      <c r="AG9475">
        <v>0</v>
      </c>
    </row>
    <row r="9476" spans="31:33">
      <c r="AE9476">
        <v>0</v>
      </c>
      <c r="AG9476">
        <v>0</v>
      </c>
    </row>
    <row r="9477" spans="31:33">
      <c r="AE9477">
        <v>0</v>
      </c>
      <c r="AG9477">
        <v>0</v>
      </c>
    </row>
    <row r="9478" spans="31:33">
      <c r="AE9478">
        <v>0</v>
      </c>
      <c r="AG9478">
        <v>0</v>
      </c>
    </row>
    <row r="9479" spans="31:33">
      <c r="AE9479">
        <v>0</v>
      </c>
      <c r="AG9479">
        <v>0</v>
      </c>
    </row>
    <row r="9480" spans="31:33">
      <c r="AE9480">
        <v>0</v>
      </c>
      <c r="AG9480">
        <v>0</v>
      </c>
    </row>
    <row r="9481" spans="31:33">
      <c r="AE9481">
        <v>0</v>
      </c>
      <c r="AG9481">
        <v>0</v>
      </c>
    </row>
    <row r="9482" spans="31:33">
      <c r="AE9482">
        <v>0</v>
      </c>
      <c r="AG9482">
        <v>0</v>
      </c>
    </row>
    <row r="9483" spans="31:33">
      <c r="AE9483">
        <v>0</v>
      </c>
      <c r="AG9483">
        <v>0</v>
      </c>
    </row>
    <row r="9484" spans="31:33">
      <c r="AE9484">
        <v>0</v>
      </c>
      <c r="AG9484">
        <v>0</v>
      </c>
    </row>
    <row r="9485" spans="31:33">
      <c r="AE9485">
        <v>0</v>
      </c>
      <c r="AG9485">
        <v>0</v>
      </c>
    </row>
    <row r="9486" spans="31:33">
      <c r="AE9486">
        <v>0</v>
      </c>
      <c r="AG9486">
        <v>0</v>
      </c>
    </row>
    <row r="9487" spans="31:33">
      <c r="AE9487">
        <v>0</v>
      </c>
      <c r="AG9487">
        <v>0</v>
      </c>
    </row>
    <row r="9488" spans="31:33">
      <c r="AE9488">
        <v>0</v>
      </c>
      <c r="AG9488">
        <v>0</v>
      </c>
    </row>
    <row r="9489" spans="31:33">
      <c r="AE9489">
        <v>0</v>
      </c>
      <c r="AG9489">
        <v>0</v>
      </c>
    </row>
    <row r="9490" spans="31:33">
      <c r="AE9490">
        <v>0</v>
      </c>
      <c r="AG9490">
        <v>0</v>
      </c>
    </row>
    <row r="9491" spans="31:33">
      <c r="AE9491">
        <v>0</v>
      </c>
      <c r="AG9491">
        <v>0</v>
      </c>
    </row>
    <row r="9492" spans="31:33">
      <c r="AE9492">
        <v>0</v>
      </c>
      <c r="AG9492">
        <v>0</v>
      </c>
    </row>
    <row r="9493" spans="31:33">
      <c r="AE9493">
        <v>0</v>
      </c>
      <c r="AG9493">
        <v>0</v>
      </c>
    </row>
    <row r="9494" spans="31:33">
      <c r="AE9494">
        <v>0</v>
      </c>
      <c r="AG9494">
        <v>0</v>
      </c>
    </row>
    <row r="9495" spans="31:33">
      <c r="AE9495">
        <v>0</v>
      </c>
      <c r="AG9495">
        <v>0</v>
      </c>
    </row>
    <row r="9496" spans="31:33">
      <c r="AE9496">
        <v>0</v>
      </c>
      <c r="AG9496">
        <v>0</v>
      </c>
    </row>
    <row r="9497" spans="31:33">
      <c r="AE9497">
        <v>0</v>
      </c>
      <c r="AG9497">
        <v>0</v>
      </c>
    </row>
    <row r="9498" spans="31:33">
      <c r="AE9498">
        <v>0</v>
      </c>
      <c r="AG9498">
        <v>0</v>
      </c>
    </row>
    <row r="9499" spans="31:33">
      <c r="AE9499">
        <v>0</v>
      </c>
      <c r="AG9499">
        <v>0</v>
      </c>
    </row>
    <row r="9500" spans="31:33">
      <c r="AE9500">
        <v>0</v>
      </c>
      <c r="AG9500">
        <v>0</v>
      </c>
    </row>
    <row r="9501" spans="31:33">
      <c r="AE9501">
        <v>0</v>
      </c>
      <c r="AG9501">
        <v>0</v>
      </c>
    </row>
    <row r="9502" spans="31:33">
      <c r="AE9502">
        <v>0</v>
      </c>
      <c r="AG9502">
        <v>0</v>
      </c>
    </row>
    <row r="9503" spans="31:33">
      <c r="AE9503">
        <v>0</v>
      </c>
      <c r="AG9503">
        <v>0</v>
      </c>
    </row>
    <row r="9504" spans="31:33">
      <c r="AE9504">
        <v>0</v>
      </c>
      <c r="AG9504">
        <v>0</v>
      </c>
    </row>
    <row r="9505" spans="31:33">
      <c r="AE9505">
        <v>0</v>
      </c>
      <c r="AG9505">
        <v>0</v>
      </c>
    </row>
    <row r="9506" spans="31:33">
      <c r="AE9506">
        <v>0</v>
      </c>
      <c r="AG9506">
        <v>0</v>
      </c>
    </row>
    <row r="9507" spans="31:33">
      <c r="AE9507">
        <v>0</v>
      </c>
      <c r="AG9507">
        <v>0</v>
      </c>
    </row>
    <row r="9508" spans="31:33">
      <c r="AE9508">
        <v>0</v>
      </c>
      <c r="AG9508">
        <v>0</v>
      </c>
    </row>
    <row r="9509" spans="31:33">
      <c r="AE9509">
        <v>0</v>
      </c>
      <c r="AG9509">
        <v>0</v>
      </c>
    </row>
    <row r="9510" spans="31:33">
      <c r="AE9510">
        <v>0</v>
      </c>
      <c r="AG9510">
        <v>0</v>
      </c>
    </row>
    <row r="9511" spans="31:33">
      <c r="AE9511">
        <v>0</v>
      </c>
      <c r="AG9511">
        <v>0</v>
      </c>
    </row>
    <row r="9512" spans="31:33">
      <c r="AE9512">
        <v>0</v>
      </c>
      <c r="AG9512">
        <v>0</v>
      </c>
    </row>
    <row r="9513" spans="31:33">
      <c r="AE9513">
        <v>0</v>
      </c>
      <c r="AG9513">
        <v>0</v>
      </c>
    </row>
    <row r="9514" spans="31:33">
      <c r="AE9514">
        <v>0</v>
      </c>
      <c r="AG9514">
        <v>0</v>
      </c>
    </row>
    <row r="9515" spans="31:33">
      <c r="AE9515">
        <v>0</v>
      </c>
      <c r="AG9515">
        <v>0</v>
      </c>
    </row>
    <row r="9516" spans="31:33">
      <c r="AE9516">
        <v>0</v>
      </c>
      <c r="AG9516">
        <v>0</v>
      </c>
    </row>
    <row r="9517" spans="31:33">
      <c r="AE9517">
        <v>0</v>
      </c>
      <c r="AG9517">
        <v>0</v>
      </c>
    </row>
    <row r="9518" spans="31:33">
      <c r="AE9518">
        <v>0</v>
      </c>
      <c r="AG9518">
        <v>0</v>
      </c>
    </row>
    <row r="9519" spans="31:33">
      <c r="AE9519">
        <v>0</v>
      </c>
      <c r="AG9519">
        <v>0</v>
      </c>
    </row>
    <row r="9520" spans="31:33">
      <c r="AE9520">
        <v>0</v>
      </c>
      <c r="AG9520">
        <v>0</v>
      </c>
    </row>
    <row r="9521" spans="31:33">
      <c r="AE9521">
        <v>0</v>
      </c>
      <c r="AG9521">
        <v>0</v>
      </c>
    </row>
    <row r="9522" spans="31:33">
      <c r="AE9522">
        <v>0</v>
      </c>
      <c r="AG9522">
        <v>0</v>
      </c>
    </row>
    <row r="9523" spans="31:33">
      <c r="AE9523">
        <v>0</v>
      </c>
      <c r="AG9523">
        <v>0</v>
      </c>
    </row>
    <row r="9524" spans="31:33">
      <c r="AE9524">
        <v>0</v>
      </c>
      <c r="AG9524">
        <v>0</v>
      </c>
    </row>
    <row r="9525" spans="31:33">
      <c r="AE9525">
        <v>0</v>
      </c>
      <c r="AG9525">
        <v>0</v>
      </c>
    </row>
    <row r="9526" spans="31:33">
      <c r="AE9526">
        <v>0</v>
      </c>
      <c r="AG9526">
        <v>0</v>
      </c>
    </row>
    <row r="9527" spans="31:33">
      <c r="AE9527">
        <v>0</v>
      </c>
      <c r="AG9527">
        <v>0</v>
      </c>
    </row>
    <row r="9528" spans="31:33">
      <c r="AE9528">
        <v>0</v>
      </c>
      <c r="AG9528">
        <v>0</v>
      </c>
    </row>
    <row r="9529" spans="31:33">
      <c r="AE9529">
        <v>0</v>
      </c>
      <c r="AG9529">
        <v>0</v>
      </c>
    </row>
    <row r="9530" spans="31:33">
      <c r="AE9530">
        <v>0</v>
      </c>
      <c r="AG9530">
        <v>0</v>
      </c>
    </row>
    <row r="9531" spans="31:33">
      <c r="AE9531">
        <v>0</v>
      </c>
      <c r="AG9531">
        <v>0</v>
      </c>
    </row>
    <row r="9532" spans="31:33">
      <c r="AE9532">
        <v>0</v>
      </c>
      <c r="AG9532">
        <v>0</v>
      </c>
    </row>
    <row r="9533" spans="31:33">
      <c r="AE9533">
        <v>0</v>
      </c>
      <c r="AG9533">
        <v>0</v>
      </c>
    </row>
    <row r="9534" spans="31:33">
      <c r="AE9534">
        <v>0</v>
      </c>
      <c r="AG9534">
        <v>0</v>
      </c>
    </row>
    <row r="9535" spans="31:33">
      <c r="AE9535">
        <v>0</v>
      </c>
      <c r="AG9535">
        <v>0</v>
      </c>
    </row>
    <row r="9536" spans="31:33">
      <c r="AE9536">
        <v>0</v>
      </c>
      <c r="AG9536">
        <v>0</v>
      </c>
    </row>
    <row r="9537" spans="31:33">
      <c r="AE9537">
        <v>0</v>
      </c>
      <c r="AG9537">
        <v>0</v>
      </c>
    </row>
    <row r="9538" spans="31:33">
      <c r="AE9538">
        <v>0</v>
      </c>
      <c r="AG9538">
        <v>0</v>
      </c>
    </row>
    <row r="9539" spans="31:33">
      <c r="AE9539">
        <v>0</v>
      </c>
      <c r="AG9539">
        <v>0</v>
      </c>
    </row>
    <row r="9540" spans="31:33">
      <c r="AE9540">
        <v>0</v>
      </c>
      <c r="AG9540">
        <v>0</v>
      </c>
    </row>
    <row r="9541" spans="31:33">
      <c r="AE9541">
        <v>0</v>
      </c>
      <c r="AG9541">
        <v>0</v>
      </c>
    </row>
    <row r="9542" spans="31:33">
      <c r="AE9542">
        <v>0</v>
      </c>
      <c r="AG9542">
        <v>0</v>
      </c>
    </row>
    <row r="9543" spans="31:33">
      <c r="AE9543">
        <v>0</v>
      </c>
      <c r="AG9543">
        <v>0</v>
      </c>
    </row>
    <row r="9544" spans="31:33">
      <c r="AE9544">
        <v>0</v>
      </c>
      <c r="AG9544">
        <v>0</v>
      </c>
    </row>
    <row r="9545" spans="31:33">
      <c r="AE9545">
        <v>0</v>
      </c>
      <c r="AG9545">
        <v>0</v>
      </c>
    </row>
    <row r="9546" spans="31:33">
      <c r="AE9546">
        <v>0</v>
      </c>
      <c r="AG9546">
        <v>0</v>
      </c>
    </row>
    <row r="9547" spans="31:33">
      <c r="AE9547">
        <v>0</v>
      </c>
      <c r="AG9547">
        <v>0</v>
      </c>
    </row>
    <row r="9548" spans="31:33">
      <c r="AE9548">
        <v>0</v>
      </c>
      <c r="AG9548">
        <v>0</v>
      </c>
    </row>
    <row r="9549" spans="31:33">
      <c r="AE9549">
        <v>0</v>
      </c>
      <c r="AG9549">
        <v>0</v>
      </c>
    </row>
    <row r="9550" spans="31:33">
      <c r="AE9550">
        <v>0</v>
      </c>
      <c r="AG9550">
        <v>0</v>
      </c>
    </row>
    <row r="9551" spans="31:33">
      <c r="AE9551">
        <v>0</v>
      </c>
      <c r="AG9551">
        <v>0</v>
      </c>
    </row>
    <row r="9552" spans="31:33">
      <c r="AE9552">
        <v>0</v>
      </c>
      <c r="AG9552">
        <v>0</v>
      </c>
    </row>
    <row r="9553" spans="31:33">
      <c r="AE9553">
        <v>0</v>
      </c>
      <c r="AG9553">
        <v>0</v>
      </c>
    </row>
    <row r="9554" spans="31:33">
      <c r="AE9554">
        <v>0</v>
      </c>
      <c r="AG9554">
        <v>0</v>
      </c>
    </row>
    <row r="9555" spans="31:33">
      <c r="AE9555">
        <v>0</v>
      </c>
      <c r="AG9555">
        <v>0</v>
      </c>
    </row>
    <row r="9556" spans="31:33">
      <c r="AE9556">
        <v>0</v>
      </c>
      <c r="AG9556">
        <v>0</v>
      </c>
    </row>
    <row r="9557" spans="31:33">
      <c r="AE9557">
        <v>0</v>
      </c>
      <c r="AG9557">
        <v>0</v>
      </c>
    </row>
    <row r="9558" spans="31:33">
      <c r="AE9558">
        <v>0</v>
      </c>
      <c r="AG9558">
        <v>0</v>
      </c>
    </row>
    <row r="9559" spans="31:33">
      <c r="AE9559">
        <v>0</v>
      </c>
      <c r="AG9559">
        <v>0</v>
      </c>
    </row>
    <row r="9560" spans="31:33">
      <c r="AE9560">
        <v>0</v>
      </c>
      <c r="AG9560">
        <v>0</v>
      </c>
    </row>
    <row r="9561" spans="31:33">
      <c r="AE9561">
        <v>0</v>
      </c>
      <c r="AG9561">
        <v>0</v>
      </c>
    </row>
    <row r="9562" spans="31:33">
      <c r="AE9562">
        <v>0</v>
      </c>
      <c r="AG9562">
        <v>0</v>
      </c>
    </row>
    <row r="9563" spans="31:33">
      <c r="AE9563">
        <v>0</v>
      </c>
      <c r="AG9563">
        <v>0</v>
      </c>
    </row>
    <row r="9564" spans="31:33">
      <c r="AE9564">
        <v>0</v>
      </c>
      <c r="AG9564">
        <v>0</v>
      </c>
    </row>
    <row r="9565" spans="31:33">
      <c r="AE9565">
        <v>0</v>
      </c>
      <c r="AG9565">
        <v>0</v>
      </c>
    </row>
    <row r="9566" spans="31:33">
      <c r="AE9566">
        <v>0</v>
      </c>
      <c r="AG9566">
        <v>0</v>
      </c>
    </row>
    <row r="9567" spans="31:33">
      <c r="AE9567">
        <v>0</v>
      </c>
      <c r="AG9567">
        <v>0</v>
      </c>
    </row>
    <row r="9568" spans="31:33">
      <c r="AE9568">
        <v>0</v>
      </c>
      <c r="AG9568">
        <v>0</v>
      </c>
    </row>
    <row r="9569" spans="31:33">
      <c r="AE9569">
        <v>0</v>
      </c>
      <c r="AG9569">
        <v>0</v>
      </c>
    </row>
    <row r="9570" spans="31:33">
      <c r="AE9570">
        <v>0</v>
      </c>
      <c r="AG9570">
        <v>0</v>
      </c>
    </row>
    <row r="9571" spans="31:33">
      <c r="AE9571">
        <v>0</v>
      </c>
      <c r="AG9571">
        <v>0</v>
      </c>
    </row>
    <row r="9572" spans="31:33">
      <c r="AE9572">
        <v>0</v>
      </c>
      <c r="AG9572">
        <v>0</v>
      </c>
    </row>
    <row r="9573" spans="31:33">
      <c r="AE9573">
        <v>0</v>
      </c>
      <c r="AG9573">
        <v>0</v>
      </c>
    </row>
    <row r="9574" spans="31:33">
      <c r="AE9574" s="31">
        <v>-6128379.8499999996</v>
      </c>
      <c r="AG9574" s="31">
        <v>-4283622.59</v>
      </c>
    </row>
    <row r="9575" spans="31:33">
      <c r="AE9575">
        <v>0</v>
      </c>
      <c r="AG9575">
        <v>0</v>
      </c>
    </row>
    <row r="9576" spans="31:33">
      <c r="AE9576" s="31">
        <v>-557725.72</v>
      </c>
      <c r="AG9576" s="31">
        <v>-981481.46</v>
      </c>
    </row>
    <row r="9577" spans="31:33">
      <c r="AE9577" s="31">
        <v>20034.330000000002</v>
      </c>
      <c r="AG9577" s="31">
        <v>11937.67</v>
      </c>
    </row>
    <row r="9578" spans="31:33">
      <c r="AE9578" s="31">
        <v>2031115.86</v>
      </c>
      <c r="AG9578" s="31">
        <v>1495115.79</v>
      </c>
    </row>
    <row r="9579" spans="31:33">
      <c r="AE9579">
        <v>0</v>
      </c>
      <c r="AG9579">
        <v>0</v>
      </c>
    </row>
    <row r="9580" spans="31:33">
      <c r="AE9580">
        <v>0</v>
      </c>
      <c r="AG9580">
        <v>0</v>
      </c>
    </row>
    <row r="9581" spans="31:33">
      <c r="AE9581">
        <v>0</v>
      </c>
      <c r="AG9581">
        <v>0</v>
      </c>
    </row>
    <row r="9582" spans="31:33">
      <c r="AE9582">
        <v>0</v>
      </c>
      <c r="AG9582">
        <v>0</v>
      </c>
    </row>
    <row r="9583" spans="31:33">
      <c r="AE9583">
        <v>0</v>
      </c>
      <c r="AG9583">
        <v>0</v>
      </c>
    </row>
    <row r="9584" spans="31:33">
      <c r="AE9584">
        <v>0</v>
      </c>
      <c r="AG9584">
        <v>0</v>
      </c>
    </row>
    <row r="9585" spans="31:33">
      <c r="AE9585">
        <v>0</v>
      </c>
      <c r="AG9585">
        <v>0</v>
      </c>
    </row>
    <row r="9586" spans="31:33">
      <c r="AE9586">
        <v>0</v>
      </c>
      <c r="AG9586">
        <v>0</v>
      </c>
    </row>
    <row r="9587" spans="31:33">
      <c r="AE9587">
        <v>0</v>
      </c>
      <c r="AG9587">
        <v>0</v>
      </c>
    </row>
    <row r="9588" spans="31:33">
      <c r="AE9588">
        <v>0</v>
      </c>
      <c r="AG9588">
        <v>0</v>
      </c>
    </row>
    <row r="9589" spans="31:33">
      <c r="AE9589">
        <v>0</v>
      </c>
      <c r="AG9589">
        <v>0</v>
      </c>
    </row>
    <row r="9590" spans="31:33">
      <c r="AE9590">
        <v>0</v>
      </c>
      <c r="AG9590">
        <v>0</v>
      </c>
    </row>
    <row r="9591" spans="31:33">
      <c r="AE9591">
        <v>0</v>
      </c>
      <c r="AG9591">
        <v>0</v>
      </c>
    </row>
    <row r="9592" spans="31:33">
      <c r="AE9592">
        <v>0</v>
      </c>
      <c r="AG9592">
        <v>0</v>
      </c>
    </row>
    <row r="9593" spans="31:33">
      <c r="AE9593">
        <v>0</v>
      </c>
      <c r="AG9593">
        <v>0</v>
      </c>
    </row>
    <row r="9594" spans="31:33">
      <c r="AE9594">
        <v>0</v>
      </c>
      <c r="AG9594">
        <v>0</v>
      </c>
    </row>
    <row r="9595" spans="31:33">
      <c r="AE9595" s="31">
        <v>3701883.53</v>
      </c>
      <c r="AG9595" s="31">
        <v>-374213.23</v>
      </c>
    </row>
    <row r="9596" spans="31:33">
      <c r="AE9596" s="31">
        <v>-37074439.259999998</v>
      </c>
      <c r="AG9596" s="31">
        <v>-33335340.75</v>
      </c>
    </row>
    <row r="9597" spans="31:33">
      <c r="AE9597">
        <v>0</v>
      </c>
      <c r="AG9597">
        <v>0</v>
      </c>
    </row>
    <row r="9598" spans="31:33">
      <c r="AE9598">
        <v>0</v>
      </c>
      <c r="AG9598">
        <v>0</v>
      </c>
    </row>
    <row r="9599" spans="31:33">
      <c r="AE9599">
        <v>0</v>
      </c>
      <c r="AG9599">
        <v>0</v>
      </c>
    </row>
    <row r="9600" spans="31:33">
      <c r="AE9600">
        <v>0</v>
      </c>
      <c r="AG9600">
        <v>0</v>
      </c>
    </row>
    <row r="9601" spans="31:33">
      <c r="AE9601">
        <v>0</v>
      </c>
      <c r="AG9601">
        <v>0</v>
      </c>
    </row>
    <row r="9602" spans="31:33">
      <c r="AE9602">
        <v>0</v>
      </c>
      <c r="AG9602">
        <v>0</v>
      </c>
    </row>
    <row r="9603" spans="31:33">
      <c r="AE9603" s="31">
        <v>163740</v>
      </c>
      <c r="AG9603" s="31">
        <v>290520</v>
      </c>
    </row>
    <row r="9604" spans="31:33">
      <c r="AE9604">
        <v>0</v>
      </c>
      <c r="AG9604">
        <v>0</v>
      </c>
    </row>
    <row r="9605" spans="31:33">
      <c r="AE9605">
        <v>0</v>
      </c>
      <c r="AG9605">
        <v>0</v>
      </c>
    </row>
    <row r="9606" spans="31:33">
      <c r="AE9606">
        <v>0</v>
      </c>
      <c r="AG9606">
        <v>0</v>
      </c>
    </row>
    <row r="9607" spans="31:33">
      <c r="AE9607">
        <v>0</v>
      </c>
      <c r="AG9607">
        <v>0</v>
      </c>
    </row>
    <row r="9608" spans="31:33">
      <c r="AE9608">
        <v>0</v>
      </c>
      <c r="AG9608">
        <v>0</v>
      </c>
    </row>
    <row r="9609" spans="31:33">
      <c r="AE9609">
        <v>0</v>
      </c>
      <c r="AG9609">
        <v>0</v>
      </c>
    </row>
    <row r="9610" spans="31:33">
      <c r="AE9610">
        <v>0</v>
      </c>
      <c r="AG9610">
        <v>0</v>
      </c>
    </row>
    <row r="9611" spans="31:33">
      <c r="AE9611">
        <v>0</v>
      </c>
      <c r="AG9611">
        <v>0</v>
      </c>
    </row>
    <row r="9612" spans="31:33">
      <c r="AE9612">
        <v>0</v>
      </c>
      <c r="AG9612">
        <v>0</v>
      </c>
    </row>
    <row r="9613" spans="31:33">
      <c r="AE9613">
        <v>0</v>
      </c>
      <c r="AG9613">
        <v>0</v>
      </c>
    </row>
    <row r="9614" spans="31:33">
      <c r="AE9614">
        <v>0</v>
      </c>
      <c r="AG9614">
        <v>0</v>
      </c>
    </row>
    <row r="9615" spans="31:33">
      <c r="AE9615">
        <v>0</v>
      </c>
      <c r="AG9615">
        <v>0</v>
      </c>
    </row>
    <row r="9616" spans="31:33">
      <c r="AE9616">
        <v>0</v>
      </c>
      <c r="AG9616">
        <v>0</v>
      </c>
    </row>
    <row r="9617" spans="31:33">
      <c r="AE9617">
        <v>0</v>
      </c>
      <c r="AG9617">
        <v>0</v>
      </c>
    </row>
    <row r="9618" spans="31:33">
      <c r="AE9618">
        <v>0</v>
      </c>
      <c r="AG9618">
        <v>0</v>
      </c>
    </row>
    <row r="9619" spans="31:33">
      <c r="AE9619">
        <v>0</v>
      </c>
      <c r="AG9619">
        <v>0</v>
      </c>
    </row>
    <row r="9620" spans="31:33">
      <c r="AE9620">
        <v>0</v>
      </c>
      <c r="AG9620">
        <v>0</v>
      </c>
    </row>
    <row r="9621" spans="31:33">
      <c r="AE9621">
        <v>0</v>
      </c>
      <c r="AG9621">
        <v>0</v>
      </c>
    </row>
    <row r="9622" spans="31:33">
      <c r="AE9622">
        <v>0</v>
      </c>
      <c r="AG9622">
        <v>0</v>
      </c>
    </row>
    <row r="9623" spans="31:33">
      <c r="AE9623">
        <v>0</v>
      </c>
      <c r="AG9623">
        <v>0</v>
      </c>
    </row>
    <row r="9624" spans="31:33">
      <c r="AE9624">
        <v>0</v>
      </c>
      <c r="AG9624">
        <v>0</v>
      </c>
    </row>
    <row r="9625" spans="31:33">
      <c r="AE9625">
        <v>0</v>
      </c>
      <c r="AG9625">
        <v>0</v>
      </c>
    </row>
    <row r="9626" spans="31:33">
      <c r="AE9626">
        <v>0</v>
      </c>
      <c r="AG9626">
        <v>0</v>
      </c>
    </row>
    <row r="9627" spans="31:33">
      <c r="AE9627">
        <v>0</v>
      </c>
      <c r="AG9627">
        <v>0</v>
      </c>
    </row>
    <row r="9628" spans="31:33">
      <c r="AE9628">
        <v>0</v>
      </c>
      <c r="AG9628">
        <v>0</v>
      </c>
    </row>
    <row r="9629" spans="31:33">
      <c r="AE9629">
        <v>0</v>
      </c>
      <c r="AG9629">
        <v>0</v>
      </c>
    </row>
    <row r="9630" spans="31:33">
      <c r="AE9630">
        <v>0</v>
      </c>
      <c r="AG9630">
        <v>0</v>
      </c>
    </row>
    <row r="9631" spans="31:33">
      <c r="AE9631">
        <v>0</v>
      </c>
      <c r="AG9631">
        <v>0</v>
      </c>
    </row>
    <row r="9632" spans="31:33">
      <c r="AE9632">
        <v>0</v>
      </c>
      <c r="AG9632">
        <v>0</v>
      </c>
    </row>
    <row r="9633" spans="31:33">
      <c r="AE9633">
        <v>0</v>
      </c>
      <c r="AG9633">
        <v>0</v>
      </c>
    </row>
    <row r="9634" spans="31:33">
      <c r="AE9634">
        <v>0</v>
      </c>
      <c r="AG9634">
        <v>0</v>
      </c>
    </row>
    <row r="9635" spans="31:33">
      <c r="AE9635" s="31">
        <v>-7073454.2800000003</v>
      </c>
      <c r="AG9635" s="31">
        <v>-7994990.5499999998</v>
      </c>
    </row>
    <row r="9636" spans="31:33">
      <c r="AE9636">
        <v>0</v>
      </c>
      <c r="AG9636">
        <v>0</v>
      </c>
    </row>
    <row r="9637" spans="31:33">
      <c r="AE9637">
        <v>0</v>
      </c>
      <c r="AG9637">
        <v>0</v>
      </c>
    </row>
    <row r="9638" spans="31:33">
      <c r="AE9638" s="31">
        <v>-163740</v>
      </c>
      <c r="AG9638" s="31">
        <v>-290520</v>
      </c>
    </row>
    <row r="9639" spans="31:33">
      <c r="AE9639">
        <v>0</v>
      </c>
      <c r="AG9639">
        <v>0</v>
      </c>
    </row>
    <row r="9640" spans="31:33">
      <c r="AE9640">
        <v>0</v>
      </c>
      <c r="AG9640">
        <v>0</v>
      </c>
    </row>
    <row r="9641" spans="31:33">
      <c r="AE9641">
        <v>0</v>
      </c>
      <c r="AG9641">
        <v>0</v>
      </c>
    </row>
    <row r="9642" spans="31:33">
      <c r="AE9642">
        <v>0</v>
      </c>
      <c r="AG9642">
        <v>0</v>
      </c>
    </row>
    <row r="9643" spans="31:33">
      <c r="AE9643">
        <v>0</v>
      </c>
      <c r="AG9643">
        <v>0</v>
      </c>
    </row>
    <row r="9644" spans="31:33">
      <c r="AE9644">
        <v>0</v>
      </c>
      <c r="AG9644">
        <v>0</v>
      </c>
    </row>
    <row r="9645" spans="31:33">
      <c r="AE9645">
        <v>0</v>
      </c>
      <c r="AG9645">
        <v>0</v>
      </c>
    </row>
    <row r="9646" spans="31:33">
      <c r="AE9646">
        <v>0</v>
      </c>
      <c r="AG9646">
        <v>0</v>
      </c>
    </row>
    <row r="9647" spans="31:33">
      <c r="AE9647">
        <v>0</v>
      </c>
      <c r="AG9647">
        <v>0</v>
      </c>
    </row>
    <row r="9648" spans="31:33">
      <c r="AE9648">
        <v>0</v>
      </c>
      <c r="AG9648">
        <v>0</v>
      </c>
    </row>
    <row r="9649" spans="31:33">
      <c r="AE9649">
        <v>0</v>
      </c>
      <c r="AG9649">
        <v>0</v>
      </c>
    </row>
    <row r="9650" spans="31:33">
      <c r="AE9650">
        <v>0</v>
      </c>
      <c r="AG9650">
        <v>0</v>
      </c>
    </row>
    <row r="9651" spans="31:33">
      <c r="AE9651">
        <v>0</v>
      </c>
      <c r="AG9651">
        <v>0</v>
      </c>
    </row>
    <row r="9652" spans="31:33">
      <c r="AE9652">
        <v>0</v>
      </c>
      <c r="AG9652">
        <v>0</v>
      </c>
    </row>
    <row r="9653" spans="31:33">
      <c r="AE9653">
        <v>0</v>
      </c>
      <c r="AG9653">
        <v>0</v>
      </c>
    </row>
    <row r="9654" spans="31:33">
      <c r="AE9654">
        <v>0</v>
      </c>
      <c r="AG9654">
        <v>0</v>
      </c>
    </row>
    <row r="9655" spans="31:33">
      <c r="AE9655">
        <v>0</v>
      </c>
      <c r="AG9655">
        <v>0</v>
      </c>
    </row>
    <row r="9656" spans="31:33">
      <c r="AE9656">
        <v>0</v>
      </c>
      <c r="AG9656">
        <v>0</v>
      </c>
    </row>
    <row r="9657" spans="31:33">
      <c r="AE9657">
        <v>0</v>
      </c>
      <c r="AG9657">
        <v>0</v>
      </c>
    </row>
    <row r="9658" spans="31:33">
      <c r="AE9658">
        <v>0</v>
      </c>
      <c r="AG9658">
        <v>0</v>
      </c>
    </row>
    <row r="9659" spans="31:33">
      <c r="AE9659">
        <v>0</v>
      </c>
      <c r="AG9659">
        <v>0</v>
      </c>
    </row>
    <row r="9660" spans="31:33">
      <c r="AE9660">
        <v>0</v>
      </c>
      <c r="AG9660">
        <v>0</v>
      </c>
    </row>
    <row r="9661" spans="31:33">
      <c r="AE9661">
        <v>0</v>
      </c>
      <c r="AG9661">
        <v>0</v>
      </c>
    </row>
    <row r="9662" spans="31:33">
      <c r="AE9662">
        <v>0</v>
      </c>
      <c r="AG9662">
        <v>0</v>
      </c>
    </row>
    <row r="9663" spans="31:33">
      <c r="AE9663">
        <v>0</v>
      </c>
      <c r="AG9663">
        <v>0</v>
      </c>
    </row>
    <row r="9664" spans="31:33">
      <c r="AE9664">
        <v>0</v>
      </c>
      <c r="AG9664">
        <v>0</v>
      </c>
    </row>
    <row r="9665" spans="31:33">
      <c r="AE9665">
        <v>0</v>
      </c>
      <c r="AG9665">
        <v>0</v>
      </c>
    </row>
    <row r="9666" spans="31:33">
      <c r="AE9666">
        <v>0</v>
      </c>
      <c r="AG9666">
        <v>0</v>
      </c>
    </row>
    <row r="9667" spans="31:33">
      <c r="AE9667">
        <v>0</v>
      </c>
      <c r="AG9667">
        <v>0</v>
      </c>
    </row>
    <row r="9668" spans="31:33">
      <c r="AE9668">
        <v>0</v>
      </c>
      <c r="AG9668">
        <v>0</v>
      </c>
    </row>
    <row r="9669" spans="31:33">
      <c r="AE9669">
        <v>0</v>
      </c>
      <c r="AG9669">
        <v>0</v>
      </c>
    </row>
    <row r="9670" spans="31:33">
      <c r="AE9670">
        <v>0</v>
      </c>
      <c r="AG9670">
        <v>0</v>
      </c>
    </row>
    <row r="9671" spans="31:33">
      <c r="AE9671">
        <v>0</v>
      </c>
      <c r="AG9671">
        <v>0</v>
      </c>
    </row>
    <row r="9672" spans="31:33">
      <c r="AE9672">
        <v>0</v>
      </c>
      <c r="AG9672">
        <v>0</v>
      </c>
    </row>
    <row r="9673" spans="31:33">
      <c r="AE9673">
        <v>0</v>
      </c>
      <c r="AG9673">
        <v>0</v>
      </c>
    </row>
    <row r="9674" spans="31:33">
      <c r="AE9674">
        <v>0</v>
      </c>
      <c r="AG9674">
        <v>0</v>
      </c>
    </row>
    <row r="9675" spans="31:33">
      <c r="AE9675">
        <v>0</v>
      </c>
      <c r="AG9675">
        <v>0</v>
      </c>
    </row>
    <row r="9676" spans="31:33">
      <c r="AE9676">
        <v>0</v>
      </c>
      <c r="AG9676">
        <v>0</v>
      </c>
    </row>
    <row r="9677" spans="31:33">
      <c r="AE9677">
        <v>0</v>
      </c>
      <c r="AG9677">
        <v>0</v>
      </c>
    </row>
    <row r="9678" spans="31:33">
      <c r="AE9678">
        <v>0</v>
      </c>
      <c r="AG9678">
        <v>0</v>
      </c>
    </row>
    <row r="9679" spans="31:33">
      <c r="AE9679">
        <v>0</v>
      </c>
      <c r="AG9679">
        <v>0</v>
      </c>
    </row>
    <row r="9680" spans="31:33">
      <c r="AE9680">
        <v>0</v>
      </c>
      <c r="AG9680">
        <v>0</v>
      </c>
    </row>
    <row r="9681" spans="31:33">
      <c r="AE9681">
        <v>0</v>
      </c>
      <c r="AG9681">
        <v>0</v>
      </c>
    </row>
    <row r="9682" spans="31:33">
      <c r="AE9682">
        <v>0</v>
      </c>
      <c r="AG9682">
        <v>0</v>
      </c>
    </row>
    <row r="9683" spans="31:33">
      <c r="AE9683">
        <v>0</v>
      </c>
      <c r="AG9683">
        <v>0</v>
      </c>
    </row>
    <row r="9684" spans="31:33">
      <c r="AE9684">
        <v>0</v>
      </c>
      <c r="AG9684">
        <v>0</v>
      </c>
    </row>
    <row r="9685" spans="31:33">
      <c r="AE9685">
        <v>0</v>
      </c>
      <c r="AG9685">
        <v>0</v>
      </c>
    </row>
    <row r="9686" spans="31:33">
      <c r="AE9686">
        <v>0</v>
      </c>
      <c r="AG9686">
        <v>0</v>
      </c>
    </row>
    <row r="9687" spans="31:33">
      <c r="AE9687">
        <v>0</v>
      </c>
      <c r="AG9687">
        <v>0</v>
      </c>
    </row>
    <row r="9688" spans="31:33">
      <c r="AE9688">
        <v>0</v>
      </c>
      <c r="AG9688">
        <v>0</v>
      </c>
    </row>
    <row r="9689" spans="31:33">
      <c r="AE9689">
        <v>0</v>
      </c>
      <c r="AG9689">
        <v>0</v>
      </c>
    </row>
    <row r="9690" spans="31:33">
      <c r="AE9690">
        <v>0</v>
      </c>
      <c r="AG9690">
        <v>0</v>
      </c>
    </row>
    <row r="9691" spans="31:33">
      <c r="AE9691">
        <v>0</v>
      </c>
      <c r="AG9691">
        <v>0</v>
      </c>
    </row>
    <row r="9692" spans="31:33">
      <c r="AE9692">
        <v>0</v>
      </c>
      <c r="AG9692">
        <v>0</v>
      </c>
    </row>
    <row r="9693" spans="31:33">
      <c r="AE9693" s="31">
        <v>-3305043.35</v>
      </c>
      <c r="AG9693" s="31">
        <v>-2650007.9700000002</v>
      </c>
    </row>
    <row r="9694" spans="31:33">
      <c r="AE9694">
        <v>0</v>
      </c>
      <c r="AG9694">
        <v>0</v>
      </c>
    </row>
    <row r="9695" spans="31:33">
      <c r="AE9695" s="31">
        <v>-83428.08</v>
      </c>
      <c r="AG9695" s="31">
        <v>-255478.16</v>
      </c>
    </row>
    <row r="9696" spans="31:33">
      <c r="AE9696" s="31">
        <v>2734134.25</v>
      </c>
      <c r="AG9696" s="31">
        <v>2358386.77</v>
      </c>
    </row>
    <row r="9697" spans="31:33">
      <c r="AE9697" s="31">
        <v>-176695.62</v>
      </c>
      <c r="AG9697" s="31">
        <v>-135629.14000000001</v>
      </c>
    </row>
    <row r="9698" spans="31:33">
      <c r="AE9698" s="31">
        <v>-2031115.86</v>
      </c>
      <c r="AG9698" s="31">
        <v>-1495115.79</v>
      </c>
    </row>
    <row r="9699" spans="31:33">
      <c r="AE9699">
        <v>0</v>
      </c>
      <c r="AG9699">
        <v>0</v>
      </c>
    </row>
    <row r="9700" spans="31:33">
      <c r="AE9700">
        <v>0</v>
      </c>
      <c r="AG9700">
        <v>0</v>
      </c>
    </row>
    <row r="9701" spans="31:33">
      <c r="AE9701">
        <v>0</v>
      </c>
      <c r="AG9701">
        <v>0</v>
      </c>
    </row>
    <row r="9702" spans="31:33">
      <c r="AE9702">
        <v>0</v>
      </c>
      <c r="AG9702">
        <v>0</v>
      </c>
    </row>
    <row r="9703" spans="31:33">
      <c r="AE9703">
        <v>0</v>
      </c>
      <c r="AG9703">
        <v>0</v>
      </c>
    </row>
    <row r="9704" spans="31:33">
      <c r="AE9704">
        <v>0</v>
      </c>
      <c r="AG9704">
        <v>0</v>
      </c>
    </row>
    <row r="9705" spans="31:33">
      <c r="AE9705">
        <v>0</v>
      </c>
      <c r="AG9705">
        <v>0</v>
      </c>
    </row>
    <row r="9706" spans="31:33">
      <c r="AE9706">
        <v>0</v>
      </c>
      <c r="AG9706">
        <v>0</v>
      </c>
    </row>
    <row r="9707" spans="31:33">
      <c r="AE9707">
        <v>0</v>
      </c>
      <c r="AG9707">
        <v>0</v>
      </c>
    </row>
    <row r="9708" spans="31:33">
      <c r="AE9708">
        <v>0</v>
      </c>
      <c r="AG9708">
        <v>0</v>
      </c>
    </row>
    <row r="9709" spans="31:33">
      <c r="AE9709" s="31">
        <v>-12519584.609999999</v>
      </c>
      <c r="AG9709" s="31">
        <v>-4610561.2699999996</v>
      </c>
    </row>
    <row r="9710" spans="31:33">
      <c r="AE9710">
        <v>0</v>
      </c>
      <c r="AG9710">
        <v>0</v>
      </c>
    </row>
    <row r="9711" spans="31:33">
      <c r="AE9711">
        <v>0</v>
      </c>
      <c r="AG9711">
        <v>0</v>
      </c>
    </row>
    <row r="9712" spans="31:33">
      <c r="AE9712">
        <v>0</v>
      </c>
      <c r="AG9712">
        <v>0</v>
      </c>
    </row>
    <row r="9713" spans="31:33">
      <c r="AE9713" s="31">
        <v>-8409747.1999999993</v>
      </c>
      <c r="AG9713" s="31">
        <v>-4880013.49</v>
      </c>
    </row>
    <row r="9714" spans="31:33">
      <c r="AE9714">
        <v>0</v>
      </c>
      <c r="AG9714">
        <v>0</v>
      </c>
    </row>
    <row r="9715" spans="31:33">
      <c r="AE9715">
        <v>0</v>
      </c>
      <c r="AG9715">
        <v>0</v>
      </c>
    </row>
    <row r="9716" spans="31:33">
      <c r="AE9716">
        <v>0</v>
      </c>
      <c r="AG9716">
        <v>0</v>
      </c>
    </row>
    <row r="9717" spans="31:33">
      <c r="AE9717">
        <v>0</v>
      </c>
      <c r="AG9717">
        <v>0</v>
      </c>
    </row>
    <row r="9718" spans="31:33">
      <c r="AE9718">
        <v>0</v>
      </c>
      <c r="AG9718">
        <v>0</v>
      </c>
    </row>
    <row r="9719" spans="31:33">
      <c r="AE9719">
        <v>0</v>
      </c>
      <c r="AG9719">
        <v>0</v>
      </c>
    </row>
    <row r="9720" spans="31:33">
      <c r="AE9720">
        <v>0</v>
      </c>
      <c r="AG9720">
        <v>0</v>
      </c>
    </row>
    <row r="9721" spans="31:33">
      <c r="AE9721">
        <v>0</v>
      </c>
      <c r="AG9721">
        <v>0</v>
      </c>
    </row>
    <row r="9722" spans="31:33">
      <c r="AE9722" s="31">
        <v>24887865.469999999</v>
      </c>
      <c r="AG9722" s="31">
        <v>24887865.469999999</v>
      </c>
    </row>
    <row r="9723" spans="31:33">
      <c r="AE9723">
        <v>0</v>
      </c>
      <c r="AG9723">
        <v>0</v>
      </c>
    </row>
    <row r="9724" spans="31:33">
      <c r="AE9724">
        <v>0</v>
      </c>
      <c r="AG9724">
        <v>0</v>
      </c>
    </row>
    <row r="9725" spans="31:33">
      <c r="AE9725">
        <v>0</v>
      </c>
      <c r="AG9725">
        <v>0</v>
      </c>
    </row>
    <row r="9726" spans="31:33">
      <c r="AE9726">
        <v>0</v>
      </c>
      <c r="AG9726">
        <v>0</v>
      </c>
    </row>
    <row r="9727" spans="31:33">
      <c r="AE9727">
        <v>0</v>
      </c>
      <c r="AG9727">
        <v>0</v>
      </c>
    </row>
    <row r="9728" spans="31:33">
      <c r="AE9728">
        <v>0</v>
      </c>
      <c r="AG9728">
        <v>0</v>
      </c>
    </row>
    <row r="9729" spans="31:33">
      <c r="AE9729">
        <v>0</v>
      </c>
      <c r="AG9729">
        <v>0</v>
      </c>
    </row>
    <row r="9730" spans="31:33">
      <c r="AE9730">
        <v>0</v>
      </c>
      <c r="AG9730">
        <v>0</v>
      </c>
    </row>
    <row r="9731" spans="31:33">
      <c r="AE9731">
        <v>0</v>
      </c>
      <c r="AG9731">
        <v>0</v>
      </c>
    </row>
    <row r="9732" spans="31:33">
      <c r="AE9732">
        <v>0</v>
      </c>
      <c r="AG9732">
        <v>0</v>
      </c>
    </row>
    <row r="9733" spans="31:33">
      <c r="AE9733">
        <v>0</v>
      </c>
      <c r="AG9733">
        <v>0</v>
      </c>
    </row>
    <row r="9734" spans="31:33">
      <c r="AE9734" s="31">
        <v>-201676.34</v>
      </c>
      <c r="AG9734">
        <v>0</v>
      </c>
    </row>
    <row r="9735" spans="31:33">
      <c r="AE9735">
        <v>0</v>
      </c>
      <c r="AG9735">
        <v>0</v>
      </c>
    </row>
    <row r="9736" spans="31:33">
      <c r="AE9736">
        <v>0</v>
      </c>
      <c r="AG9736">
        <v>0</v>
      </c>
    </row>
    <row r="9737" spans="31:33">
      <c r="AE9737">
        <v>0</v>
      </c>
      <c r="AG9737">
        <v>0</v>
      </c>
    </row>
    <row r="9738" spans="31:33">
      <c r="AE9738">
        <v>0</v>
      </c>
      <c r="AG9738">
        <v>0</v>
      </c>
    </row>
    <row r="9739" spans="31:33">
      <c r="AE9739">
        <v>0</v>
      </c>
      <c r="AG9739">
        <v>0</v>
      </c>
    </row>
    <row r="9740" spans="31:33">
      <c r="AE9740">
        <v>0</v>
      </c>
      <c r="AG9740">
        <v>0</v>
      </c>
    </row>
    <row r="9741" spans="31:33">
      <c r="AE9741">
        <v>0</v>
      </c>
      <c r="AG9741">
        <v>0</v>
      </c>
    </row>
    <row r="9742" spans="31:33">
      <c r="AE9742">
        <v>0</v>
      </c>
      <c r="AG9742">
        <v>0</v>
      </c>
    </row>
    <row r="9743" spans="31:33">
      <c r="AE9743">
        <v>0</v>
      </c>
      <c r="AG9743">
        <v>0</v>
      </c>
    </row>
    <row r="9744" spans="31:33">
      <c r="AE9744">
        <v>0</v>
      </c>
      <c r="AG9744">
        <v>0</v>
      </c>
    </row>
    <row r="9745" spans="31:33">
      <c r="AE9745">
        <v>0</v>
      </c>
      <c r="AG9745">
        <v>0</v>
      </c>
    </row>
    <row r="9746" spans="31:33">
      <c r="AE9746">
        <v>0</v>
      </c>
      <c r="AG9746">
        <v>0</v>
      </c>
    </row>
    <row r="9747" spans="31:33">
      <c r="AE9747">
        <v>0</v>
      </c>
      <c r="AG9747">
        <v>0</v>
      </c>
    </row>
    <row r="9748" spans="31:33">
      <c r="AE9748">
        <v>0</v>
      </c>
      <c r="AG9748">
        <v>0</v>
      </c>
    </row>
    <row r="9749" spans="31:33">
      <c r="AE9749">
        <v>0</v>
      </c>
      <c r="AG9749">
        <v>0</v>
      </c>
    </row>
    <row r="9750" spans="31:33">
      <c r="AE9750">
        <v>0</v>
      </c>
      <c r="AG9750">
        <v>0</v>
      </c>
    </row>
    <row r="9751" spans="31:33">
      <c r="AE9751">
        <v>0</v>
      </c>
      <c r="AG9751">
        <v>0</v>
      </c>
    </row>
    <row r="9752" spans="31:33">
      <c r="AE9752">
        <v>0</v>
      </c>
      <c r="AG9752">
        <v>0</v>
      </c>
    </row>
    <row r="9753" spans="31:33">
      <c r="AE9753">
        <v>0</v>
      </c>
      <c r="AG9753">
        <v>0</v>
      </c>
    </row>
    <row r="9754" spans="31:33">
      <c r="AE9754">
        <v>0</v>
      </c>
      <c r="AG9754">
        <v>0</v>
      </c>
    </row>
    <row r="9755" spans="31:33">
      <c r="AE9755">
        <v>0</v>
      </c>
      <c r="AG9755">
        <v>0</v>
      </c>
    </row>
    <row r="9756" spans="31:33">
      <c r="AE9756">
        <v>0</v>
      </c>
      <c r="AG9756">
        <v>0</v>
      </c>
    </row>
    <row r="9757" spans="31:33">
      <c r="AE9757" s="31">
        <v>1423791.32</v>
      </c>
      <c r="AG9757" s="31">
        <v>92135.07</v>
      </c>
    </row>
    <row r="9758" spans="31:33">
      <c r="AE9758">
        <v>0</v>
      </c>
      <c r="AG9758">
        <v>0</v>
      </c>
    </row>
    <row r="9759" spans="31:33">
      <c r="AE9759">
        <v>0</v>
      </c>
      <c r="AG9759">
        <v>0</v>
      </c>
    </row>
    <row r="9760" spans="31:33">
      <c r="AE9760">
        <v>0</v>
      </c>
      <c r="AG9760">
        <v>0</v>
      </c>
    </row>
    <row r="9761" spans="31:33">
      <c r="AE9761">
        <v>0</v>
      </c>
      <c r="AG9761">
        <v>0</v>
      </c>
    </row>
    <row r="9762" spans="31:33">
      <c r="AE9762">
        <v>0</v>
      </c>
      <c r="AG9762">
        <v>0</v>
      </c>
    </row>
    <row r="9763" spans="31:33">
      <c r="AE9763">
        <v>0</v>
      </c>
      <c r="AG9763">
        <v>0</v>
      </c>
    </row>
    <row r="9764" spans="31:33">
      <c r="AE9764">
        <v>0</v>
      </c>
      <c r="AG9764">
        <v>0</v>
      </c>
    </row>
    <row r="9765" spans="31:33">
      <c r="AE9765">
        <v>0</v>
      </c>
      <c r="AG9765">
        <v>0</v>
      </c>
    </row>
    <row r="9766" spans="31:33">
      <c r="AE9766">
        <v>0</v>
      </c>
      <c r="AG9766">
        <v>0</v>
      </c>
    </row>
    <row r="9767" spans="31:33">
      <c r="AE9767">
        <v>0</v>
      </c>
      <c r="AG9767">
        <v>0</v>
      </c>
    </row>
    <row r="9768" spans="31:33">
      <c r="AE9768" s="31">
        <v>-567435.04</v>
      </c>
      <c r="AG9768" s="31">
        <v>15354876.960000001</v>
      </c>
    </row>
    <row r="9769" spans="31:33">
      <c r="AE9769">
        <v>0</v>
      </c>
      <c r="AG9769">
        <v>0</v>
      </c>
    </row>
    <row r="9770" spans="31:33">
      <c r="AE9770" s="31">
        <v>-12029564.99</v>
      </c>
      <c r="AG9770" s="31">
        <v>7648206.9900000002</v>
      </c>
    </row>
    <row r="9771" spans="31:33">
      <c r="AE9771">
        <v>0</v>
      </c>
      <c r="AG9771">
        <v>0</v>
      </c>
    </row>
    <row r="9772" spans="31:33">
      <c r="AE9772">
        <v>0</v>
      </c>
      <c r="AG9772">
        <v>0</v>
      </c>
    </row>
    <row r="9773" spans="31:33">
      <c r="AE9773">
        <v>0</v>
      </c>
      <c r="AG9773">
        <v>0</v>
      </c>
    </row>
    <row r="9774" spans="31:33">
      <c r="AE9774">
        <v>0</v>
      </c>
      <c r="AG9774">
        <v>0</v>
      </c>
    </row>
    <row r="9775" spans="31:33">
      <c r="AE9775">
        <v>0</v>
      </c>
      <c r="AG9775">
        <v>0</v>
      </c>
    </row>
    <row r="9776" spans="31:33">
      <c r="AE9776">
        <v>0</v>
      </c>
      <c r="AG9776">
        <v>0</v>
      </c>
    </row>
    <row r="9777" spans="31:33">
      <c r="AE9777">
        <v>0</v>
      </c>
      <c r="AG9777">
        <v>0</v>
      </c>
    </row>
    <row r="9778" spans="31:33">
      <c r="AE9778" s="31">
        <v>448511.24</v>
      </c>
      <c r="AG9778" s="31">
        <v>319857</v>
      </c>
    </row>
    <row r="9779" spans="31:33">
      <c r="AE9779">
        <v>0</v>
      </c>
      <c r="AG9779">
        <v>0</v>
      </c>
    </row>
    <row r="9780" spans="31:33">
      <c r="AE9780" s="31">
        <v>928398.99</v>
      </c>
      <c r="AG9780" s="31">
        <v>896680</v>
      </c>
    </row>
    <row r="9781" spans="31:33">
      <c r="AE9781">
        <v>0</v>
      </c>
      <c r="AG9781">
        <v>0</v>
      </c>
    </row>
    <row r="9782" spans="31:33">
      <c r="AE9782">
        <v>0</v>
      </c>
      <c r="AG9782">
        <v>0</v>
      </c>
    </row>
    <row r="9783" spans="31:33">
      <c r="AE9783">
        <v>0</v>
      </c>
      <c r="AG9783">
        <v>0</v>
      </c>
    </row>
    <row r="9784" spans="31:33">
      <c r="AE9784">
        <v>0</v>
      </c>
      <c r="AG9784">
        <v>0</v>
      </c>
    </row>
    <row r="9785" spans="31:33">
      <c r="AE9785">
        <v>0</v>
      </c>
      <c r="AG9785">
        <v>0</v>
      </c>
    </row>
    <row r="9786" spans="31:33">
      <c r="AE9786">
        <v>0</v>
      </c>
      <c r="AG9786">
        <v>0</v>
      </c>
    </row>
    <row r="9787" spans="31:33">
      <c r="AE9787">
        <v>0</v>
      </c>
      <c r="AG9787">
        <v>0</v>
      </c>
    </row>
    <row r="9788" spans="31:33">
      <c r="AE9788">
        <v>0</v>
      </c>
      <c r="AG9788">
        <v>0</v>
      </c>
    </row>
    <row r="9789" spans="31:33">
      <c r="AE9789">
        <v>0</v>
      </c>
      <c r="AG9789">
        <v>0</v>
      </c>
    </row>
    <row r="9790" spans="31:33">
      <c r="AE9790">
        <v>0</v>
      </c>
      <c r="AG9790">
        <v>0</v>
      </c>
    </row>
    <row r="9791" spans="31:33">
      <c r="AE9791">
        <v>0</v>
      </c>
      <c r="AG9791">
        <v>0</v>
      </c>
    </row>
    <row r="9792" spans="31:33">
      <c r="AE9792">
        <v>0</v>
      </c>
      <c r="AG9792">
        <v>0</v>
      </c>
    </row>
    <row r="9793" spans="31:33">
      <c r="AE9793">
        <v>0</v>
      </c>
      <c r="AG9793">
        <v>0</v>
      </c>
    </row>
    <row r="9794" spans="31:33">
      <c r="AE9794">
        <v>0</v>
      </c>
      <c r="AG9794">
        <v>0</v>
      </c>
    </row>
    <row r="9795" spans="31:33">
      <c r="AE9795">
        <v>0</v>
      </c>
      <c r="AG9795" s="31">
        <v>-780395.52000000002</v>
      </c>
    </row>
    <row r="9796" spans="31:33">
      <c r="AE9796">
        <v>0</v>
      </c>
      <c r="AG9796">
        <v>0</v>
      </c>
    </row>
    <row r="9797" spans="31:33">
      <c r="AE9797" s="31">
        <v>-103414.45</v>
      </c>
      <c r="AG9797" s="31">
        <v>-103414.45</v>
      </c>
    </row>
    <row r="9798" spans="31:33">
      <c r="AE9798">
        <v>0</v>
      </c>
      <c r="AG9798">
        <v>0</v>
      </c>
    </row>
    <row r="9799" spans="31:33">
      <c r="AE9799">
        <v>0</v>
      </c>
      <c r="AG9799">
        <v>0</v>
      </c>
    </row>
    <row r="9800" spans="31:33">
      <c r="AE9800">
        <v>0</v>
      </c>
      <c r="AG9800">
        <v>0</v>
      </c>
    </row>
    <row r="9801" spans="31:33">
      <c r="AE9801">
        <v>0</v>
      </c>
      <c r="AG9801">
        <v>0</v>
      </c>
    </row>
    <row r="9802" spans="31:33">
      <c r="AE9802">
        <v>0</v>
      </c>
      <c r="AG9802">
        <v>0</v>
      </c>
    </row>
    <row r="9803" spans="31:33">
      <c r="AE9803">
        <v>0</v>
      </c>
      <c r="AG9803">
        <v>0</v>
      </c>
    </row>
    <row r="9804" spans="31:33">
      <c r="AE9804">
        <v>0</v>
      </c>
      <c r="AG9804">
        <v>0</v>
      </c>
    </row>
    <row r="9805" spans="31:33">
      <c r="AE9805">
        <v>0</v>
      </c>
      <c r="AG9805">
        <v>0</v>
      </c>
    </row>
    <row r="9806" spans="31:33">
      <c r="AE9806">
        <v>0</v>
      </c>
      <c r="AG9806">
        <v>0</v>
      </c>
    </row>
    <row r="9807" spans="31:33">
      <c r="AE9807">
        <v>0</v>
      </c>
      <c r="AG9807">
        <v>0</v>
      </c>
    </row>
    <row r="9808" spans="31:33">
      <c r="AE9808">
        <v>0</v>
      </c>
      <c r="AG9808">
        <v>0</v>
      </c>
    </row>
    <row r="9809" spans="31:33">
      <c r="AE9809">
        <v>0</v>
      </c>
      <c r="AG9809">
        <v>0</v>
      </c>
    </row>
    <row r="9810" spans="31:33">
      <c r="AE9810" s="31">
        <v>7086412</v>
      </c>
      <c r="AG9810" s="31">
        <v>7086412</v>
      </c>
    </row>
    <row r="9811" spans="31:33">
      <c r="AE9811">
        <v>0</v>
      </c>
      <c r="AG9811">
        <v>0</v>
      </c>
    </row>
    <row r="9812" spans="31:33">
      <c r="AE9812">
        <v>0</v>
      </c>
      <c r="AG9812">
        <v>0</v>
      </c>
    </row>
    <row r="9813" spans="31:33">
      <c r="AE9813">
        <v>0</v>
      </c>
      <c r="AG9813">
        <v>0</v>
      </c>
    </row>
    <row r="9814" spans="31:33">
      <c r="AE9814">
        <v>0</v>
      </c>
      <c r="AG9814">
        <v>0</v>
      </c>
    </row>
    <row r="9815" spans="31:33">
      <c r="AE9815">
        <v>0</v>
      </c>
      <c r="AG9815">
        <v>0</v>
      </c>
    </row>
    <row r="9816" spans="31:33">
      <c r="AE9816">
        <v>0</v>
      </c>
      <c r="AG9816">
        <v>0</v>
      </c>
    </row>
    <row r="9817" spans="31:33">
      <c r="AE9817">
        <v>0</v>
      </c>
      <c r="AG9817">
        <v>0</v>
      </c>
    </row>
    <row r="9818" spans="31:33">
      <c r="AE9818">
        <v>0</v>
      </c>
      <c r="AG9818">
        <v>0</v>
      </c>
    </row>
    <row r="9819" spans="31:33">
      <c r="AE9819">
        <v>0</v>
      </c>
      <c r="AG9819">
        <v>0</v>
      </c>
    </row>
    <row r="9820" spans="31:33">
      <c r="AE9820">
        <v>0</v>
      </c>
      <c r="AG9820">
        <v>0</v>
      </c>
    </row>
    <row r="9821" spans="31:33">
      <c r="AE9821">
        <v>0</v>
      </c>
      <c r="AG9821">
        <v>0</v>
      </c>
    </row>
    <row r="9822" spans="31:33">
      <c r="AE9822">
        <v>0</v>
      </c>
      <c r="AG9822">
        <v>0</v>
      </c>
    </row>
    <row r="9823" spans="31:33">
      <c r="AE9823">
        <v>0</v>
      </c>
      <c r="AG9823">
        <v>0</v>
      </c>
    </row>
    <row r="9824" spans="31:33">
      <c r="AE9824" s="31">
        <v>-5686137.5499999998</v>
      </c>
      <c r="AG9824" s="31">
        <v>-5110355.57</v>
      </c>
    </row>
    <row r="9825" spans="31:33">
      <c r="AE9825">
        <v>0</v>
      </c>
      <c r="AG9825">
        <v>0</v>
      </c>
    </row>
    <row r="9826" spans="31:33">
      <c r="AE9826">
        <v>0</v>
      </c>
      <c r="AG9826">
        <v>0</v>
      </c>
    </row>
    <row r="9827" spans="31:33">
      <c r="AE9827">
        <v>0</v>
      </c>
      <c r="AG9827">
        <v>0</v>
      </c>
    </row>
    <row r="9828" spans="31:33">
      <c r="AE9828">
        <v>0</v>
      </c>
      <c r="AG9828">
        <v>0</v>
      </c>
    </row>
    <row r="9829" spans="31:33">
      <c r="AE9829" s="31">
        <v>33372555.73</v>
      </c>
      <c r="AG9829" s="31">
        <v>33709553.979999997</v>
      </c>
    </row>
    <row r="9830" spans="31:33">
      <c r="AE9830">
        <v>0</v>
      </c>
      <c r="AG9830">
        <v>0</v>
      </c>
    </row>
    <row r="9831" spans="31:33">
      <c r="AE9831">
        <v>0</v>
      </c>
      <c r="AG9831">
        <v>0</v>
      </c>
    </row>
    <row r="9832" spans="31:33">
      <c r="AE9832" s="31">
        <v>6720377.8700000001</v>
      </c>
      <c r="AG9832" s="31">
        <v>6720377.8700000001</v>
      </c>
    </row>
    <row r="9833" spans="31:33">
      <c r="AE9833" s="31">
        <v>-13889799.68</v>
      </c>
      <c r="AG9833" s="31">
        <v>-23888396.5</v>
      </c>
    </row>
    <row r="9834" spans="31:33">
      <c r="AE9834">
        <v>0</v>
      </c>
      <c r="AG9834">
        <v>0</v>
      </c>
    </row>
    <row r="9835" spans="31:33">
      <c r="AE9835">
        <v>0</v>
      </c>
      <c r="AG9835">
        <v>0</v>
      </c>
    </row>
    <row r="9836" spans="31:33">
      <c r="AE9836">
        <v>0</v>
      </c>
      <c r="AG9836">
        <v>0</v>
      </c>
    </row>
    <row r="9837" spans="31:33">
      <c r="AE9837">
        <v>0</v>
      </c>
      <c r="AG9837">
        <v>0</v>
      </c>
    </row>
    <row r="9838" spans="31:33">
      <c r="AE9838">
        <v>0</v>
      </c>
      <c r="AG9838">
        <v>0</v>
      </c>
    </row>
    <row r="9839" spans="31:33">
      <c r="AE9839">
        <v>0</v>
      </c>
      <c r="AG9839">
        <v>0</v>
      </c>
    </row>
    <row r="9840" spans="31:33">
      <c r="AE9840">
        <v>0</v>
      </c>
      <c r="AG9840">
        <v>0</v>
      </c>
    </row>
    <row r="9841" spans="31:33">
      <c r="AE9841">
        <v>0</v>
      </c>
      <c r="AG9841">
        <v>0</v>
      </c>
    </row>
    <row r="9842" spans="31:33">
      <c r="AE9842">
        <v>0</v>
      </c>
      <c r="AG9842">
        <v>0</v>
      </c>
    </row>
    <row r="9843" spans="31:33">
      <c r="AE9843">
        <v>0</v>
      </c>
      <c r="AG9843">
        <v>0</v>
      </c>
    </row>
    <row r="9844" spans="31:33">
      <c r="AE9844">
        <v>0</v>
      </c>
      <c r="AG9844">
        <v>0</v>
      </c>
    </row>
    <row r="9845" spans="31:33">
      <c r="AE9845">
        <v>0</v>
      </c>
      <c r="AG9845">
        <v>0</v>
      </c>
    </row>
    <row r="9846" spans="31:33">
      <c r="AE9846" s="31">
        <v>-13590151.99</v>
      </c>
      <c r="AG9846" s="31">
        <v>-13590151.99</v>
      </c>
    </row>
    <row r="9847" spans="31:33">
      <c r="AE9847">
        <v>0</v>
      </c>
      <c r="AG9847">
        <v>0</v>
      </c>
    </row>
    <row r="9848" spans="31:33">
      <c r="AE9848">
        <v>0</v>
      </c>
      <c r="AG9848">
        <v>0</v>
      </c>
    </row>
    <row r="9849" spans="31:33">
      <c r="AE9849">
        <v>0</v>
      </c>
      <c r="AG9849">
        <v>0</v>
      </c>
    </row>
    <row r="9850" spans="31:33">
      <c r="AE9850">
        <v>0</v>
      </c>
      <c r="AG9850">
        <v>0</v>
      </c>
    </row>
    <row r="9851" spans="31:33">
      <c r="AE9851">
        <v>0</v>
      </c>
      <c r="AG9851">
        <v>0</v>
      </c>
    </row>
    <row r="9852" spans="31:33">
      <c r="AE9852">
        <v>0</v>
      </c>
      <c r="AG9852">
        <v>0</v>
      </c>
    </row>
    <row r="9853" spans="31:33">
      <c r="AE9853">
        <v>0</v>
      </c>
      <c r="AG9853">
        <v>0</v>
      </c>
    </row>
    <row r="9854" spans="31:33">
      <c r="AE9854">
        <v>0</v>
      </c>
      <c r="AG9854">
        <v>0</v>
      </c>
    </row>
    <row r="9855" spans="31:33">
      <c r="AE9855">
        <v>0</v>
      </c>
      <c r="AG9855">
        <v>0</v>
      </c>
    </row>
    <row r="9856" spans="31:33">
      <c r="AE9856">
        <v>0</v>
      </c>
      <c r="AG9856">
        <v>0</v>
      </c>
    </row>
    <row r="9857" spans="31:33">
      <c r="AE9857">
        <v>0</v>
      </c>
      <c r="AG9857">
        <v>0</v>
      </c>
    </row>
    <row r="9858" spans="31:33">
      <c r="AE9858" s="31">
        <v>-28008.29</v>
      </c>
      <c r="AG9858" s="31">
        <v>-28008.29</v>
      </c>
    </row>
    <row r="9859" spans="31:33">
      <c r="AE9859">
        <v>0</v>
      </c>
      <c r="AG9859">
        <v>0</v>
      </c>
    </row>
    <row r="9860" spans="31:33">
      <c r="AE9860">
        <v>0</v>
      </c>
      <c r="AG9860">
        <v>0</v>
      </c>
    </row>
    <row r="9861" spans="31:33">
      <c r="AE9861">
        <v>0</v>
      </c>
      <c r="AG9861">
        <v>0</v>
      </c>
    </row>
    <row r="9862" spans="31:33">
      <c r="AE9862">
        <v>0</v>
      </c>
      <c r="AG9862">
        <v>0</v>
      </c>
    </row>
    <row r="9863" spans="31:33">
      <c r="AE9863">
        <v>0</v>
      </c>
      <c r="AG9863">
        <v>0</v>
      </c>
    </row>
    <row r="9864" spans="31:33">
      <c r="AE9864">
        <v>0</v>
      </c>
      <c r="AG9864">
        <v>0</v>
      </c>
    </row>
    <row r="9865" spans="31:33">
      <c r="AE9865">
        <v>0</v>
      </c>
      <c r="AG9865">
        <v>0</v>
      </c>
    </row>
    <row r="9866" spans="31:33">
      <c r="AE9866">
        <v>0</v>
      </c>
      <c r="AG9866">
        <v>0</v>
      </c>
    </row>
    <row r="9867" spans="31:33">
      <c r="AE9867">
        <v>0</v>
      </c>
      <c r="AG9867">
        <v>0</v>
      </c>
    </row>
    <row r="9868" spans="31:33">
      <c r="AE9868">
        <v>0</v>
      </c>
      <c r="AG9868">
        <v>0</v>
      </c>
    </row>
    <row r="9869" spans="31:33">
      <c r="AE9869">
        <v>0</v>
      </c>
      <c r="AG9869">
        <v>0</v>
      </c>
    </row>
    <row r="9870" spans="31:33">
      <c r="AE9870">
        <v>0</v>
      </c>
      <c r="AG9870">
        <v>0</v>
      </c>
    </row>
    <row r="9871" spans="31:33">
      <c r="AE9871" s="31">
        <v>-510754.18</v>
      </c>
      <c r="AG9871" s="31">
        <v>-51614.15</v>
      </c>
    </row>
    <row r="9872" spans="31:33">
      <c r="AE9872">
        <v>0</v>
      </c>
      <c r="AG9872">
        <v>0</v>
      </c>
    </row>
    <row r="9873" spans="31:33">
      <c r="AE9873">
        <v>0</v>
      </c>
      <c r="AG9873">
        <v>0</v>
      </c>
    </row>
    <row r="9874" spans="31:33">
      <c r="AE9874">
        <v>0</v>
      </c>
      <c r="AG9874">
        <v>0</v>
      </c>
    </row>
    <row r="9875" spans="31:33">
      <c r="AE9875">
        <v>0</v>
      </c>
      <c r="AG9875">
        <v>0</v>
      </c>
    </row>
    <row r="9876" spans="31:33">
      <c r="AE9876">
        <v>0</v>
      </c>
      <c r="AG9876">
        <v>0</v>
      </c>
    </row>
    <row r="9877" spans="31:33">
      <c r="AE9877">
        <v>0</v>
      </c>
      <c r="AG9877">
        <v>0</v>
      </c>
    </row>
    <row r="9878" spans="31:33">
      <c r="AE9878">
        <v>0</v>
      </c>
      <c r="AG9878">
        <v>0</v>
      </c>
    </row>
    <row r="9879" spans="31:33">
      <c r="AE9879">
        <v>0</v>
      </c>
      <c r="AG9879">
        <v>0</v>
      </c>
    </row>
    <row r="9880" spans="31:33">
      <c r="AE9880">
        <v>0</v>
      </c>
      <c r="AG9880">
        <v>0</v>
      </c>
    </row>
    <row r="9881" spans="31:33">
      <c r="AE9881">
        <v>0</v>
      </c>
      <c r="AG9881">
        <v>0</v>
      </c>
    </row>
    <row r="9882" spans="31:33">
      <c r="AE9882">
        <v>0</v>
      </c>
      <c r="AG9882">
        <v>0</v>
      </c>
    </row>
    <row r="9883" spans="31:33">
      <c r="AE9883">
        <v>0</v>
      </c>
      <c r="AG9883">
        <v>0</v>
      </c>
    </row>
    <row r="9884" spans="31:33">
      <c r="AE9884">
        <v>0</v>
      </c>
      <c r="AG9884">
        <v>0</v>
      </c>
    </row>
    <row r="9885" spans="31:33">
      <c r="AE9885">
        <v>0</v>
      </c>
      <c r="AG9885">
        <v>0</v>
      </c>
    </row>
    <row r="9886" spans="31:33">
      <c r="AE9886">
        <v>0</v>
      </c>
      <c r="AG9886">
        <v>0</v>
      </c>
    </row>
    <row r="9887" spans="31:33">
      <c r="AE9887">
        <v>0</v>
      </c>
      <c r="AG9887">
        <v>0</v>
      </c>
    </row>
    <row r="9888" spans="31:33">
      <c r="AE9888">
        <v>0</v>
      </c>
      <c r="AG9888">
        <v>0</v>
      </c>
    </row>
    <row r="9889" spans="31:33">
      <c r="AE9889">
        <v>0</v>
      </c>
      <c r="AG9889">
        <v>0</v>
      </c>
    </row>
    <row r="9890" spans="31:33">
      <c r="AE9890">
        <v>0</v>
      </c>
      <c r="AG9890">
        <v>0</v>
      </c>
    </row>
    <row r="9891" spans="31:33">
      <c r="AE9891">
        <v>0</v>
      </c>
      <c r="AG9891">
        <v>0</v>
      </c>
    </row>
    <row r="9892" spans="31:33">
      <c r="AE9892">
        <v>0</v>
      </c>
      <c r="AG9892">
        <v>0</v>
      </c>
    </row>
    <row r="9893" spans="31:33">
      <c r="AE9893">
        <v>0</v>
      </c>
      <c r="AG9893">
        <v>0</v>
      </c>
    </row>
    <row r="9894" spans="31:33">
      <c r="AE9894">
        <v>0</v>
      </c>
      <c r="AG9894">
        <v>0</v>
      </c>
    </row>
    <row r="9895" spans="31:33">
      <c r="AE9895">
        <v>0</v>
      </c>
      <c r="AG9895">
        <v>0</v>
      </c>
    </row>
    <row r="9896" spans="31:33">
      <c r="AE9896" s="31">
        <v>4583841.74</v>
      </c>
      <c r="AG9896" s="31">
        <v>2382028.85</v>
      </c>
    </row>
    <row r="9897" spans="31:33">
      <c r="AE9897">
        <v>0</v>
      </c>
      <c r="AG9897">
        <v>0</v>
      </c>
    </row>
    <row r="9898" spans="31:33">
      <c r="AE9898" s="31">
        <v>317224.59000000003</v>
      </c>
      <c r="AG9898" s="31">
        <v>-83205.52</v>
      </c>
    </row>
    <row r="9899" spans="31:33">
      <c r="AE9899">
        <v>0</v>
      </c>
      <c r="AG9899" s="31">
        <v>-2983162.73</v>
      </c>
    </row>
    <row r="9900" spans="31:33">
      <c r="AE9900">
        <v>0</v>
      </c>
      <c r="AG9900">
        <v>0</v>
      </c>
    </row>
    <row r="9901" spans="31:33">
      <c r="AE9901">
        <v>0</v>
      </c>
      <c r="AG9901">
        <v>0</v>
      </c>
    </row>
    <row r="9902" spans="31:33">
      <c r="AE9902">
        <v>0</v>
      </c>
      <c r="AG9902">
        <v>0</v>
      </c>
    </row>
    <row r="9903" spans="31:33">
      <c r="AE9903">
        <v>0</v>
      </c>
      <c r="AG9903">
        <v>0</v>
      </c>
    </row>
    <row r="9904" spans="31:33">
      <c r="AE9904">
        <v>0</v>
      </c>
      <c r="AG9904">
        <v>0</v>
      </c>
    </row>
    <row r="9905" spans="31:33">
      <c r="AE9905">
        <v>0</v>
      </c>
      <c r="AG9905">
        <v>0</v>
      </c>
    </row>
    <row r="9906" spans="31:33">
      <c r="AE9906">
        <v>0</v>
      </c>
      <c r="AG9906">
        <v>0</v>
      </c>
    </row>
    <row r="9907" spans="31:33">
      <c r="AE9907">
        <v>0</v>
      </c>
      <c r="AG9907">
        <v>0</v>
      </c>
    </row>
    <row r="9908" spans="31:33">
      <c r="AE9908">
        <v>0</v>
      </c>
      <c r="AG9908">
        <v>0</v>
      </c>
    </row>
    <row r="9909" spans="31:33">
      <c r="AE9909">
        <v>0</v>
      </c>
      <c r="AG9909">
        <v>0</v>
      </c>
    </row>
    <row r="9910" spans="31:33">
      <c r="AE9910">
        <v>0</v>
      </c>
      <c r="AG9910">
        <v>0</v>
      </c>
    </row>
    <row r="9911" spans="31:33">
      <c r="AE9911">
        <v>0</v>
      </c>
      <c r="AG9911">
        <v>0</v>
      </c>
    </row>
    <row r="9912" spans="31:33">
      <c r="AE9912">
        <v>0</v>
      </c>
      <c r="AG9912">
        <v>0</v>
      </c>
    </row>
    <row r="9913" spans="31:33">
      <c r="AE9913">
        <v>0</v>
      </c>
      <c r="AG9913">
        <v>0</v>
      </c>
    </row>
    <row r="9914" spans="31:33">
      <c r="AE9914">
        <v>0</v>
      </c>
      <c r="AG9914">
        <v>0</v>
      </c>
    </row>
    <row r="9915" spans="31:33">
      <c r="AE9915">
        <v>0</v>
      </c>
      <c r="AG9915">
        <v>0</v>
      </c>
    </row>
    <row r="9916" spans="31:33">
      <c r="AE9916">
        <v>0</v>
      </c>
      <c r="AG9916">
        <v>0</v>
      </c>
    </row>
    <row r="9917" spans="31:33">
      <c r="AE9917">
        <v>0</v>
      </c>
      <c r="AG9917">
        <v>0</v>
      </c>
    </row>
    <row r="9918" spans="31:33">
      <c r="AE9918">
        <v>0</v>
      </c>
      <c r="AG9918">
        <v>0</v>
      </c>
    </row>
    <row r="9919" spans="31:33">
      <c r="AE9919">
        <v>0</v>
      </c>
      <c r="AG9919">
        <v>0</v>
      </c>
    </row>
    <row r="9920" spans="31:33">
      <c r="AE9920">
        <v>0</v>
      </c>
      <c r="AG9920">
        <v>0</v>
      </c>
    </row>
    <row r="9921" spans="31:33">
      <c r="AE9921">
        <v>0</v>
      </c>
      <c r="AG9921">
        <v>0</v>
      </c>
    </row>
    <row r="9922" spans="31:33">
      <c r="AE9922">
        <v>0</v>
      </c>
      <c r="AG9922">
        <v>0</v>
      </c>
    </row>
    <row r="9923" spans="31:33">
      <c r="AE9923">
        <v>0</v>
      </c>
      <c r="AG9923">
        <v>0</v>
      </c>
    </row>
    <row r="9924" spans="31:33">
      <c r="AE9924">
        <v>0</v>
      </c>
      <c r="AG9924">
        <v>0</v>
      </c>
    </row>
    <row r="9925" spans="31:33">
      <c r="AE9925">
        <v>0</v>
      </c>
      <c r="AG9925">
        <v>0</v>
      </c>
    </row>
    <row r="9926" spans="31:33">
      <c r="AE9926" s="31">
        <v>-4630110.0999999996</v>
      </c>
      <c r="AG9926" s="31">
        <v>7341058.9500000002</v>
      </c>
    </row>
    <row r="9927" spans="31:33">
      <c r="AE9927">
        <v>0</v>
      </c>
      <c r="AG9927">
        <v>0</v>
      </c>
    </row>
    <row r="9928" spans="31:33">
      <c r="AE9928">
        <v>0</v>
      </c>
      <c r="AG9928">
        <v>0</v>
      </c>
    </row>
    <row r="9929" spans="31:33">
      <c r="AE9929">
        <v>0</v>
      </c>
      <c r="AG9929">
        <v>0</v>
      </c>
    </row>
    <row r="9930" spans="31:33">
      <c r="AE9930">
        <v>0</v>
      </c>
      <c r="AG9930">
        <v>0</v>
      </c>
    </row>
    <row r="9931" spans="31:33">
      <c r="AE9931">
        <v>0</v>
      </c>
      <c r="AG9931">
        <v>0</v>
      </c>
    </row>
    <row r="9932" spans="31:33">
      <c r="AE9932">
        <v>0</v>
      </c>
      <c r="AG9932">
        <v>0</v>
      </c>
    </row>
    <row r="9933" spans="31:33">
      <c r="AE9933">
        <v>0</v>
      </c>
      <c r="AG9933">
        <v>0</v>
      </c>
    </row>
    <row r="9934" spans="31:33">
      <c r="AE9934">
        <v>0</v>
      </c>
      <c r="AG9934">
        <v>0</v>
      </c>
    </row>
    <row r="9935" spans="31:33">
      <c r="AE9935">
        <v>0</v>
      </c>
      <c r="AG9935">
        <v>0</v>
      </c>
    </row>
    <row r="9936" spans="31:33">
      <c r="AE9936">
        <v>0</v>
      </c>
      <c r="AG9936">
        <v>0</v>
      </c>
    </row>
    <row r="9937" spans="31:33">
      <c r="AE9937">
        <v>0</v>
      </c>
      <c r="AG9937">
        <v>0</v>
      </c>
    </row>
    <row r="9938" spans="31:33">
      <c r="AE9938" s="31">
        <v>-1453063.57</v>
      </c>
      <c r="AG9938" s="31">
        <v>-1131123</v>
      </c>
    </row>
    <row r="9939" spans="31:33">
      <c r="AE9939">
        <v>0</v>
      </c>
      <c r="AG9939">
        <v>0</v>
      </c>
    </row>
    <row r="9940" spans="31:33">
      <c r="AE9940">
        <v>0</v>
      </c>
      <c r="AG9940">
        <v>0</v>
      </c>
    </row>
    <row r="9941" spans="31:33">
      <c r="AE9941">
        <v>0</v>
      </c>
      <c r="AG9941">
        <v>0</v>
      </c>
    </row>
    <row r="9942" spans="31:33">
      <c r="AE9942">
        <v>0</v>
      </c>
      <c r="AG9942">
        <v>0</v>
      </c>
    </row>
    <row r="9943" spans="31:33">
      <c r="AE9943">
        <v>0</v>
      </c>
      <c r="AG9943">
        <v>0</v>
      </c>
    </row>
    <row r="9944" spans="31:33">
      <c r="AE9944">
        <v>0</v>
      </c>
      <c r="AG9944">
        <v>0</v>
      </c>
    </row>
    <row r="9945" spans="31:33">
      <c r="AE9945">
        <v>0</v>
      </c>
      <c r="AG9945">
        <v>0</v>
      </c>
    </row>
    <row r="9946" spans="31:33">
      <c r="AE9946">
        <v>0</v>
      </c>
      <c r="AG9946">
        <v>0</v>
      </c>
    </row>
    <row r="9947" spans="31:33">
      <c r="AE9947">
        <v>0</v>
      </c>
      <c r="AG9947">
        <v>0</v>
      </c>
    </row>
    <row r="9948" spans="31:33">
      <c r="AE9948">
        <v>0</v>
      </c>
      <c r="AG9948">
        <v>0</v>
      </c>
    </row>
    <row r="9949" spans="31:33">
      <c r="AE9949">
        <v>0</v>
      </c>
      <c r="AG9949">
        <v>0</v>
      </c>
    </row>
    <row r="9950" spans="31:33">
      <c r="AE9950">
        <v>0</v>
      </c>
      <c r="AG9950">
        <v>0</v>
      </c>
    </row>
    <row r="9951" spans="31:33">
      <c r="AE9951">
        <v>0</v>
      </c>
      <c r="AG9951">
        <v>0</v>
      </c>
    </row>
    <row r="9952" spans="31:33">
      <c r="AE9952">
        <v>0</v>
      </c>
      <c r="AG9952">
        <v>0</v>
      </c>
    </row>
    <row r="9953" spans="31:33">
      <c r="AE9953">
        <v>0</v>
      </c>
      <c r="AG9953">
        <v>0</v>
      </c>
    </row>
    <row r="9954" spans="31:33">
      <c r="AE9954">
        <v>0</v>
      </c>
      <c r="AG9954">
        <v>0</v>
      </c>
    </row>
    <row r="9955" spans="31:33">
      <c r="AE9955">
        <v>0</v>
      </c>
      <c r="AG9955">
        <v>0</v>
      </c>
    </row>
    <row r="9956" spans="31:33">
      <c r="AE9956">
        <v>0</v>
      </c>
      <c r="AG9956">
        <v>0</v>
      </c>
    </row>
    <row r="9957" spans="31:33">
      <c r="AE9957">
        <v>0</v>
      </c>
      <c r="AG9957">
        <v>0</v>
      </c>
    </row>
    <row r="9958" spans="31:33">
      <c r="AE9958">
        <v>0</v>
      </c>
      <c r="AG9958">
        <v>0</v>
      </c>
    </row>
    <row r="9959" spans="31:33">
      <c r="AE9959">
        <v>0</v>
      </c>
      <c r="AG9959">
        <v>0</v>
      </c>
    </row>
    <row r="9960" spans="31:33">
      <c r="AE9960">
        <v>0</v>
      </c>
      <c r="AG9960">
        <v>0</v>
      </c>
    </row>
    <row r="9961" spans="31:33">
      <c r="AE9961">
        <v>0</v>
      </c>
      <c r="AG9961">
        <v>0</v>
      </c>
    </row>
    <row r="9962" spans="31:33">
      <c r="AE9962">
        <v>0</v>
      </c>
      <c r="AG9962">
        <v>0</v>
      </c>
    </row>
    <row r="9963" spans="31:33">
      <c r="AE9963">
        <v>0</v>
      </c>
      <c r="AG9963">
        <v>0</v>
      </c>
    </row>
    <row r="9964" spans="31:33">
      <c r="AE9964">
        <v>0</v>
      </c>
      <c r="AG9964">
        <v>0</v>
      </c>
    </row>
    <row r="9965" spans="31:33">
      <c r="AE9965">
        <v>0</v>
      </c>
      <c r="AG9965">
        <v>0</v>
      </c>
    </row>
    <row r="9966" spans="31:33">
      <c r="AE9966">
        <v>0</v>
      </c>
      <c r="AG9966">
        <v>0</v>
      </c>
    </row>
    <row r="9967" spans="31:33">
      <c r="AE9967">
        <v>0</v>
      </c>
      <c r="AG9967">
        <v>0</v>
      </c>
    </row>
    <row r="9968" spans="31:33">
      <c r="AE9968">
        <v>0</v>
      </c>
      <c r="AG9968">
        <v>0</v>
      </c>
    </row>
    <row r="9969" spans="31:33">
      <c r="AE9969">
        <v>0</v>
      </c>
      <c r="AG9969">
        <v>0</v>
      </c>
    </row>
    <row r="9970" spans="31:33">
      <c r="AE9970">
        <v>0</v>
      </c>
      <c r="AG9970">
        <v>0</v>
      </c>
    </row>
    <row r="9971" spans="31:33">
      <c r="AE9971">
        <v>0</v>
      </c>
      <c r="AG9971">
        <v>0</v>
      </c>
    </row>
    <row r="9972" spans="31:33">
      <c r="AE9972">
        <v>0</v>
      </c>
      <c r="AG9972">
        <v>0</v>
      </c>
    </row>
    <row r="9973" spans="31:33">
      <c r="AE9973">
        <v>0</v>
      </c>
      <c r="AG9973">
        <v>0</v>
      </c>
    </row>
    <row r="9974" spans="31:33">
      <c r="AE9974">
        <v>0</v>
      </c>
      <c r="AG9974">
        <v>0</v>
      </c>
    </row>
    <row r="9975" spans="31:33">
      <c r="AE9975">
        <v>0</v>
      </c>
      <c r="AG9975">
        <v>0</v>
      </c>
    </row>
    <row r="9976" spans="31:33">
      <c r="AE9976">
        <v>0</v>
      </c>
      <c r="AG9976">
        <v>0</v>
      </c>
    </row>
    <row r="9977" spans="31:33">
      <c r="AE9977">
        <v>0</v>
      </c>
      <c r="AG9977">
        <v>0</v>
      </c>
    </row>
    <row r="9978" spans="31:33">
      <c r="AE9978">
        <v>0</v>
      </c>
      <c r="AG9978">
        <v>0</v>
      </c>
    </row>
    <row r="9979" spans="31:33">
      <c r="AE9979">
        <v>0</v>
      </c>
      <c r="AG9979">
        <v>0</v>
      </c>
    </row>
    <row r="9980" spans="31:33">
      <c r="AE9980">
        <v>0</v>
      </c>
      <c r="AG9980">
        <v>0</v>
      </c>
    </row>
    <row r="9981" spans="31:33">
      <c r="AE9981">
        <v>0</v>
      </c>
      <c r="AG9981">
        <v>0</v>
      </c>
    </row>
    <row r="9982" spans="31:33">
      <c r="AE9982">
        <v>0</v>
      </c>
      <c r="AG9982">
        <v>0</v>
      </c>
    </row>
    <row r="9983" spans="31:33">
      <c r="AE9983">
        <v>0</v>
      </c>
      <c r="AG9983">
        <v>0</v>
      </c>
    </row>
    <row r="9984" spans="31:33">
      <c r="AE9984">
        <v>0</v>
      </c>
      <c r="AG9984">
        <v>0</v>
      </c>
    </row>
    <row r="9985" spans="31:33">
      <c r="AE9985">
        <v>0</v>
      </c>
      <c r="AG9985">
        <v>0</v>
      </c>
    </row>
    <row r="9986" spans="31:33">
      <c r="AE9986">
        <v>0</v>
      </c>
      <c r="AG9986">
        <v>0</v>
      </c>
    </row>
    <row r="9987" spans="31:33">
      <c r="AE9987">
        <v>0</v>
      </c>
      <c r="AG9987">
        <v>0</v>
      </c>
    </row>
    <row r="9988" spans="31:33">
      <c r="AE9988" s="31">
        <v>12406.53</v>
      </c>
      <c r="AG9988" s="31">
        <v>-2147.6799999999998</v>
      </c>
    </row>
    <row r="9989" spans="31:33">
      <c r="AE9989">
        <v>0</v>
      </c>
      <c r="AG9989">
        <v>0</v>
      </c>
    </row>
    <row r="9990" spans="31:33">
      <c r="AE9990">
        <v>0</v>
      </c>
      <c r="AG9990">
        <v>0</v>
      </c>
    </row>
    <row r="9991" spans="31:33">
      <c r="AE9991">
        <v>0</v>
      </c>
      <c r="AG9991">
        <v>0</v>
      </c>
    </row>
    <row r="9992" spans="31:33">
      <c r="AE9992">
        <v>0</v>
      </c>
      <c r="AG9992">
        <v>0</v>
      </c>
    </row>
    <row r="9993" spans="31:33">
      <c r="AE9993" s="31">
        <v>-3345836.68</v>
      </c>
      <c r="AG9993" s="31">
        <v>-3345836.68</v>
      </c>
    </row>
    <row r="9994" spans="31:33">
      <c r="AE9994">
        <v>0</v>
      </c>
      <c r="AG9994">
        <v>0</v>
      </c>
    </row>
    <row r="9995" spans="31:33">
      <c r="AE9995">
        <v>0</v>
      </c>
      <c r="AG9995">
        <v>0</v>
      </c>
    </row>
    <row r="9996" spans="31:33">
      <c r="AE9996">
        <v>0</v>
      </c>
      <c r="AG9996">
        <v>0</v>
      </c>
    </row>
    <row r="9997" spans="31:33">
      <c r="AE9997">
        <v>0</v>
      </c>
      <c r="AG9997">
        <v>0</v>
      </c>
    </row>
    <row r="9998" spans="31:33">
      <c r="AE9998">
        <v>0</v>
      </c>
      <c r="AG9998">
        <v>0</v>
      </c>
    </row>
    <row r="9999" spans="31:33">
      <c r="AE9999">
        <v>0</v>
      </c>
      <c r="AG9999">
        <v>0</v>
      </c>
    </row>
    <row r="10000" spans="31:33">
      <c r="AE10000">
        <v>0</v>
      </c>
      <c r="AG10000">
        <v>0</v>
      </c>
    </row>
    <row r="10001" spans="31:33">
      <c r="AE10001">
        <v>0</v>
      </c>
      <c r="AG10001">
        <v>0</v>
      </c>
    </row>
    <row r="10002" spans="31:33">
      <c r="AE10002">
        <v>0</v>
      </c>
      <c r="AG10002">
        <v>0</v>
      </c>
    </row>
    <row r="10003" spans="31:33">
      <c r="AE10003">
        <v>0</v>
      </c>
      <c r="AG10003">
        <v>0</v>
      </c>
    </row>
    <row r="10004" spans="31:33">
      <c r="AE10004">
        <v>0</v>
      </c>
      <c r="AG10004">
        <v>0</v>
      </c>
    </row>
    <row r="10005" spans="31:33">
      <c r="AE10005">
        <v>0</v>
      </c>
      <c r="AG10005">
        <v>0</v>
      </c>
    </row>
    <row r="10006" spans="31:33">
      <c r="AE10006">
        <v>0</v>
      </c>
      <c r="AG10006">
        <v>0</v>
      </c>
    </row>
    <row r="10007" spans="31:33">
      <c r="AE10007">
        <v>0</v>
      </c>
      <c r="AG10007">
        <v>0</v>
      </c>
    </row>
    <row r="10008" spans="31:33">
      <c r="AE10008">
        <v>0</v>
      </c>
      <c r="AG10008">
        <v>0</v>
      </c>
    </row>
    <row r="10009" spans="31:33">
      <c r="AE10009">
        <v>0</v>
      </c>
      <c r="AG10009">
        <v>0</v>
      </c>
    </row>
    <row r="10010" spans="31:33">
      <c r="AE10010">
        <v>0</v>
      </c>
      <c r="AG10010">
        <v>0</v>
      </c>
    </row>
    <row r="10011" spans="31:33">
      <c r="AE10011">
        <v>0</v>
      </c>
      <c r="AG10011">
        <v>0</v>
      </c>
    </row>
    <row r="10012" spans="31:33">
      <c r="AE10012">
        <v>0</v>
      </c>
      <c r="AG10012">
        <v>0</v>
      </c>
    </row>
    <row r="10013" spans="31:33">
      <c r="AE10013">
        <v>0</v>
      </c>
      <c r="AG10013">
        <v>0</v>
      </c>
    </row>
    <row r="10014" spans="31:33">
      <c r="AE10014" s="31">
        <v>-900988.86</v>
      </c>
      <c r="AG10014" s="31">
        <v>-6929031.5099999998</v>
      </c>
    </row>
    <row r="10015" spans="31:33">
      <c r="AE10015">
        <v>0</v>
      </c>
      <c r="AG10015">
        <v>0</v>
      </c>
    </row>
    <row r="10016" spans="31:33">
      <c r="AE10016">
        <v>0</v>
      </c>
      <c r="AG10016">
        <v>0</v>
      </c>
    </row>
    <row r="10017" spans="31:33">
      <c r="AE10017" s="31">
        <v>519950.1</v>
      </c>
      <c r="AG10017" s="31">
        <v>519950.1</v>
      </c>
    </row>
    <row r="10018" spans="31:33">
      <c r="AE10018">
        <v>0</v>
      </c>
      <c r="AG10018">
        <v>0</v>
      </c>
    </row>
    <row r="10019" spans="31:33">
      <c r="AE10019">
        <v>0</v>
      </c>
      <c r="AG10019">
        <v>0</v>
      </c>
    </row>
    <row r="10020" spans="31:33">
      <c r="AE10020">
        <v>0</v>
      </c>
      <c r="AG10020">
        <v>0</v>
      </c>
    </row>
    <row r="10021" spans="31:33">
      <c r="AE10021">
        <v>0</v>
      </c>
      <c r="AG10021">
        <v>0</v>
      </c>
    </row>
    <row r="10022" spans="31:33">
      <c r="AE10022">
        <v>0</v>
      </c>
      <c r="AG10022">
        <v>0</v>
      </c>
    </row>
    <row r="10023" spans="31:33">
      <c r="AE10023">
        <v>0</v>
      </c>
      <c r="AG10023">
        <v>0</v>
      </c>
    </row>
    <row r="10024" spans="31:33">
      <c r="AE10024">
        <v>0</v>
      </c>
      <c r="AG10024">
        <v>0</v>
      </c>
    </row>
    <row r="10025" spans="31:33">
      <c r="AE10025">
        <v>0</v>
      </c>
      <c r="AG10025">
        <v>0</v>
      </c>
    </row>
    <row r="10026" spans="31:33">
      <c r="AE10026" s="31">
        <v>-464236.89</v>
      </c>
      <c r="AG10026" s="31">
        <v>-42330.75</v>
      </c>
    </row>
    <row r="10027" spans="31:33">
      <c r="AE10027" s="31">
        <v>-2497938.35</v>
      </c>
      <c r="AG10027" s="31">
        <v>-5071404.34</v>
      </c>
    </row>
    <row r="10028" spans="31:33">
      <c r="AE10028">
        <v>0</v>
      </c>
      <c r="AG10028">
        <v>0</v>
      </c>
    </row>
    <row r="10029" spans="31:33">
      <c r="AE10029">
        <v>0</v>
      </c>
      <c r="AG10029">
        <v>0</v>
      </c>
    </row>
    <row r="10030" spans="31:33">
      <c r="AE10030">
        <v>0</v>
      </c>
      <c r="AG10030">
        <v>0</v>
      </c>
    </row>
    <row r="10031" spans="31:33">
      <c r="AE10031">
        <v>0</v>
      </c>
      <c r="AG10031">
        <v>0</v>
      </c>
    </row>
    <row r="10032" spans="31:33">
      <c r="AE10032">
        <v>0</v>
      </c>
      <c r="AG10032">
        <v>0</v>
      </c>
    </row>
    <row r="10033" spans="31:33">
      <c r="AE10033">
        <v>0</v>
      </c>
      <c r="AG10033">
        <v>0</v>
      </c>
    </row>
    <row r="10034" spans="31:33">
      <c r="AE10034">
        <v>0</v>
      </c>
      <c r="AG10034">
        <v>0</v>
      </c>
    </row>
    <row r="10035" spans="31:33">
      <c r="AE10035">
        <v>0</v>
      </c>
      <c r="AG10035">
        <v>0</v>
      </c>
    </row>
    <row r="10036" spans="31:33">
      <c r="AE10036">
        <v>0</v>
      </c>
      <c r="AG10036">
        <v>0</v>
      </c>
    </row>
    <row r="10037" spans="31:33">
      <c r="AE10037">
        <v>0</v>
      </c>
      <c r="AG10037">
        <v>0</v>
      </c>
    </row>
    <row r="10038" spans="31:33">
      <c r="AE10038">
        <v>0</v>
      </c>
      <c r="AG10038">
        <v>0</v>
      </c>
    </row>
    <row r="10039" spans="31:33">
      <c r="AE10039">
        <v>0</v>
      </c>
      <c r="AG10039">
        <v>0</v>
      </c>
    </row>
    <row r="10040" spans="31:33">
      <c r="AE10040">
        <v>0</v>
      </c>
      <c r="AG10040">
        <v>0</v>
      </c>
    </row>
    <row r="10041" spans="31:33">
      <c r="AE10041">
        <v>0</v>
      </c>
      <c r="AG10041">
        <v>0</v>
      </c>
    </row>
    <row r="10042" spans="31:33">
      <c r="AE10042">
        <v>0</v>
      </c>
      <c r="AG10042">
        <v>0</v>
      </c>
    </row>
    <row r="10043" spans="31:33">
      <c r="AE10043">
        <v>0</v>
      </c>
      <c r="AG10043">
        <v>0</v>
      </c>
    </row>
    <row r="10044" spans="31:33">
      <c r="AE10044">
        <v>0</v>
      </c>
      <c r="AG10044">
        <v>0</v>
      </c>
    </row>
    <row r="10045" spans="31:33">
      <c r="AE10045">
        <v>0</v>
      </c>
      <c r="AG10045">
        <v>0</v>
      </c>
    </row>
    <row r="10046" spans="31:33">
      <c r="AE10046">
        <v>0</v>
      </c>
      <c r="AG10046">
        <v>0</v>
      </c>
    </row>
    <row r="10047" spans="31:33">
      <c r="AE10047">
        <v>0</v>
      </c>
      <c r="AG10047">
        <v>0</v>
      </c>
    </row>
    <row r="10048" spans="31:33">
      <c r="AE10048">
        <v>0</v>
      </c>
      <c r="AG10048">
        <v>0</v>
      </c>
    </row>
    <row r="10049" spans="31:33">
      <c r="AE10049">
        <v>0</v>
      </c>
      <c r="AG10049">
        <v>0</v>
      </c>
    </row>
    <row r="10050" spans="31:33">
      <c r="AE10050">
        <v>0</v>
      </c>
      <c r="AG10050">
        <v>0</v>
      </c>
    </row>
    <row r="10051" spans="31:33">
      <c r="AE10051">
        <v>0</v>
      </c>
      <c r="AG10051">
        <v>0</v>
      </c>
    </row>
    <row r="10052" spans="31:33">
      <c r="AE10052">
        <v>0</v>
      </c>
      <c r="AG10052">
        <v>0</v>
      </c>
    </row>
    <row r="10053" spans="31:33">
      <c r="AE10053">
        <v>0</v>
      </c>
      <c r="AG10053">
        <v>0</v>
      </c>
    </row>
    <row r="10054" spans="31:33">
      <c r="AE10054">
        <v>0</v>
      </c>
      <c r="AG10054">
        <v>0</v>
      </c>
    </row>
    <row r="10055" spans="31:33">
      <c r="AE10055">
        <v>0</v>
      </c>
      <c r="AG10055" s="31">
        <v>-30831.360000000001</v>
      </c>
    </row>
    <row r="10056" spans="31:33">
      <c r="AE10056">
        <v>0</v>
      </c>
      <c r="AG10056">
        <v>0</v>
      </c>
    </row>
    <row r="10057" spans="31:33">
      <c r="AE10057">
        <v>0</v>
      </c>
      <c r="AG10057">
        <v>0</v>
      </c>
    </row>
    <row r="10058" spans="31:33">
      <c r="AE10058">
        <v>0</v>
      </c>
      <c r="AG10058">
        <v>0</v>
      </c>
    </row>
    <row r="10059" spans="31:33">
      <c r="AE10059">
        <v>0</v>
      </c>
      <c r="AG10059">
        <v>0</v>
      </c>
    </row>
    <row r="10060" spans="31:33">
      <c r="AE10060">
        <v>0</v>
      </c>
      <c r="AG10060" s="31">
        <v>-164075.29</v>
      </c>
    </row>
    <row r="10061" spans="31:33">
      <c r="AE10061">
        <v>0</v>
      </c>
      <c r="AG10061">
        <v>0</v>
      </c>
    </row>
    <row r="10062" spans="31:33">
      <c r="AE10062">
        <v>0</v>
      </c>
      <c r="AG10062">
        <v>0</v>
      </c>
    </row>
    <row r="10063" spans="31:33">
      <c r="AE10063">
        <v>0</v>
      </c>
      <c r="AG10063">
        <v>0</v>
      </c>
    </row>
    <row r="10064" spans="31:33">
      <c r="AE10064">
        <v>0</v>
      </c>
      <c r="AG10064">
        <v>0</v>
      </c>
    </row>
    <row r="10065" spans="31:33">
      <c r="AE10065">
        <v>0</v>
      </c>
      <c r="AG10065">
        <v>0</v>
      </c>
    </row>
    <row r="10066" spans="31:33">
      <c r="AE10066">
        <v>0</v>
      </c>
      <c r="AG10066">
        <v>0</v>
      </c>
    </row>
    <row r="10067" spans="31:33">
      <c r="AE10067">
        <v>0</v>
      </c>
      <c r="AG10067">
        <v>0</v>
      </c>
    </row>
    <row r="10068" spans="31:33">
      <c r="AE10068">
        <v>0</v>
      </c>
      <c r="AG10068">
        <v>0</v>
      </c>
    </row>
    <row r="10069" spans="31:33">
      <c r="AE10069">
        <v>0</v>
      </c>
      <c r="AG10069">
        <v>0</v>
      </c>
    </row>
    <row r="10070" spans="31:33">
      <c r="AE10070">
        <v>0</v>
      </c>
      <c r="AG10070">
        <v>0</v>
      </c>
    </row>
    <row r="10071" spans="31:33">
      <c r="AE10071">
        <v>0</v>
      </c>
      <c r="AG10071">
        <v>0</v>
      </c>
    </row>
    <row r="10072" spans="31:33">
      <c r="AE10072">
        <v>0</v>
      </c>
      <c r="AG10072">
        <v>0</v>
      </c>
    </row>
    <row r="10073" spans="31:33">
      <c r="AE10073">
        <v>0</v>
      </c>
      <c r="AG10073">
        <v>0</v>
      </c>
    </row>
    <row r="10074" spans="31:33">
      <c r="AE10074">
        <v>0</v>
      </c>
      <c r="AG10074">
        <v>0</v>
      </c>
    </row>
    <row r="10075" spans="31:33">
      <c r="AE10075">
        <v>0</v>
      </c>
      <c r="AG10075">
        <v>0</v>
      </c>
    </row>
    <row r="10076" spans="31:33">
      <c r="AE10076">
        <v>0</v>
      </c>
      <c r="AG10076">
        <v>0</v>
      </c>
    </row>
    <row r="10077" spans="31:33">
      <c r="AE10077">
        <v>0</v>
      </c>
      <c r="AG10077">
        <v>0</v>
      </c>
    </row>
    <row r="10078" spans="31:33">
      <c r="AE10078">
        <v>0</v>
      </c>
      <c r="AG10078">
        <v>0</v>
      </c>
    </row>
    <row r="10079" spans="31:33">
      <c r="AE10079">
        <v>0</v>
      </c>
      <c r="AG10079">
        <v>0</v>
      </c>
    </row>
    <row r="10080" spans="31:33">
      <c r="AE10080">
        <v>0</v>
      </c>
      <c r="AG10080">
        <v>0</v>
      </c>
    </row>
    <row r="10081" spans="31:33">
      <c r="AE10081">
        <v>0</v>
      </c>
      <c r="AG10081">
        <v>0</v>
      </c>
    </row>
    <row r="10082" spans="31:33">
      <c r="AE10082">
        <v>0</v>
      </c>
      <c r="AG10082">
        <v>0</v>
      </c>
    </row>
    <row r="10083" spans="31:33">
      <c r="AE10083">
        <v>0</v>
      </c>
      <c r="AG10083">
        <v>0</v>
      </c>
    </row>
    <row r="10084" spans="31:33">
      <c r="AE10084">
        <v>0</v>
      </c>
      <c r="AG10084">
        <v>0</v>
      </c>
    </row>
    <row r="10085" spans="31:33">
      <c r="AE10085">
        <v>0</v>
      </c>
      <c r="AG10085">
        <v>0</v>
      </c>
    </row>
    <row r="10086" spans="31:33">
      <c r="AE10086">
        <v>0</v>
      </c>
      <c r="AG10086">
        <v>0</v>
      </c>
    </row>
    <row r="10087" spans="31:33">
      <c r="AE10087">
        <v>0</v>
      </c>
      <c r="AG10087">
        <v>0</v>
      </c>
    </row>
    <row r="10088" spans="31:33">
      <c r="AE10088">
        <v>0</v>
      </c>
      <c r="AG10088">
        <v>0</v>
      </c>
    </row>
    <row r="10089" spans="31:33">
      <c r="AE10089">
        <v>0</v>
      </c>
      <c r="AG10089">
        <v>0</v>
      </c>
    </row>
    <row r="10090" spans="31:33">
      <c r="AE10090">
        <v>0</v>
      </c>
      <c r="AG10090">
        <v>0</v>
      </c>
    </row>
    <row r="10091" spans="31:33">
      <c r="AE10091">
        <v>0</v>
      </c>
      <c r="AG10091">
        <v>0</v>
      </c>
    </row>
    <row r="10092" spans="31:33">
      <c r="AE10092">
        <v>0</v>
      </c>
      <c r="AG10092">
        <v>0</v>
      </c>
    </row>
    <row r="10093" spans="31:33">
      <c r="AE10093">
        <v>0</v>
      </c>
      <c r="AG10093">
        <v>0</v>
      </c>
    </row>
    <row r="10094" spans="31:33">
      <c r="AE10094">
        <v>0</v>
      </c>
      <c r="AG10094">
        <v>0</v>
      </c>
    </row>
    <row r="10095" spans="31:33">
      <c r="AE10095">
        <v>0</v>
      </c>
      <c r="AG10095">
        <v>0</v>
      </c>
    </row>
    <row r="10096" spans="31:33">
      <c r="AE10096">
        <v>0</v>
      </c>
      <c r="AG10096">
        <v>0</v>
      </c>
    </row>
    <row r="10097" spans="31:33">
      <c r="AE10097">
        <v>0</v>
      </c>
      <c r="AG10097">
        <v>0</v>
      </c>
    </row>
    <row r="10098" spans="31:33">
      <c r="AE10098">
        <v>0</v>
      </c>
      <c r="AG10098">
        <v>0</v>
      </c>
    </row>
    <row r="10099" spans="31:33">
      <c r="AE10099">
        <v>0</v>
      </c>
      <c r="AG10099">
        <v>0</v>
      </c>
    </row>
    <row r="10100" spans="31:33">
      <c r="AE10100">
        <v>0</v>
      </c>
      <c r="AG10100">
        <v>0</v>
      </c>
    </row>
    <row r="10101" spans="31:33">
      <c r="AE10101">
        <v>0</v>
      </c>
      <c r="AG10101">
        <v>0</v>
      </c>
    </row>
    <row r="10102" spans="31:33">
      <c r="AE10102">
        <v>0</v>
      </c>
      <c r="AG10102">
        <v>0</v>
      </c>
    </row>
    <row r="10103" spans="31:33">
      <c r="AE10103">
        <v>0</v>
      </c>
      <c r="AG10103">
        <v>0</v>
      </c>
    </row>
    <row r="10104" spans="31:33">
      <c r="AE10104" s="31">
        <v>-2118614.4300000002</v>
      </c>
      <c r="AG10104" s="31">
        <v>-2440555</v>
      </c>
    </row>
    <row r="10105" spans="31:33">
      <c r="AE10105">
        <v>0</v>
      </c>
      <c r="AG10105">
        <v>0</v>
      </c>
    </row>
    <row r="10106" spans="31:33">
      <c r="AE10106">
        <v>0</v>
      </c>
      <c r="AG10106">
        <v>0</v>
      </c>
    </row>
    <row r="10107" spans="31:33">
      <c r="AE10107">
        <v>0</v>
      </c>
      <c r="AG10107">
        <v>0</v>
      </c>
    </row>
    <row r="10108" spans="31:33">
      <c r="AE10108">
        <v>0</v>
      </c>
      <c r="AG10108">
        <v>0</v>
      </c>
    </row>
    <row r="10109" spans="31:33">
      <c r="AE10109">
        <v>0</v>
      </c>
      <c r="AG10109">
        <v>0</v>
      </c>
    </row>
    <row r="10110" spans="31:33">
      <c r="AE10110">
        <v>0</v>
      </c>
      <c r="AG10110">
        <v>0</v>
      </c>
    </row>
    <row r="10111" spans="31:33">
      <c r="AE10111">
        <v>0</v>
      </c>
      <c r="AG10111">
        <v>0</v>
      </c>
    </row>
    <row r="10112" spans="31:33">
      <c r="AE10112">
        <v>0</v>
      </c>
      <c r="AG10112">
        <v>0</v>
      </c>
    </row>
    <row r="10113" spans="31:33">
      <c r="AE10113">
        <v>0</v>
      </c>
      <c r="AG10113">
        <v>0</v>
      </c>
    </row>
    <row r="10114" spans="31:33">
      <c r="AE10114">
        <v>0</v>
      </c>
      <c r="AG10114">
        <v>0</v>
      </c>
    </row>
    <row r="10115" spans="31:33">
      <c r="AE10115">
        <v>0</v>
      </c>
      <c r="AG10115">
        <v>0</v>
      </c>
    </row>
    <row r="10116" spans="31:33">
      <c r="AE10116">
        <v>0</v>
      </c>
      <c r="AG10116">
        <v>0</v>
      </c>
    </row>
    <row r="10117" spans="31:33">
      <c r="AE10117">
        <v>0</v>
      </c>
      <c r="AG10117">
        <v>0</v>
      </c>
    </row>
    <row r="10118" spans="31:33">
      <c r="AE10118">
        <v>0</v>
      </c>
      <c r="AG10118">
        <v>0</v>
      </c>
    </row>
    <row r="10119" spans="31:33">
      <c r="AE10119">
        <v>0</v>
      </c>
      <c r="AG10119">
        <v>0</v>
      </c>
    </row>
    <row r="10120" spans="31:33">
      <c r="AE10120">
        <v>0</v>
      </c>
      <c r="AG10120">
        <v>0</v>
      </c>
    </row>
    <row r="10121" spans="31:33">
      <c r="AE10121">
        <v>0</v>
      </c>
      <c r="AG10121">
        <v>0</v>
      </c>
    </row>
    <row r="10122" spans="31:33">
      <c r="AE10122">
        <v>0</v>
      </c>
      <c r="AG10122">
        <v>0</v>
      </c>
    </row>
    <row r="10123" spans="31:33">
      <c r="AE10123">
        <v>0</v>
      </c>
      <c r="AG10123">
        <v>0</v>
      </c>
    </row>
    <row r="10124" spans="31:33">
      <c r="AE10124">
        <v>0</v>
      </c>
      <c r="AG10124">
        <v>0</v>
      </c>
    </row>
    <row r="10125" spans="31:33">
      <c r="AE10125">
        <v>0</v>
      </c>
      <c r="AG10125">
        <v>0</v>
      </c>
    </row>
    <row r="10126" spans="31:33">
      <c r="AE10126">
        <v>0</v>
      </c>
      <c r="AG10126">
        <v>0</v>
      </c>
    </row>
    <row r="10127" spans="31:33">
      <c r="AE10127">
        <v>0</v>
      </c>
      <c r="AG10127">
        <v>0</v>
      </c>
    </row>
    <row r="10128" spans="31:33">
      <c r="AE10128">
        <v>0</v>
      </c>
      <c r="AG10128">
        <v>0</v>
      </c>
    </row>
    <row r="10129" spans="31:33">
      <c r="AE10129">
        <v>0</v>
      </c>
      <c r="AG10129">
        <v>0</v>
      </c>
    </row>
    <row r="10130" spans="31:33">
      <c r="AE10130">
        <v>0</v>
      </c>
      <c r="AG10130">
        <v>0</v>
      </c>
    </row>
    <row r="10131" spans="31:33">
      <c r="AE10131">
        <v>0</v>
      </c>
      <c r="AG10131">
        <v>0</v>
      </c>
    </row>
    <row r="10132" spans="31:33">
      <c r="AE10132">
        <v>0</v>
      </c>
      <c r="AG10132">
        <v>0</v>
      </c>
    </row>
    <row r="10133" spans="31:33">
      <c r="AE10133">
        <v>0</v>
      </c>
      <c r="AG10133">
        <v>0</v>
      </c>
    </row>
    <row r="10134" spans="31:33">
      <c r="AE10134">
        <v>0</v>
      </c>
      <c r="AG10134">
        <v>0</v>
      </c>
    </row>
    <row r="10135" spans="31:33">
      <c r="AE10135">
        <v>0</v>
      </c>
      <c r="AG10135">
        <v>0</v>
      </c>
    </row>
    <row r="10136" spans="31:33">
      <c r="AE10136">
        <v>0</v>
      </c>
      <c r="AG10136">
        <v>0</v>
      </c>
    </row>
    <row r="10137" spans="31:33">
      <c r="AE10137">
        <v>0</v>
      </c>
      <c r="AG10137">
        <v>0</v>
      </c>
    </row>
    <row r="10138" spans="31:33">
      <c r="AE10138">
        <v>0</v>
      </c>
      <c r="AG10138">
        <v>0</v>
      </c>
    </row>
    <row r="10139" spans="31:33">
      <c r="AE10139">
        <v>0</v>
      </c>
      <c r="AG10139">
        <v>0</v>
      </c>
    </row>
    <row r="10140" spans="31:33">
      <c r="AE10140">
        <v>0</v>
      </c>
      <c r="AG10140">
        <v>0</v>
      </c>
    </row>
    <row r="10141" spans="31:33">
      <c r="AE10141">
        <v>0</v>
      </c>
      <c r="AG10141">
        <v>0</v>
      </c>
    </row>
    <row r="10142" spans="31:33">
      <c r="AE10142">
        <v>0</v>
      </c>
      <c r="AG10142">
        <v>0</v>
      </c>
    </row>
    <row r="10143" spans="31:33">
      <c r="AE10143">
        <v>0</v>
      </c>
      <c r="AG10143">
        <v>0</v>
      </c>
    </row>
    <row r="10144" spans="31:33">
      <c r="AE10144">
        <v>0</v>
      </c>
      <c r="AG10144">
        <v>0</v>
      </c>
    </row>
    <row r="10145" spans="31:33">
      <c r="AE10145">
        <v>0</v>
      </c>
      <c r="AG10145">
        <v>0</v>
      </c>
    </row>
    <row r="10146" spans="31:33">
      <c r="AE10146">
        <v>0</v>
      </c>
      <c r="AG10146">
        <v>0</v>
      </c>
    </row>
    <row r="10147" spans="31:33">
      <c r="AE10147">
        <v>0</v>
      </c>
      <c r="AG10147">
        <v>0</v>
      </c>
    </row>
    <row r="10148" spans="31:33">
      <c r="AE10148">
        <v>0</v>
      </c>
      <c r="AG10148">
        <v>0</v>
      </c>
    </row>
    <row r="10149" spans="31:33">
      <c r="AE10149">
        <v>0</v>
      </c>
      <c r="AG10149">
        <v>0</v>
      </c>
    </row>
    <row r="10150" spans="31:33">
      <c r="AE10150">
        <v>0</v>
      </c>
      <c r="AG10150">
        <v>0</v>
      </c>
    </row>
    <row r="10151" spans="31:33">
      <c r="AE10151">
        <v>0</v>
      </c>
      <c r="AG10151">
        <v>0</v>
      </c>
    </row>
    <row r="10152" spans="31:33">
      <c r="AE10152">
        <v>0</v>
      </c>
      <c r="AG10152">
        <v>0</v>
      </c>
    </row>
    <row r="10153" spans="31:33">
      <c r="AE10153">
        <v>0</v>
      </c>
      <c r="AG10153">
        <v>0</v>
      </c>
    </row>
    <row r="10154" spans="31:33">
      <c r="AE10154">
        <v>0</v>
      </c>
      <c r="AG10154">
        <v>0</v>
      </c>
    </row>
    <row r="10155" spans="31:33">
      <c r="AE10155">
        <v>0</v>
      </c>
      <c r="AG10155">
        <v>0</v>
      </c>
    </row>
    <row r="10156" spans="31:33">
      <c r="AE10156">
        <v>0</v>
      </c>
      <c r="AG10156">
        <v>0</v>
      </c>
    </row>
    <row r="10157" spans="31:33">
      <c r="AE10157">
        <v>0</v>
      </c>
      <c r="AG10157">
        <v>0</v>
      </c>
    </row>
    <row r="10158" spans="31:33">
      <c r="AE10158">
        <v>0</v>
      </c>
      <c r="AG10158">
        <v>0</v>
      </c>
    </row>
    <row r="10159" spans="31:33">
      <c r="AE10159">
        <v>0</v>
      </c>
      <c r="AG10159">
        <v>0</v>
      </c>
    </row>
    <row r="10160" spans="31:33">
      <c r="AE10160">
        <v>0</v>
      </c>
      <c r="AG10160">
        <v>0</v>
      </c>
    </row>
    <row r="10161" spans="31:33">
      <c r="AE10161">
        <v>0</v>
      </c>
      <c r="AG10161">
        <v>0</v>
      </c>
    </row>
    <row r="10162" spans="31:33">
      <c r="AE10162">
        <v>0</v>
      </c>
      <c r="AG10162">
        <v>0</v>
      </c>
    </row>
    <row r="10163" spans="31:33">
      <c r="AE10163">
        <v>0</v>
      </c>
      <c r="AG10163">
        <v>0</v>
      </c>
    </row>
    <row r="10164" spans="31:33">
      <c r="AE10164">
        <v>0</v>
      </c>
      <c r="AG10164">
        <v>0</v>
      </c>
    </row>
    <row r="10165" spans="31:33">
      <c r="AE10165">
        <v>0</v>
      </c>
      <c r="AG10165">
        <v>0</v>
      </c>
    </row>
    <row r="10166" spans="31:33">
      <c r="AE10166">
        <v>0</v>
      </c>
      <c r="AG10166">
        <v>0</v>
      </c>
    </row>
    <row r="10167" spans="31:33">
      <c r="AE10167">
        <v>0</v>
      </c>
      <c r="AG10167">
        <v>0</v>
      </c>
    </row>
    <row r="10168" spans="31:33">
      <c r="AE10168">
        <v>0</v>
      </c>
      <c r="AG10168">
        <v>0</v>
      </c>
    </row>
    <row r="10169" spans="31:33">
      <c r="AE10169">
        <v>0</v>
      </c>
      <c r="AG10169">
        <v>0</v>
      </c>
    </row>
    <row r="10170" spans="31:33">
      <c r="AE10170">
        <v>0</v>
      </c>
      <c r="AG10170">
        <v>0</v>
      </c>
    </row>
    <row r="10171" spans="31:33">
      <c r="AE10171">
        <v>0</v>
      </c>
      <c r="AG10171">
        <v>0</v>
      </c>
    </row>
    <row r="10172" spans="31:33">
      <c r="AE10172">
        <v>0</v>
      </c>
      <c r="AG10172">
        <v>0</v>
      </c>
    </row>
    <row r="10173" spans="31:33">
      <c r="AE10173">
        <v>0</v>
      </c>
      <c r="AG10173">
        <v>0</v>
      </c>
    </row>
    <row r="10174" spans="31:33">
      <c r="AE10174">
        <v>0</v>
      </c>
      <c r="AG10174">
        <v>0</v>
      </c>
    </row>
    <row r="10175" spans="31:33">
      <c r="AE10175">
        <v>0</v>
      </c>
      <c r="AG10175">
        <v>0</v>
      </c>
    </row>
    <row r="10176" spans="31:33">
      <c r="AE10176">
        <v>0</v>
      </c>
      <c r="AG10176">
        <v>0</v>
      </c>
    </row>
    <row r="10177" spans="31:33">
      <c r="AE10177">
        <v>0</v>
      </c>
      <c r="AG10177">
        <v>0</v>
      </c>
    </row>
    <row r="10178" spans="31:33">
      <c r="AE10178">
        <v>0</v>
      </c>
      <c r="AG10178">
        <v>0</v>
      </c>
    </row>
    <row r="10179" spans="31:33">
      <c r="AE10179">
        <v>0</v>
      </c>
      <c r="AG10179">
        <v>0</v>
      </c>
    </row>
    <row r="10180" spans="31:33">
      <c r="AE10180">
        <v>0</v>
      </c>
      <c r="AG10180">
        <v>0</v>
      </c>
    </row>
    <row r="10181" spans="31:33">
      <c r="AE10181">
        <v>0</v>
      </c>
      <c r="AG10181">
        <v>0</v>
      </c>
    </row>
    <row r="10182" spans="31:33">
      <c r="AE10182">
        <v>0</v>
      </c>
      <c r="AG10182">
        <v>0</v>
      </c>
    </row>
    <row r="10183" spans="31:33">
      <c r="AE10183">
        <v>0</v>
      </c>
      <c r="AG10183">
        <v>0</v>
      </c>
    </row>
    <row r="10184" spans="31:33">
      <c r="AE10184">
        <v>0</v>
      </c>
      <c r="AG10184">
        <v>0</v>
      </c>
    </row>
    <row r="10185" spans="31:33">
      <c r="AE10185">
        <v>0</v>
      </c>
      <c r="AG10185">
        <v>0</v>
      </c>
    </row>
    <row r="10186" spans="31:33">
      <c r="AE10186">
        <v>0</v>
      </c>
      <c r="AG10186">
        <v>0</v>
      </c>
    </row>
    <row r="10187" spans="31:33">
      <c r="AE10187">
        <v>0</v>
      </c>
      <c r="AG10187">
        <v>0</v>
      </c>
    </row>
    <row r="10188" spans="31:33">
      <c r="AE10188" s="31">
        <v>1254847.8400000001</v>
      </c>
      <c r="AG10188" s="31">
        <v>-26182950.109999999</v>
      </c>
    </row>
    <row r="10189" spans="31:33">
      <c r="AE10189">
        <v>0</v>
      </c>
      <c r="AG10189">
        <v>0</v>
      </c>
    </row>
    <row r="10190" spans="31:33">
      <c r="AE10190">
        <v>0</v>
      </c>
      <c r="AG10190">
        <v>0</v>
      </c>
    </row>
    <row r="10191" spans="31:33">
      <c r="AE10191">
        <v>0</v>
      </c>
      <c r="AG10191">
        <v>0</v>
      </c>
    </row>
    <row r="10192" spans="31:33">
      <c r="AE10192" s="31">
        <v>6310067.75</v>
      </c>
      <c r="AG10192" s="31">
        <v>11283034.300000001</v>
      </c>
    </row>
    <row r="10193" spans="31:33">
      <c r="AE10193">
        <v>0</v>
      </c>
      <c r="AG10193">
        <v>0</v>
      </c>
    </row>
    <row r="10194" spans="31:33">
      <c r="AE10194">
        <v>0</v>
      </c>
      <c r="AG10194">
        <v>0</v>
      </c>
    </row>
    <row r="10195" spans="31:33">
      <c r="AE10195">
        <v>0</v>
      </c>
      <c r="AG10195">
        <v>0</v>
      </c>
    </row>
    <row r="10196" spans="31:33">
      <c r="AE10196">
        <v>0</v>
      </c>
      <c r="AG10196">
        <v>0</v>
      </c>
    </row>
    <row r="10197" spans="31:33">
      <c r="AE10197">
        <v>0</v>
      </c>
      <c r="AG10197">
        <v>0</v>
      </c>
    </row>
    <row r="10198" spans="31:33">
      <c r="AE10198">
        <v>0</v>
      </c>
      <c r="AG10198">
        <v>0</v>
      </c>
    </row>
    <row r="10199" spans="31:33">
      <c r="AE10199">
        <v>0</v>
      </c>
      <c r="AG10199">
        <v>0</v>
      </c>
    </row>
    <row r="10200" spans="31:33">
      <c r="AE10200">
        <v>0</v>
      </c>
      <c r="AG10200">
        <v>0</v>
      </c>
    </row>
    <row r="10201" spans="31:33">
      <c r="AE10201">
        <v>0</v>
      </c>
      <c r="AG10201">
        <v>0</v>
      </c>
    </row>
    <row r="10202" spans="31:33">
      <c r="AE10202">
        <v>0</v>
      </c>
      <c r="AG10202">
        <v>0</v>
      </c>
    </row>
    <row r="10203" spans="31:33">
      <c r="AE10203">
        <v>0</v>
      </c>
      <c r="AG10203">
        <v>0</v>
      </c>
    </row>
    <row r="10204" spans="31:33">
      <c r="AE10204" s="31">
        <v>780350.29</v>
      </c>
      <c r="AG10204" s="31">
        <v>1511976.96</v>
      </c>
    </row>
    <row r="10205" spans="31:33">
      <c r="AE10205">
        <v>0</v>
      </c>
      <c r="AG10205">
        <v>0</v>
      </c>
    </row>
    <row r="10206" spans="31:33">
      <c r="AE10206">
        <v>0</v>
      </c>
      <c r="AG10206">
        <v>0</v>
      </c>
    </row>
    <row r="10207" spans="31:33">
      <c r="AE10207">
        <v>0</v>
      </c>
      <c r="AG10207">
        <v>0</v>
      </c>
    </row>
    <row r="10208" spans="31:33">
      <c r="AE10208">
        <v>0</v>
      </c>
      <c r="AG10208">
        <v>0</v>
      </c>
    </row>
    <row r="10209" spans="31:33">
      <c r="AE10209">
        <v>0</v>
      </c>
      <c r="AG10209">
        <v>0</v>
      </c>
    </row>
    <row r="10210" spans="31:33">
      <c r="AE10210">
        <v>0</v>
      </c>
      <c r="AG10210">
        <v>0</v>
      </c>
    </row>
    <row r="10211" spans="31:33">
      <c r="AE10211">
        <v>0</v>
      </c>
      <c r="AG10211">
        <v>0</v>
      </c>
    </row>
    <row r="10212" spans="31:33">
      <c r="AE10212">
        <v>0</v>
      </c>
      <c r="AG10212">
        <v>0</v>
      </c>
    </row>
    <row r="10213" spans="31:33">
      <c r="AE10213">
        <v>0</v>
      </c>
      <c r="AG10213">
        <v>0</v>
      </c>
    </row>
    <row r="10214" spans="31:33">
      <c r="AE10214">
        <v>0</v>
      </c>
      <c r="AG10214">
        <v>0</v>
      </c>
    </row>
    <row r="10215" spans="31:33">
      <c r="AE10215">
        <v>0</v>
      </c>
      <c r="AG10215">
        <v>0</v>
      </c>
    </row>
    <row r="10216" spans="31:33">
      <c r="AE10216">
        <v>0</v>
      </c>
      <c r="AG10216">
        <v>0</v>
      </c>
    </row>
    <row r="10217" spans="31:33">
      <c r="AE10217">
        <v>0</v>
      </c>
      <c r="AG10217">
        <v>0</v>
      </c>
    </row>
    <row r="10218" spans="31:33">
      <c r="AE10218">
        <v>0</v>
      </c>
      <c r="AG10218">
        <v>0</v>
      </c>
    </row>
    <row r="10219" spans="31:33">
      <c r="AE10219">
        <v>0</v>
      </c>
      <c r="AG10219">
        <v>0</v>
      </c>
    </row>
    <row r="10220" spans="31:33">
      <c r="AE10220">
        <v>0</v>
      </c>
      <c r="AG10220">
        <v>0</v>
      </c>
    </row>
    <row r="10221" spans="31:33">
      <c r="AE10221">
        <v>0</v>
      </c>
      <c r="AG10221">
        <v>0</v>
      </c>
    </row>
    <row r="10222" spans="31:33">
      <c r="AE10222">
        <v>0</v>
      </c>
      <c r="AG10222">
        <v>0</v>
      </c>
    </row>
    <row r="10223" spans="31:33">
      <c r="AE10223">
        <v>0</v>
      </c>
      <c r="AG10223">
        <v>0</v>
      </c>
    </row>
    <row r="10224" spans="31:33">
      <c r="AE10224">
        <v>0</v>
      </c>
      <c r="AG10224">
        <v>0</v>
      </c>
    </row>
    <row r="10225" spans="31:33">
      <c r="AE10225">
        <v>0</v>
      </c>
      <c r="AG10225">
        <v>0</v>
      </c>
    </row>
    <row r="10226" spans="31:33">
      <c r="AE10226">
        <v>0</v>
      </c>
      <c r="AG10226">
        <v>0</v>
      </c>
    </row>
    <row r="10227" spans="31:33">
      <c r="AE10227">
        <v>0</v>
      </c>
      <c r="AG10227">
        <v>0</v>
      </c>
    </row>
    <row r="10228" spans="31:33">
      <c r="AE10228">
        <v>0</v>
      </c>
      <c r="AG10228">
        <v>0</v>
      </c>
    </row>
    <row r="10229" spans="31:33">
      <c r="AE10229">
        <v>0</v>
      </c>
      <c r="AG10229">
        <v>0</v>
      </c>
    </row>
    <row r="10230" spans="31:33">
      <c r="AE10230">
        <v>0</v>
      </c>
      <c r="AG10230">
        <v>0</v>
      </c>
    </row>
    <row r="10231" spans="31:33">
      <c r="AE10231">
        <v>0</v>
      </c>
      <c r="AG10231">
        <v>0</v>
      </c>
    </row>
    <row r="10232" spans="31:33">
      <c r="AE10232">
        <v>0</v>
      </c>
      <c r="AG10232">
        <v>0</v>
      </c>
    </row>
    <row r="10233" spans="31:33">
      <c r="AE10233">
        <v>0</v>
      </c>
      <c r="AG10233">
        <v>0</v>
      </c>
    </row>
    <row r="10234" spans="31:33">
      <c r="AE10234">
        <v>0</v>
      </c>
      <c r="AG10234">
        <v>0</v>
      </c>
    </row>
    <row r="10235" spans="31:33">
      <c r="AE10235">
        <v>0</v>
      </c>
      <c r="AG10235">
        <v>0</v>
      </c>
    </row>
    <row r="10236" spans="31:33">
      <c r="AE10236">
        <v>0</v>
      </c>
      <c r="AG10236">
        <v>0</v>
      </c>
    </row>
    <row r="10237" spans="31:33">
      <c r="AE10237">
        <v>0</v>
      </c>
      <c r="AG10237">
        <v>0</v>
      </c>
    </row>
    <row r="10238" spans="31:33">
      <c r="AE10238">
        <v>0</v>
      </c>
      <c r="AG10238">
        <v>0</v>
      </c>
    </row>
    <row r="10239" spans="31:33">
      <c r="AE10239">
        <v>0</v>
      </c>
      <c r="AG10239">
        <v>0</v>
      </c>
    </row>
    <row r="10240" spans="31:33">
      <c r="AE10240">
        <v>0</v>
      </c>
      <c r="AG10240">
        <v>0</v>
      </c>
    </row>
    <row r="10241" spans="31:33">
      <c r="AE10241">
        <v>0</v>
      </c>
      <c r="AG10241">
        <v>0</v>
      </c>
    </row>
    <row r="10242" spans="31:33">
      <c r="AE10242">
        <v>0</v>
      </c>
      <c r="AG10242">
        <v>0</v>
      </c>
    </row>
    <row r="10243" spans="31:33">
      <c r="AE10243">
        <v>0</v>
      </c>
      <c r="AG10243">
        <v>0</v>
      </c>
    </row>
    <row r="10244" spans="31:33">
      <c r="AE10244">
        <v>0</v>
      </c>
      <c r="AG10244">
        <v>0</v>
      </c>
    </row>
    <row r="10245" spans="31:33">
      <c r="AE10245">
        <v>0</v>
      </c>
      <c r="AG10245">
        <v>0</v>
      </c>
    </row>
    <row r="10246" spans="31:33">
      <c r="AE10246">
        <v>0</v>
      </c>
      <c r="AG10246">
        <v>0</v>
      </c>
    </row>
    <row r="10247" spans="31:33">
      <c r="AE10247">
        <v>0</v>
      </c>
      <c r="AG10247">
        <v>0</v>
      </c>
    </row>
    <row r="10248" spans="31:33">
      <c r="AE10248">
        <v>0</v>
      </c>
      <c r="AG10248">
        <v>0</v>
      </c>
    </row>
    <row r="10249" spans="31:33">
      <c r="AE10249">
        <v>0</v>
      </c>
      <c r="AG10249">
        <v>0</v>
      </c>
    </row>
    <row r="10250" spans="31:33">
      <c r="AE10250">
        <v>0</v>
      </c>
      <c r="AG10250">
        <v>0</v>
      </c>
    </row>
    <row r="10251" spans="31:33">
      <c r="AE10251">
        <v>0</v>
      </c>
      <c r="AG10251">
        <v>0</v>
      </c>
    </row>
    <row r="10252" spans="31:33">
      <c r="AE10252">
        <v>0</v>
      </c>
      <c r="AG10252">
        <v>0</v>
      </c>
    </row>
    <row r="10253" spans="31:33">
      <c r="AE10253">
        <v>0</v>
      </c>
      <c r="AG10253">
        <v>0</v>
      </c>
    </row>
    <row r="10254" spans="31:33">
      <c r="AE10254">
        <v>0</v>
      </c>
      <c r="AG10254">
        <v>0</v>
      </c>
    </row>
    <row r="10255" spans="31:33">
      <c r="AE10255">
        <v>0</v>
      </c>
      <c r="AG10255">
        <v>0</v>
      </c>
    </row>
    <row r="10256" spans="31:33">
      <c r="AE10256">
        <v>0</v>
      </c>
      <c r="AG10256">
        <v>0</v>
      </c>
    </row>
    <row r="10257" spans="31:33">
      <c r="AE10257">
        <v>0</v>
      </c>
      <c r="AG10257">
        <v>0</v>
      </c>
    </row>
    <row r="10258" spans="31:33">
      <c r="AE10258">
        <v>0</v>
      </c>
      <c r="AG10258">
        <v>0</v>
      </c>
    </row>
    <row r="10259" spans="31:33">
      <c r="AE10259">
        <v>0</v>
      </c>
      <c r="AG10259">
        <v>0</v>
      </c>
    </row>
    <row r="10260" spans="31:33">
      <c r="AE10260">
        <v>0</v>
      </c>
      <c r="AG10260">
        <v>0</v>
      </c>
    </row>
    <row r="10261" spans="31:33">
      <c r="AE10261">
        <v>0</v>
      </c>
      <c r="AG10261">
        <v>0</v>
      </c>
    </row>
    <row r="10262" spans="31:33">
      <c r="AE10262">
        <v>0</v>
      </c>
      <c r="AG10262">
        <v>0</v>
      </c>
    </row>
    <row r="10263" spans="31:33">
      <c r="AE10263">
        <v>0</v>
      </c>
      <c r="AG10263">
        <v>0</v>
      </c>
    </row>
    <row r="10264" spans="31:33">
      <c r="AE10264">
        <v>0</v>
      </c>
      <c r="AG10264">
        <v>0</v>
      </c>
    </row>
    <row r="10265" spans="31:33">
      <c r="AE10265">
        <v>0</v>
      </c>
      <c r="AG10265">
        <v>0</v>
      </c>
    </row>
    <row r="10266" spans="31:33">
      <c r="AE10266">
        <v>0</v>
      </c>
      <c r="AG10266">
        <v>0</v>
      </c>
    </row>
    <row r="10267" spans="31:33">
      <c r="AE10267">
        <v>0</v>
      </c>
      <c r="AG10267">
        <v>0</v>
      </c>
    </row>
    <row r="10268" spans="31:33">
      <c r="AE10268">
        <v>0</v>
      </c>
      <c r="AG10268">
        <v>0</v>
      </c>
    </row>
    <row r="10269" spans="31:33">
      <c r="AE10269">
        <v>0</v>
      </c>
      <c r="AG10269">
        <v>0</v>
      </c>
    </row>
    <row r="10270" spans="31:33">
      <c r="AE10270">
        <v>0</v>
      </c>
      <c r="AG10270">
        <v>0</v>
      </c>
    </row>
    <row r="10271" spans="31:33">
      <c r="AE10271">
        <v>0</v>
      </c>
      <c r="AG10271">
        <v>0</v>
      </c>
    </row>
    <row r="10272" spans="31:33">
      <c r="AE10272">
        <v>0</v>
      </c>
      <c r="AG10272">
        <v>0</v>
      </c>
    </row>
    <row r="10273" spans="31:33">
      <c r="AE10273">
        <v>0</v>
      </c>
      <c r="AG10273">
        <v>0</v>
      </c>
    </row>
    <row r="10274" spans="31:33">
      <c r="AE10274">
        <v>0</v>
      </c>
      <c r="AG10274">
        <v>0</v>
      </c>
    </row>
    <row r="10275" spans="31:33">
      <c r="AE10275">
        <v>0</v>
      </c>
      <c r="AG10275">
        <v>0</v>
      </c>
    </row>
    <row r="10276" spans="31:33">
      <c r="AE10276">
        <v>0</v>
      </c>
      <c r="AG10276">
        <v>0</v>
      </c>
    </row>
    <row r="10277" spans="31:33">
      <c r="AE10277">
        <v>0</v>
      </c>
      <c r="AG10277">
        <v>0</v>
      </c>
    </row>
    <row r="10278" spans="31:33">
      <c r="AE10278">
        <v>0</v>
      </c>
      <c r="AG10278">
        <v>0</v>
      </c>
    </row>
    <row r="10279" spans="31:33">
      <c r="AE10279">
        <v>0</v>
      </c>
      <c r="AG10279">
        <v>0</v>
      </c>
    </row>
    <row r="10280" spans="31:33">
      <c r="AE10280">
        <v>0</v>
      </c>
      <c r="AG10280">
        <v>0</v>
      </c>
    </row>
    <row r="10281" spans="31:33">
      <c r="AE10281">
        <v>0</v>
      </c>
      <c r="AG10281">
        <v>0</v>
      </c>
    </row>
    <row r="10282" spans="31:33">
      <c r="AE10282">
        <v>0</v>
      </c>
      <c r="AG10282">
        <v>0</v>
      </c>
    </row>
    <row r="10283" spans="31:33">
      <c r="AE10283">
        <v>0</v>
      </c>
      <c r="AG10283">
        <v>0</v>
      </c>
    </row>
    <row r="10284" spans="31:33">
      <c r="AE10284">
        <v>0</v>
      </c>
      <c r="AG10284">
        <v>0</v>
      </c>
    </row>
    <row r="10285" spans="31:33">
      <c r="AE10285">
        <v>0</v>
      </c>
      <c r="AG10285">
        <v>0</v>
      </c>
    </row>
    <row r="10286" spans="31:33">
      <c r="AE10286">
        <v>0</v>
      </c>
      <c r="AG10286">
        <v>0</v>
      </c>
    </row>
    <row r="10287" spans="31:33">
      <c r="AE10287">
        <v>0</v>
      </c>
      <c r="AG10287">
        <v>0</v>
      </c>
    </row>
    <row r="10288" spans="31:33">
      <c r="AE10288">
        <v>0</v>
      </c>
      <c r="AG10288">
        <v>0</v>
      </c>
    </row>
    <row r="10289" spans="31:33">
      <c r="AE10289">
        <v>0</v>
      </c>
      <c r="AG10289">
        <v>0</v>
      </c>
    </row>
    <row r="10290" spans="31:33">
      <c r="AE10290">
        <v>0</v>
      </c>
      <c r="AG10290">
        <v>0</v>
      </c>
    </row>
    <row r="10291" spans="31:33">
      <c r="AE10291">
        <v>0</v>
      </c>
      <c r="AG10291">
        <v>0</v>
      </c>
    </row>
    <row r="10292" spans="31:33">
      <c r="AE10292">
        <v>0</v>
      </c>
      <c r="AG10292">
        <v>0</v>
      </c>
    </row>
    <row r="10293" spans="31:33">
      <c r="AE10293">
        <v>0</v>
      </c>
      <c r="AG10293">
        <v>0</v>
      </c>
    </row>
    <row r="10294" spans="31:33">
      <c r="AE10294">
        <v>0</v>
      </c>
      <c r="AG10294">
        <v>0</v>
      </c>
    </row>
    <row r="10295" spans="31:33">
      <c r="AE10295">
        <v>0</v>
      </c>
      <c r="AG10295">
        <v>0</v>
      </c>
    </row>
    <row r="10296" spans="31:33">
      <c r="AE10296">
        <v>0</v>
      </c>
      <c r="AG10296">
        <v>0</v>
      </c>
    </row>
    <row r="10297" spans="31:33">
      <c r="AE10297">
        <v>0</v>
      </c>
      <c r="AG10297">
        <v>0</v>
      </c>
    </row>
    <row r="10298" spans="31:33">
      <c r="AE10298">
        <v>0</v>
      </c>
      <c r="AG10298">
        <v>0</v>
      </c>
    </row>
    <row r="10299" spans="31:33">
      <c r="AE10299">
        <v>0</v>
      </c>
      <c r="AG10299">
        <v>0</v>
      </c>
    </row>
    <row r="10300" spans="31:33">
      <c r="AE10300">
        <v>0</v>
      </c>
      <c r="AG10300">
        <v>0</v>
      </c>
    </row>
    <row r="10301" spans="31:33">
      <c r="AE10301">
        <v>0</v>
      </c>
      <c r="AG10301">
        <v>0</v>
      </c>
    </row>
    <row r="10302" spans="31:33">
      <c r="AE10302">
        <v>0</v>
      </c>
      <c r="AG10302">
        <v>0</v>
      </c>
    </row>
    <row r="10303" spans="31:33">
      <c r="AE10303">
        <v>0</v>
      </c>
      <c r="AG10303">
        <v>0</v>
      </c>
    </row>
    <row r="10304" spans="31:33">
      <c r="AE10304">
        <v>0</v>
      </c>
      <c r="AG10304">
        <v>0</v>
      </c>
    </row>
    <row r="10305" spans="31:33">
      <c r="AE10305">
        <v>0</v>
      </c>
      <c r="AG10305">
        <v>0</v>
      </c>
    </row>
    <row r="10306" spans="31:33">
      <c r="AE10306">
        <v>0</v>
      </c>
      <c r="AG10306">
        <v>0</v>
      </c>
    </row>
    <row r="10307" spans="31:33">
      <c r="AE10307">
        <v>0</v>
      </c>
      <c r="AG10307">
        <v>0</v>
      </c>
    </row>
    <row r="10308" spans="31:33">
      <c r="AE10308">
        <v>0</v>
      </c>
      <c r="AG10308">
        <v>0</v>
      </c>
    </row>
    <row r="10309" spans="31:33">
      <c r="AE10309">
        <v>0</v>
      </c>
      <c r="AG10309">
        <v>0</v>
      </c>
    </row>
    <row r="10310" spans="31:33">
      <c r="AE10310">
        <v>0</v>
      </c>
      <c r="AG10310">
        <v>0</v>
      </c>
    </row>
    <row r="10311" spans="31:33">
      <c r="AE10311">
        <v>0</v>
      </c>
      <c r="AG10311">
        <v>0</v>
      </c>
    </row>
    <row r="10312" spans="31:33">
      <c r="AE10312">
        <v>0</v>
      </c>
      <c r="AG10312">
        <v>0</v>
      </c>
    </row>
    <row r="10313" spans="31:33">
      <c r="AE10313">
        <v>0</v>
      </c>
      <c r="AG10313">
        <v>0</v>
      </c>
    </row>
    <row r="10314" spans="31:33">
      <c r="AE10314">
        <v>0</v>
      </c>
      <c r="AG10314">
        <v>0</v>
      </c>
    </row>
    <row r="10315" spans="31:33">
      <c r="AE10315">
        <v>0</v>
      </c>
      <c r="AG10315">
        <v>0</v>
      </c>
    </row>
    <row r="10316" spans="31:33">
      <c r="AE10316">
        <v>0</v>
      </c>
      <c r="AG10316">
        <v>0</v>
      </c>
    </row>
    <row r="10317" spans="31:33">
      <c r="AE10317" s="31">
        <v>-184541.66</v>
      </c>
      <c r="AG10317" s="31">
        <v>67048.759999999995</v>
      </c>
    </row>
    <row r="10318" spans="31:33">
      <c r="AE10318">
        <v>0</v>
      </c>
      <c r="AG10318">
        <v>0</v>
      </c>
    </row>
    <row r="10319" spans="31:33">
      <c r="AE10319">
        <v>0</v>
      </c>
      <c r="AG10319">
        <v>0</v>
      </c>
    </row>
    <row r="10320" spans="31:33">
      <c r="AE10320">
        <v>0</v>
      </c>
      <c r="AG10320">
        <v>0</v>
      </c>
    </row>
    <row r="10321" spans="31:33">
      <c r="AE10321">
        <v>0</v>
      </c>
      <c r="AG10321">
        <v>0</v>
      </c>
    </row>
    <row r="10322" spans="31:33">
      <c r="AE10322">
        <v>0</v>
      </c>
      <c r="AG10322">
        <v>0</v>
      </c>
    </row>
    <row r="10323" spans="31:33">
      <c r="AE10323">
        <v>0</v>
      </c>
      <c r="AG10323">
        <v>0</v>
      </c>
    </row>
    <row r="10324" spans="31:33">
      <c r="AE10324">
        <v>0</v>
      </c>
      <c r="AG10324">
        <v>0</v>
      </c>
    </row>
    <row r="10325" spans="31:33">
      <c r="AE10325">
        <v>0</v>
      </c>
      <c r="AG10325">
        <v>0</v>
      </c>
    </row>
    <row r="10326" spans="31:33">
      <c r="AE10326">
        <v>0</v>
      </c>
      <c r="AG10326">
        <v>0</v>
      </c>
    </row>
    <row r="10327" spans="31:33">
      <c r="AE10327">
        <v>0</v>
      </c>
      <c r="AG10327">
        <v>0</v>
      </c>
    </row>
    <row r="10328" spans="31:33">
      <c r="AE10328">
        <v>0</v>
      </c>
      <c r="AG10328">
        <v>0</v>
      </c>
    </row>
    <row r="10329" spans="31:33">
      <c r="AE10329">
        <v>0</v>
      </c>
      <c r="AG10329">
        <v>0</v>
      </c>
    </row>
    <row r="10330" spans="31:33">
      <c r="AE10330">
        <v>0</v>
      </c>
      <c r="AG10330">
        <v>0</v>
      </c>
    </row>
    <row r="10331" spans="31:33">
      <c r="AE10331">
        <v>0</v>
      </c>
      <c r="AG10331">
        <v>0</v>
      </c>
    </row>
    <row r="10332" spans="31:33">
      <c r="AE10332">
        <v>0</v>
      </c>
      <c r="AG10332">
        <v>0</v>
      </c>
    </row>
    <row r="10333" spans="31:33">
      <c r="AE10333">
        <v>0</v>
      </c>
      <c r="AG10333">
        <v>0</v>
      </c>
    </row>
    <row r="10334" spans="31:33">
      <c r="AE10334">
        <v>0</v>
      </c>
      <c r="AG10334">
        <v>0</v>
      </c>
    </row>
    <row r="10335" spans="31:33">
      <c r="AE10335">
        <v>0</v>
      </c>
      <c r="AG10335">
        <v>0</v>
      </c>
    </row>
    <row r="10336" spans="31:33">
      <c r="AE10336">
        <v>0</v>
      </c>
      <c r="AG10336">
        <v>0</v>
      </c>
    </row>
    <row r="10337" spans="31:33">
      <c r="AE10337">
        <v>0</v>
      </c>
      <c r="AG10337">
        <v>0</v>
      </c>
    </row>
    <row r="10338" spans="31:33">
      <c r="AE10338">
        <v>0</v>
      </c>
      <c r="AG10338">
        <v>0</v>
      </c>
    </row>
    <row r="10339" spans="31:33">
      <c r="AE10339">
        <v>0</v>
      </c>
      <c r="AG10339">
        <v>0</v>
      </c>
    </row>
    <row r="10340" spans="31:33">
      <c r="AE10340">
        <v>0</v>
      </c>
      <c r="AG10340">
        <v>0</v>
      </c>
    </row>
    <row r="10341" spans="31:33">
      <c r="AE10341">
        <v>0</v>
      </c>
      <c r="AG10341">
        <v>0</v>
      </c>
    </row>
    <row r="10342" spans="31:33">
      <c r="AE10342">
        <v>0</v>
      </c>
      <c r="AG10342">
        <v>0</v>
      </c>
    </row>
    <row r="10343" spans="31:33">
      <c r="AE10343">
        <v>0</v>
      </c>
      <c r="AG10343">
        <v>0</v>
      </c>
    </row>
    <row r="10344" spans="31:33">
      <c r="AE10344">
        <v>0</v>
      </c>
      <c r="AG10344">
        <v>0</v>
      </c>
    </row>
    <row r="10345" spans="31:33">
      <c r="AE10345">
        <v>0</v>
      </c>
      <c r="AG10345">
        <v>0</v>
      </c>
    </row>
    <row r="10346" spans="31:33">
      <c r="AE10346">
        <v>0</v>
      </c>
      <c r="AG10346">
        <v>0</v>
      </c>
    </row>
    <row r="10347" spans="31:33">
      <c r="AE10347">
        <v>0</v>
      </c>
      <c r="AG10347">
        <v>0</v>
      </c>
    </row>
    <row r="10348" spans="31:33">
      <c r="AE10348">
        <v>0</v>
      </c>
      <c r="AG10348">
        <v>0</v>
      </c>
    </row>
    <row r="10349" spans="31:33">
      <c r="AE10349">
        <v>0</v>
      </c>
      <c r="AG10349">
        <v>0</v>
      </c>
    </row>
    <row r="10350" spans="31:33">
      <c r="AE10350">
        <v>0</v>
      </c>
      <c r="AG10350">
        <v>0</v>
      </c>
    </row>
    <row r="10351" spans="31:33">
      <c r="AE10351">
        <v>0</v>
      </c>
      <c r="AG10351">
        <v>0</v>
      </c>
    </row>
    <row r="10352" spans="31:33">
      <c r="AE10352">
        <v>0</v>
      </c>
      <c r="AG10352">
        <v>0</v>
      </c>
    </row>
    <row r="10353" spans="31:33">
      <c r="AE10353">
        <v>0</v>
      </c>
      <c r="AG10353">
        <v>0</v>
      </c>
    </row>
    <row r="10354" spans="31:33">
      <c r="AE10354">
        <v>0</v>
      </c>
      <c r="AG10354">
        <v>0</v>
      </c>
    </row>
    <row r="10355" spans="31:33">
      <c r="AE10355">
        <v>0</v>
      </c>
      <c r="AG10355">
        <v>0</v>
      </c>
    </row>
    <row r="10356" spans="31:33">
      <c r="AE10356">
        <v>0</v>
      </c>
      <c r="AG10356">
        <v>0</v>
      </c>
    </row>
    <row r="10357" spans="31:33">
      <c r="AE10357">
        <v>0</v>
      </c>
      <c r="AG10357">
        <v>0</v>
      </c>
    </row>
    <row r="10358" spans="31:33">
      <c r="AE10358">
        <v>0</v>
      </c>
      <c r="AG10358">
        <v>0</v>
      </c>
    </row>
    <row r="10359" spans="31:33">
      <c r="AE10359">
        <v>0</v>
      </c>
      <c r="AG10359">
        <v>0</v>
      </c>
    </row>
    <row r="10360" spans="31:33">
      <c r="AE10360">
        <v>0</v>
      </c>
      <c r="AG10360">
        <v>0</v>
      </c>
    </row>
    <row r="10361" spans="31:33">
      <c r="AE10361">
        <v>0</v>
      </c>
      <c r="AG10361">
        <v>0</v>
      </c>
    </row>
    <row r="10362" spans="31:33">
      <c r="AE10362">
        <v>0</v>
      </c>
      <c r="AG10362">
        <v>0</v>
      </c>
    </row>
    <row r="10363" spans="31:33">
      <c r="AE10363">
        <v>0</v>
      </c>
      <c r="AG10363">
        <v>0</v>
      </c>
    </row>
    <row r="10364" spans="31:33">
      <c r="AE10364">
        <v>0</v>
      </c>
      <c r="AG10364">
        <v>0</v>
      </c>
    </row>
    <row r="10365" spans="31:33">
      <c r="AE10365">
        <v>0</v>
      </c>
      <c r="AG10365">
        <v>0</v>
      </c>
    </row>
    <row r="10366" spans="31:33">
      <c r="AE10366">
        <v>0</v>
      </c>
      <c r="AG10366">
        <v>0</v>
      </c>
    </row>
    <row r="10367" spans="31:33">
      <c r="AE10367">
        <v>0</v>
      </c>
      <c r="AG10367">
        <v>0</v>
      </c>
    </row>
    <row r="10368" spans="31:33">
      <c r="AE10368">
        <v>0</v>
      </c>
      <c r="AG10368">
        <v>0</v>
      </c>
    </row>
    <row r="10369" spans="31:33">
      <c r="AE10369">
        <v>0</v>
      </c>
      <c r="AG10369">
        <v>0</v>
      </c>
    </row>
    <row r="10370" spans="31:33">
      <c r="AE10370">
        <v>0</v>
      </c>
      <c r="AG10370">
        <v>0</v>
      </c>
    </row>
    <row r="10371" spans="31:33">
      <c r="AE10371">
        <v>0</v>
      </c>
      <c r="AG10371">
        <v>0</v>
      </c>
    </row>
    <row r="10372" spans="31:33">
      <c r="AE10372">
        <v>0</v>
      </c>
      <c r="AG10372">
        <v>0</v>
      </c>
    </row>
    <row r="10373" spans="31:33">
      <c r="AE10373">
        <v>0</v>
      </c>
      <c r="AG10373">
        <v>0</v>
      </c>
    </row>
    <row r="10374" spans="31:33">
      <c r="AE10374">
        <v>0</v>
      </c>
      <c r="AG10374">
        <v>0</v>
      </c>
    </row>
    <row r="10375" spans="31:33">
      <c r="AE10375">
        <v>0</v>
      </c>
      <c r="AG10375">
        <v>0</v>
      </c>
    </row>
    <row r="10376" spans="31:33">
      <c r="AE10376">
        <v>0</v>
      </c>
      <c r="AG10376">
        <v>0</v>
      </c>
    </row>
    <row r="10377" spans="31:33">
      <c r="AE10377">
        <v>0</v>
      </c>
      <c r="AG10377">
        <v>0</v>
      </c>
    </row>
    <row r="10378" spans="31:33">
      <c r="AE10378">
        <v>0</v>
      </c>
      <c r="AG10378">
        <v>0</v>
      </c>
    </row>
    <row r="10379" spans="31:33">
      <c r="AE10379">
        <v>0</v>
      </c>
      <c r="AG10379">
        <v>0</v>
      </c>
    </row>
    <row r="10380" spans="31:33">
      <c r="AE10380">
        <v>0</v>
      </c>
      <c r="AG10380">
        <v>0</v>
      </c>
    </row>
    <row r="10381" spans="31:33">
      <c r="AE10381">
        <v>0</v>
      </c>
      <c r="AG10381">
        <v>0</v>
      </c>
    </row>
    <row r="10382" spans="31:33">
      <c r="AE10382">
        <v>0</v>
      </c>
      <c r="AG10382">
        <v>0</v>
      </c>
    </row>
    <row r="10383" spans="31:33">
      <c r="AE10383">
        <v>0</v>
      </c>
      <c r="AG10383">
        <v>0</v>
      </c>
    </row>
    <row r="10384" spans="31:33">
      <c r="AE10384">
        <v>0</v>
      </c>
      <c r="AG10384">
        <v>0</v>
      </c>
    </row>
    <row r="10385" spans="31:33">
      <c r="AE10385">
        <v>0</v>
      </c>
      <c r="AG10385">
        <v>0</v>
      </c>
    </row>
    <row r="10386" spans="31:33">
      <c r="AE10386">
        <v>0</v>
      </c>
      <c r="AG10386">
        <v>0</v>
      </c>
    </row>
    <row r="10387" spans="31:33">
      <c r="AE10387">
        <v>0</v>
      </c>
      <c r="AG10387">
        <v>0</v>
      </c>
    </row>
    <row r="10388" spans="31:33">
      <c r="AE10388">
        <v>0</v>
      </c>
      <c r="AG10388">
        <v>0</v>
      </c>
    </row>
    <row r="10389" spans="31:33">
      <c r="AE10389">
        <v>0</v>
      </c>
      <c r="AG10389">
        <v>0</v>
      </c>
    </row>
    <row r="10390" spans="31:33">
      <c r="AE10390">
        <v>0</v>
      </c>
      <c r="AG10390">
        <v>0</v>
      </c>
    </row>
    <row r="10391" spans="31:33">
      <c r="AE10391">
        <v>0</v>
      </c>
      <c r="AG10391">
        <v>0</v>
      </c>
    </row>
    <row r="10392" spans="31:33">
      <c r="AE10392">
        <v>0</v>
      </c>
      <c r="AG10392">
        <v>0</v>
      </c>
    </row>
    <row r="10393" spans="31:33">
      <c r="AE10393">
        <v>0</v>
      </c>
      <c r="AG10393">
        <v>0</v>
      </c>
    </row>
    <row r="10394" spans="31:33">
      <c r="AE10394">
        <v>0</v>
      </c>
      <c r="AG10394">
        <v>0</v>
      </c>
    </row>
    <row r="10395" spans="31:33">
      <c r="AE10395">
        <v>0</v>
      </c>
      <c r="AG10395">
        <v>0</v>
      </c>
    </row>
    <row r="10396" spans="31:33">
      <c r="AE10396">
        <v>0</v>
      </c>
      <c r="AG10396">
        <v>0</v>
      </c>
    </row>
    <row r="10397" spans="31:33">
      <c r="AE10397">
        <v>0</v>
      </c>
      <c r="AG10397">
        <v>0</v>
      </c>
    </row>
    <row r="10398" spans="31:33">
      <c r="AE10398">
        <v>0</v>
      </c>
      <c r="AG10398">
        <v>0</v>
      </c>
    </row>
    <row r="10399" spans="31:33">
      <c r="AE10399">
        <v>0</v>
      </c>
      <c r="AG10399">
        <v>0</v>
      </c>
    </row>
    <row r="10400" spans="31:33">
      <c r="AE10400">
        <v>0</v>
      </c>
      <c r="AG10400">
        <v>0</v>
      </c>
    </row>
    <row r="10401" spans="31:33">
      <c r="AE10401" s="31">
        <v>-126762.77</v>
      </c>
      <c r="AG10401" s="31">
        <v>-88139.39</v>
      </c>
    </row>
    <row r="10402" spans="31:33">
      <c r="AE10402">
        <v>0</v>
      </c>
      <c r="AG10402">
        <v>0</v>
      </c>
    </row>
    <row r="10403" spans="31:33">
      <c r="AE10403">
        <v>0</v>
      </c>
      <c r="AG10403">
        <v>0</v>
      </c>
    </row>
    <row r="10404" spans="31:33">
      <c r="AE10404">
        <v>0</v>
      </c>
      <c r="AG10404">
        <v>0</v>
      </c>
    </row>
    <row r="10405" spans="31:33">
      <c r="AE10405">
        <v>0</v>
      </c>
      <c r="AG10405">
        <v>0</v>
      </c>
    </row>
    <row r="10406" spans="31:33">
      <c r="AE10406">
        <v>0</v>
      </c>
      <c r="AG10406">
        <v>0</v>
      </c>
    </row>
    <row r="10407" spans="31:33">
      <c r="AE10407">
        <v>0</v>
      </c>
      <c r="AG10407">
        <v>0</v>
      </c>
    </row>
    <row r="10408" spans="31:33">
      <c r="AE10408">
        <v>0</v>
      </c>
      <c r="AG10408">
        <v>0</v>
      </c>
    </row>
    <row r="10409" spans="31:33">
      <c r="AE10409">
        <v>0</v>
      </c>
      <c r="AG10409">
        <v>0</v>
      </c>
    </row>
    <row r="10410" spans="31:33">
      <c r="AE10410">
        <v>0</v>
      </c>
      <c r="AG10410">
        <v>0</v>
      </c>
    </row>
    <row r="10411" spans="31:33">
      <c r="AE10411">
        <v>0</v>
      </c>
      <c r="AG10411">
        <v>0</v>
      </c>
    </row>
    <row r="10412" spans="31:33">
      <c r="AE10412">
        <v>0</v>
      </c>
      <c r="AG10412">
        <v>0</v>
      </c>
    </row>
    <row r="10413" spans="31:33">
      <c r="AE10413">
        <v>0</v>
      </c>
      <c r="AG10413">
        <v>0</v>
      </c>
    </row>
    <row r="10414" spans="31:33">
      <c r="AE10414">
        <v>0</v>
      </c>
      <c r="AG10414">
        <v>0</v>
      </c>
    </row>
    <row r="10415" spans="31:33">
      <c r="AE10415">
        <v>0</v>
      </c>
      <c r="AG10415">
        <v>0</v>
      </c>
    </row>
    <row r="10416" spans="31:33">
      <c r="AE10416">
        <v>0</v>
      </c>
      <c r="AG10416">
        <v>0</v>
      </c>
    </row>
    <row r="10417" spans="31:33">
      <c r="AE10417">
        <v>0</v>
      </c>
      <c r="AG10417">
        <v>0</v>
      </c>
    </row>
    <row r="10418" spans="31:33">
      <c r="AE10418">
        <v>0</v>
      </c>
      <c r="AG10418">
        <v>0</v>
      </c>
    </row>
    <row r="10419" spans="31:33">
      <c r="AE10419">
        <v>0</v>
      </c>
      <c r="AG10419">
        <v>0</v>
      </c>
    </row>
    <row r="10420" spans="31:33">
      <c r="AE10420">
        <v>0</v>
      </c>
      <c r="AG10420">
        <v>0</v>
      </c>
    </row>
    <row r="10421" spans="31:33">
      <c r="AE10421">
        <v>0</v>
      </c>
      <c r="AG10421">
        <v>0</v>
      </c>
    </row>
    <row r="10422" spans="31:33">
      <c r="AE10422">
        <v>0</v>
      </c>
      <c r="AG10422">
        <v>0</v>
      </c>
    </row>
    <row r="10423" spans="31:33">
      <c r="AE10423">
        <v>0</v>
      </c>
      <c r="AG10423">
        <v>0</v>
      </c>
    </row>
    <row r="10424" spans="31:33">
      <c r="AE10424">
        <v>0</v>
      </c>
      <c r="AG10424">
        <v>0</v>
      </c>
    </row>
    <row r="10425" spans="31:33">
      <c r="AE10425" s="31">
        <v>745815</v>
      </c>
      <c r="AG10425" s="31">
        <v>745815</v>
      </c>
    </row>
    <row r="10426" spans="31:33">
      <c r="AE10426">
        <v>0</v>
      </c>
      <c r="AG10426">
        <v>0</v>
      </c>
    </row>
    <row r="10427" spans="31:33">
      <c r="AE10427">
        <v>0</v>
      </c>
      <c r="AG10427">
        <v>0</v>
      </c>
    </row>
    <row r="10428" spans="31:33">
      <c r="AE10428">
        <v>0</v>
      </c>
      <c r="AG10428">
        <v>0</v>
      </c>
    </row>
    <row r="10429" spans="31:33">
      <c r="AE10429">
        <v>0</v>
      </c>
      <c r="AG10429">
        <v>0</v>
      </c>
    </row>
    <row r="10430" spans="31:33">
      <c r="AE10430">
        <v>0</v>
      </c>
      <c r="AG10430">
        <v>0</v>
      </c>
    </row>
    <row r="10431" spans="31:33">
      <c r="AE10431">
        <v>0</v>
      </c>
      <c r="AG10431">
        <v>0</v>
      </c>
    </row>
    <row r="10432" spans="31:33">
      <c r="AE10432">
        <v>0</v>
      </c>
      <c r="AG10432">
        <v>0</v>
      </c>
    </row>
    <row r="10433" spans="31:33">
      <c r="AE10433">
        <v>0</v>
      </c>
      <c r="AG10433">
        <v>0</v>
      </c>
    </row>
    <row r="10434" spans="31:33">
      <c r="AE10434">
        <v>0</v>
      </c>
      <c r="AG10434">
        <v>0</v>
      </c>
    </row>
    <row r="10435" spans="31:33">
      <c r="AE10435">
        <v>0</v>
      </c>
      <c r="AG10435">
        <v>0</v>
      </c>
    </row>
    <row r="10436" spans="31:33">
      <c r="AE10436">
        <v>0</v>
      </c>
      <c r="AG10436">
        <v>0</v>
      </c>
    </row>
    <row r="10437" spans="31:33">
      <c r="AE10437">
        <v>0</v>
      </c>
      <c r="AG10437">
        <v>0</v>
      </c>
    </row>
    <row r="10438" spans="31:33">
      <c r="AE10438">
        <v>0</v>
      </c>
      <c r="AG10438">
        <v>0</v>
      </c>
    </row>
    <row r="10439" spans="31:33">
      <c r="AE10439">
        <v>0</v>
      </c>
      <c r="AG10439">
        <v>0</v>
      </c>
    </row>
    <row r="10440" spans="31:33">
      <c r="AE10440">
        <v>0</v>
      </c>
      <c r="AG10440">
        <v>0</v>
      </c>
    </row>
    <row r="10441" spans="31:33">
      <c r="AE10441">
        <v>0</v>
      </c>
      <c r="AG10441">
        <v>0</v>
      </c>
    </row>
    <row r="10442" spans="31:33">
      <c r="AE10442">
        <v>0</v>
      </c>
      <c r="AG10442">
        <v>0</v>
      </c>
    </row>
    <row r="10443" spans="31:33">
      <c r="AE10443">
        <v>0</v>
      </c>
      <c r="AG10443">
        <v>-357.2</v>
      </c>
    </row>
    <row r="10444" spans="31:33">
      <c r="AE10444">
        <v>0</v>
      </c>
      <c r="AG10444">
        <v>0</v>
      </c>
    </row>
    <row r="10445" spans="31:33">
      <c r="AE10445">
        <v>0</v>
      </c>
      <c r="AG10445">
        <v>0</v>
      </c>
    </row>
    <row r="10446" spans="31:33">
      <c r="AE10446">
        <v>0</v>
      </c>
      <c r="AG10446">
        <v>0</v>
      </c>
    </row>
    <row r="10447" spans="31:33">
      <c r="AE10447">
        <v>0</v>
      </c>
      <c r="AG10447">
        <v>0</v>
      </c>
    </row>
    <row r="10448" spans="31:33">
      <c r="AE10448">
        <v>0</v>
      </c>
      <c r="AG10448">
        <v>0</v>
      </c>
    </row>
    <row r="10449" spans="31:33">
      <c r="AE10449">
        <v>0</v>
      </c>
      <c r="AG10449">
        <v>0</v>
      </c>
    </row>
    <row r="10450" spans="31:33">
      <c r="AE10450">
        <v>0</v>
      </c>
      <c r="AG10450">
        <v>0</v>
      </c>
    </row>
    <row r="10451" spans="31:33">
      <c r="AE10451">
        <v>0</v>
      </c>
      <c r="AG10451">
        <v>0</v>
      </c>
    </row>
    <row r="10452" spans="31:33">
      <c r="AE10452">
        <v>0</v>
      </c>
      <c r="AG10452">
        <v>0</v>
      </c>
    </row>
    <row r="10453" spans="31:33">
      <c r="AE10453">
        <v>0</v>
      </c>
      <c r="AG10453">
        <v>0</v>
      </c>
    </row>
    <row r="10454" spans="31:33">
      <c r="AE10454">
        <v>0</v>
      </c>
      <c r="AG10454">
        <v>0</v>
      </c>
    </row>
    <row r="10455" spans="31:33">
      <c r="AE10455">
        <v>0</v>
      </c>
      <c r="AG10455">
        <v>0</v>
      </c>
    </row>
    <row r="10456" spans="31:33">
      <c r="AE10456">
        <v>0</v>
      </c>
      <c r="AG10456">
        <v>0</v>
      </c>
    </row>
    <row r="10457" spans="31:33">
      <c r="AE10457">
        <v>0</v>
      </c>
      <c r="AG10457">
        <v>0</v>
      </c>
    </row>
    <row r="10458" spans="31:33">
      <c r="AE10458">
        <v>0</v>
      </c>
      <c r="AG10458">
        <v>0</v>
      </c>
    </row>
    <row r="10459" spans="31:33">
      <c r="AE10459">
        <v>0</v>
      </c>
      <c r="AG10459">
        <v>0</v>
      </c>
    </row>
    <row r="10460" spans="31:33">
      <c r="AE10460">
        <v>0</v>
      </c>
      <c r="AG10460">
        <v>0</v>
      </c>
    </row>
    <row r="10461" spans="31:33">
      <c r="AE10461">
        <v>0</v>
      </c>
      <c r="AG10461">
        <v>0</v>
      </c>
    </row>
    <row r="10462" spans="31:33">
      <c r="AE10462">
        <v>0</v>
      </c>
      <c r="AG10462">
        <v>0</v>
      </c>
    </row>
    <row r="10463" spans="31:33">
      <c r="AE10463">
        <v>0</v>
      </c>
      <c r="AG10463">
        <v>0</v>
      </c>
    </row>
    <row r="10464" spans="31:33">
      <c r="AE10464">
        <v>0</v>
      </c>
      <c r="AG10464">
        <v>0</v>
      </c>
    </row>
    <row r="10465" spans="31:33">
      <c r="AE10465">
        <v>0</v>
      </c>
      <c r="AG10465">
        <v>0</v>
      </c>
    </row>
    <row r="10466" spans="31:33">
      <c r="AE10466">
        <v>0</v>
      </c>
      <c r="AG10466">
        <v>0</v>
      </c>
    </row>
    <row r="10467" spans="31:33">
      <c r="AE10467">
        <v>0</v>
      </c>
      <c r="AG10467">
        <v>0</v>
      </c>
    </row>
    <row r="10468" spans="31:33">
      <c r="AE10468">
        <v>0</v>
      </c>
      <c r="AG10468">
        <v>0</v>
      </c>
    </row>
    <row r="10469" spans="31:33">
      <c r="AE10469" s="31">
        <v>-584331.78</v>
      </c>
      <c r="AG10469" s="31">
        <v>-403021.98</v>
      </c>
    </row>
    <row r="10470" spans="31:33">
      <c r="AE10470">
        <v>0</v>
      </c>
      <c r="AG10470">
        <v>0</v>
      </c>
    </row>
    <row r="10471" spans="31:33">
      <c r="AE10471">
        <v>0</v>
      </c>
      <c r="AG10471">
        <v>0</v>
      </c>
    </row>
    <row r="10472" spans="31:33">
      <c r="AE10472">
        <v>0</v>
      </c>
      <c r="AG10472">
        <v>0</v>
      </c>
    </row>
    <row r="10473" spans="31:33">
      <c r="AE10473">
        <v>0</v>
      </c>
      <c r="AG10473">
        <v>0</v>
      </c>
    </row>
    <row r="10474" spans="31:33">
      <c r="AE10474">
        <v>0</v>
      </c>
      <c r="AG10474">
        <v>0</v>
      </c>
    </row>
    <row r="10475" spans="31:33">
      <c r="AE10475">
        <v>0</v>
      </c>
      <c r="AG10475">
        <v>0</v>
      </c>
    </row>
    <row r="10476" spans="31:33">
      <c r="AE10476">
        <v>0</v>
      </c>
      <c r="AG10476">
        <v>0</v>
      </c>
    </row>
    <row r="10477" spans="31:33">
      <c r="AE10477">
        <v>0</v>
      </c>
      <c r="AG10477">
        <v>0</v>
      </c>
    </row>
    <row r="10478" spans="31:33">
      <c r="AE10478">
        <v>0</v>
      </c>
      <c r="AG10478">
        <v>0</v>
      </c>
    </row>
    <row r="10479" spans="31:33">
      <c r="AE10479">
        <v>0</v>
      </c>
      <c r="AG10479">
        <v>0</v>
      </c>
    </row>
    <row r="10480" spans="31:33">
      <c r="AE10480">
        <v>0</v>
      </c>
      <c r="AG10480">
        <v>0</v>
      </c>
    </row>
    <row r="10481" spans="31:33">
      <c r="AE10481">
        <v>0</v>
      </c>
      <c r="AG10481">
        <v>0</v>
      </c>
    </row>
    <row r="10482" spans="31:33">
      <c r="AE10482">
        <v>0</v>
      </c>
      <c r="AG10482">
        <v>0</v>
      </c>
    </row>
    <row r="10483" spans="31:33">
      <c r="AE10483">
        <v>0</v>
      </c>
      <c r="AG10483">
        <v>0</v>
      </c>
    </row>
    <row r="10484" spans="31:33">
      <c r="AE10484">
        <v>0</v>
      </c>
      <c r="AG10484">
        <v>0</v>
      </c>
    </row>
    <row r="10485" spans="31:33">
      <c r="AE10485">
        <v>0</v>
      </c>
      <c r="AG10485">
        <v>0</v>
      </c>
    </row>
    <row r="10486" spans="31:33">
      <c r="AE10486">
        <v>0</v>
      </c>
      <c r="AG10486">
        <v>0</v>
      </c>
    </row>
    <row r="10487" spans="31:33">
      <c r="AE10487">
        <v>0</v>
      </c>
      <c r="AG10487">
        <v>0</v>
      </c>
    </row>
    <row r="10488" spans="31:33">
      <c r="AE10488">
        <v>0</v>
      </c>
      <c r="AG10488">
        <v>0</v>
      </c>
    </row>
    <row r="10489" spans="31:33">
      <c r="AE10489">
        <v>0</v>
      </c>
      <c r="AG10489">
        <v>0</v>
      </c>
    </row>
    <row r="10490" spans="31:33">
      <c r="AE10490">
        <v>0</v>
      </c>
      <c r="AG10490">
        <v>0</v>
      </c>
    </row>
    <row r="10491" spans="31:33">
      <c r="AE10491">
        <v>0</v>
      </c>
      <c r="AG10491">
        <v>0</v>
      </c>
    </row>
    <row r="10492" spans="31:33">
      <c r="AE10492">
        <v>0</v>
      </c>
      <c r="AG10492">
        <v>0</v>
      </c>
    </row>
    <row r="10493" spans="31:33">
      <c r="AE10493">
        <v>0</v>
      </c>
      <c r="AG10493">
        <v>0</v>
      </c>
    </row>
    <row r="10494" spans="31:33">
      <c r="AE10494">
        <v>0</v>
      </c>
      <c r="AG10494">
        <v>0</v>
      </c>
    </row>
    <row r="10495" spans="31:33">
      <c r="AE10495">
        <v>0</v>
      </c>
      <c r="AG10495">
        <v>0</v>
      </c>
    </row>
    <row r="10496" spans="31:33">
      <c r="AE10496">
        <v>0</v>
      </c>
      <c r="AG10496">
        <v>0</v>
      </c>
    </row>
    <row r="10497" spans="31:33">
      <c r="AE10497">
        <v>0</v>
      </c>
      <c r="AG10497">
        <v>0</v>
      </c>
    </row>
    <row r="10498" spans="31:33">
      <c r="AE10498">
        <v>0</v>
      </c>
      <c r="AG10498">
        <v>0</v>
      </c>
    </row>
    <row r="10499" spans="31:33">
      <c r="AE10499">
        <v>0</v>
      </c>
      <c r="AG10499">
        <v>0</v>
      </c>
    </row>
    <row r="10500" spans="31:33">
      <c r="AE10500">
        <v>0</v>
      </c>
      <c r="AG10500">
        <v>0</v>
      </c>
    </row>
    <row r="10501" spans="31:33">
      <c r="AE10501" s="31">
        <v>286517.84000000003</v>
      </c>
      <c r="AG10501" s="31">
        <v>292327.73</v>
      </c>
    </row>
    <row r="10502" spans="31:33">
      <c r="AE10502">
        <v>0</v>
      </c>
      <c r="AG10502">
        <v>0</v>
      </c>
    </row>
    <row r="10503" spans="31:33">
      <c r="AE10503">
        <v>0</v>
      </c>
      <c r="AG10503">
        <v>0</v>
      </c>
    </row>
    <row r="10504" spans="31:33">
      <c r="AE10504">
        <v>0</v>
      </c>
      <c r="AG10504">
        <v>0</v>
      </c>
    </row>
    <row r="10505" spans="31:33">
      <c r="AE10505">
        <v>0</v>
      </c>
      <c r="AG10505">
        <v>0</v>
      </c>
    </row>
    <row r="10506" spans="31:33">
      <c r="AE10506">
        <v>0</v>
      </c>
      <c r="AG10506">
        <v>0</v>
      </c>
    </row>
    <row r="10507" spans="31:33">
      <c r="AE10507">
        <v>0</v>
      </c>
      <c r="AG10507">
        <v>0</v>
      </c>
    </row>
    <row r="10508" spans="31:33">
      <c r="AE10508">
        <v>0</v>
      </c>
      <c r="AG10508">
        <v>0</v>
      </c>
    </row>
    <row r="10509" spans="31:33">
      <c r="AE10509">
        <v>0</v>
      </c>
      <c r="AG10509">
        <v>0</v>
      </c>
    </row>
    <row r="10510" spans="31:33">
      <c r="AE10510">
        <v>0</v>
      </c>
      <c r="AG10510">
        <v>0</v>
      </c>
    </row>
    <row r="10511" spans="31:33">
      <c r="AE10511">
        <v>0</v>
      </c>
      <c r="AG10511">
        <v>0</v>
      </c>
    </row>
    <row r="10512" spans="31:33">
      <c r="AE10512">
        <v>0</v>
      </c>
      <c r="AG10512">
        <v>0</v>
      </c>
    </row>
    <row r="10513" spans="31:33">
      <c r="AE10513" s="31">
        <v>-363747.11</v>
      </c>
      <c r="AG10513" s="31">
        <v>-2103581.35</v>
      </c>
    </row>
    <row r="10514" spans="31:33">
      <c r="AE10514">
        <v>0</v>
      </c>
      <c r="AG10514">
        <v>0</v>
      </c>
    </row>
    <row r="10515" spans="31:33">
      <c r="AE10515">
        <v>0</v>
      </c>
      <c r="AG10515">
        <v>0</v>
      </c>
    </row>
    <row r="10516" spans="31:33">
      <c r="AE10516">
        <v>0</v>
      </c>
      <c r="AG10516">
        <v>0</v>
      </c>
    </row>
    <row r="10517" spans="31:33">
      <c r="AE10517">
        <v>0</v>
      </c>
      <c r="AG10517">
        <v>0</v>
      </c>
    </row>
    <row r="10518" spans="31:33">
      <c r="AE10518">
        <v>0</v>
      </c>
      <c r="AG10518">
        <v>0</v>
      </c>
    </row>
    <row r="10519" spans="31:33">
      <c r="AE10519">
        <v>0</v>
      </c>
      <c r="AG10519">
        <v>0</v>
      </c>
    </row>
    <row r="10520" spans="31:33">
      <c r="AE10520">
        <v>0</v>
      </c>
      <c r="AG10520">
        <v>0</v>
      </c>
    </row>
    <row r="10521" spans="31:33">
      <c r="AE10521">
        <v>0</v>
      </c>
      <c r="AG10521">
        <v>0</v>
      </c>
    </row>
    <row r="10522" spans="31:33">
      <c r="AE10522">
        <v>0</v>
      </c>
      <c r="AG10522">
        <v>0</v>
      </c>
    </row>
    <row r="10523" spans="31:33">
      <c r="AE10523">
        <v>0</v>
      </c>
      <c r="AG10523">
        <v>0</v>
      </c>
    </row>
    <row r="10524" spans="31:33">
      <c r="AE10524">
        <v>0</v>
      </c>
      <c r="AG10524">
        <v>0</v>
      </c>
    </row>
    <row r="10525" spans="31:33">
      <c r="AE10525">
        <v>0</v>
      </c>
      <c r="AG10525">
        <v>0</v>
      </c>
    </row>
    <row r="10526" spans="31:33">
      <c r="AE10526">
        <v>0</v>
      </c>
      <c r="AG10526">
        <v>0</v>
      </c>
    </row>
    <row r="10527" spans="31:33">
      <c r="AE10527">
        <v>0</v>
      </c>
      <c r="AG10527">
        <v>0</v>
      </c>
    </row>
    <row r="10528" spans="31:33">
      <c r="AE10528">
        <v>0</v>
      </c>
      <c r="AG10528">
        <v>0</v>
      </c>
    </row>
    <row r="10529" spans="31:33">
      <c r="AE10529">
        <v>0</v>
      </c>
      <c r="AG10529">
        <v>0</v>
      </c>
    </row>
    <row r="10530" spans="31:33">
      <c r="AE10530">
        <v>0</v>
      </c>
      <c r="AG10530">
        <v>0</v>
      </c>
    </row>
    <row r="10531" spans="31:33">
      <c r="AE10531">
        <v>0</v>
      </c>
      <c r="AG10531">
        <v>0</v>
      </c>
    </row>
    <row r="10532" spans="31:33">
      <c r="AE10532" s="31">
        <v>41503.49</v>
      </c>
      <c r="AG10532" s="31">
        <v>-11772.51</v>
      </c>
    </row>
    <row r="10533" spans="31:33">
      <c r="AE10533">
        <v>0</v>
      </c>
      <c r="AG10533">
        <v>0</v>
      </c>
    </row>
    <row r="10534" spans="31:33">
      <c r="AE10534">
        <v>0</v>
      </c>
      <c r="AG10534">
        <v>0</v>
      </c>
    </row>
    <row r="10535" spans="31:33">
      <c r="AE10535">
        <v>0</v>
      </c>
      <c r="AG10535">
        <v>0</v>
      </c>
    </row>
    <row r="10536" spans="31:33">
      <c r="AE10536">
        <v>0</v>
      </c>
      <c r="AG10536">
        <v>0</v>
      </c>
    </row>
    <row r="10537" spans="31:33">
      <c r="AE10537">
        <v>0</v>
      </c>
      <c r="AG10537">
        <v>0</v>
      </c>
    </row>
    <row r="10538" spans="31:33">
      <c r="AE10538">
        <v>0</v>
      </c>
      <c r="AG10538">
        <v>0</v>
      </c>
    </row>
    <row r="10539" spans="31:33">
      <c r="AE10539">
        <v>0</v>
      </c>
      <c r="AG10539">
        <v>0</v>
      </c>
    </row>
    <row r="10540" spans="31:33">
      <c r="AE10540">
        <v>0</v>
      </c>
      <c r="AG10540">
        <v>0</v>
      </c>
    </row>
    <row r="10541" spans="31:33">
      <c r="AE10541">
        <v>0</v>
      </c>
      <c r="AG10541">
        <v>0</v>
      </c>
    </row>
    <row r="10542" spans="31:33">
      <c r="AE10542">
        <v>0</v>
      </c>
      <c r="AG10542">
        <v>0</v>
      </c>
    </row>
    <row r="10543" spans="31:33">
      <c r="AE10543">
        <v>0</v>
      </c>
      <c r="AG10543">
        <v>0</v>
      </c>
    </row>
    <row r="10544" spans="31:33">
      <c r="AE10544">
        <v>0</v>
      </c>
      <c r="AG10544">
        <v>0</v>
      </c>
    </row>
    <row r="10545" spans="31:33">
      <c r="AE10545">
        <v>0</v>
      </c>
      <c r="AG10545">
        <v>0</v>
      </c>
    </row>
    <row r="10546" spans="31:33">
      <c r="AE10546">
        <v>0</v>
      </c>
      <c r="AG10546">
        <v>0</v>
      </c>
    </row>
    <row r="10547" spans="31:33">
      <c r="AE10547">
        <v>0</v>
      </c>
      <c r="AG10547">
        <v>0</v>
      </c>
    </row>
    <row r="10548" spans="31:33">
      <c r="AE10548">
        <v>0</v>
      </c>
      <c r="AG10548">
        <v>0</v>
      </c>
    </row>
    <row r="10549" spans="31:33">
      <c r="AE10549">
        <v>0</v>
      </c>
      <c r="AG10549">
        <v>0</v>
      </c>
    </row>
    <row r="10550" spans="31:33">
      <c r="AE10550">
        <v>0</v>
      </c>
      <c r="AG10550">
        <v>0</v>
      </c>
    </row>
    <row r="10551" spans="31:33">
      <c r="AE10551">
        <v>0</v>
      </c>
      <c r="AG10551">
        <v>0</v>
      </c>
    </row>
    <row r="10552" spans="31:33">
      <c r="AE10552">
        <v>0</v>
      </c>
      <c r="AG10552">
        <v>0</v>
      </c>
    </row>
    <row r="10553" spans="31:33">
      <c r="AE10553">
        <v>0</v>
      </c>
      <c r="AG10553">
        <v>0</v>
      </c>
    </row>
    <row r="10554" spans="31:33">
      <c r="AE10554">
        <v>0</v>
      </c>
      <c r="AG10554">
        <v>0</v>
      </c>
    </row>
    <row r="10555" spans="31:33">
      <c r="AE10555">
        <v>0</v>
      </c>
      <c r="AG10555">
        <v>0</v>
      </c>
    </row>
    <row r="10556" spans="31:33">
      <c r="AE10556">
        <v>0</v>
      </c>
      <c r="AG10556">
        <v>0</v>
      </c>
    </row>
    <row r="10557" spans="31:33">
      <c r="AE10557">
        <v>0</v>
      </c>
      <c r="AG10557">
        <v>0</v>
      </c>
    </row>
    <row r="10558" spans="31:33">
      <c r="AE10558">
        <v>0</v>
      </c>
      <c r="AG10558">
        <v>0</v>
      </c>
    </row>
    <row r="10559" spans="31:33">
      <c r="AE10559">
        <v>0</v>
      </c>
      <c r="AG10559">
        <v>0</v>
      </c>
    </row>
    <row r="10560" spans="31:33">
      <c r="AE10560">
        <v>0</v>
      </c>
      <c r="AG10560">
        <v>0</v>
      </c>
    </row>
    <row r="10561" spans="31:33">
      <c r="AE10561">
        <v>0</v>
      </c>
      <c r="AG10561">
        <v>0</v>
      </c>
    </row>
    <row r="10562" spans="31:33">
      <c r="AE10562">
        <v>0</v>
      </c>
      <c r="AG10562">
        <v>0</v>
      </c>
    </row>
    <row r="10563" spans="31:33">
      <c r="AE10563">
        <v>0</v>
      </c>
      <c r="AG10563">
        <v>0</v>
      </c>
    </row>
    <row r="10564" spans="31:33">
      <c r="AE10564">
        <v>0</v>
      </c>
      <c r="AG10564">
        <v>0</v>
      </c>
    </row>
    <row r="10565" spans="31:33">
      <c r="AE10565">
        <v>0</v>
      </c>
      <c r="AG10565">
        <v>0</v>
      </c>
    </row>
    <row r="10566" spans="31:33">
      <c r="AE10566">
        <v>0</v>
      </c>
      <c r="AG10566">
        <v>0</v>
      </c>
    </row>
    <row r="10567" spans="31:33">
      <c r="AE10567">
        <v>0</v>
      </c>
      <c r="AG10567">
        <v>0</v>
      </c>
    </row>
    <row r="10568" spans="31:33">
      <c r="AE10568">
        <v>0</v>
      </c>
      <c r="AG10568">
        <v>0</v>
      </c>
    </row>
    <row r="10569" spans="31:33">
      <c r="AE10569">
        <v>0</v>
      </c>
      <c r="AG10569">
        <v>0</v>
      </c>
    </row>
    <row r="10570" spans="31:33">
      <c r="AE10570">
        <v>0</v>
      </c>
      <c r="AG10570">
        <v>0</v>
      </c>
    </row>
    <row r="10571" spans="31:33">
      <c r="AE10571">
        <v>0</v>
      </c>
      <c r="AG10571">
        <v>0</v>
      </c>
    </row>
    <row r="10572" spans="31:33">
      <c r="AE10572">
        <v>0</v>
      </c>
      <c r="AG10572">
        <v>0</v>
      </c>
    </row>
    <row r="10573" spans="31:33">
      <c r="AE10573">
        <v>0</v>
      </c>
      <c r="AG10573">
        <v>0</v>
      </c>
    </row>
    <row r="10574" spans="31:33">
      <c r="AE10574">
        <v>0</v>
      </c>
      <c r="AG10574">
        <v>0</v>
      </c>
    </row>
    <row r="10575" spans="31:33">
      <c r="AE10575">
        <v>0</v>
      </c>
      <c r="AG10575">
        <v>0</v>
      </c>
    </row>
    <row r="10576" spans="31:33">
      <c r="AE10576">
        <v>0</v>
      </c>
      <c r="AG10576">
        <v>0</v>
      </c>
    </row>
    <row r="10577" spans="31:33">
      <c r="AE10577">
        <v>0</v>
      </c>
      <c r="AG10577">
        <v>0</v>
      </c>
    </row>
    <row r="10578" spans="31:33">
      <c r="AE10578">
        <v>0</v>
      </c>
      <c r="AG10578">
        <v>0</v>
      </c>
    </row>
    <row r="10579" spans="31:33">
      <c r="AE10579">
        <v>0</v>
      </c>
      <c r="AG10579">
        <v>0</v>
      </c>
    </row>
    <row r="10580" spans="31:33">
      <c r="AE10580">
        <v>0</v>
      </c>
      <c r="AG10580">
        <v>0</v>
      </c>
    </row>
    <row r="10581" spans="31:33">
      <c r="AE10581">
        <v>0</v>
      </c>
      <c r="AG10581">
        <v>0</v>
      </c>
    </row>
    <row r="10582" spans="31:33">
      <c r="AE10582">
        <v>0</v>
      </c>
      <c r="AG10582">
        <v>0</v>
      </c>
    </row>
    <row r="10583" spans="31:33">
      <c r="AE10583" s="31">
        <v>373921.16</v>
      </c>
      <c r="AG10583" s="31">
        <v>47830.19</v>
      </c>
    </row>
    <row r="10584" spans="31:33">
      <c r="AE10584">
        <v>0</v>
      </c>
      <c r="AG10584">
        <v>0</v>
      </c>
    </row>
    <row r="10585" spans="31:33">
      <c r="AE10585">
        <v>0</v>
      </c>
      <c r="AG10585">
        <v>0</v>
      </c>
    </row>
    <row r="10586" spans="31:33">
      <c r="AE10586">
        <v>0</v>
      </c>
      <c r="AG10586">
        <v>0</v>
      </c>
    </row>
    <row r="10587" spans="31:33">
      <c r="AE10587">
        <v>0</v>
      </c>
      <c r="AG10587">
        <v>0</v>
      </c>
    </row>
    <row r="10588" spans="31:33">
      <c r="AE10588">
        <v>0</v>
      </c>
      <c r="AG10588">
        <v>0</v>
      </c>
    </row>
    <row r="10589" spans="31:33">
      <c r="AE10589">
        <v>0</v>
      </c>
      <c r="AG10589">
        <v>0</v>
      </c>
    </row>
    <row r="10590" spans="31:33">
      <c r="AE10590">
        <v>0</v>
      </c>
      <c r="AG10590">
        <v>0</v>
      </c>
    </row>
    <row r="10591" spans="31:33">
      <c r="AE10591">
        <v>0</v>
      </c>
      <c r="AG10591">
        <v>0</v>
      </c>
    </row>
    <row r="10592" spans="31:33">
      <c r="AE10592">
        <v>0</v>
      </c>
      <c r="AG10592">
        <v>0</v>
      </c>
    </row>
    <row r="10593" spans="31:33">
      <c r="AE10593" s="31">
        <v>201676.34</v>
      </c>
      <c r="AG10593" s="31">
        <v>780395.52000000002</v>
      </c>
    </row>
    <row r="10594" spans="31:33">
      <c r="AE10594">
        <v>0</v>
      </c>
      <c r="AG10594">
        <v>0</v>
      </c>
    </row>
    <row r="10595" spans="31:33">
      <c r="AE10595">
        <v>0</v>
      </c>
      <c r="AG10595">
        <v>0</v>
      </c>
    </row>
    <row r="10596" spans="31:33">
      <c r="AE10596">
        <v>0</v>
      </c>
      <c r="AG10596">
        <v>0</v>
      </c>
    </row>
    <row r="10597" spans="31:33">
      <c r="AE10597">
        <v>0</v>
      </c>
      <c r="AG10597">
        <v>0</v>
      </c>
    </row>
    <row r="10598" spans="31:33">
      <c r="AE10598">
        <v>0</v>
      </c>
      <c r="AG10598">
        <v>0</v>
      </c>
    </row>
    <row r="10599" spans="31:33">
      <c r="AE10599">
        <v>0</v>
      </c>
      <c r="AG10599">
        <v>0</v>
      </c>
    </row>
    <row r="10600" spans="31:33">
      <c r="AE10600">
        <v>0</v>
      </c>
      <c r="AG10600">
        <v>0</v>
      </c>
    </row>
    <row r="10601" spans="31:33">
      <c r="AE10601">
        <v>0</v>
      </c>
      <c r="AG10601">
        <v>0</v>
      </c>
    </row>
    <row r="10602" spans="31:33">
      <c r="AE10602">
        <v>0</v>
      </c>
      <c r="AG10602">
        <v>0</v>
      </c>
    </row>
    <row r="10603" spans="31:33">
      <c r="AE10603">
        <v>0</v>
      </c>
      <c r="AG10603">
        <v>0</v>
      </c>
    </row>
    <row r="10604" spans="31:33">
      <c r="AE10604" s="31">
        <v>1128848.3999999999</v>
      </c>
      <c r="AG10604">
        <v>0</v>
      </c>
    </row>
    <row r="10605" spans="31:33">
      <c r="AE10605">
        <v>0</v>
      </c>
      <c r="AG10605">
        <v>0</v>
      </c>
    </row>
    <row r="10606" spans="31:33">
      <c r="AE10606">
        <v>0</v>
      </c>
      <c r="AG10606">
        <v>0</v>
      </c>
    </row>
    <row r="10607" spans="31:33">
      <c r="AE10607">
        <v>0</v>
      </c>
      <c r="AG10607">
        <v>0</v>
      </c>
    </row>
    <row r="10608" spans="31:33">
      <c r="AE10608" s="31">
        <v>225457.72</v>
      </c>
      <c r="AG10608" s="31">
        <v>1070321</v>
      </c>
    </row>
    <row r="10609" spans="31:33">
      <c r="AE10609">
        <v>0</v>
      </c>
      <c r="AG10609">
        <v>0</v>
      </c>
    </row>
    <row r="10610" spans="31:33">
      <c r="AE10610">
        <v>0</v>
      </c>
      <c r="AG10610">
        <v>0</v>
      </c>
    </row>
    <row r="10611" spans="31:33">
      <c r="AE10611">
        <v>0</v>
      </c>
      <c r="AG10611">
        <v>0</v>
      </c>
    </row>
    <row r="10612" spans="31:33">
      <c r="AE10612" s="31">
        <v>-2067232.26</v>
      </c>
      <c r="AG10612" s="31">
        <v>-20040831.440000001</v>
      </c>
    </row>
    <row r="10613" spans="31:33">
      <c r="AE10613">
        <v>0</v>
      </c>
      <c r="AG10613">
        <v>0</v>
      </c>
    </row>
    <row r="10614" spans="31:33">
      <c r="AE10614">
        <v>0</v>
      </c>
      <c r="AG10614">
        <v>0</v>
      </c>
    </row>
    <row r="10615" spans="31:33">
      <c r="AE10615">
        <v>0</v>
      </c>
      <c r="AG10615">
        <v>0</v>
      </c>
    </row>
    <row r="10616" spans="31:33">
      <c r="AE10616">
        <v>0</v>
      </c>
      <c r="AG10616">
        <v>0</v>
      </c>
    </row>
    <row r="10617" spans="31:33">
      <c r="AE10617">
        <v>0</v>
      </c>
      <c r="AG10617">
        <v>0</v>
      </c>
    </row>
    <row r="10618" spans="31:33">
      <c r="AE10618">
        <v>0</v>
      </c>
      <c r="AG10618">
        <v>0</v>
      </c>
    </row>
    <row r="10619" spans="31:33">
      <c r="AE10619">
        <v>0</v>
      </c>
      <c r="AG10619">
        <v>0</v>
      </c>
    </row>
    <row r="10620" spans="31:33">
      <c r="AE10620">
        <v>0</v>
      </c>
      <c r="AG10620">
        <v>0</v>
      </c>
    </row>
    <row r="10621" spans="31:33">
      <c r="AE10621">
        <v>0</v>
      </c>
      <c r="AG10621">
        <v>0</v>
      </c>
    </row>
    <row r="10622" spans="31:33">
      <c r="AE10622">
        <v>0</v>
      </c>
      <c r="AG10622">
        <v>0</v>
      </c>
    </row>
    <row r="10623" spans="31:33">
      <c r="AE10623">
        <v>0</v>
      </c>
      <c r="AG10623">
        <v>0</v>
      </c>
    </row>
    <row r="10624" spans="31:33">
      <c r="AE10624" s="31">
        <v>2466.02</v>
      </c>
      <c r="AG10624" s="31">
        <v>-801857.07</v>
      </c>
    </row>
    <row r="10625" spans="31:33">
      <c r="AE10625">
        <v>0</v>
      </c>
      <c r="AG10625">
        <v>0</v>
      </c>
    </row>
    <row r="10626" spans="31:33">
      <c r="AE10626">
        <v>0</v>
      </c>
      <c r="AG10626">
        <v>0</v>
      </c>
    </row>
    <row r="10627" spans="31:33">
      <c r="AE10627">
        <v>0</v>
      </c>
      <c r="AG10627">
        <v>0</v>
      </c>
    </row>
    <row r="10628" spans="31:33">
      <c r="AE10628">
        <v>0</v>
      </c>
      <c r="AG10628">
        <v>0</v>
      </c>
    </row>
    <row r="10629" spans="31:33">
      <c r="AE10629">
        <v>0</v>
      </c>
      <c r="AG10629">
        <v>0</v>
      </c>
    </row>
    <row r="10630" spans="31:33">
      <c r="AE10630">
        <v>0</v>
      </c>
      <c r="AG10630">
        <v>0</v>
      </c>
    </row>
    <row r="10631" spans="31:33">
      <c r="AE10631">
        <v>0</v>
      </c>
      <c r="AG10631">
        <v>0</v>
      </c>
    </row>
    <row r="10632" spans="31:33">
      <c r="AE10632">
        <v>0</v>
      </c>
      <c r="AG10632">
        <v>0</v>
      </c>
    </row>
    <row r="10633" spans="31:33">
      <c r="AE10633">
        <v>0</v>
      </c>
      <c r="AG10633">
        <v>0</v>
      </c>
    </row>
    <row r="10634" spans="31:33">
      <c r="AE10634">
        <v>0</v>
      </c>
      <c r="AG10634">
        <v>0</v>
      </c>
    </row>
    <row r="10635" spans="31:33">
      <c r="AE10635">
        <v>0</v>
      </c>
      <c r="AG10635">
        <v>0</v>
      </c>
    </row>
    <row r="10636" spans="31:33">
      <c r="AE10636">
        <v>0</v>
      </c>
      <c r="AG10636">
        <v>0</v>
      </c>
    </row>
    <row r="10637" spans="31:33">
      <c r="AE10637">
        <v>0</v>
      </c>
      <c r="AG10637">
        <v>0</v>
      </c>
    </row>
    <row r="10638" spans="31:33">
      <c r="AE10638">
        <v>0</v>
      </c>
      <c r="AG10638">
        <v>0</v>
      </c>
    </row>
    <row r="10639" spans="31:33">
      <c r="AE10639">
        <v>0</v>
      </c>
      <c r="AG10639">
        <v>0</v>
      </c>
    </row>
    <row r="10640" spans="31:33">
      <c r="AE10640">
        <v>0</v>
      </c>
      <c r="AG10640">
        <v>0</v>
      </c>
    </row>
    <row r="10641" spans="31:33">
      <c r="AE10641">
        <v>0</v>
      </c>
      <c r="AG10641">
        <v>0</v>
      </c>
    </row>
    <row r="10642" spans="31:33">
      <c r="AE10642">
        <v>0</v>
      </c>
      <c r="AG10642">
        <v>0</v>
      </c>
    </row>
    <row r="10643" spans="31:33">
      <c r="AE10643">
        <v>0</v>
      </c>
      <c r="AG10643">
        <v>0</v>
      </c>
    </row>
    <row r="10644" spans="31:33">
      <c r="AE10644">
        <v>0</v>
      </c>
      <c r="AG10644">
        <v>0</v>
      </c>
    </row>
    <row r="10645" spans="31:33">
      <c r="AE10645">
        <v>0</v>
      </c>
      <c r="AG10645">
        <v>0</v>
      </c>
    </row>
    <row r="10646" spans="31:33">
      <c r="AE10646">
        <v>0</v>
      </c>
      <c r="AG10646">
        <v>0</v>
      </c>
    </row>
    <row r="10647" spans="31:33">
      <c r="AE10647">
        <v>0</v>
      </c>
      <c r="AG10647">
        <v>0</v>
      </c>
    </row>
    <row r="10648" spans="31:33">
      <c r="AE10648">
        <v>0</v>
      </c>
      <c r="AG10648">
        <v>0</v>
      </c>
    </row>
    <row r="10649" spans="31:33">
      <c r="AE10649">
        <v>0</v>
      </c>
      <c r="AG10649">
        <v>0</v>
      </c>
    </row>
    <row r="10650" spans="31:33">
      <c r="AE10650">
        <v>0</v>
      </c>
      <c r="AG10650">
        <v>0</v>
      </c>
    </row>
    <row r="10651" spans="31:33">
      <c r="AE10651">
        <v>0</v>
      </c>
      <c r="AG10651">
        <v>0</v>
      </c>
    </row>
    <row r="10652" spans="31:33">
      <c r="AE10652">
        <v>0</v>
      </c>
      <c r="AG10652">
        <v>0</v>
      </c>
    </row>
    <row r="10653" spans="31:33">
      <c r="AE10653">
        <v>0</v>
      </c>
      <c r="AG10653">
        <v>0</v>
      </c>
    </row>
    <row r="10654" spans="31:33">
      <c r="AE10654">
        <v>0</v>
      </c>
      <c r="AG10654">
        <v>0</v>
      </c>
    </row>
    <row r="10655" spans="31:33">
      <c r="AE10655">
        <v>0</v>
      </c>
      <c r="AG10655">
        <v>0</v>
      </c>
    </row>
    <row r="10656" spans="31:33">
      <c r="AE10656">
        <v>0</v>
      </c>
      <c r="AG10656">
        <v>0</v>
      </c>
    </row>
    <row r="10657" spans="31:33">
      <c r="AE10657">
        <v>0</v>
      </c>
      <c r="AG10657">
        <v>0</v>
      </c>
    </row>
    <row r="10658" spans="31:33">
      <c r="AE10658">
        <v>0</v>
      </c>
      <c r="AG10658">
        <v>0</v>
      </c>
    </row>
    <row r="10659" spans="31:33">
      <c r="AE10659">
        <v>0</v>
      </c>
      <c r="AG10659">
        <v>0</v>
      </c>
    </row>
    <row r="10660" spans="31:33">
      <c r="AE10660">
        <v>0</v>
      </c>
      <c r="AG10660">
        <v>0</v>
      </c>
    </row>
    <row r="10661" spans="31:33">
      <c r="AE10661">
        <v>0</v>
      </c>
      <c r="AG10661">
        <v>0</v>
      </c>
    </row>
    <row r="10662" spans="31:33">
      <c r="AE10662">
        <v>0</v>
      </c>
      <c r="AG10662">
        <v>0</v>
      </c>
    </row>
    <row r="10663" spans="31:33">
      <c r="AE10663">
        <v>0</v>
      </c>
      <c r="AG10663">
        <v>0</v>
      </c>
    </row>
    <row r="10664" spans="31:33">
      <c r="AE10664">
        <v>0</v>
      </c>
      <c r="AG10664">
        <v>0</v>
      </c>
    </row>
    <row r="10665" spans="31:33">
      <c r="AE10665">
        <v>0</v>
      </c>
      <c r="AG10665">
        <v>0</v>
      </c>
    </row>
    <row r="10666" spans="31:33">
      <c r="AE10666">
        <v>0</v>
      </c>
      <c r="AG10666">
        <v>0</v>
      </c>
    </row>
    <row r="10667" spans="31:33">
      <c r="AE10667">
        <v>0</v>
      </c>
      <c r="AG10667">
        <v>0</v>
      </c>
    </row>
    <row r="10668" spans="31:33">
      <c r="AE10668">
        <v>0</v>
      </c>
      <c r="AG10668">
        <v>0</v>
      </c>
    </row>
    <row r="10669" spans="31:33">
      <c r="AE10669">
        <v>0</v>
      </c>
      <c r="AG10669">
        <v>0</v>
      </c>
    </row>
    <row r="10670" spans="31:33">
      <c r="AE10670" s="31">
        <v>813940.18</v>
      </c>
      <c r="AG10670" s="31">
        <v>181869.19</v>
      </c>
    </row>
    <row r="10671" spans="31:33">
      <c r="AE10671">
        <v>0</v>
      </c>
      <c r="AG10671">
        <v>0</v>
      </c>
    </row>
    <row r="10672" spans="31:33">
      <c r="AE10672">
        <v>0</v>
      </c>
      <c r="AG10672">
        <v>0</v>
      </c>
    </row>
    <row r="10673" spans="31:33">
      <c r="AE10673">
        <v>0</v>
      </c>
      <c r="AG10673">
        <v>0</v>
      </c>
    </row>
    <row r="10674" spans="31:33">
      <c r="AE10674">
        <v>0</v>
      </c>
      <c r="AG10674">
        <v>0</v>
      </c>
    </row>
    <row r="10675" spans="31:33">
      <c r="AE10675">
        <v>0</v>
      </c>
      <c r="AG10675">
        <v>0</v>
      </c>
    </row>
    <row r="10676" spans="31:33">
      <c r="AE10676">
        <v>0</v>
      </c>
      <c r="AG10676">
        <v>0</v>
      </c>
    </row>
    <row r="10677" spans="31:33">
      <c r="AE10677">
        <v>0</v>
      </c>
      <c r="AG10677">
        <v>0</v>
      </c>
    </row>
    <row r="10678" spans="31:33">
      <c r="AE10678">
        <v>0</v>
      </c>
      <c r="AG10678">
        <v>0</v>
      </c>
    </row>
    <row r="10679" spans="31:33">
      <c r="AE10679">
        <v>0</v>
      </c>
      <c r="AG10679">
        <v>0</v>
      </c>
    </row>
    <row r="10680" spans="31:33">
      <c r="AE10680">
        <v>0</v>
      </c>
      <c r="AG10680">
        <v>0</v>
      </c>
    </row>
    <row r="10681" spans="31:33">
      <c r="AE10681">
        <v>0</v>
      </c>
      <c r="AG10681">
        <v>0</v>
      </c>
    </row>
    <row r="10682" spans="31:33">
      <c r="AE10682">
        <v>0</v>
      </c>
      <c r="AG10682">
        <v>0</v>
      </c>
    </row>
    <row r="10683" spans="31:33">
      <c r="AE10683">
        <v>0</v>
      </c>
      <c r="AG10683">
        <v>0</v>
      </c>
    </row>
    <row r="10684" spans="31:33">
      <c r="AE10684">
        <v>0</v>
      </c>
      <c r="AG10684">
        <v>0</v>
      </c>
    </row>
    <row r="10685" spans="31:33">
      <c r="AE10685">
        <v>0</v>
      </c>
      <c r="AG10685">
        <v>0</v>
      </c>
    </row>
    <row r="10686" spans="31:33">
      <c r="AE10686">
        <v>0</v>
      </c>
      <c r="AG10686">
        <v>0</v>
      </c>
    </row>
    <row r="10687" spans="31:33">
      <c r="AE10687">
        <v>0</v>
      </c>
      <c r="AG10687">
        <v>0</v>
      </c>
    </row>
    <row r="10688" spans="31:33">
      <c r="AE10688">
        <v>0</v>
      </c>
      <c r="AG10688">
        <v>0</v>
      </c>
    </row>
    <row r="10689" spans="31:33">
      <c r="AE10689">
        <v>0</v>
      </c>
      <c r="AG10689">
        <v>0</v>
      </c>
    </row>
    <row r="10690" spans="31:33">
      <c r="AE10690">
        <v>0</v>
      </c>
      <c r="AG10690">
        <v>0</v>
      </c>
    </row>
    <row r="10691" spans="31:33">
      <c r="AE10691">
        <v>0</v>
      </c>
      <c r="AG10691">
        <v>0</v>
      </c>
    </row>
    <row r="10692" spans="31:33">
      <c r="AE10692">
        <v>0</v>
      </c>
      <c r="AG10692">
        <v>0</v>
      </c>
    </row>
    <row r="10693" spans="31:33">
      <c r="AE10693">
        <v>0</v>
      </c>
      <c r="AG10693">
        <v>0</v>
      </c>
    </row>
    <row r="10694" spans="31:33">
      <c r="AE10694">
        <v>0</v>
      </c>
      <c r="AG10694">
        <v>0</v>
      </c>
    </row>
    <row r="10695" spans="31:33">
      <c r="AE10695">
        <v>0</v>
      </c>
      <c r="AG10695">
        <v>0</v>
      </c>
    </row>
    <row r="10696" spans="31:33">
      <c r="AE10696">
        <v>0</v>
      </c>
      <c r="AG10696">
        <v>0</v>
      </c>
    </row>
    <row r="10697" spans="31:33">
      <c r="AE10697">
        <v>0</v>
      </c>
      <c r="AG10697">
        <v>0</v>
      </c>
    </row>
    <row r="10698" spans="31:33">
      <c r="AE10698">
        <v>0</v>
      </c>
      <c r="AG10698">
        <v>0</v>
      </c>
    </row>
    <row r="10699" spans="31:33">
      <c r="AE10699">
        <v>0</v>
      </c>
      <c r="AG10699">
        <v>0</v>
      </c>
    </row>
    <row r="10700" spans="31:33">
      <c r="AE10700">
        <v>0</v>
      </c>
      <c r="AG10700">
        <v>0</v>
      </c>
    </row>
    <row r="10701" spans="31:33">
      <c r="AE10701">
        <v>0</v>
      </c>
      <c r="AG10701">
        <v>0</v>
      </c>
    </row>
    <row r="10702" spans="31:33">
      <c r="AE10702">
        <v>0</v>
      </c>
      <c r="AG10702">
        <v>0</v>
      </c>
    </row>
    <row r="10703" spans="31:33">
      <c r="AE10703">
        <v>0</v>
      </c>
      <c r="AG10703">
        <v>0</v>
      </c>
    </row>
    <row r="10704" spans="31:33">
      <c r="AE10704">
        <v>0</v>
      </c>
      <c r="AG10704">
        <v>0</v>
      </c>
    </row>
    <row r="10705" spans="31:33">
      <c r="AE10705">
        <v>0</v>
      </c>
      <c r="AG10705">
        <v>0</v>
      </c>
    </row>
    <row r="10706" spans="31:33">
      <c r="AE10706">
        <v>0</v>
      </c>
      <c r="AG10706">
        <v>0</v>
      </c>
    </row>
    <row r="10707" spans="31:33">
      <c r="AE10707">
        <v>0</v>
      </c>
      <c r="AG10707">
        <v>0</v>
      </c>
    </row>
    <row r="10708" spans="31:33">
      <c r="AE10708">
        <v>0</v>
      </c>
      <c r="AG10708">
        <v>0</v>
      </c>
    </row>
    <row r="10709" spans="31:33">
      <c r="AE10709">
        <v>0</v>
      </c>
      <c r="AG10709">
        <v>0</v>
      </c>
    </row>
    <row r="10710" spans="31:33">
      <c r="AE10710">
        <v>0</v>
      </c>
      <c r="AG10710">
        <v>0</v>
      </c>
    </row>
    <row r="10711" spans="31:33">
      <c r="AE10711">
        <v>0</v>
      </c>
      <c r="AG10711">
        <v>0</v>
      </c>
    </row>
    <row r="10712" spans="31:33">
      <c r="AE10712">
        <v>0</v>
      </c>
      <c r="AG10712">
        <v>0</v>
      </c>
    </row>
    <row r="10713" spans="31:33">
      <c r="AE10713">
        <v>0</v>
      </c>
      <c r="AG10713">
        <v>0</v>
      </c>
    </row>
    <row r="10714" spans="31:33">
      <c r="AE10714">
        <v>0</v>
      </c>
      <c r="AG10714">
        <v>0</v>
      </c>
    </row>
    <row r="10715" spans="31:33">
      <c r="AE10715">
        <v>0</v>
      </c>
      <c r="AG10715">
        <v>0</v>
      </c>
    </row>
    <row r="10716" spans="31:33">
      <c r="AE10716">
        <v>0</v>
      </c>
      <c r="AG10716">
        <v>0</v>
      </c>
    </row>
    <row r="10717" spans="31:33">
      <c r="AE10717">
        <v>0</v>
      </c>
      <c r="AG10717">
        <v>0</v>
      </c>
    </row>
    <row r="10718" spans="31:33">
      <c r="AE10718">
        <v>0</v>
      </c>
      <c r="AG10718">
        <v>0</v>
      </c>
    </row>
    <row r="10719" spans="31:33">
      <c r="AE10719">
        <v>0</v>
      </c>
      <c r="AG10719">
        <v>0</v>
      </c>
    </row>
    <row r="10720" spans="31:33">
      <c r="AE10720">
        <v>0</v>
      </c>
      <c r="AG10720">
        <v>0</v>
      </c>
    </row>
    <row r="10721" spans="31:33">
      <c r="AE10721">
        <v>0</v>
      </c>
      <c r="AG10721">
        <v>0</v>
      </c>
    </row>
    <row r="10722" spans="31:33">
      <c r="AE10722">
        <v>0</v>
      </c>
      <c r="AG10722">
        <v>0</v>
      </c>
    </row>
    <row r="10723" spans="31:33">
      <c r="AE10723">
        <v>0</v>
      </c>
      <c r="AG10723">
        <v>0</v>
      </c>
    </row>
    <row r="10724" spans="31:33">
      <c r="AE10724">
        <v>0</v>
      </c>
      <c r="AG10724">
        <v>0</v>
      </c>
    </row>
    <row r="10725" spans="31:33">
      <c r="AE10725">
        <v>0</v>
      </c>
      <c r="AG10725">
        <v>0</v>
      </c>
    </row>
    <row r="10726" spans="31:33">
      <c r="AE10726">
        <v>0</v>
      </c>
      <c r="AG10726">
        <v>0</v>
      </c>
    </row>
    <row r="10727" spans="31:33">
      <c r="AE10727">
        <v>0</v>
      </c>
      <c r="AG10727">
        <v>0</v>
      </c>
    </row>
    <row r="10728" spans="31:33">
      <c r="AE10728">
        <v>0</v>
      </c>
      <c r="AG10728">
        <v>0</v>
      </c>
    </row>
    <row r="10729" spans="31:33">
      <c r="AE10729">
        <v>0</v>
      </c>
      <c r="AG10729">
        <v>0</v>
      </c>
    </row>
    <row r="10730" spans="31:33">
      <c r="AE10730">
        <v>0</v>
      </c>
      <c r="AG10730">
        <v>0</v>
      </c>
    </row>
    <row r="10731" spans="31:33">
      <c r="AE10731">
        <v>0</v>
      </c>
      <c r="AG10731">
        <v>0</v>
      </c>
    </row>
    <row r="10732" spans="31:33">
      <c r="AE10732">
        <v>-758.94</v>
      </c>
      <c r="AG10732" s="31">
        <v>-26660.959999999999</v>
      </c>
    </row>
    <row r="10733" spans="31:33">
      <c r="AE10733">
        <v>0</v>
      </c>
      <c r="AG10733">
        <v>0</v>
      </c>
    </row>
    <row r="10734" spans="31:33">
      <c r="AE10734">
        <v>0</v>
      </c>
      <c r="AG10734">
        <v>0</v>
      </c>
    </row>
    <row r="10735" spans="31:33">
      <c r="AE10735">
        <v>0</v>
      </c>
      <c r="AG10735">
        <v>0</v>
      </c>
    </row>
    <row r="10736" spans="31:33">
      <c r="AE10736">
        <v>0</v>
      </c>
      <c r="AG10736">
        <v>0</v>
      </c>
    </row>
    <row r="10737" spans="31:33">
      <c r="AE10737">
        <v>0</v>
      </c>
      <c r="AG10737">
        <v>0</v>
      </c>
    </row>
    <row r="10738" spans="31:33">
      <c r="AE10738">
        <v>0</v>
      </c>
      <c r="AG10738">
        <v>0</v>
      </c>
    </row>
    <row r="10739" spans="31:33">
      <c r="AE10739">
        <v>0</v>
      </c>
      <c r="AG10739">
        <v>0</v>
      </c>
    </row>
    <row r="10740" spans="31:33">
      <c r="AE10740">
        <v>0</v>
      </c>
      <c r="AG10740">
        <v>0</v>
      </c>
    </row>
    <row r="10741" spans="31:33">
      <c r="AE10741">
        <v>0</v>
      </c>
      <c r="AG10741">
        <v>0</v>
      </c>
    </row>
    <row r="10742" spans="31:33">
      <c r="AE10742">
        <v>0</v>
      </c>
      <c r="AG10742">
        <v>0</v>
      </c>
    </row>
    <row r="10743" spans="31:33">
      <c r="AE10743">
        <v>0</v>
      </c>
      <c r="AG10743">
        <v>0</v>
      </c>
    </row>
    <row r="10744" spans="31:33">
      <c r="AE10744">
        <v>0</v>
      </c>
      <c r="AG10744">
        <v>0</v>
      </c>
    </row>
    <row r="10745" spans="31:33">
      <c r="AE10745">
        <v>0</v>
      </c>
      <c r="AG10745">
        <v>0</v>
      </c>
    </row>
    <row r="10746" spans="31:33">
      <c r="AE10746">
        <v>0</v>
      </c>
      <c r="AG10746">
        <v>0</v>
      </c>
    </row>
    <row r="10747" spans="31:33">
      <c r="AE10747">
        <v>0</v>
      </c>
      <c r="AG10747">
        <v>0</v>
      </c>
    </row>
    <row r="10748" spans="31:33">
      <c r="AE10748">
        <v>0</v>
      </c>
      <c r="AG10748">
        <v>0</v>
      </c>
    </row>
    <row r="10749" spans="31:33">
      <c r="AE10749">
        <v>0</v>
      </c>
      <c r="AG10749">
        <v>0</v>
      </c>
    </row>
    <row r="10750" spans="31:33">
      <c r="AE10750">
        <v>0</v>
      </c>
      <c r="AG10750">
        <v>0</v>
      </c>
    </row>
    <row r="10751" spans="31:33">
      <c r="AE10751">
        <v>0</v>
      </c>
      <c r="AG10751">
        <v>0</v>
      </c>
    </row>
    <row r="10752" spans="31:33">
      <c r="AE10752">
        <v>0</v>
      </c>
      <c r="AG10752">
        <v>0</v>
      </c>
    </row>
    <row r="10753" spans="31:33">
      <c r="AE10753">
        <v>0</v>
      </c>
      <c r="AG10753">
        <v>0</v>
      </c>
    </row>
    <row r="10754" spans="31:33">
      <c r="AE10754">
        <v>0</v>
      </c>
      <c r="AG10754">
        <v>0</v>
      </c>
    </row>
    <row r="10755" spans="31:33">
      <c r="AE10755">
        <v>0</v>
      </c>
      <c r="AG10755">
        <v>0</v>
      </c>
    </row>
    <row r="10756" spans="31:33">
      <c r="AE10756">
        <v>0</v>
      </c>
      <c r="AG10756">
        <v>0</v>
      </c>
    </row>
    <row r="10757" spans="31:33">
      <c r="AE10757">
        <v>0</v>
      </c>
      <c r="AG10757">
        <v>0</v>
      </c>
    </row>
    <row r="10758" spans="31:33">
      <c r="AE10758">
        <v>0</v>
      </c>
      <c r="AG10758">
        <v>0</v>
      </c>
    </row>
    <row r="10759" spans="31:33">
      <c r="AE10759">
        <v>0</v>
      </c>
      <c r="AG10759">
        <v>0</v>
      </c>
    </row>
    <row r="10760" spans="31:33">
      <c r="AE10760">
        <v>0</v>
      </c>
      <c r="AG10760">
        <v>0</v>
      </c>
    </row>
    <row r="10761" spans="31:33">
      <c r="AE10761">
        <v>0</v>
      </c>
      <c r="AG10761">
        <v>0</v>
      </c>
    </row>
    <row r="10762" spans="31:33">
      <c r="AE10762">
        <v>0</v>
      </c>
      <c r="AG10762">
        <v>0</v>
      </c>
    </row>
    <row r="10763" spans="31:33">
      <c r="AE10763">
        <v>0</v>
      </c>
      <c r="AG10763">
        <v>0</v>
      </c>
    </row>
    <row r="10764" spans="31:33">
      <c r="AE10764">
        <v>0</v>
      </c>
      <c r="AG10764">
        <v>0</v>
      </c>
    </row>
    <row r="10765" spans="31:33">
      <c r="AE10765">
        <v>0</v>
      </c>
      <c r="AG10765">
        <v>0</v>
      </c>
    </row>
    <row r="10766" spans="31:33">
      <c r="AE10766">
        <v>0</v>
      </c>
      <c r="AG10766">
        <v>0</v>
      </c>
    </row>
    <row r="10767" spans="31:33">
      <c r="AE10767">
        <v>0</v>
      </c>
      <c r="AG10767">
        <v>0</v>
      </c>
    </row>
    <row r="10768" spans="31:33">
      <c r="AE10768">
        <v>0</v>
      </c>
      <c r="AG10768">
        <v>0</v>
      </c>
    </row>
    <row r="10769" spans="31:33">
      <c r="AE10769">
        <v>0</v>
      </c>
      <c r="AG10769">
        <v>0</v>
      </c>
    </row>
    <row r="10770" spans="31:33">
      <c r="AE10770" s="31">
        <v>-12011195.84</v>
      </c>
      <c r="AG10770" s="31">
        <v>-23762780.719999999</v>
      </c>
    </row>
    <row r="10771" spans="31:33">
      <c r="AE10771">
        <v>0</v>
      </c>
      <c r="AG10771">
        <v>0</v>
      </c>
    </row>
    <row r="10772" spans="31:33">
      <c r="AE10772">
        <v>0</v>
      </c>
      <c r="AG10772">
        <v>0</v>
      </c>
    </row>
    <row r="10773" spans="31:33">
      <c r="AE10773">
        <v>0</v>
      </c>
      <c r="AG10773">
        <v>0</v>
      </c>
    </row>
    <row r="10774" spans="31:33">
      <c r="AE10774">
        <v>0</v>
      </c>
      <c r="AG10774">
        <v>0</v>
      </c>
    </row>
    <row r="10775" spans="31:33">
      <c r="AE10775">
        <v>0</v>
      </c>
      <c r="AG10775">
        <v>0</v>
      </c>
    </row>
    <row r="10776" spans="31:33">
      <c r="AE10776">
        <v>0</v>
      </c>
      <c r="AG10776">
        <v>0</v>
      </c>
    </row>
    <row r="10777" spans="31:33">
      <c r="AE10777">
        <v>0</v>
      </c>
      <c r="AG10777">
        <v>0</v>
      </c>
    </row>
    <row r="10778" spans="31:33">
      <c r="AE10778" s="31">
        <v>9251711.8000000007</v>
      </c>
      <c r="AG10778" s="31">
        <v>14244873.560000001</v>
      </c>
    </row>
    <row r="10779" spans="31:33">
      <c r="AE10779">
        <v>0</v>
      </c>
      <c r="AG10779">
        <v>0</v>
      </c>
    </row>
    <row r="10780" spans="31:33">
      <c r="AE10780">
        <v>0</v>
      </c>
      <c r="AG10780">
        <v>0</v>
      </c>
    </row>
    <row r="10781" spans="31:33">
      <c r="AE10781">
        <v>0</v>
      </c>
      <c r="AG10781">
        <v>0</v>
      </c>
    </row>
    <row r="10782" spans="31:33">
      <c r="AE10782">
        <v>0</v>
      </c>
      <c r="AG10782">
        <v>0</v>
      </c>
    </row>
    <row r="10783" spans="31:33">
      <c r="AE10783">
        <v>0</v>
      </c>
      <c r="AG10783">
        <v>0</v>
      </c>
    </row>
    <row r="10784" spans="31:33">
      <c r="AE10784">
        <v>0</v>
      </c>
      <c r="AG10784">
        <v>0</v>
      </c>
    </row>
    <row r="10785" spans="31:33">
      <c r="AE10785">
        <v>0</v>
      </c>
      <c r="AG10785">
        <v>0</v>
      </c>
    </row>
    <row r="10786" spans="31:33">
      <c r="AE10786">
        <v>0</v>
      </c>
      <c r="AG10786">
        <v>0</v>
      </c>
    </row>
    <row r="10787" spans="31:33">
      <c r="AE10787">
        <v>0</v>
      </c>
      <c r="AG10787">
        <v>0</v>
      </c>
    </row>
    <row r="10788" spans="31:33">
      <c r="AE10788">
        <v>0</v>
      </c>
      <c r="AG10788">
        <v>0</v>
      </c>
    </row>
    <row r="10789" spans="31:33">
      <c r="AE10789">
        <v>0</v>
      </c>
      <c r="AG10789">
        <v>0</v>
      </c>
    </row>
    <row r="10790" spans="31:33">
      <c r="AE10790" s="31">
        <v>-2155999.39</v>
      </c>
      <c r="AG10790" s="31">
        <v>-2713328.72</v>
      </c>
    </row>
    <row r="10791" spans="31:33">
      <c r="AE10791">
        <v>0</v>
      </c>
      <c r="AG10791">
        <v>0</v>
      </c>
    </row>
    <row r="10792" spans="31:33">
      <c r="AE10792">
        <v>0</v>
      </c>
      <c r="AG10792">
        <v>0</v>
      </c>
    </row>
    <row r="10793" spans="31:33">
      <c r="AE10793">
        <v>0</v>
      </c>
      <c r="AG10793">
        <v>0</v>
      </c>
    </row>
    <row r="10794" spans="31:33">
      <c r="AE10794" s="31">
        <v>3083324.5</v>
      </c>
      <c r="AG10794" s="31">
        <v>5077794.9000000004</v>
      </c>
    </row>
    <row r="10795" spans="31:33">
      <c r="AE10795">
        <v>0</v>
      </c>
      <c r="AG10795">
        <v>0</v>
      </c>
    </row>
    <row r="10796" spans="31:33">
      <c r="AE10796" s="31">
        <v>-14857226.140000001</v>
      </c>
      <c r="AG10796" s="31">
        <v>-2394123.9900000002</v>
      </c>
    </row>
    <row r="10797" spans="31:33">
      <c r="AE10797">
        <v>0</v>
      </c>
      <c r="AG10797">
        <v>0</v>
      </c>
    </row>
    <row r="10798" spans="31:33">
      <c r="AE10798">
        <v>0</v>
      </c>
      <c r="AG10798">
        <v>0</v>
      </c>
    </row>
    <row r="10799" spans="31:33">
      <c r="AE10799">
        <v>0</v>
      </c>
      <c r="AG10799">
        <v>0</v>
      </c>
    </row>
    <row r="10800" spans="31:33">
      <c r="AE10800">
        <v>0</v>
      </c>
      <c r="AG10800">
        <v>0</v>
      </c>
    </row>
    <row r="10801" spans="31:33">
      <c r="AE10801">
        <v>0</v>
      </c>
      <c r="AG10801">
        <v>0</v>
      </c>
    </row>
    <row r="10802" spans="31:33">
      <c r="AE10802" s="31">
        <v>-19026465.210000001</v>
      </c>
      <c r="AG10802" s="31">
        <v>-15184537.939999999</v>
      </c>
    </row>
    <row r="10803" spans="31:33">
      <c r="AE10803">
        <v>0</v>
      </c>
      <c r="AG10803">
        <v>0</v>
      </c>
    </row>
    <row r="10804" spans="31:33">
      <c r="AE10804">
        <v>0</v>
      </c>
      <c r="AG10804">
        <v>0</v>
      </c>
    </row>
    <row r="10805" spans="31:33">
      <c r="AE10805">
        <v>0</v>
      </c>
      <c r="AG10805">
        <v>0</v>
      </c>
    </row>
    <row r="10806" spans="31:33">
      <c r="AE10806">
        <v>0</v>
      </c>
      <c r="AG10806">
        <v>0</v>
      </c>
    </row>
    <row r="10807" spans="31:33">
      <c r="AE10807">
        <v>0</v>
      </c>
      <c r="AG10807">
        <v>0</v>
      </c>
    </row>
    <row r="10808" spans="31:33">
      <c r="AE10808">
        <v>0</v>
      </c>
      <c r="AG10808">
        <v>0</v>
      </c>
    </row>
    <row r="10809" spans="31:33">
      <c r="AE10809">
        <v>0</v>
      </c>
      <c r="AG10809">
        <v>0</v>
      </c>
    </row>
    <row r="10810" spans="31:33">
      <c r="AE10810">
        <v>0</v>
      </c>
      <c r="AG10810">
        <v>0</v>
      </c>
    </row>
    <row r="10811" spans="31:33">
      <c r="AE10811">
        <v>0</v>
      </c>
      <c r="AG10811">
        <v>0</v>
      </c>
    </row>
    <row r="10812" spans="31:33">
      <c r="AE10812">
        <v>0</v>
      </c>
      <c r="AG10812">
        <v>0</v>
      </c>
    </row>
    <row r="10813" spans="31:33">
      <c r="AE10813">
        <v>0</v>
      </c>
      <c r="AG10813">
        <v>0</v>
      </c>
    </row>
    <row r="10814" spans="31:33">
      <c r="AE10814">
        <v>0</v>
      </c>
      <c r="AG10814">
        <v>0</v>
      </c>
    </row>
    <row r="10815" spans="31:33">
      <c r="AE10815">
        <v>0</v>
      </c>
      <c r="AG10815">
        <v>0</v>
      </c>
    </row>
    <row r="10816" spans="31:33">
      <c r="AE10816">
        <v>0</v>
      </c>
      <c r="AG10816">
        <v>0</v>
      </c>
    </row>
    <row r="10817" spans="31:33">
      <c r="AE10817">
        <v>0</v>
      </c>
      <c r="AG10817">
        <v>0</v>
      </c>
    </row>
    <row r="10818" spans="31:33">
      <c r="AE10818">
        <v>0</v>
      </c>
      <c r="AG10818">
        <v>0</v>
      </c>
    </row>
    <row r="10819" spans="31:33">
      <c r="AE10819">
        <v>0</v>
      </c>
      <c r="AG10819">
        <v>0</v>
      </c>
    </row>
    <row r="10820" spans="31:33">
      <c r="AE10820">
        <v>0</v>
      </c>
      <c r="AG10820">
        <v>0</v>
      </c>
    </row>
    <row r="10821" spans="31:33">
      <c r="AE10821">
        <v>0</v>
      </c>
      <c r="AG10821">
        <v>0</v>
      </c>
    </row>
    <row r="10822" spans="31:33">
      <c r="AE10822">
        <v>0</v>
      </c>
      <c r="AG10822">
        <v>0</v>
      </c>
    </row>
    <row r="10823" spans="31:33">
      <c r="AE10823">
        <v>0</v>
      </c>
      <c r="AG10823">
        <v>0</v>
      </c>
    </row>
    <row r="10824" spans="31:33">
      <c r="AE10824">
        <v>0</v>
      </c>
      <c r="AG10824">
        <v>0</v>
      </c>
    </row>
    <row r="10825" spans="31:33">
      <c r="AE10825">
        <v>0</v>
      </c>
      <c r="AG10825">
        <v>0</v>
      </c>
    </row>
    <row r="10826" spans="31:33">
      <c r="AE10826">
        <v>0</v>
      </c>
      <c r="AG10826">
        <v>0</v>
      </c>
    </row>
    <row r="10827" spans="31:33">
      <c r="AE10827">
        <v>0</v>
      </c>
      <c r="AG10827">
        <v>0</v>
      </c>
    </row>
    <row r="10828" spans="31:33">
      <c r="AE10828">
        <v>0</v>
      </c>
      <c r="AG10828">
        <v>0</v>
      </c>
    </row>
    <row r="10829" spans="31:33">
      <c r="AE10829">
        <v>0</v>
      </c>
      <c r="AG10829">
        <v>0</v>
      </c>
    </row>
    <row r="10830" spans="31:33">
      <c r="AE10830">
        <v>0</v>
      </c>
      <c r="AG10830">
        <v>0</v>
      </c>
    </row>
    <row r="10831" spans="31:33">
      <c r="AE10831">
        <v>0</v>
      </c>
      <c r="AG10831">
        <v>0</v>
      </c>
    </row>
    <row r="10832" spans="31:33">
      <c r="AE10832">
        <v>0</v>
      </c>
      <c r="AG10832">
        <v>0</v>
      </c>
    </row>
    <row r="10833" spans="31:33">
      <c r="AE10833">
        <v>0</v>
      </c>
      <c r="AG10833">
        <v>0</v>
      </c>
    </row>
    <row r="10834" spans="31:33">
      <c r="AE10834">
        <v>0</v>
      </c>
      <c r="AG10834">
        <v>0</v>
      </c>
    </row>
    <row r="10835" spans="31:33">
      <c r="AE10835">
        <v>0</v>
      </c>
      <c r="AG10835">
        <v>0</v>
      </c>
    </row>
    <row r="10836" spans="31:33">
      <c r="AE10836">
        <v>0</v>
      </c>
      <c r="AG10836">
        <v>0</v>
      </c>
    </row>
    <row r="10837" spans="31:33">
      <c r="AE10837">
        <v>0</v>
      </c>
      <c r="AG10837">
        <v>0</v>
      </c>
    </row>
    <row r="10838" spans="31:33">
      <c r="AE10838">
        <v>0</v>
      </c>
      <c r="AG10838">
        <v>0</v>
      </c>
    </row>
    <row r="10839" spans="31:33">
      <c r="AE10839">
        <v>0</v>
      </c>
      <c r="AG10839">
        <v>0</v>
      </c>
    </row>
    <row r="10840" spans="31:33">
      <c r="AE10840">
        <v>0</v>
      </c>
      <c r="AG10840">
        <v>0</v>
      </c>
    </row>
    <row r="10841" spans="31:33">
      <c r="AE10841">
        <v>0</v>
      </c>
      <c r="AG10841">
        <v>0</v>
      </c>
    </row>
    <row r="10842" spans="31:33">
      <c r="AE10842">
        <v>0</v>
      </c>
      <c r="AG10842">
        <v>0</v>
      </c>
    </row>
    <row r="10843" spans="31:33">
      <c r="AE10843">
        <v>0</v>
      </c>
      <c r="AG10843">
        <v>0</v>
      </c>
    </row>
    <row r="10844" spans="31:33">
      <c r="AE10844">
        <v>0</v>
      </c>
      <c r="AG10844">
        <v>0</v>
      </c>
    </row>
    <row r="10845" spans="31:33">
      <c r="AE10845">
        <v>0</v>
      </c>
      <c r="AG10845">
        <v>0</v>
      </c>
    </row>
    <row r="10846" spans="31:33">
      <c r="AE10846">
        <v>0</v>
      </c>
      <c r="AG10846">
        <v>0</v>
      </c>
    </row>
    <row r="10847" spans="31:33">
      <c r="AE10847">
        <v>0</v>
      </c>
      <c r="AG10847">
        <v>0</v>
      </c>
    </row>
    <row r="10848" spans="31:33">
      <c r="AE10848">
        <v>0</v>
      </c>
      <c r="AG10848">
        <v>0</v>
      </c>
    </row>
    <row r="10849" spans="31:33">
      <c r="AE10849">
        <v>0</v>
      </c>
      <c r="AG10849">
        <v>0</v>
      </c>
    </row>
    <row r="10850" spans="31:33">
      <c r="AE10850">
        <v>0</v>
      </c>
      <c r="AG10850">
        <v>0</v>
      </c>
    </row>
    <row r="10851" spans="31:33">
      <c r="AE10851">
        <v>0</v>
      </c>
      <c r="AG10851">
        <v>0</v>
      </c>
    </row>
    <row r="10852" spans="31:33">
      <c r="AE10852">
        <v>0</v>
      </c>
      <c r="AG10852">
        <v>0</v>
      </c>
    </row>
    <row r="10853" spans="31:33">
      <c r="AE10853">
        <v>0</v>
      </c>
      <c r="AG10853">
        <v>0</v>
      </c>
    </row>
    <row r="10854" spans="31:33">
      <c r="AE10854">
        <v>0</v>
      </c>
      <c r="AG10854">
        <v>1.67</v>
      </c>
    </row>
    <row r="10855" spans="31:33">
      <c r="AE10855">
        <v>0</v>
      </c>
      <c r="AG10855">
        <v>0</v>
      </c>
    </row>
    <row r="10856" spans="31:33">
      <c r="AE10856">
        <v>0</v>
      </c>
      <c r="AG10856">
        <v>0</v>
      </c>
    </row>
    <row r="10857" spans="31:33">
      <c r="AE10857">
        <v>0</v>
      </c>
      <c r="AG10857">
        <v>0</v>
      </c>
    </row>
    <row r="10858" spans="31:33">
      <c r="AE10858" s="31">
        <v>-72801.179999999993</v>
      </c>
      <c r="AG10858" s="31">
        <v>-80249.66</v>
      </c>
    </row>
    <row r="10859" spans="31:33">
      <c r="AE10859">
        <v>0</v>
      </c>
      <c r="AG10859">
        <v>0</v>
      </c>
    </row>
    <row r="10860" spans="31:33">
      <c r="AE10860">
        <v>0</v>
      </c>
      <c r="AG10860">
        <v>0</v>
      </c>
    </row>
    <row r="10861" spans="31:33">
      <c r="AE10861">
        <v>0</v>
      </c>
      <c r="AG10861">
        <v>0</v>
      </c>
    </row>
    <row r="10862" spans="31:33">
      <c r="AE10862">
        <v>0</v>
      </c>
      <c r="AG10862">
        <v>-54.28</v>
      </c>
    </row>
    <row r="10863" spans="31:33">
      <c r="AE10863">
        <v>0</v>
      </c>
      <c r="AG10863">
        <v>0</v>
      </c>
    </row>
    <row r="10864" spans="31:33">
      <c r="AE10864">
        <v>0</v>
      </c>
      <c r="AG10864">
        <v>0</v>
      </c>
    </row>
    <row r="10865" spans="31:33">
      <c r="AE10865">
        <v>0</v>
      </c>
      <c r="AG10865">
        <v>0</v>
      </c>
    </row>
    <row r="10866" spans="31:33">
      <c r="AE10866">
        <v>0</v>
      </c>
      <c r="AG10866">
        <v>0</v>
      </c>
    </row>
    <row r="10867" spans="31:33">
      <c r="AE10867">
        <v>0</v>
      </c>
      <c r="AG10867">
        <v>0</v>
      </c>
    </row>
    <row r="10868" spans="31:33">
      <c r="AE10868">
        <v>0</v>
      </c>
      <c r="AG10868">
        <v>0</v>
      </c>
    </row>
    <row r="10869" spans="31:33">
      <c r="AE10869">
        <v>0</v>
      </c>
      <c r="AG10869">
        <v>0</v>
      </c>
    </row>
    <row r="10870" spans="31:33">
      <c r="AE10870" s="31">
        <v>-10714.63</v>
      </c>
      <c r="AG10870" s="31">
        <v>-12245</v>
      </c>
    </row>
    <row r="10871" spans="31:33">
      <c r="AE10871">
        <v>0</v>
      </c>
      <c r="AG10871">
        <v>0</v>
      </c>
    </row>
    <row r="10872" spans="31:33">
      <c r="AE10872">
        <v>0</v>
      </c>
      <c r="AG10872">
        <v>0</v>
      </c>
    </row>
    <row r="10873" spans="31:33">
      <c r="AE10873">
        <v>0</v>
      </c>
      <c r="AG10873">
        <v>0</v>
      </c>
    </row>
    <row r="10874" spans="31:33">
      <c r="AE10874">
        <v>0</v>
      </c>
      <c r="AG10874">
        <v>0</v>
      </c>
    </row>
    <row r="10875" spans="31:33">
      <c r="AE10875">
        <v>0</v>
      </c>
      <c r="AG10875">
        <v>0</v>
      </c>
    </row>
    <row r="10876" spans="31:33">
      <c r="AE10876">
        <v>0</v>
      </c>
      <c r="AG10876">
        <v>0</v>
      </c>
    </row>
    <row r="10877" spans="31:33">
      <c r="AE10877">
        <v>0</v>
      </c>
      <c r="AG10877">
        <v>0</v>
      </c>
    </row>
    <row r="10878" spans="31:33">
      <c r="AE10878">
        <v>0</v>
      </c>
      <c r="AG10878">
        <v>-0.84</v>
      </c>
    </row>
    <row r="10879" spans="31:33">
      <c r="AE10879">
        <v>0</v>
      </c>
      <c r="AG10879">
        <v>0</v>
      </c>
    </row>
    <row r="10880" spans="31:33">
      <c r="AE10880">
        <v>0</v>
      </c>
      <c r="AG10880">
        <v>0</v>
      </c>
    </row>
    <row r="10881" spans="31:33">
      <c r="AE10881">
        <v>0</v>
      </c>
      <c r="AG10881">
        <v>0</v>
      </c>
    </row>
    <row r="10882" spans="31:33">
      <c r="AE10882" s="31">
        <v>-11107.67</v>
      </c>
      <c r="AG10882" s="31">
        <v>-11820.02</v>
      </c>
    </row>
    <row r="10883" spans="31:33">
      <c r="AE10883">
        <v>0</v>
      </c>
      <c r="AG10883">
        <v>0</v>
      </c>
    </row>
    <row r="10884" spans="31:33">
      <c r="AE10884">
        <v>0</v>
      </c>
      <c r="AG10884">
        <v>0</v>
      </c>
    </row>
    <row r="10885" spans="31:33">
      <c r="AE10885">
        <v>0</v>
      </c>
      <c r="AG10885">
        <v>0</v>
      </c>
    </row>
    <row r="10886" spans="31:33">
      <c r="AE10886" s="31">
        <v>-1298563.1000000001</v>
      </c>
      <c r="AG10886" s="31">
        <v>371696.27</v>
      </c>
    </row>
    <row r="10887" spans="31:33">
      <c r="AE10887" s="31">
        <v>-2829975.21</v>
      </c>
      <c r="AG10887" s="31">
        <v>-1359881.05</v>
      </c>
    </row>
    <row r="10888" spans="31:33">
      <c r="AE10888">
        <v>0</v>
      </c>
      <c r="AG10888">
        <v>0</v>
      </c>
    </row>
    <row r="10889" spans="31:33">
      <c r="AE10889">
        <v>0</v>
      </c>
      <c r="AG10889">
        <v>0</v>
      </c>
    </row>
    <row r="10890" spans="31:33">
      <c r="AE10890">
        <v>124</v>
      </c>
      <c r="AG10890">
        <v>-30.18</v>
      </c>
    </row>
    <row r="10891" spans="31:33">
      <c r="AE10891">
        <v>0</v>
      </c>
      <c r="AG10891">
        <v>0</v>
      </c>
    </row>
    <row r="10892" spans="31:33">
      <c r="AE10892">
        <v>0</v>
      </c>
      <c r="AG10892">
        <v>0</v>
      </c>
    </row>
    <row r="10893" spans="31:33">
      <c r="AE10893">
        <v>0</v>
      </c>
      <c r="AG10893">
        <v>0</v>
      </c>
    </row>
    <row r="10894" spans="31:33">
      <c r="AE10894" s="31">
        <v>-10140.9</v>
      </c>
      <c r="AG10894" s="31">
        <v>-10668.28</v>
      </c>
    </row>
    <row r="10895" spans="31:33">
      <c r="AE10895">
        <v>0</v>
      </c>
      <c r="AG10895">
        <v>0</v>
      </c>
    </row>
    <row r="10896" spans="31:33">
      <c r="AE10896">
        <v>0</v>
      </c>
      <c r="AG10896">
        <v>0</v>
      </c>
    </row>
    <row r="10897" spans="31:33">
      <c r="AE10897">
        <v>0</v>
      </c>
      <c r="AG10897">
        <v>0</v>
      </c>
    </row>
    <row r="10898" spans="31:33">
      <c r="AE10898">
        <v>-612.19000000000005</v>
      </c>
      <c r="AG10898">
        <v>-692.43</v>
      </c>
    </row>
    <row r="10899" spans="31:33">
      <c r="AE10899">
        <v>0</v>
      </c>
      <c r="AG10899">
        <v>0</v>
      </c>
    </row>
    <row r="10900" spans="31:33">
      <c r="AE10900">
        <v>0</v>
      </c>
      <c r="AG10900">
        <v>0</v>
      </c>
    </row>
    <row r="10901" spans="31:33">
      <c r="AE10901">
        <v>0</v>
      </c>
      <c r="AG10901">
        <v>0</v>
      </c>
    </row>
    <row r="10902" spans="31:33">
      <c r="AE10902">
        <v>0</v>
      </c>
      <c r="AG10902">
        <v>0</v>
      </c>
    </row>
    <row r="10903" spans="31:33">
      <c r="AE10903">
        <v>0</v>
      </c>
      <c r="AG10903">
        <v>0</v>
      </c>
    </row>
    <row r="10904" spans="31:33">
      <c r="AE10904">
        <v>0</v>
      </c>
      <c r="AG10904">
        <v>0</v>
      </c>
    </row>
    <row r="10905" spans="31:33">
      <c r="AE10905">
        <v>0</v>
      </c>
      <c r="AG10905">
        <v>0</v>
      </c>
    </row>
    <row r="10906" spans="31:33">
      <c r="AE10906" s="31">
        <v>4181317.73</v>
      </c>
      <c r="AG10906" s="31">
        <v>-836768.16</v>
      </c>
    </row>
    <row r="10907" spans="31:33">
      <c r="AE10907" s="31">
        <v>-7505729.9299999997</v>
      </c>
      <c r="AG10907" s="31">
        <v>-4208757.43</v>
      </c>
    </row>
    <row r="10908" spans="31:33">
      <c r="AE10908">
        <v>0</v>
      </c>
      <c r="AG10908">
        <v>0</v>
      </c>
    </row>
    <row r="10909" spans="31:33">
      <c r="AE10909">
        <v>0</v>
      </c>
      <c r="AG10909">
        <v>0</v>
      </c>
    </row>
    <row r="10910" spans="31:33">
      <c r="AE10910" s="31">
        <v>-4789.05</v>
      </c>
      <c r="AG10910" s="31">
        <v>-5352.72</v>
      </c>
    </row>
    <row r="10911" spans="31:33">
      <c r="AE10911">
        <v>0</v>
      </c>
      <c r="AG10911">
        <v>0</v>
      </c>
    </row>
    <row r="10912" spans="31:33">
      <c r="AE10912">
        <v>0</v>
      </c>
      <c r="AG10912">
        <v>0</v>
      </c>
    </row>
    <row r="10913" spans="31:33">
      <c r="AE10913">
        <v>0</v>
      </c>
      <c r="AG10913">
        <v>0</v>
      </c>
    </row>
    <row r="10914" spans="31:33">
      <c r="AE10914">
        <v>-611.79</v>
      </c>
      <c r="AG10914">
        <v>-716.46</v>
      </c>
    </row>
    <row r="10915" spans="31:33">
      <c r="AE10915">
        <v>0</v>
      </c>
      <c r="AG10915">
        <v>0</v>
      </c>
    </row>
    <row r="10916" spans="31:33">
      <c r="AE10916">
        <v>0</v>
      </c>
      <c r="AG10916">
        <v>0</v>
      </c>
    </row>
    <row r="10917" spans="31:33">
      <c r="AE10917">
        <v>0</v>
      </c>
      <c r="AG10917">
        <v>0</v>
      </c>
    </row>
    <row r="10918" spans="31:33">
      <c r="AE10918">
        <v>0</v>
      </c>
      <c r="AG10918">
        <v>0</v>
      </c>
    </row>
    <row r="10919" spans="31:33">
      <c r="AE10919">
        <v>0</v>
      </c>
      <c r="AG10919">
        <v>0</v>
      </c>
    </row>
    <row r="10920" spans="31:33">
      <c r="AE10920">
        <v>0</v>
      </c>
      <c r="AG10920">
        <v>0</v>
      </c>
    </row>
    <row r="10921" spans="31:33">
      <c r="AE10921">
        <v>0</v>
      </c>
      <c r="AG10921">
        <v>0</v>
      </c>
    </row>
    <row r="10922" spans="31:33">
      <c r="AE10922">
        <v>0</v>
      </c>
      <c r="AG10922">
        <v>0</v>
      </c>
    </row>
    <row r="10923" spans="31:33">
      <c r="AE10923">
        <v>0</v>
      </c>
      <c r="AG10923">
        <v>0</v>
      </c>
    </row>
    <row r="10924" spans="31:33">
      <c r="AE10924">
        <v>0</v>
      </c>
      <c r="AG10924">
        <v>0</v>
      </c>
    </row>
    <row r="10925" spans="31:33">
      <c r="AE10925">
        <v>0</v>
      </c>
      <c r="AG10925">
        <v>0</v>
      </c>
    </row>
    <row r="10926" spans="31:33">
      <c r="AE10926">
        <v>0</v>
      </c>
      <c r="AG10926">
        <v>0</v>
      </c>
    </row>
    <row r="10927" spans="31:33">
      <c r="AE10927">
        <v>0</v>
      </c>
      <c r="AG10927">
        <v>0</v>
      </c>
    </row>
    <row r="10928" spans="31:33">
      <c r="AE10928">
        <v>0</v>
      </c>
      <c r="AG10928">
        <v>0</v>
      </c>
    </row>
    <row r="10929" spans="31:33">
      <c r="AE10929">
        <v>0</v>
      </c>
      <c r="AG10929">
        <v>0</v>
      </c>
    </row>
    <row r="10930" spans="31:33">
      <c r="AE10930">
        <v>0</v>
      </c>
      <c r="AG10930">
        <v>0</v>
      </c>
    </row>
    <row r="10931" spans="31:33">
      <c r="AE10931">
        <v>0</v>
      </c>
      <c r="AG10931">
        <v>0</v>
      </c>
    </row>
    <row r="10932" spans="31:33">
      <c r="AE10932">
        <v>0</v>
      </c>
      <c r="AG10932">
        <v>0</v>
      </c>
    </row>
    <row r="10933" spans="31:33">
      <c r="AE10933">
        <v>0</v>
      </c>
      <c r="AG10933">
        <v>0</v>
      </c>
    </row>
    <row r="10934" spans="31:33">
      <c r="AE10934">
        <v>0</v>
      </c>
      <c r="AG10934">
        <v>0</v>
      </c>
    </row>
    <row r="10935" spans="31:33">
      <c r="AE10935">
        <v>0</v>
      </c>
      <c r="AG10935">
        <v>0</v>
      </c>
    </row>
    <row r="10936" spans="31:33">
      <c r="AE10936">
        <v>0</v>
      </c>
      <c r="AG10936">
        <v>0</v>
      </c>
    </row>
    <row r="10937" spans="31:33">
      <c r="AE10937">
        <v>0</v>
      </c>
      <c r="AG10937">
        <v>0</v>
      </c>
    </row>
    <row r="10938" spans="31:33">
      <c r="AE10938">
        <v>0</v>
      </c>
      <c r="AG10938">
        <v>0</v>
      </c>
    </row>
    <row r="10939" spans="31:33">
      <c r="AE10939">
        <v>0</v>
      </c>
      <c r="AG10939">
        <v>0</v>
      </c>
    </row>
    <row r="10940" spans="31:33">
      <c r="AE10940">
        <v>0</v>
      </c>
      <c r="AG10940">
        <v>0</v>
      </c>
    </row>
    <row r="10941" spans="31:33">
      <c r="AE10941">
        <v>0</v>
      </c>
      <c r="AG10941">
        <v>0</v>
      </c>
    </row>
    <row r="10942" spans="31:33">
      <c r="AE10942">
        <v>0</v>
      </c>
      <c r="AG10942">
        <v>0</v>
      </c>
    </row>
    <row r="10943" spans="31:33">
      <c r="AE10943">
        <v>0</v>
      </c>
      <c r="AG10943">
        <v>0</v>
      </c>
    </row>
    <row r="10944" spans="31:33">
      <c r="AE10944">
        <v>0</v>
      </c>
      <c r="AG10944">
        <v>0</v>
      </c>
    </row>
    <row r="10945" spans="31:33">
      <c r="AE10945">
        <v>0</v>
      </c>
      <c r="AG10945">
        <v>0</v>
      </c>
    </row>
    <row r="10946" spans="31:33">
      <c r="AE10946">
        <v>0</v>
      </c>
      <c r="AG10946">
        <v>0</v>
      </c>
    </row>
    <row r="10947" spans="31:33">
      <c r="AE10947">
        <v>0</v>
      </c>
      <c r="AG10947">
        <v>0</v>
      </c>
    </row>
    <row r="10948" spans="31:33">
      <c r="AE10948">
        <v>0</v>
      </c>
      <c r="AG10948">
        <v>0</v>
      </c>
    </row>
    <row r="10949" spans="31:33">
      <c r="AE10949">
        <v>0</v>
      </c>
      <c r="AG10949">
        <v>0</v>
      </c>
    </row>
    <row r="10950" spans="31:33">
      <c r="AE10950">
        <v>0</v>
      </c>
      <c r="AG10950">
        <v>0</v>
      </c>
    </row>
    <row r="10951" spans="31:33">
      <c r="AE10951">
        <v>0</v>
      </c>
      <c r="AG10951">
        <v>0</v>
      </c>
    </row>
    <row r="10952" spans="31:33">
      <c r="AE10952">
        <v>0</v>
      </c>
      <c r="AG10952">
        <v>0</v>
      </c>
    </row>
    <row r="10953" spans="31:33">
      <c r="AE10953">
        <v>0</v>
      </c>
      <c r="AG10953">
        <v>0</v>
      </c>
    </row>
    <row r="10954" spans="31:33">
      <c r="AE10954">
        <v>0</v>
      </c>
      <c r="AG10954">
        <v>0</v>
      </c>
    </row>
    <row r="10955" spans="31:33">
      <c r="AE10955">
        <v>0</v>
      </c>
      <c r="AG10955">
        <v>0</v>
      </c>
    </row>
    <row r="10956" spans="31:33">
      <c r="AE10956">
        <v>0</v>
      </c>
      <c r="AG10956">
        <v>0</v>
      </c>
    </row>
    <row r="10957" spans="31:33">
      <c r="AE10957">
        <v>0</v>
      </c>
      <c r="AG10957">
        <v>0</v>
      </c>
    </row>
    <row r="10958" spans="31:33">
      <c r="AE10958">
        <v>0</v>
      </c>
      <c r="AG10958">
        <v>0</v>
      </c>
    </row>
    <row r="10959" spans="31:33">
      <c r="AE10959" s="31">
        <v>-453907.69</v>
      </c>
      <c r="AG10959" s="31">
        <v>-436052.78</v>
      </c>
    </row>
    <row r="10960" spans="31:33">
      <c r="AE10960">
        <v>0</v>
      </c>
      <c r="AG10960">
        <v>0</v>
      </c>
    </row>
    <row r="10961" spans="31:33">
      <c r="AE10961">
        <v>0</v>
      </c>
      <c r="AG10961">
        <v>0</v>
      </c>
    </row>
    <row r="10962" spans="31:33">
      <c r="AE10962">
        <v>0</v>
      </c>
      <c r="AG10962">
        <v>0</v>
      </c>
    </row>
    <row r="10963" spans="31:33">
      <c r="AE10963">
        <v>0</v>
      </c>
      <c r="AG10963">
        <v>0</v>
      </c>
    </row>
    <row r="10964" spans="31:33">
      <c r="AE10964">
        <v>0</v>
      </c>
      <c r="AG10964">
        <v>0</v>
      </c>
    </row>
    <row r="10965" spans="31:33">
      <c r="AE10965">
        <v>0</v>
      </c>
      <c r="AG10965">
        <v>0</v>
      </c>
    </row>
    <row r="10966" spans="31:33">
      <c r="AE10966">
        <v>0</v>
      </c>
      <c r="AG10966">
        <v>0</v>
      </c>
    </row>
    <row r="10967" spans="31:33">
      <c r="AE10967">
        <v>0</v>
      </c>
      <c r="AG10967">
        <v>0</v>
      </c>
    </row>
    <row r="10968" spans="31:33">
      <c r="AE10968">
        <v>0</v>
      </c>
      <c r="AG10968">
        <v>0</v>
      </c>
    </row>
    <row r="10969" spans="31:33">
      <c r="AE10969">
        <v>0</v>
      </c>
      <c r="AG10969">
        <v>0</v>
      </c>
    </row>
    <row r="10970" spans="31:33">
      <c r="AE10970">
        <v>0</v>
      </c>
      <c r="AG10970">
        <v>0</v>
      </c>
    </row>
    <row r="10971" spans="31:33">
      <c r="AE10971">
        <v>0</v>
      </c>
      <c r="AG10971">
        <v>0</v>
      </c>
    </row>
    <row r="10972" spans="31:33">
      <c r="AE10972">
        <v>0</v>
      </c>
      <c r="AG10972">
        <v>0</v>
      </c>
    </row>
    <row r="10973" spans="31:33">
      <c r="AE10973">
        <v>0</v>
      </c>
      <c r="AG10973">
        <v>0</v>
      </c>
    </row>
    <row r="10974" spans="31:33">
      <c r="AE10974">
        <v>0</v>
      </c>
      <c r="AG10974">
        <v>0</v>
      </c>
    </row>
    <row r="10975" spans="31:33">
      <c r="AE10975">
        <v>0</v>
      </c>
      <c r="AG10975">
        <v>0</v>
      </c>
    </row>
    <row r="10976" spans="31:33">
      <c r="AE10976">
        <v>0</v>
      </c>
      <c r="AG10976">
        <v>0</v>
      </c>
    </row>
    <row r="10977" spans="31:33">
      <c r="AE10977">
        <v>0</v>
      </c>
      <c r="AG10977">
        <v>0</v>
      </c>
    </row>
    <row r="10978" spans="31:33">
      <c r="AE10978">
        <v>0</v>
      </c>
      <c r="AG10978">
        <v>0</v>
      </c>
    </row>
    <row r="10979" spans="31:33">
      <c r="AE10979">
        <v>0</v>
      </c>
      <c r="AG10979">
        <v>0</v>
      </c>
    </row>
    <row r="10980" spans="31:33">
      <c r="AE10980">
        <v>0</v>
      </c>
      <c r="AG10980">
        <v>0</v>
      </c>
    </row>
    <row r="10981" spans="31:33">
      <c r="AE10981">
        <v>0</v>
      </c>
      <c r="AG10981">
        <v>0</v>
      </c>
    </row>
    <row r="10982" spans="31:33">
      <c r="AE10982">
        <v>0</v>
      </c>
      <c r="AG10982">
        <v>0</v>
      </c>
    </row>
    <row r="10983" spans="31:33">
      <c r="AE10983" s="31">
        <v>-108756.59</v>
      </c>
      <c r="AG10983" s="31">
        <v>-116785.81</v>
      </c>
    </row>
    <row r="10984" spans="31:33">
      <c r="AE10984">
        <v>0</v>
      </c>
      <c r="AG10984">
        <v>0</v>
      </c>
    </row>
    <row r="10985" spans="31:33">
      <c r="AE10985">
        <v>0</v>
      </c>
      <c r="AG10985">
        <v>0</v>
      </c>
    </row>
    <row r="10986" spans="31:33">
      <c r="AE10986">
        <v>0</v>
      </c>
      <c r="AG10986">
        <v>0</v>
      </c>
    </row>
    <row r="10987" spans="31:33">
      <c r="AE10987" s="31">
        <v>-3635.94</v>
      </c>
      <c r="AG10987" s="31">
        <v>-5711.67</v>
      </c>
    </row>
    <row r="10988" spans="31:33">
      <c r="AE10988">
        <v>0</v>
      </c>
      <c r="AG10988">
        <v>0</v>
      </c>
    </row>
    <row r="10989" spans="31:33">
      <c r="AE10989">
        <v>0</v>
      </c>
      <c r="AG10989">
        <v>0</v>
      </c>
    </row>
    <row r="10990" spans="31:33">
      <c r="AE10990">
        <v>0</v>
      </c>
      <c r="AG10990">
        <v>0</v>
      </c>
    </row>
    <row r="10991" spans="31:33">
      <c r="AE10991">
        <v>0</v>
      </c>
      <c r="AG10991">
        <v>0</v>
      </c>
    </row>
    <row r="10992" spans="31:33">
      <c r="AE10992">
        <v>0</v>
      </c>
      <c r="AG10992">
        <v>0</v>
      </c>
    </row>
    <row r="10993" spans="31:33">
      <c r="AE10993">
        <v>0</v>
      </c>
      <c r="AG10993">
        <v>0</v>
      </c>
    </row>
    <row r="10994" spans="31:33">
      <c r="AE10994">
        <v>0</v>
      </c>
      <c r="AG10994">
        <v>0</v>
      </c>
    </row>
    <row r="10995" spans="31:33">
      <c r="AE10995">
        <v>0</v>
      </c>
      <c r="AG10995">
        <v>0</v>
      </c>
    </row>
    <row r="10996" spans="31:33">
      <c r="AE10996">
        <v>0</v>
      </c>
      <c r="AG10996">
        <v>0</v>
      </c>
    </row>
    <row r="10997" spans="31:33">
      <c r="AE10997">
        <v>0</v>
      </c>
      <c r="AG10997">
        <v>0</v>
      </c>
    </row>
    <row r="10998" spans="31:33">
      <c r="AE10998">
        <v>0</v>
      </c>
      <c r="AG10998">
        <v>0</v>
      </c>
    </row>
    <row r="10999" spans="31:33">
      <c r="AE10999">
        <v>0</v>
      </c>
      <c r="AG10999">
        <v>0</v>
      </c>
    </row>
    <row r="11000" spans="31:33">
      <c r="AE11000">
        <v>0</v>
      </c>
      <c r="AG11000">
        <v>0</v>
      </c>
    </row>
    <row r="11001" spans="31:33">
      <c r="AE11001">
        <v>0</v>
      </c>
      <c r="AG11001">
        <v>0</v>
      </c>
    </row>
    <row r="11002" spans="31:33">
      <c r="AE11002">
        <v>0</v>
      </c>
      <c r="AG11002">
        <v>0</v>
      </c>
    </row>
    <row r="11003" spans="31:33">
      <c r="AE11003">
        <v>0</v>
      </c>
      <c r="AG11003">
        <v>0</v>
      </c>
    </row>
    <row r="11004" spans="31:33">
      <c r="AE11004">
        <v>0</v>
      </c>
      <c r="AG11004">
        <v>0</v>
      </c>
    </row>
    <row r="11005" spans="31:33">
      <c r="AE11005">
        <v>0</v>
      </c>
      <c r="AG11005">
        <v>0</v>
      </c>
    </row>
    <row r="11006" spans="31:33">
      <c r="AE11006">
        <v>0</v>
      </c>
      <c r="AG11006">
        <v>0</v>
      </c>
    </row>
    <row r="11007" spans="31:33">
      <c r="AE11007">
        <v>0</v>
      </c>
      <c r="AG11007">
        <v>0</v>
      </c>
    </row>
    <row r="11008" spans="31:33">
      <c r="AE11008">
        <v>0</v>
      </c>
      <c r="AG11008">
        <v>0</v>
      </c>
    </row>
    <row r="11009" spans="31:33">
      <c r="AE11009">
        <v>0</v>
      </c>
      <c r="AG11009">
        <v>0</v>
      </c>
    </row>
    <row r="11010" spans="31:33">
      <c r="AE11010">
        <v>0</v>
      </c>
      <c r="AG11010">
        <v>0</v>
      </c>
    </row>
    <row r="11011" spans="31:33">
      <c r="AE11011">
        <v>0</v>
      </c>
      <c r="AG11011">
        <v>0</v>
      </c>
    </row>
    <row r="11012" spans="31:33">
      <c r="AE11012">
        <v>0</v>
      </c>
      <c r="AG11012">
        <v>0</v>
      </c>
    </row>
    <row r="11013" spans="31:33">
      <c r="AE11013">
        <v>0</v>
      </c>
      <c r="AG11013">
        <v>0</v>
      </c>
    </row>
    <row r="11014" spans="31:33">
      <c r="AE11014">
        <v>0</v>
      </c>
      <c r="AG11014">
        <v>0</v>
      </c>
    </row>
    <row r="11015" spans="31:33">
      <c r="AE11015">
        <v>0</v>
      </c>
      <c r="AG11015">
        <v>0</v>
      </c>
    </row>
    <row r="11016" spans="31:33">
      <c r="AE11016">
        <v>0</v>
      </c>
      <c r="AG11016">
        <v>0</v>
      </c>
    </row>
    <row r="11017" spans="31:33">
      <c r="AE11017">
        <v>0</v>
      </c>
      <c r="AG11017">
        <v>0</v>
      </c>
    </row>
    <row r="11018" spans="31:33">
      <c r="AE11018">
        <v>0</v>
      </c>
      <c r="AG11018">
        <v>0</v>
      </c>
    </row>
    <row r="11019" spans="31:33">
      <c r="AE11019">
        <v>0</v>
      </c>
      <c r="AG11019">
        <v>0</v>
      </c>
    </row>
    <row r="11020" spans="31:33">
      <c r="AE11020">
        <v>0</v>
      </c>
      <c r="AG11020">
        <v>0</v>
      </c>
    </row>
    <row r="11021" spans="31:33">
      <c r="AE11021">
        <v>0</v>
      </c>
      <c r="AG11021">
        <v>0</v>
      </c>
    </row>
    <row r="11022" spans="31:33">
      <c r="AE11022">
        <v>0</v>
      </c>
      <c r="AG11022">
        <v>0</v>
      </c>
    </row>
    <row r="11023" spans="31:33">
      <c r="AE11023">
        <v>0</v>
      </c>
      <c r="AG11023">
        <v>0</v>
      </c>
    </row>
    <row r="11024" spans="31:33">
      <c r="AE11024">
        <v>0</v>
      </c>
      <c r="AG11024">
        <v>0</v>
      </c>
    </row>
    <row r="11025" spans="31:33">
      <c r="AE11025">
        <v>0</v>
      </c>
      <c r="AG11025">
        <v>0</v>
      </c>
    </row>
    <row r="11026" spans="31:33">
      <c r="AE11026">
        <v>0</v>
      </c>
      <c r="AG11026">
        <v>0</v>
      </c>
    </row>
    <row r="11027" spans="31:33">
      <c r="AE11027">
        <v>0</v>
      </c>
      <c r="AG11027">
        <v>0</v>
      </c>
    </row>
    <row r="11028" spans="31:33">
      <c r="AE11028">
        <v>0</v>
      </c>
      <c r="AG11028">
        <v>0</v>
      </c>
    </row>
    <row r="11029" spans="31:33">
      <c r="AE11029">
        <v>0</v>
      </c>
      <c r="AG11029">
        <v>0</v>
      </c>
    </row>
    <row r="11030" spans="31:33">
      <c r="AE11030">
        <v>0</v>
      </c>
      <c r="AG11030">
        <v>0</v>
      </c>
    </row>
    <row r="11031" spans="31:33">
      <c r="AE11031" s="31">
        <v>722329.16</v>
      </c>
      <c r="AG11031" s="31">
        <v>-6571205.9699999997</v>
      </c>
    </row>
    <row r="11032" spans="31:33">
      <c r="AE11032">
        <v>0</v>
      </c>
      <c r="AG11032">
        <v>0</v>
      </c>
    </row>
    <row r="11033" spans="31:33">
      <c r="AE11033">
        <v>0</v>
      </c>
      <c r="AG11033">
        <v>0</v>
      </c>
    </row>
    <row r="11034" spans="31:33">
      <c r="AE11034">
        <v>0</v>
      </c>
      <c r="AG11034">
        <v>0</v>
      </c>
    </row>
    <row r="11035" spans="31:33">
      <c r="AE11035">
        <v>0</v>
      </c>
      <c r="AG11035">
        <v>0</v>
      </c>
    </row>
    <row r="11036" spans="31:33">
      <c r="AE11036">
        <v>0</v>
      </c>
      <c r="AG11036">
        <v>0</v>
      </c>
    </row>
    <row r="11037" spans="31:33">
      <c r="AE11037">
        <v>0</v>
      </c>
      <c r="AG11037">
        <v>0</v>
      </c>
    </row>
    <row r="11038" spans="31:33">
      <c r="AE11038">
        <v>0</v>
      </c>
      <c r="AG11038">
        <v>0</v>
      </c>
    </row>
    <row r="11039" spans="31:33">
      <c r="AE11039">
        <v>0</v>
      </c>
      <c r="AG11039">
        <v>0</v>
      </c>
    </row>
    <row r="11040" spans="31:33">
      <c r="AE11040">
        <v>0</v>
      </c>
      <c r="AG11040">
        <v>0</v>
      </c>
    </row>
    <row r="11041" spans="31:33">
      <c r="AE11041">
        <v>0</v>
      </c>
      <c r="AG11041">
        <v>0</v>
      </c>
    </row>
    <row r="11042" spans="31:33">
      <c r="AE11042">
        <v>0</v>
      </c>
      <c r="AG11042">
        <v>0</v>
      </c>
    </row>
    <row r="11043" spans="31:33">
      <c r="AE11043">
        <v>0</v>
      </c>
      <c r="AG11043">
        <v>0</v>
      </c>
    </row>
    <row r="11044" spans="31:33">
      <c r="AE11044">
        <v>0</v>
      </c>
      <c r="AG11044">
        <v>0</v>
      </c>
    </row>
    <row r="11045" spans="31:33">
      <c r="AE11045">
        <v>0</v>
      </c>
      <c r="AG11045">
        <v>0</v>
      </c>
    </row>
    <row r="11046" spans="31:33">
      <c r="AE11046">
        <v>0</v>
      </c>
      <c r="AG11046">
        <v>0</v>
      </c>
    </row>
    <row r="11047" spans="31:33">
      <c r="AE11047">
        <v>0</v>
      </c>
      <c r="AG11047">
        <v>0</v>
      </c>
    </row>
    <row r="11048" spans="31:33">
      <c r="AE11048">
        <v>0</v>
      </c>
      <c r="AG11048">
        <v>0</v>
      </c>
    </row>
    <row r="11049" spans="31:33">
      <c r="AE11049">
        <v>0</v>
      </c>
      <c r="AG11049">
        <v>0</v>
      </c>
    </row>
    <row r="11050" spans="31:33">
      <c r="AE11050">
        <v>0</v>
      </c>
      <c r="AG11050">
        <v>0</v>
      </c>
    </row>
    <row r="11051" spans="31:33">
      <c r="AE11051">
        <v>0</v>
      </c>
      <c r="AG11051">
        <v>0</v>
      </c>
    </row>
    <row r="11052" spans="31:33">
      <c r="AE11052">
        <v>0</v>
      </c>
      <c r="AG11052">
        <v>0</v>
      </c>
    </row>
    <row r="11053" spans="31:33">
      <c r="AE11053">
        <v>0</v>
      </c>
      <c r="AG11053">
        <v>0</v>
      </c>
    </row>
    <row r="11054" spans="31:33">
      <c r="AE11054">
        <v>0</v>
      </c>
      <c r="AG11054">
        <v>0</v>
      </c>
    </row>
    <row r="11055" spans="31:33">
      <c r="AE11055">
        <v>0</v>
      </c>
      <c r="AG11055">
        <v>0</v>
      </c>
    </row>
    <row r="11056" spans="31:33">
      <c r="AE11056">
        <v>0</v>
      </c>
      <c r="AG11056">
        <v>0</v>
      </c>
    </row>
    <row r="11057" spans="31:33">
      <c r="AE11057">
        <v>0</v>
      </c>
      <c r="AG11057">
        <v>0</v>
      </c>
    </row>
    <row r="11058" spans="31:33">
      <c r="AE11058">
        <v>0</v>
      </c>
      <c r="AG11058">
        <v>0</v>
      </c>
    </row>
    <row r="11059" spans="31:33">
      <c r="AE11059">
        <v>0</v>
      </c>
      <c r="AG11059">
        <v>0</v>
      </c>
    </row>
    <row r="11060" spans="31:33">
      <c r="AE11060">
        <v>0</v>
      </c>
      <c r="AG11060">
        <v>0</v>
      </c>
    </row>
    <row r="11061" spans="31:33">
      <c r="AE11061">
        <v>0</v>
      </c>
      <c r="AG11061">
        <v>0</v>
      </c>
    </row>
    <row r="11062" spans="31:33">
      <c r="AE11062">
        <v>0</v>
      </c>
      <c r="AG11062">
        <v>0</v>
      </c>
    </row>
    <row r="11063" spans="31:33">
      <c r="AE11063">
        <v>0</v>
      </c>
      <c r="AG11063">
        <v>0</v>
      </c>
    </row>
    <row r="11064" spans="31:33">
      <c r="AE11064">
        <v>0</v>
      </c>
      <c r="AG11064">
        <v>0</v>
      </c>
    </row>
    <row r="11065" spans="31:33">
      <c r="AE11065">
        <v>0</v>
      </c>
      <c r="AG11065">
        <v>0</v>
      </c>
    </row>
    <row r="11066" spans="31:33">
      <c r="AE11066">
        <v>0</v>
      </c>
      <c r="AG11066">
        <v>0</v>
      </c>
    </row>
    <row r="11067" spans="31:33">
      <c r="AE11067">
        <v>0</v>
      </c>
      <c r="AG11067">
        <v>0</v>
      </c>
    </row>
    <row r="11068" spans="31:33">
      <c r="AE11068">
        <v>0</v>
      </c>
      <c r="AG11068">
        <v>0</v>
      </c>
    </row>
    <row r="11069" spans="31:33">
      <c r="AE11069">
        <v>0</v>
      </c>
      <c r="AG11069">
        <v>0</v>
      </c>
    </row>
    <row r="11070" spans="31:33">
      <c r="AE11070">
        <v>0</v>
      </c>
      <c r="AG11070">
        <v>0</v>
      </c>
    </row>
    <row r="11071" spans="31:33">
      <c r="AE11071">
        <v>0</v>
      </c>
      <c r="AG11071">
        <v>0</v>
      </c>
    </row>
    <row r="11072" spans="31:33">
      <c r="AE11072">
        <v>0</v>
      </c>
      <c r="AG11072">
        <v>0</v>
      </c>
    </row>
    <row r="11073" spans="31:33">
      <c r="AE11073">
        <v>0</v>
      </c>
      <c r="AG11073">
        <v>0</v>
      </c>
    </row>
    <row r="11074" spans="31:33">
      <c r="AE11074">
        <v>0</v>
      </c>
      <c r="AG11074">
        <v>0</v>
      </c>
    </row>
    <row r="11075" spans="31:33">
      <c r="AE11075">
        <v>0</v>
      </c>
      <c r="AG11075">
        <v>0</v>
      </c>
    </row>
    <row r="11076" spans="31:33">
      <c r="AE11076">
        <v>0</v>
      </c>
      <c r="AG11076">
        <v>0</v>
      </c>
    </row>
    <row r="11077" spans="31:33">
      <c r="AE11077">
        <v>0</v>
      </c>
      <c r="AG11077">
        <v>0</v>
      </c>
    </row>
    <row r="11078" spans="31:33">
      <c r="AE11078">
        <v>0</v>
      </c>
      <c r="AG11078">
        <v>0</v>
      </c>
    </row>
    <row r="11079" spans="31:33">
      <c r="AE11079">
        <v>0</v>
      </c>
      <c r="AG11079">
        <v>0</v>
      </c>
    </row>
    <row r="11080" spans="31:33">
      <c r="AE11080">
        <v>0</v>
      </c>
      <c r="AG11080">
        <v>0</v>
      </c>
    </row>
    <row r="11081" spans="31:33">
      <c r="AE11081">
        <v>0</v>
      </c>
      <c r="AG11081">
        <v>0</v>
      </c>
    </row>
    <row r="11082" spans="31:33">
      <c r="AE11082">
        <v>0</v>
      </c>
      <c r="AG11082">
        <v>0</v>
      </c>
    </row>
    <row r="11083" spans="31:33">
      <c r="AE11083">
        <v>0</v>
      </c>
      <c r="AG11083">
        <v>0</v>
      </c>
    </row>
    <row r="11084" spans="31:33">
      <c r="AE11084">
        <v>0</v>
      </c>
      <c r="AG11084">
        <v>0</v>
      </c>
    </row>
    <row r="11085" spans="31:33">
      <c r="AE11085">
        <v>0</v>
      </c>
      <c r="AG11085">
        <v>0</v>
      </c>
    </row>
    <row r="11086" spans="31:33">
      <c r="AE11086">
        <v>0</v>
      </c>
      <c r="AG11086">
        <v>0</v>
      </c>
    </row>
    <row r="11087" spans="31:33">
      <c r="AE11087">
        <v>0</v>
      </c>
      <c r="AG11087">
        <v>0</v>
      </c>
    </row>
    <row r="11088" spans="31:33">
      <c r="AE11088">
        <v>0</v>
      </c>
      <c r="AG11088">
        <v>0</v>
      </c>
    </row>
    <row r="11089" spans="31:33">
      <c r="AE11089">
        <v>0</v>
      </c>
      <c r="AG11089">
        <v>0</v>
      </c>
    </row>
    <row r="11090" spans="31:33">
      <c r="AE11090">
        <v>0</v>
      </c>
      <c r="AG11090">
        <v>0</v>
      </c>
    </row>
    <row r="11091" spans="31:33">
      <c r="AE11091">
        <v>0</v>
      </c>
      <c r="AG11091">
        <v>0</v>
      </c>
    </row>
    <row r="11092" spans="31:33">
      <c r="AE11092">
        <v>0</v>
      </c>
      <c r="AG11092">
        <v>0</v>
      </c>
    </row>
    <row r="11093" spans="31:33">
      <c r="AE11093">
        <v>0</v>
      </c>
      <c r="AG11093">
        <v>0</v>
      </c>
    </row>
    <row r="11094" spans="31:33">
      <c r="AE11094">
        <v>0</v>
      </c>
      <c r="AG11094">
        <v>0</v>
      </c>
    </row>
    <row r="11095" spans="31:33">
      <c r="AE11095">
        <v>0</v>
      </c>
      <c r="AG11095">
        <v>0</v>
      </c>
    </row>
    <row r="11096" spans="31:33">
      <c r="AE11096">
        <v>0</v>
      </c>
      <c r="AG11096">
        <v>0</v>
      </c>
    </row>
    <row r="11097" spans="31:33">
      <c r="AE11097">
        <v>0</v>
      </c>
      <c r="AG11097">
        <v>0</v>
      </c>
    </row>
    <row r="11098" spans="31:33">
      <c r="AE11098">
        <v>0</v>
      </c>
      <c r="AG11098">
        <v>0</v>
      </c>
    </row>
    <row r="11099" spans="31:33">
      <c r="AE11099">
        <v>0</v>
      </c>
      <c r="AG11099">
        <v>0</v>
      </c>
    </row>
    <row r="11100" spans="31:33">
      <c r="AE11100">
        <v>0</v>
      </c>
      <c r="AG11100">
        <v>0</v>
      </c>
    </row>
    <row r="11101" spans="31:33">
      <c r="AE11101">
        <v>0</v>
      </c>
      <c r="AG11101">
        <v>0</v>
      </c>
    </row>
    <row r="11102" spans="31:33">
      <c r="AE11102">
        <v>0</v>
      </c>
      <c r="AG11102">
        <v>0</v>
      </c>
    </row>
    <row r="11103" spans="31:33">
      <c r="AE11103">
        <v>0</v>
      </c>
      <c r="AG11103">
        <v>0</v>
      </c>
    </row>
    <row r="11104" spans="31:33">
      <c r="AE11104">
        <v>0</v>
      </c>
      <c r="AG11104">
        <v>0</v>
      </c>
    </row>
    <row r="11105" spans="31:33">
      <c r="AE11105">
        <v>0</v>
      </c>
      <c r="AG11105">
        <v>0</v>
      </c>
    </row>
    <row r="11106" spans="31:33">
      <c r="AE11106">
        <v>0</v>
      </c>
      <c r="AG11106">
        <v>0</v>
      </c>
    </row>
    <row r="11107" spans="31:33">
      <c r="AE11107">
        <v>0</v>
      </c>
      <c r="AG11107">
        <v>0</v>
      </c>
    </row>
    <row r="11108" spans="31:33">
      <c r="AE11108">
        <v>0</v>
      </c>
      <c r="AG11108">
        <v>0</v>
      </c>
    </row>
    <row r="11109" spans="31:33">
      <c r="AE11109">
        <v>0</v>
      </c>
      <c r="AG11109">
        <v>0</v>
      </c>
    </row>
    <row r="11110" spans="31:33">
      <c r="AE11110">
        <v>0</v>
      </c>
      <c r="AG11110">
        <v>0</v>
      </c>
    </row>
    <row r="11111" spans="31:33">
      <c r="AE11111">
        <v>0</v>
      </c>
      <c r="AG11111">
        <v>0</v>
      </c>
    </row>
    <row r="11112" spans="31:33">
      <c r="AE11112">
        <v>0</v>
      </c>
      <c r="AG11112">
        <v>0</v>
      </c>
    </row>
    <row r="11113" spans="31:33">
      <c r="AE11113">
        <v>0</v>
      </c>
      <c r="AG11113">
        <v>0</v>
      </c>
    </row>
    <row r="11114" spans="31:33">
      <c r="AE11114">
        <v>0</v>
      </c>
      <c r="AG11114">
        <v>0</v>
      </c>
    </row>
    <row r="11115" spans="31:33">
      <c r="AE11115">
        <v>0</v>
      </c>
      <c r="AG11115">
        <v>0</v>
      </c>
    </row>
    <row r="11116" spans="31:33">
      <c r="AE11116">
        <v>0</v>
      </c>
      <c r="AG11116">
        <v>0</v>
      </c>
    </row>
    <row r="11117" spans="31:33">
      <c r="AE11117">
        <v>0</v>
      </c>
      <c r="AG11117">
        <v>0</v>
      </c>
    </row>
    <row r="11118" spans="31:33">
      <c r="AE11118">
        <v>0</v>
      </c>
      <c r="AG11118">
        <v>0</v>
      </c>
    </row>
    <row r="11119" spans="31:33">
      <c r="AE11119">
        <v>0</v>
      </c>
      <c r="AG11119">
        <v>0</v>
      </c>
    </row>
    <row r="11120" spans="31:33">
      <c r="AE11120">
        <v>0</v>
      </c>
      <c r="AG11120">
        <v>0</v>
      </c>
    </row>
    <row r="11121" spans="31:33">
      <c r="AE11121">
        <v>0</v>
      </c>
      <c r="AG11121">
        <v>0</v>
      </c>
    </row>
    <row r="11122" spans="31:33">
      <c r="AE11122">
        <v>0</v>
      </c>
      <c r="AG11122">
        <v>0</v>
      </c>
    </row>
    <row r="11123" spans="31:33">
      <c r="AE11123">
        <v>0</v>
      </c>
      <c r="AG11123">
        <v>0</v>
      </c>
    </row>
    <row r="11124" spans="31:33">
      <c r="AE11124">
        <v>0</v>
      </c>
      <c r="AG11124">
        <v>0</v>
      </c>
    </row>
    <row r="11125" spans="31:33">
      <c r="AE11125">
        <v>0</v>
      </c>
      <c r="AG11125">
        <v>0</v>
      </c>
    </row>
    <row r="11126" spans="31:33">
      <c r="AE11126">
        <v>0</v>
      </c>
      <c r="AG11126">
        <v>0</v>
      </c>
    </row>
    <row r="11127" spans="31:33">
      <c r="AE11127">
        <v>-308.47000000000003</v>
      </c>
      <c r="AG11127">
        <v>-90.61</v>
      </c>
    </row>
    <row r="11128" spans="31:33">
      <c r="AE11128">
        <v>0</v>
      </c>
      <c r="AG11128">
        <v>0</v>
      </c>
    </row>
    <row r="11129" spans="31:33">
      <c r="AE11129">
        <v>0</v>
      </c>
      <c r="AG11129">
        <v>0</v>
      </c>
    </row>
    <row r="11130" spans="31:33">
      <c r="AE11130">
        <v>0</v>
      </c>
      <c r="AG11130">
        <v>0</v>
      </c>
    </row>
    <row r="11131" spans="31:33">
      <c r="AE11131">
        <v>0</v>
      </c>
      <c r="AG11131">
        <v>0</v>
      </c>
    </row>
    <row r="11132" spans="31:33">
      <c r="AE11132">
        <v>0</v>
      </c>
      <c r="AG11132">
        <v>0</v>
      </c>
    </row>
    <row r="11133" spans="31:33">
      <c r="AE11133" s="31">
        <v>-5235530.17</v>
      </c>
      <c r="AG11133" s="31">
        <v>-8026879.04</v>
      </c>
    </row>
    <row r="11134" spans="31:33">
      <c r="AE11134">
        <v>0</v>
      </c>
      <c r="AG11134">
        <v>0</v>
      </c>
    </row>
    <row r="11135" spans="31:33">
      <c r="AE11135">
        <v>0</v>
      </c>
      <c r="AG11135">
        <v>0</v>
      </c>
    </row>
    <row r="11136" spans="31:33">
      <c r="AE11136">
        <v>0</v>
      </c>
      <c r="AG11136">
        <v>0</v>
      </c>
    </row>
    <row r="11137" spans="31:33">
      <c r="AE11137" s="31">
        <v>-1689750.51</v>
      </c>
      <c r="AG11137" s="31">
        <v>2983162.73</v>
      </c>
    </row>
    <row r="11138" spans="31:33">
      <c r="AE11138">
        <v>0</v>
      </c>
      <c r="AG11138">
        <v>0</v>
      </c>
    </row>
    <row r="11139" spans="31:33">
      <c r="AE11139">
        <v>0</v>
      </c>
      <c r="AG11139">
        <v>0</v>
      </c>
    </row>
    <row r="11140" spans="31:33">
      <c r="AE11140">
        <v>0</v>
      </c>
      <c r="AG11140">
        <v>0</v>
      </c>
    </row>
    <row r="11141" spans="31:33">
      <c r="AE11141">
        <v>0</v>
      </c>
      <c r="AG11141">
        <v>0</v>
      </c>
    </row>
    <row r="11142" spans="31:33">
      <c r="AE11142">
        <v>0</v>
      </c>
      <c r="AG11142">
        <v>0</v>
      </c>
    </row>
    <row r="11143" spans="31:33">
      <c r="AE11143">
        <v>0</v>
      </c>
      <c r="AG11143">
        <v>0</v>
      </c>
    </row>
    <row r="11144" spans="31:33">
      <c r="AE11144">
        <v>0</v>
      </c>
      <c r="AG11144">
        <v>0</v>
      </c>
    </row>
    <row r="11145" spans="31:33">
      <c r="AE11145">
        <v>0</v>
      </c>
      <c r="AG11145">
        <v>0</v>
      </c>
    </row>
    <row r="11146" spans="31:33">
      <c r="AE11146">
        <v>0</v>
      </c>
      <c r="AG11146">
        <v>0</v>
      </c>
    </row>
    <row r="11147" spans="31:33">
      <c r="AE11147">
        <v>0</v>
      </c>
      <c r="AG11147">
        <v>0</v>
      </c>
    </row>
    <row r="11148" spans="31:33">
      <c r="AE11148">
        <v>0</v>
      </c>
      <c r="AG11148">
        <v>0</v>
      </c>
    </row>
    <row r="11149" spans="31:33">
      <c r="AE11149">
        <v>0</v>
      </c>
      <c r="AG11149">
        <v>0</v>
      </c>
    </row>
    <row r="11150" spans="31:33">
      <c r="AE11150">
        <v>0</v>
      </c>
      <c r="AG11150">
        <v>0</v>
      </c>
    </row>
    <row r="11151" spans="31:33">
      <c r="AE11151">
        <v>0</v>
      </c>
      <c r="AG11151">
        <v>0</v>
      </c>
    </row>
    <row r="11152" spans="31:33">
      <c r="AE11152">
        <v>0</v>
      </c>
      <c r="AG11152">
        <v>0</v>
      </c>
    </row>
    <row r="11153" spans="31:33">
      <c r="AE11153">
        <v>0</v>
      </c>
      <c r="AG11153">
        <v>0</v>
      </c>
    </row>
    <row r="11154" spans="31:33">
      <c r="AE11154">
        <v>0</v>
      </c>
      <c r="AG11154">
        <v>0</v>
      </c>
    </row>
    <row r="11155" spans="31:33">
      <c r="AE11155">
        <v>0</v>
      </c>
      <c r="AG11155">
        <v>0</v>
      </c>
    </row>
    <row r="11156" spans="31:33">
      <c r="AE11156">
        <v>0</v>
      </c>
      <c r="AG11156">
        <v>0</v>
      </c>
    </row>
    <row r="11157" spans="31:33">
      <c r="AE11157">
        <v>0</v>
      </c>
      <c r="AG11157">
        <v>0</v>
      </c>
    </row>
    <row r="11158" spans="31:33">
      <c r="AE11158">
        <v>0</v>
      </c>
      <c r="AG11158">
        <v>0</v>
      </c>
    </row>
    <row r="11159" spans="31:33">
      <c r="AE11159">
        <v>0</v>
      </c>
      <c r="AG11159">
        <v>0</v>
      </c>
    </row>
    <row r="11160" spans="31:33">
      <c r="AE11160">
        <v>0</v>
      </c>
      <c r="AG11160">
        <v>0</v>
      </c>
    </row>
    <row r="11161" spans="31:33">
      <c r="AE11161">
        <v>0</v>
      </c>
      <c r="AG11161">
        <v>0</v>
      </c>
    </row>
    <row r="11162" spans="31:33">
      <c r="AE11162">
        <v>0</v>
      </c>
      <c r="AG11162">
        <v>0</v>
      </c>
    </row>
    <row r="11163" spans="31:33">
      <c r="AE11163">
        <v>0</v>
      </c>
      <c r="AG11163">
        <v>0</v>
      </c>
    </row>
    <row r="11164" spans="31:33">
      <c r="AE11164">
        <v>0</v>
      </c>
      <c r="AG11164">
        <v>0</v>
      </c>
    </row>
    <row r="11165" spans="31:33">
      <c r="AE11165">
        <v>0</v>
      </c>
      <c r="AG11165">
        <v>0</v>
      </c>
    </row>
    <row r="11166" spans="31:33">
      <c r="AE11166">
        <v>0</v>
      </c>
      <c r="AG11166">
        <v>0</v>
      </c>
    </row>
    <row r="11167" spans="31:33">
      <c r="AE11167">
        <v>0</v>
      </c>
      <c r="AG11167">
        <v>0</v>
      </c>
    </row>
    <row r="11168" spans="31:33">
      <c r="AE11168">
        <v>0</v>
      </c>
      <c r="AG11168">
        <v>0</v>
      </c>
    </row>
    <row r="11169" spans="31:33">
      <c r="AE11169">
        <v>0</v>
      </c>
      <c r="AG11169">
        <v>0</v>
      </c>
    </row>
    <row r="11170" spans="31:33">
      <c r="AE11170">
        <v>0</v>
      </c>
      <c r="AG11170">
        <v>0</v>
      </c>
    </row>
    <row r="11171" spans="31:33">
      <c r="AE11171">
        <v>0</v>
      </c>
      <c r="AG11171">
        <v>0</v>
      </c>
    </row>
    <row r="11172" spans="31:33">
      <c r="AE11172">
        <v>0</v>
      </c>
      <c r="AG11172">
        <v>0</v>
      </c>
    </row>
    <row r="11173" spans="31:33">
      <c r="AE11173">
        <v>0</v>
      </c>
      <c r="AG11173">
        <v>0</v>
      </c>
    </row>
    <row r="11174" spans="31:33">
      <c r="AE11174">
        <v>0</v>
      </c>
      <c r="AG11174">
        <v>0</v>
      </c>
    </row>
    <row r="11175" spans="31:33">
      <c r="AE11175">
        <v>0</v>
      </c>
      <c r="AG11175">
        <v>0</v>
      </c>
    </row>
    <row r="11176" spans="31:33">
      <c r="AE11176">
        <v>0</v>
      </c>
      <c r="AG11176">
        <v>0</v>
      </c>
    </row>
    <row r="11177" spans="31:33">
      <c r="AE11177" s="31">
        <v>75826706.650000006</v>
      </c>
      <c r="AG11177" s="31">
        <v>90611980.739999995</v>
      </c>
    </row>
  </sheetData>
  <autoFilter ref="A7:AJ610" xr:uid="{42E59E5C-2AAC-4E95-BFED-EF127056FED2}"/>
  <pageMargins left="0.7" right="0.7" top="0.75" bottom="0.75" header="0.3" footer="0.3"/>
  <pageSetup scale="60" orientation="landscape" horizontalDpi="1200" verticalDpi="1200" r:id="rId1"/>
  <rowBreaks count="1" manualBreakCount="1">
    <brk id="452" max="23" man="1"/>
  </rowBreak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tabColor rgb="FFFF0000"/>
  </sheetPr>
  <dimension ref="A1:AJ609"/>
  <sheetViews>
    <sheetView topLeftCell="B1" workbookViewId="0"/>
  </sheetViews>
  <sheetFormatPr defaultRowHeight="15" outlineLevelCol="1"/>
  <cols>
    <col min="1" max="1" width="98.28515625" hidden="1" customWidth="1" outlineLevel="1"/>
    <col min="2" max="2" width="2.28515625" bestFit="1" customWidth="1" collapsed="1"/>
    <col min="3" max="3" width="6" bestFit="1" customWidth="1"/>
    <col min="4" max="4" width="5.28515625" bestFit="1" customWidth="1"/>
    <col min="5" max="5" width="9.28515625" bestFit="1" customWidth="1"/>
    <col min="6" max="6" width="5.28515625" bestFit="1" customWidth="1"/>
    <col min="7" max="7" width="1.7109375" customWidth="1"/>
    <col min="8" max="8" width="39.28515625" bestFit="1" customWidth="1"/>
    <col min="9" max="9" width="5.28515625" bestFit="1" customWidth="1"/>
    <col min="10" max="10" width="1.7109375" customWidth="1"/>
    <col min="11" max="11" width="21" bestFit="1" customWidth="1"/>
    <col min="12" max="12" width="1.7109375" customWidth="1" outlineLevel="1"/>
    <col min="13" max="13" width="21" bestFit="1" customWidth="1"/>
    <col min="14" max="14" width="1.7109375" customWidth="1" outlineLevel="1"/>
    <col min="15" max="15" width="21" bestFit="1" customWidth="1"/>
    <col min="16" max="16" width="4.7109375" customWidth="1" outlineLevel="1"/>
    <col min="17" max="17" width="8.28515625" customWidth="1" outlineLevel="1"/>
    <col min="18" max="18" width="5.7109375" customWidth="1" outlineLevel="1"/>
    <col min="19" max="19" width="15.7109375" bestFit="1" customWidth="1"/>
    <col min="20" max="20" width="17.42578125" bestFit="1" customWidth="1"/>
    <col min="21" max="21" width="16.42578125" bestFit="1" customWidth="1"/>
    <col min="22" max="22" width="15.140625" bestFit="1" customWidth="1"/>
    <col min="23" max="23" width="19.28515625" bestFit="1" customWidth="1"/>
    <col min="24" max="24" width="4.5703125" bestFit="1" customWidth="1"/>
    <col min="25" max="25" width="30.85546875" bestFit="1" customWidth="1"/>
    <col min="26" max="26" width="31" bestFit="1" customWidth="1"/>
    <col min="27" max="27" width="17.28515625" style="25" bestFit="1" customWidth="1"/>
    <col min="28" max="28" width="12.7109375" bestFit="1" customWidth="1"/>
  </cols>
  <sheetData>
    <row r="1" spans="1:32" ht="15" customHeight="1">
      <c r="A1" t="s">
        <v>971</v>
      </c>
      <c r="S1" s="27"/>
      <c r="T1" s="27"/>
      <c r="U1" s="27"/>
      <c r="V1" s="27"/>
      <c r="W1" s="27"/>
      <c r="X1" s="81"/>
      <c r="Y1" s="45"/>
      <c r="Z1" s="44"/>
      <c r="AA1" s="154"/>
      <c r="AB1" s="44"/>
      <c r="AC1" s="44"/>
      <c r="AD1" s="44"/>
      <c r="AE1" s="44"/>
      <c r="AF1" s="44"/>
    </row>
    <row r="2" spans="1:32">
      <c r="A2" t="s">
        <v>972</v>
      </c>
      <c r="S2" s="3"/>
      <c r="T2" s="3"/>
      <c r="U2" s="3"/>
      <c r="V2" s="3"/>
      <c r="W2" s="3"/>
      <c r="X2" s="44"/>
      <c r="Y2" s="45"/>
      <c r="Z2" s="44"/>
      <c r="AA2" s="154"/>
      <c r="AB2" s="44"/>
      <c r="AC2" s="44"/>
      <c r="AD2" s="44"/>
      <c r="AE2" s="44"/>
      <c r="AF2" s="44"/>
    </row>
    <row r="3" spans="1:32" ht="14.45" customHeight="1">
      <c r="S3" s="3"/>
      <c r="T3" s="3"/>
      <c r="U3" s="3"/>
      <c r="V3" s="3"/>
      <c r="W3" s="3"/>
      <c r="X3" s="44"/>
      <c r="Y3" s="45"/>
      <c r="Z3" s="44"/>
      <c r="AA3" s="45"/>
      <c r="AB3" s="44"/>
      <c r="AC3" s="44"/>
      <c r="AD3" s="44"/>
      <c r="AE3" s="44"/>
      <c r="AF3" s="44"/>
    </row>
    <row r="4" spans="1:32" ht="14.45" customHeight="1">
      <c r="A4" t="s">
        <v>535</v>
      </c>
      <c r="F4">
        <v>5360</v>
      </c>
      <c r="G4" t="s">
        <v>536</v>
      </c>
      <c r="I4" t="s">
        <v>537</v>
      </c>
      <c r="N4" t="s">
        <v>538</v>
      </c>
      <c r="P4" t="s">
        <v>539</v>
      </c>
      <c r="S4" s="3"/>
      <c r="T4" s="3"/>
      <c r="U4" s="3"/>
      <c r="V4" s="3"/>
      <c r="W4" s="3"/>
      <c r="X4" s="44"/>
      <c r="Z4" s="44"/>
      <c r="AA4" s="154"/>
      <c r="AB4" s="44"/>
      <c r="AC4" s="44"/>
      <c r="AD4" s="44"/>
      <c r="AE4" s="44"/>
      <c r="AF4" s="44"/>
    </row>
    <row r="5" spans="1:32" ht="14.45" customHeight="1">
      <c r="S5" s="3"/>
      <c r="T5" s="3"/>
      <c r="U5" s="3"/>
      <c r="V5" s="3"/>
      <c r="W5" s="3"/>
      <c r="X5" s="44"/>
      <c r="Y5" s="45"/>
      <c r="Z5" s="44"/>
      <c r="AA5" s="154"/>
      <c r="AB5" s="44"/>
      <c r="AC5" s="44"/>
      <c r="AD5" s="44"/>
      <c r="AE5" s="44"/>
      <c r="AF5" s="44"/>
    </row>
    <row r="6" spans="1:32" ht="14.45" customHeight="1">
      <c r="B6" t="s">
        <v>313</v>
      </c>
      <c r="C6" t="s">
        <v>540</v>
      </c>
      <c r="D6" t="s">
        <v>541</v>
      </c>
      <c r="E6" t="s">
        <v>542</v>
      </c>
      <c r="K6" t="s">
        <v>543</v>
      </c>
      <c r="M6" t="s">
        <v>544</v>
      </c>
      <c r="O6" t="s">
        <v>545</v>
      </c>
      <c r="Q6" t="s">
        <v>546</v>
      </c>
      <c r="R6" t="s">
        <v>547</v>
      </c>
      <c r="S6" s="3"/>
      <c r="T6" s="3"/>
      <c r="U6" s="3"/>
      <c r="V6" s="3"/>
      <c r="W6" s="3"/>
      <c r="X6" s="44"/>
      <c r="Y6" s="45"/>
      <c r="Z6" s="44"/>
      <c r="AA6" s="154"/>
      <c r="AB6" s="44"/>
      <c r="AC6" s="44"/>
      <c r="AD6" s="44"/>
      <c r="AE6" s="44"/>
      <c r="AF6" s="44"/>
    </row>
    <row r="7" spans="1:32" ht="69" customHeight="1">
      <c r="B7" t="s">
        <v>201</v>
      </c>
      <c r="C7" t="s">
        <v>548</v>
      </c>
      <c r="D7" t="s">
        <v>549</v>
      </c>
      <c r="K7" s="3" t="s">
        <v>973</v>
      </c>
      <c r="M7" s="3" t="s">
        <v>974</v>
      </c>
      <c r="O7" s="3" t="s">
        <v>551</v>
      </c>
      <c r="Q7" t="s">
        <v>552</v>
      </c>
      <c r="R7" t="s">
        <v>553</v>
      </c>
      <c r="S7" s="614" t="s">
        <v>554</v>
      </c>
      <c r="T7" s="615" t="s">
        <v>555</v>
      </c>
      <c r="U7" s="616" t="s">
        <v>556</v>
      </c>
      <c r="V7" s="617" t="s">
        <v>557</v>
      </c>
      <c r="W7" s="618" t="s">
        <v>558</v>
      </c>
      <c r="X7" s="47"/>
      <c r="Y7" s="48"/>
      <c r="Z7" s="47"/>
      <c r="AA7" s="155"/>
      <c r="AB7" s="47"/>
      <c r="AC7" s="47"/>
      <c r="AD7" s="47"/>
      <c r="AE7" s="47"/>
      <c r="AF7" s="47"/>
    </row>
    <row r="8" spans="1:32" ht="14.45" customHeight="1">
      <c r="K8" s="3"/>
      <c r="M8" s="3"/>
      <c r="O8" s="3"/>
      <c r="S8" s="3"/>
      <c r="T8" s="3"/>
      <c r="U8" s="3"/>
      <c r="V8" s="3"/>
      <c r="W8" s="3"/>
      <c r="X8" s="44"/>
      <c r="Y8" s="45"/>
      <c r="Z8" s="44"/>
      <c r="AA8" s="44"/>
      <c r="AB8" s="44"/>
      <c r="AC8" s="44"/>
      <c r="AD8" s="44"/>
      <c r="AE8" s="44"/>
      <c r="AF8" s="44"/>
    </row>
    <row r="9" spans="1:32" ht="14.45" customHeight="1">
      <c r="C9">
        <v>5360</v>
      </c>
      <c r="D9" t="s">
        <v>537</v>
      </c>
      <c r="E9">
        <v>94400000</v>
      </c>
      <c r="H9" t="s">
        <v>559</v>
      </c>
      <c r="K9" s="3">
        <v>0</v>
      </c>
      <c r="M9" s="3">
        <v>0</v>
      </c>
      <c r="O9" s="3">
        <v>0</v>
      </c>
      <c r="S9" s="3"/>
      <c r="T9" s="3"/>
      <c r="U9" s="3"/>
      <c r="V9" s="3"/>
      <c r="W9" s="3">
        <f t="shared" ref="W9:W72" si="0">SUM(K9,S9:V9)</f>
        <v>0</v>
      </c>
      <c r="X9" s="44" t="s">
        <v>194</v>
      </c>
      <c r="AA9"/>
    </row>
    <row r="10" spans="1:32" ht="14.45" customHeight="1">
      <c r="C10">
        <v>5360</v>
      </c>
      <c r="D10" t="s">
        <v>537</v>
      </c>
      <c r="E10">
        <v>94420000</v>
      </c>
      <c r="H10" t="s">
        <v>560</v>
      </c>
      <c r="K10" s="3">
        <v>0</v>
      </c>
      <c r="M10" s="3">
        <v>0</v>
      </c>
      <c r="O10" s="3">
        <v>0</v>
      </c>
      <c r="S10" s="3"/>
      <c r="T10" s="3"/>
      <c r="U10" s="3"/>
      <c r="V10" s="3"/>
      <c r="W10" s="3">
        <f t="shared" si="0"/>
        <v>0</v>
      </c>
      <c r="X10" s="44" t="s">
        <v>194</v>
      </c>
      <c r="AA10"/>
    </row>
    <row r="11" spans="1:32" ht="14.45" customHeight="1">
      <c r="C11">
        <v>5360</v>
      </c>
      <c r="E11">
        <v>94440000</v>
      </c>
      <c r="H11" t="s">
        <v>561</v>
      </c>
      <c r="K11" s="3">
        <v>0</v>
      </c>
      <c r="M11" s="3">
        <v>-413.02</v>
      </c>
      <c r="O11" s="3">
        <v>413.02</v>
      </c>
      <c r="Q11">
        <v>100</v>
      </c>
      <c r="S11" s="3"/>
      <c r="T11" s="3"/>
      <c r="U11" s="3"/>
      <c r="V11" s="3"/>
      <c r="W11" s="3">
        <f t="shared" si="0"/>
        <v>0</v>
      </c>
      <c r="X11" s="44" t="s">
        <v>194</v>
      </c>
      <c r="AA11"/>
    </row>
    <row r="12" spans="1:32" ht="14.45" customHeight="1">
      <c r="C12">
        <v>5360</v>
      </c>
      <c r="D12" t="s">
        <v>537</v>
      </c>
      <c r="E12">
        <v>94450000</v>
      </c>
      <c r="H12" t="s">
        <v>562</v>
      </c>
      <c r="K12" s="3">
        <v>0</v>
      </c>
      <c r="M12" s="3">
        <v>0</v>
      </c>
      <c r="O12" s="3">
        <v>0</v>
      </c>
      <c r="S12" s="3"/>
      <c r="T12" s="3"/>
      <c r="U12" s="3"/>
      <c r="V12" s="3"/>
      <c r="W12" s="3">
        <f t="shared" si="0"/>
        <v>0</v>
      </c>
      <c r="X12" s="44" t="s">
        <v>194</v>
      </c>
      <c r="AA12"/>
    </row>
    <row r="13" spans="1:32" ht="14.45" customHeight="1">
      <c r="C13">
        <v>5360</v>
      </c>
      <c r="D13" t="s">
        <v>537</v>
      </c>
      <c r="E13">
        <v>94460000</v>
      </c>
      <c r="H13" t="s">
        <v>563</v>
      </c>
      <c r="K13" s="3">
        <v>0</v>
      </c>
      <c r="L13" s="26"/>
      <c r="M13" s="27">
        <v>0</v>
      </c>
      <c r="O13" s="3">
        <v>0</v>
      </c>
      <c r="S13" s="3"/>
      <c r="T13" s="3"/>
      <c r="U13" s="3"/>
      <c r="V13" s="3"/>
      <c r="W13" s="3">
        <f t="shared" si="0"/>
        <v>0</v>
      </c>
      <c r="X13" s="44" t="s">
        <v>194</v>
      </c>
      <c r="AA13"/>
    </row>
    <row r="14" spans="1:32" ht="15" customHeight="1">
      <c r="C14">
        <v>5360</v>
      </c>
      <c r="D14" t="s">
        <v>537</v>
      </c>
      <c r="E14">
        <v>94470000</v>
      </c>
      <c r="H14" t="s">
        <v>564</v>
      </c>
      <c r="K14" s="3">
        <v>0</v>
      </c>
      <c r="L14" s="26"/>
      <c r="M14" s="27">
        <v>0</v>
      </c>
      <c r="O14" s="3">
        <v>0</v>
      </c>
      <c r="S14" s="3"/>
      <c r="T14" s="3"/>
      <c r="U14" s="3"/>
      <c r="V14" s="3"/>
      <c r="W14" s="3">
        <f t="shared" si="0"/>
        <v>0</v>
      </c>
      <c r="X14" s="44" t="s">
        <v>194</v>
      </c>
      <c r="AA14"/>
    </row>
    <row r="15" spans="1:32" ht="15.6" customHeight="1">
      <c r="C15">
        <v>5360</v>
      </c>
      <c r="D15" t="s">
        <v>537</v>
      </c>
      <c r="E15">
        <v>94480000</v>
      </c>
      <c r="H15" t="s">
        <v>565</v>
      </c>
      <c r="K15" s="3">
        <v>0</v>
      </c>
      <c r="L15" s="26"/>
      <c r="M15" s="27">
        <v>0</v>
      </c>
      <c r="O15" s="3">
        <v>0</v>
      </c>
      <c r="S15" s="3"/>
      <c r="T15" s="3"/>
      <c r="U15" s="3"/>
      <c r="V15" s="3"/>
      <c r="W15" s="3">
        <f t="shared" si="0"/>
        <v>0</v>
      </c>
      <c r="X15" s="44" t="s">
        <v>194</v>
      </c>
      <c r="AA15"/>
    </row>
    <row r="16" spans="1:32" ht="15" customHeight="1">
      <c r="C16">
        <v>5360</v>
      </c>
      <c r="D16" t="s">
        <v>537</v>
      </c>
      <c r="E16">
        <v>94490000</v>
      </c>
      <c r="H16" t="s">
        <v>566</v>
      </c>
      <c r="K16" s="422">
        <v>0</v>
      </c>
      <c r="L16" s="26"/>
      <c r="M16" s="27">
        <v>0</v>
      </c>
      <c r="O16" s="3">
        <v>0</v>
      </c>
      <c r="S16" s="3"/>
      <c r="T16" s="3"/>
      <c r="U16" s="3"/>
      <c r="V16" s="3"/>
      <c r="W16" s="3">
        <f t="shared" si="0"/>
        <v>0</v>
      </c>
      <c r="X16" s="44" t="s">
        <v>194</v>
      </c>
      <c r="AA16"/>
    </row>
    <row r="17" spans="3:36" ht="14.45" customHeight="1">
      <c r="C17">
        <v>5360</v>
      </c>
      <c r="D17" t="s">
        <v>537</v>
      </c>
      <c r="E17">
        <v>94491000</v>
      </c>
      <c r="H17" t="s">
        <v>567</v>
      </c>
      <c r="K17" s="3">
        <v>0</v>
      </c>
      <c r="L17" s="26"/>
      <c r="M17" s="27">
        <v>0</v>
      </c>
      <c r="O17" s="3">
        <v>0</v>
      </c>
      <c r="S17" s="3"/>
      <c r="T17" s="3"/>
      <c r="U17" s="3"/>
      <c r="V17" s="3"/>
      <c r="W17" s="3">
        <f t="shared" si="0"/>
        <v>0</v>
      </c>
      <c r="X17" s="44" t="s">
        <v>194</v>
      </c>
      <c r="AA17"/>
    </row>
    <row r="18" spans="3:36" ht="14.45" customHeight="1">
      <c r="E18" t="s">
        <v>568</v>
      </c>
      <c r="K18" s="3">
        <v>0</v>
      </c>
      <c r="L18" s="26"/>
      <c r="M18" s="27">
        <v>-413.02</v>
      </c>
      <c r="O18" s="3">
        <v>413.02</v>
      </c>
      <c r="Q18">
        <v>100</v>
      </c>
      <c r="R18" t="s">
        <v>569</v>
      </c>
      <c r="S18" s="3">
        <f>SUM(S9:S17)</f>
        <v>0</v>
      </c>
      <c r="T18" s="3">
        <f>SUM(T9:T17)</f>
        <v>0</v>
      </c>
      <c r="U18" s="3">
        <f>SUM(U9:U17)</f>
        <v>0</v>
      </c>
      <c r="V18" s="3">
        <f>SUM(V9:V17)</f>
        <v>0</v>
      </c>
      <c r="W18" s="3">
        <f t="shared" si="0"/>
        <v>0</v>
      </c>
      <c r="X18" s="619"/>
      <c r="AA18"/>
    </row>
    <row r="19" spans="3:36" ht="14.45" customHeight="1">
      <c r="C19">
        <v>5360</v>
      </c>
      <c r="E19">
        <v>94800000</v>
      </c>
      <c r="H19" t="s">
        <v>570</v>
      </c>
      <c r="K19" s="3">
        <v>-278918731.87</v>
      </c>
      <c r="L19" s="26"/>
      <c r="M19" s="27">
        <v>-279617337.39999998</v>
      </c>
      <c r="O19" s="3">
        <v>698605.53</v>
      </c>
      <c r="Q19">
        <v>0.2</v>
      </c>
      <c r="S19" s="3"/>
      <c r="T19" s="3"/>
      <c r="U19" s="3"/>
      <c r="V19" s="3"/>
      <c r="W19" s="3">
        <f t="shared" si="0"/>
        <v>-278918731.87</v>
      </c>
      <c r="X19" s="44" t="s">
        <v>192</v>
      </c>
      <c r="AA19"/>
      <c r="AJ19" s="31"/>
    </row>
    <row r="20" spans="3:36" ht="14.45" customHeight="1">
      <c r="C20">
        <v>5360</v>
      </c>
      <c r="E20">
        <v>94810000</v>
      </c>
      <c r="H20" t="s">
        <v>571</v>
      </c>
      <c r="K20" s="3">
        <v>-74788819.879999995</v>
      </c>
      <c r="L20" s="26"/>
      <c r="M20" s="27">
        <v>-90412436.239999995</v>
      </c>
      <c r="O20" s="3">
        <v>15623616.359999999</v>
      </c>
      <c r="Q20">
        <v>17.3</v>
      </c>
      <c r="S20" s="3"/>
      <c r="T20" s="3"/>
      <c r="U20" s="3"/>
      <c r="V20" s="3"/>
      <c r="W20" s="3">
        <f t="shared" si="0"/>
        <v>-74788819.879999995</v>
      </c>
      <c r="X20" s="44" t="s">
        <v>192</v>
      </c>
      <c r="AA20"/>
      <c r="AJ20" s="31"/>
    </row>
    <row r="21" spans="3:36" ht="15" customHeight="1">
      <c r="C21">
        <v>5360</v>
      </c>
      <c r="D21" t="s">
        <v>537</v>
      </c>
      <c r="E21">
        <v>94820000</v>
      </c>
      <c r="H21" t="s">
        <v>572</v>
      </c>
      <c r="K21" s="3">
        <v>0</v>
      </c>
      <c r="L21" s="26"/>
      <c r="M21" s="27">
        <v>0</v>
      </c>
      <c r="O21" s="3">
        <v>0</v>
      </c>
      <c r="S21" s="3"/>
      <c r="T21" s="3"/>
      <c r="U21" s="3"/>
      <c r="V21" s="3"/>
      <c r="W21" s="3">
        <f t="shared" si="0"/>
        <v>0</v>
      </c>
      <c r="X21" s="44" t="s">
        <v>192</v>
      </c>
      <c r="AA21"/>
    </row>
    <row r="22" spans="3:36" ht="15" customHeight="1">
      <c r="C22">
        <v>5360</v>
      </c>
      <c r="E22">
        <v>94830000</v>
      </c>
      <c r="H22" t="s">
        <v>573</v>
      </c>
      <c r="K22" s="3">
        <v>-11508709.92</v>
      </c>
      <c r="L22" s="26"/>
      <c r="M22" s="27">
        <v>-12320041.880000001</v>
      </c>
      <c r="O22" s="3">
        <v>811331.96</v>
      </c>
      <c r="Q22">
        <v>6.6</v>
      </c>
      <c r="S22" s="3"/>
      <c r="T22" s="3"/>
      <c r="U22" s="3"/>
      <c r="V22" s="3"/>
      <c r="W22" s="3">
        <f t="shared" si="0"/>
        <v>-11508709.92</v>
      </c>
      <c r="X22" s="44" t="s">
        <v>192</v>
      </c>
      <c r="AA22"/>
      <c r="AJ22" s="31"/>
    </row>
    <row r="23" spans="3:36" ht="15" customHeight="1">
      <c r="C23">
        <v>5360</v>
      </c>
      <c r="D23" t="s">
        <v>537</v>
      </c>
      <c r="E23">
        <v>94840000</v>
      </c>
      <c r="H23" t="s">
        <v>574</v>
      </c>
      <c r="K23" s="3">
        <v>0</v>
      </c>
      <c r="L23" s="26"/>
      <c r="M23" s="27">
        <v>0</v>
      </c>
      <c r="O23" s="3">
        <v>0</v>
      </c>
      <c r="S23" s="3"/>
      <c r="T23" s="3"/>
      <c r="U23" s="3"/>
      <c r="V23" s="3"/>
      <c r="W23" s="3">
        <f t="shared" si="0"/>
        <v>0</v>
      </c>
      <c r="X23" s="44" t="s">
        <v>192</v>
      </c>
      <c r="Y23" s="80" t="s">
        <v>575</v>
      </c>
      <c r="AA23"/>
    </row>
    <row r="24" spans="3:36" ht="15" customHeight="1">
      <c r="E24" t="s">
        <v>576</v>
      </c>
      <c r="K24" s="3">
        <v>-365216261.67000002</v>
      </c>
      <c r="L24" s="26"/>
      <c r="M24" s="27">
        <v>-382349815.51999998</v>
      </c>
      <c r="O24" s="3">
        <v>17133553.850000001</v>
      </c>
      <c r="Q24">
        <v>4.5</v>
      </c>
      <c r="R24" t="s">
        <v>569</v>
      </c>
      <c r="S24" s="3">
        <f>SUM(S19:S23)</f>
        <v>0</v>
      </c>
      <c r="T24" s="3">
        <f>SUM(T19:T23)</f>
        <v>0</v>
      </c>
      <c r="U24" s="3">
        <f>SUM(U19:U23)</f>
        <v>0</v>
      </c>
      <c r="V24" s="3">
        <f>SUM(V19:V23)</f>
        <v>0</v>
      </c>
      <c r="W24" s="3">
        <f t="shared" si="0"/>
        <v>-365216261.67000002</v>
      </c>
      <c r="X24" s="619"/>
      <c r="Y24" s="145">
        <f>SUMIF(X:X,"AA",W:W)</f>
        <v>-365216261.67000002</v>
      </c>
      <c r="Z24" t="s">
        <v>577</v>
      </c>
      <c r="AA24" t="s">
        <v>578</v>
      </c>
      <c r="AJ24" s="31"/>
    </row>
    <row r="25" spans="3:36" ht="14.45" customHeight="1">
      <c r="C25">
        <v>5360</v>
      </c>
      <c r="D25" t="s">
        <v>537</v>
      </c>
      <c r="E25">
        <v>94000000</v>
      </c>
      <c r="H25" t="s">
        <v>579</v>
      </c>
      <c r="K25" s="3">
        <v>0</v>
      </c>
      <c r="L25" s="26"/>
      <c r="M25" s="27">
        <v>0</v>
      </c>
      <c r="O25" s="3">
        <v>0</v>
      </c>
      <c r="S25" s="3"/>
      <c r="T25" s="3"/>
      <c r="U25" s="3"/>
      <c r="V25" s="3"/>
      <c r="W25" s="3">
        <f t="shared" si="0"/>
        <v>0</v>
      </c>
      <c r="X25" s="44" t="s">
        <v>580</v>
      </c>
      <c r="AA25"/>
    </row>
    <row r="26" spans="3:36" ht="15" customHeight="1">
      <c r="C26">
        <v>5360</v>
      </c>
      <c r="D26" t="s">
        <v>537</v>
      </c>
      <c r="E26">
        <v>94120000</v>
      </c>
      <c r="H26" t="s">
        <v>581</v>
      </c>
      <c r="K26" s="3">
        <v>0</v>
      </c>
      <c r="L26" s="26"/>
      <c r="M26" s="27">
        <v>0</v>
      </c>
      <c r="O26" s="3">
        <v>0</v>
      </c>
      <c r="S26" s="3"/>
      <c r="T26" s="3"/>
      <c r="U26" s="3"/>
      <c r="V26" s="3"/>
      <c r="W26" s="3">
        <f t="shared" si="0"/>
        <v>0</v>
      </c>
      <c r="X26" s="44" t="s">
        <v>194</v>
      </c>
      <c r="AA26"/>
    </row>
    <row r="27" spans="3:36" ht="15" customHeight="1">
      <c r="C27">
        <v>5360</v>
      </c>
      <c r="D27" t="s">
        <v>537</v>
      </c>
      <c r="E27">
        <v>94130000</v>
      </c>
      <c r="H27" t="s">
        <v>582</v>
      </c>
      <c r="K27" s="3">
        <v>0</v>
      </c>
      <c r="L27" s="26"/>
      <c r="M27" s="27">
        <v>0</v>
      </c>
      <c r="O27" s="3">
        <v>0</v>
      </c>
      <c r="S27" s="3"/>
      <c r="T27" s="3"/>
      <c r="U27" s="3"/>
      <c r="V27" s="3"/>
      <c r="W27" s="3">
        <f t="shared" si="0"/>
        <v>0</v>
      </c>
      <c r="X27" s="44" t="s">
        <v>194</v>
      </c>
      <c r="AA27"/>
    </row>
    <row r="28" spans="3:36" ht="14.45" customHeight="1">
      <c r="C28">
        <v>5360</v>
      </c>
      <c r="D28" t="s">
        <v>537</v>
      </c>
      <c r="E28">
        <v>94140000</v>
      </c>
      <c r="H28" t="s">
        <v>583</v>
      </c>
      <c r="K28" s="3">
        <v>0</v>
      </c>
      <c r="L28" s="26"/>
      <c r="M28" s="27">
        <v>0</v>
      </c>
      <c r="O28" s="3">
        <v>0</v>
      </c>
      <c r="S28" s="3"/>
      <c r="T28" s="3"/>
      <c r="U28" s="3"/>
      <c r="V28" s="3"/>
      <c r="W28" s="3">
        <f t="shared" si="0"/>
        <v>0</v>
      </c>
      <c r="X28" s="44" t="s">
        <v>194</v>
      </c>
      <c r="AA28"/>
    </row>
    <row r="29" spans="3:36" ht="14.45" customHeight="1">
      <c r="C29">
        <v>5360</v>
      </c>
      <c r="D29" t="s">
        <v>537</v>
      </c>
      <c r="E29">
        <v>94150000</v>
      </c>
      <c r="H29" t="s">
        <v>327</v>
      </c>
      <c r="K29" s="3">
        <v>0</v>
      </c>
      <c r="L29" s="26"/>
      <c r="M29" s="27">
        <v>0</v>
      </c>
      <c r="O29" s="3">
        <v>0</v>
      </c>
      <c r="S29" s="3"/>
      <c r="T29" s="3"/>
      <c r="U29" s="3"/>
      <c r="V29" s="3"/>
      <c r="W29" s="3">
        <f t="shared" si="0"/>
        <v>0</v>
      </c>
      <c r="X29" s="44" t="s">
        <v>209</v>
      </c>
      <c r="AA29"/>
    </row>
    <row r="30" spans="3:36" ht="14.45" customHeight="1">
      <c r="C30">
        <v>5360</v>
      </c>
      <c r="D30" t="s">
        <v>537</v>
      </c>
      <c r="E30">
        <v>94160000</v>
      </c>
      <c r="H30" t="s">
        <v>328</v>
      </c>
      <c r="K30" s="3">
        <v>0</v>
      </c>
      <c r="L30" s="26"/>
      <c r="M30" s="27">
        <v>0</v>
      </c>
      <c r="O30" s="3">
        <v>0</v>
      </c>
      <c r="S30" s="3"/>
      <c r="T30" s="3"/>
      <c r="U30" s="3"/>
      <c r="V30" s="3"/>
      <c r="W30" s="3">
        <f t="shared" si="0"/>
        <v>0</v>
      </c>
      <c r="X30" s="44" t="s">
        <v>209</v>
      </c>
      <c r="AA30"/>
    </row>
    <row r="31" spans="3:36" ht="14.45" customHeight="1">
      <c r="C31">
        <v>5360</v>
      </c>
      <c r="D31" t="s">
        <v>537</v>
      </c>
      <c r="E31">
        <v>94500000</v>
      </c>
      <c r="H31" t="s">
        <v>584</v>
      </c>
      <c r="K31" s="3">
        <v>0</v>
      </c>
      <c r="L31" s="26"/>
      <c r="M31" s="27">
        <v>0</v>
      </c>
      <c r="O31" s="3">
        <v>0</v>
      </c>
      <c r="S31" s="3"/>
      <c r="T31" s="3"/>
      <c r="U31" s="3"/>
      <c r="V31" s="3"/>
      <c r="W31" s="3">
        <f t="shared" si="0"/>
        <v>0</v>
      </c>
      <c r="X31" s="44" t="s">
        <v>194</v>
      </c>
      <c r="AA31"/>
    </row>
    <row r="32" spans="3:36" ht="14.45" customHeight="1">
      <c r="C32">
        <v>5360</v>
      </c>
      <c r="E32">
        <v>94510000</v>
      </c>
      <c r="H32" t="s">
        <v>585</v>
      </c>
      <c r="K32" s="3">
        <v>-201360.51</v>
      </c>
      <c r="L32" s="26"/>
      <c r="M32" s="27">
        <v>-34.61</v>
      </c>
      <c r="O32" s="3">
        <v>-201325.9</v>
      </c>
      <c r="Q32" t="s">
        <v>975</v>
      </c>
      <c r="S32" s="3">
        <v>201360.51</v>
      </c>
      <c r="T32" s="3"/>
      <c r="U32" s="3"/>
      <c r="V32" s="3"/>
      <c r="W32" s="3">
        <f t="shared" si="0"/>
        <v>0</v>
      </c>
      <c r="X32" s="44" t="s">
        <v>194</v>
      </c>
      <c r="AA32"/>
    </row>
    <row r="33" spans="3:36" ht="14.45" customHeight="1">
      <c r="C33">
        <v>5360</v>
      </c>
      <c r="D33" t="s">
        <v>537</v>
      </c>
      <c r="E33">
        <v>94530000</v>
      </c>
      <c r="H33" t="s">
        <v>586</v>
      </c>
      <c r="K33" s="3">
        <v>0</v>
      </c>
      <c r="L33" s="26"/>
      <c r="M33" s="27">
        <v>0</v>
      </c>
      <c r="O33" s="3">
        <v>0</v>
      </c>
      <c r="S33" s="3"/>
      <c r="T33" s="3"/>
      <c r="U33" s="3"/>
      <c r="V33" s="3"/>
      <c r="W33" s="3">
        <f t="shared" si="0"/>
        <v>0</v>
      </c>
      <c r="X33" s="44" t="s">
        <v>194</v>
      </c>
      <c r="AA33"/>
    </row>
    <row r="34" spans="3:36" ht="14.45" customHeight="1">
      <c r="C34">
        <v>5360</v>
      </c>
      <c r="D34" t="s">
        <v>537</v>
      </c>
      <c r="E34">
        <v>94540000</v>
      </c>
      <c r="H34" t="s">
        <v>587</v>
      </c>
      <c r="K34" s="3">
        <v>0</v>
      </c>
      <c r="L34" s="26"/>
      <c r="M34" s="27">
        <v>0</v>
      </c>
      <c r="O34" s="3">
        <v>0</v>
      </c>
      <c r="S34" s="3"/>
      <c r="T34" s="3"/>
      <c r="U34" s="3"/>
      <c r="V34" s="3"/>
      <c r="W34" s="3">
        <f t="shared" si="0"/>
        <v>0</v>
      </c>
      <c r="X34" s="44" t="s">
        <v>194</v>
      </c>
      <c r="AA34"/>
    </row>
    <row r="35" spans="3:36" ht="14.45" customHeight="1">
      <c r="C35">
        <v>5360</v>
      </c>
      <c r="D35" t="s">
        <v>537</v>
      </c>
      <c r="E35">
        <v>94550000</v>
      </c>
      <c r="H35" t="s">
        <v>588</v>
      </c>
      <c r="K35" s="3">
        <v>0</v>
      </c>
      <c r="L35" s="26"/>
      <c r="M35" s="27">
        <v>0</v>
      </c>
      <c r="O35" s="3">
        <v>0</v>
      </c>
      <c r="S35" s="3"/>
      <c r="T35" s="3"/>
      <c r="U35" s="3"/>
      <c r="V35" s="3"/>
      <c r="W35" s="3">
        <f t="shared" si="0"/>
        <v>0</v>
      </c>
      <c r="X35" s="44" t="s">
        <v>194</v>
      </c>
      <c r="AA35"/>
    </row>
    <row r="36" spans="3:36" ht="14.45" customHeight="1">
      <c r="C36">
        <v>5360</v>
      </c>
      <c r="E36">
        <v>94560000</v>
      </c>
      <c r="H36" t="s">
        <v>589</v>
      </c>
      <c r="K36" s="3">
        <v>-4552.6400000000003</v>
      </c>
      <c r="L36" s="26"/>
      <c r="M36" s="27">
        <v>712998.08</v>
      </c>
      <c r="O36" s="3">
        <v>-717550.72</v>
      </c>
      <c r="Q36">
        <v>-100.6</v>
      </c>
      <c r="S36" s="3">
        <v>4552.6400000000003</v>
      </c>
      <c r="T36" s="3"/>
      <c r="U36" s="3"/>
      <c r="V36" s="3"/>
      <c r="W36" s="3">
        <f t="shared" si="0"/>
        <v>0</v>
      </c>
      <c r="X36" s="44" t="s">
        <v>194</v>
      </c>
      <c r="AA36"/>
      <c r="AJ36" s="31"/>
    </row>
    <row r="37" spans="3:36" ht="14.45" customHeight="1">
      <c r="C37">
        <v>5360</v>
      </c>
      <c r="D37" t="s">
        <v>537</v>
      </c>
      <c r="E37">
        <v>94561000</v>
      </c>
      <c r="H37" t="s">
        <v>590</v>
      </c>
      <c r="K37" s="3">
        <v>0</v>
      </c>
      <c r="L37" s="26"/>
      <c r="M37" s="27">
        <v>0</v>
      </c>
      <c r="O37" s="3">
        <v>0</v>
      </c>
      <c r="S37" s="3"/>
      <c r="T37" s="3"/>
      <c r="U37" s="3"/>
      <c r="V37" s="3"/>
      <c r="W37" s="3">
        <f t="shared" si="0"/>
        <v>0</v>
      </c>
      <c r="X37" s="44" t="s">
        <v>194</v>
      </c>
      <c r="AA37"/>
    </row>
    <row r="38" spans="3:36" ht="14.45" customHeight="1">
      <c r="C38">
        <v>5360</v>
      </c>
      <c r="D38" t="s">
        <v>537</v>
      </c>
      <c r="E38">
        <v>94571000</v>
      </c>
      <c r="H38" t="s">
        <v>591</v>
      </c>
      <c r="K38" s="3">
        <v>0</v>
      </c>
      <c r="L38" s="26"/>
      <c r="M38" s="27">
        <v>0</v>
      </c>
      <c r="O38" s="3">
        <v>0</v>
      </c>
      <c r="S38" s="3"/>
      <c r="T38" s="3"/>
      <c r="U38" s="3"/>
      <c r="V38" s="3"/>
      <c r="W38" s="3">
        <f t="shared" si="0"/>
        <v>0</v>
      </c>
      <c r="X38" s="44" t="s">
        <v>194</v>
      </c>
      <c r="AA38"/>
    </row>
    <row r="39" spans="3:36" ht="14.45" customHeight="1">
      <c r="C39">
        <v>5360</v>
      </c>
      <c r="D39" t="s">
        <v>537</v>
      </c>
      <c r="E39">
        <v>94572000</v>
      </c>
      <c r="H39" t="s">
        <v>592</v>
      </c>
      <c r="K39" s="3">
        <v>0</v>
      </c>
      <c r="L39" s="26"/>
      <c r="M39" s="27">
        <v>0</v>
      </c>
      <c r="O39" s="3">
        <v>0</v>
      </c>
      <c r="S39" s="3"/>
      <c r="T39" s="3"/>
      <c r="U39" s="3"/>
      <c r="V39" s="3"/>
      <c r="W39" s="3">
        <f t="shared" si="0"/>
        <v>0</v>
      </c>
      <c r="X39" s="44" t="s">
        <v>194</v>
      </c>
      <c r="AA39"/>
    </row>
    <row r="40" spans="3:36" ht="14.45" customHeight="1">
      <c r="C40">
        <v>5360</v>
      </c>
      <c r="D40" t="s">
        <v>537</v>
      </c>
      <c r="E40">
        <v>94580000</v>
      </c>
      <c r="H40" t="s">
        <v>593</v>
      </c>
      <c r="K40" s="3">
        <v>0</v>
      </c>
      <c r="L40" s="26"/>
      <c r="M40" s="27">
        <v>0</v>
      </c>
      <c r="O40" s="3">
        <v>0</v>
      </c>
      <c r="S40" s="3"/>
      <c r="T40" s="3"/>
      <c r="U40" s="3"/>
      <c r="V40" s="3"/>
      <c r="W40" s="3">
        <f t="shared" si="0"/>
        <v>0</v>
      </c>
      <c r="X40" s="44" t="s">
        <v>580</v>
      </c>
      <c r="AA40"/>
    </row>
    <row r="41" spans="3:36" ht="14.45" customHeight="1">
      <c r="E41" t="s">
        <v>594</v>
      </c>
      <c r="K41" s="3">
        <v>-205913.15</v>
      </c>
      <c r="L41" s="26"/>
      <c r="M41" s="27">
        <v>712963.47</v>
      </c>
      <c r="O41" s="3">
        <v>-918876.62</v>
      </c>
      <c r="Q41">
        <v>-128.9</v>
      </c>
      <c r="R41" t="s">
        <v>569</v>
      </c>
      <c r="S41" s="3">
        <f>SUM(S25:S40)</f>
        <v>205913.15000000002</v>
      </c>
      <c r="T41" s="3">
        <f>SUM(T25:T40)</f>
        <v>0</v>
      </c>
      <c r="U41" s="3">
        <f>SUM(U25:U40)</f>
        <v>0</v>
      </c>
      <c r="V41" s="3">
        <f>SUM(V25:V40)</f>
        <v>0</v>
      </c>
      <c r="W41" s="3">
        <f t="shared" si="0"/>
        <v>2.9103830456733704E-11</v>
      </c>
      <c r="X41" s="619"/>
      <c r="Y41" s="3"/>
      <c r="AA41"/>
      <c r="AJ41" s="31"/>
    </row>
    <row r="42" spans="3:36" ht="14.45" customHeight="1">
      <c r="C42">
        <v>5360</v>
      </c>
      <c r="E42">
        <v>94870000</v>
      </c>
      <c r="H42" t="s">
        <v>595</v>
      </c>
      <c r="K42" s="3">
        <v>0</v>
      </c>
      <c r="L42" s="26"/>
      <c r="M42" s="27">
        <v>-46.81</v>
      </c>
      <c r="O42" s="3">
        <v>46.81</v>
      </c>
      <c r="Q42">
        <v>100</v>
      </c>
      <c r="S42" s="3"/>
      <c r="T42" s="3"/>
      <c r="U42" s="3"/>
      <c r="V42" s="3"/>
      <c r="W42" s="3">
        <f t="shared" si="0"/>
        <v>0</v>
      </c>
      <c r="X42" s="44" t="s">
        <v>194</v>
      </c>
      <c r="AA42"/>
    </row>
    <row r="43" spans="3:36" ht="14.45" customHeight="1">
      <c r="C43">
        <v>5360</v>
      </c>
      <c r="E43">
        <v>94880000</v>
      </c>
      <c r="H43" t="s">
        <v>596</v>
      </c>
      <c r="K43" s="3">
        <v>-52347.32</v>
      </c>
      <c r="L43" s="26"/>
      <c r="M43" s="27">
        <v>-149172.4</v>
      </c>
      <c r="O43" s="3">
        <v>96825.08</v>
      </c>
      <c r="Q43">
        <v>64.900000000000006</v>
      </c>
      <c r="S43" s="3"/>
      <c r="T43" s="3"/>
      <c r="U43" s="3"/>
      <c r="V43" s="3"/>
      <c r="W43" s="3">
        <f t="shared" si="0"/>
        <v>-52347.32</v>
      </c>
      <c r="X43" s="44" t="s">
        <v>194</v>
      </c>
      <c r="AA43"/>
    </row>
    <row r="44" spans="3:36" ht="14.45" customHeight="1">
      <c r="C44">
        <v>5360</v>
      </c>
      <c r="D44" t="s">
        <v>537</v>
      </c>
      <c r="E44">
        <v>94891000</v>
      </c>
      <c r="H44" t="s">
        <v>597</v>
      </c>
      <c r="K44" s="3">
        <v>0</v>
      </c>
      <c r="L44" s="26"/>
      <c r="M44" s="27">
        <v>0</v>
      </c>
      <c r="O44" s="3">
        <v>0</v>
      </c>
      <c r="S44" s="3"/>
      <c r="T44" s="3"/>
      <c r="U44" s="3"/>
      <c r="V44" s="3"/>
      <c r="W44" s="3">
        <f t="shared" si="0"/>
        <v>0</v>
      </c>
      <c r="X44" s="44" t="s">
        <v>193</v>
      </c>
      <c r="AA44"/>
    </row>
    <row r="45" spans="3:36">
      <c r="C45">
        <v>5360</v>
      </c>
      <c r="D45" t="s">
        <v>537</v>
      </c>
      <c r="E45">
        <v>94892000</v>
      </c>
      <c r="H45" t="s">
        <v>598</v>
      </c>
      <c r="K45" s="3">
        <v>0</v>
      </c>
      <c r="L45" s="26"/>
      <c r="M45" s="27">
        <v>0</v>
      </c>
      <c r="O45" s="3">
        <v>0</v>
      </c>
      <c r="S45" s="3"/>
      <c r="T45" s="3"/>
      <c r="U45" s="3"/>
      <c r="V45" s="3"/>
      <c r="W45" s="3">
        <f t="shared" si="0"/>
        <v>0</v>
      </c>
      <c r="X45" s="44" t="s">
        <v>193</v>
      </c>
      <c r="AA45"/>
    </row>
    <row r="46" spans="3:36">
      <c r="C46">
        <v>5360</v>
      </c>
      <c r="E46">
        <v>94893000</v>
      </c>
      <c r="H46" t="s">
        <v>599</v>
      </c>
      <c r="K46" s="3">
        <v>-49159755.140000001</v>
      </c>
      <c r="L46" s="26"/>
      <c r="M46" s="27">
        <v>-45470914.75</v>
      </c>
      <c r="O46" s="3">
        <v>-3688840.39</v>
      </c>
      <c r="Q46">
        <v>-8.1</v>
      </c>
      <c r="S46" s="3"/>
      <c r="T46" s="3"/>
      <c r="U46" s="3"/>
      <c r="V46" s="3"/>
      <c r="W46" s="3">
        <f t="shared" si="0"/>
        <v>-49159755.140000001</v>
      </c>
      <c r="X46" s="44" t="s">
        <v>193</v>
      </c>
      <c r="Y46" s="80" t="s">
        <v>600</v>
      </c>
      <c r="AA46"/>
      <c r="AJ46" s="31"/>
    </row>
    <row r="47" spans="3:36">
      <c r="C47">
        <v>5360</v>
      </c>
      <c r="D47" t="s">
        <v>537</v>
      </c>
      <c r="E47">
        <v>94894000</v>
      </c>
      <c r="H47" t="s">
        <v>601</v>
      </c>
      <c r="K47" s="3">
        <v>0</v>
      </c>
      <c r="L47" s="26"/>
      <c r="M47" s="27">
        <v>0</v>
      </c>
      <c r="O47" s="3">
        <v>0</v>
      </c>
      <c r="S47" s="3"/>
      <c r="T47" s="3"/>
      <c r="U47" s="3"/>
      <c r="V47" s="3"/>
      <c r="W47" s="3">
        <f t="shared" si="0"/>
        <v>0</v>
      </c>
      <c r="X47" s="44" t="s">
        <v>194</v>
      </c>
      <c r="Y47" s="145">
        <f>SUMIF(X:X,"BB",W:W)</f>
        <v>-49159755.140000001</v>
      </c>
      <c r="Z47" t="s">
        <v>80</v>
      </c>
      <c r="AA47" t="s">
        <v>578</v>
      </c>
    </row>
    <row r="48" spans="3:36">
      <c r="C48">
        <v>5360</v>
      </c>
      <c r="D48" t="s">
        <v>537</v>
      </c>
      <c r="E48">
        <v>94900000</v>
      </c>
      <c r="H48" t="s">
        <v>602</v>
      </c>
      <c r="K48" s="3">
        <v>0</v>
      </c>
      <c r="L48" s="26"/>
      <c r="M48" s="27">
        <v>0</v>
      </c>
      <c r="O48" s="3">
        <v>0</v>
      </c>
      <c r="S48" s="3"/>
      <c r="T48" s="3"/>
      <c r="U48" s="3"/>
      <c r="V48" s="3"/>
      <c r="W48" s="3">
        <f t="shared" si="0"/>
        <v>0</v>
      </c>
      <c r="X48" s="44" t="s">
        <v>194</v>
      </c>
      <c r="Y48" s="32"/>
      <c r="AA48"/>
    </row>
    <row r="49" spans="3:36">
      <c r="C49">
        <v>5360</v>
      </c>
      <c r="D49" t="s">
        <v>537</v>
      </c>
      <c r="E49">
        <v>94910000</v>
      </c>
      <c r="H49" t="s">
        <v>603</v>
      </c>
      <c r="K49" s="3">
        <v>0</v>
      </c>
      <c r="L49" s="26"/>
      <c r="M49" s="27">
        <v>0</v>
      </c>
      <c r="O49" s="3">
        <v>0</v>
      </c>
      <c r="S49" s="3"/>
      <c r="T49" s="3"/>
      <c r="U49" s="3"/>
      <c r="V49" s="3"/>
      <c r="W49" s="3">
        <f t="shared" si="0"/>
        <v>0</v>
      </c>
      <c r="X49" s="44" t="s">
        <v>194</v>
      </c>
      <c r="Y49" s="32"/>
      <c r="AA49"/>
    </row>
    <row r="50" spans="3:36">
      <c r="C50">
        <v>5360</v>
      </c>
      <c r="D50" t="s">
        <v>537</v>
      </c>
      <c r="E50">
        <v>94920000</v>
      </c>
      <c r="H50" t="s">
        <v>604</v>
      </c>
      <c r="K50" s="3">
        <v>0</v>
      </c>
      <c r="L50" s="26"/>
      <c r="M50" s="27">
        <v>0</v>
      </c>
      <c r="O50" s="3">
        <v>0</v>
      </c>
      <c r="S50" s="3"/>
      <c r="T50" s="3"/>
      <c r="U50" s="3"/>
      <c r="V50" s="3"/>
      <c r="W50" s="3">
        <f t="shared" si="0"/>
        <v>0</v>
      </c>
      <c r="X50" s="44" t="s">
        <v>194</v>
      </c>
      <c r="Y50" s="32"/>
      <c r="AA50"/>
    </row>
    <row r="51" spans="3:36">
      <c r="C51">
        <v>5360</v>
      </c>
      <c r="E51">
        <v>94930000</v>
      </c>
      <c r="H51" t="s">
        <v>295</v>
      </c>
      <c r="K51" s="3">
        <v>-1974400.09</v>
      </c>
      <c r="L51" s="26"/>
      <c r="M51" s="27">
        <v>-1854100.49</v>
      </c>
      <c r="O51" s="3">
        <v>-120299.6</v>
      </c>
      <c r="Q51">
        <v>-6.5</v>
      </c>
      <c r="S51" s="3"/>
      <c r="T51" s="3"/>
      <c r="U51" s="3"/>
      <c r="V51" s="3"/>
      <c r="W51" s="3">
        <f t="shared" si="0"/>
        <v>-1974400.09</v>
      </c>
      <c r="X51" s="44" t="s">
        <v>194</v>
      </c>
      <c r="Y51" s="32"/>
      <c r="AA51"/>
      <c r="AJ51" s="31"/>
    </row>
    <row r="52" spans="3:36">
      <c r="C52">
        <v>5360</v>
      </c>
      <c r="D52" t="s">
        <v>537</v>
      </c>
      <c r="E52">
        <v>94940000</v>
      </c>
      <c r="H52" t="s">
        <v>605</v>
      </c>
      <c r="K52" s="3">
        <v>0</v>
      </c>
      <c r="L52" s="26"/>
      <c r="M52" s="27">
        <v>0</v>
      </c>
      <c r="O52" s="3">
        <v>0</v>
      </c>
      <c r="S52" s="3"/>
      <c r="T52" s="3"/>
      <c r="U52" s="3"/>
      <c r="V52" s="3"/>
      <c r="W52" s="3">
        <f t="shared" si="0"/>
        <v>0</v>
      </c>
      <c r="X52" s="44" t="s">
        <v>194</v>
      </c>
      <c r="Y52" s="32"/>
      <c r="AA52"/>
    </row>
    <row r="53" spans="3:36">
      <c r="C53" s="326">
        <v>5360</v>
      </c>
      <c r="D53" s="326"/>
      <c r="E53" s="326">
        <v>94950000</v>
      </c>
      <c r="F53" s="326"/>
      <c r="G53" s="326"/>
      <c r="H53" s="326" t="s">
        <v>606</v>
      </c>
      <c r="I53" s="326"/>
      <c r="J53" s="326"/>
      <c r="K53" s="327">
        <v>-23518777.760000002</v>
      </c>
      <c r="L53" s="329"/>
      <c r="M53" s="330">
        <v>-6673975.0800000001</v>
      </c>
      <c r="N53" s="326"/>
      <c r="O53" s="327">
        <v>-16844802.68</v>
      </c>
      <c r="Q53">
        <v>-252.4</v>
      </c>
      <c r="S53" s="3"/>
      <c r="T53" s="3"/>
      <c r="U53" s="3"/>
      <c r="V53" s="3"/>
      <c r="W53" s="3">
        <f t="shared" si="0"/>
        <v>-23518777.760000002</v>
      </c>
      <c r="X53" s="44" t="s">
        <v>194</v>
      </c>
      <c r="Y53" s="32"/>
      <c r="AA53"/>
      <c r="AJ53" s="31"/>
    </row>
    <row r="54" spans="3:36">
      <c r="C54">
        <v>5360</v>
      </c>
      <c r="D54" t="s">
        <v>537</v>
      </c>
      <c r="E54">
        <v>94960000</v>
      </c>
      <c r="H54" t="s">
        <v>607</v>
      </c>
      <c r="K54" s="3">
        <v>0</v>
      </c>
      <c r="L54" s="26"/>
      <c r="M54" s="27">
        <v>0</v>
      </c>
      <c r="O54" s="3">
        <v>0</v>
      </c>
      <c r="S54" s="3"/>
      <c r="T54" s="3"/>
      <c r="U54" s="3"/>
      <c r="V54" s="3"/>
      <c r="W54" s="3">
        <f t="shared" si="0"/>
        <v>0</v>
      </c>
      <c r="X54" s="44" t="s">
        <v>194</v>
      </c>
      <c r="Y54" s="182" t="s">
        <v>608</v>
      </c>
      <c r="AA54"/>
    </row>
    <row r="55" spans="3:36">
      <c r="E55" t="s">
        <v>606</v>
      </c>
      <c r="K55" s="3">
        <v>-74705280.310000002</v>
      </c>
      <c r="L55" s="26"/>
      <c r="M55" s="27">
        <v>-54148209.530000001</v>
      </c>
      <c r="O55" s="3">
        <v>-20557070.780000001</v>
      </c>
      <c r="Q55">
        <v>-38</v>
      </c>
      <c r="R55" t="s">
        <v>569</v>
      </c>
      <c r="S55" s="3">
        <f>SUM(S42:S54)</f>
        <v>0</v>
      </c>
      <c r="T55" s="3">
        <f>SUM(T42:T54)</f>
        <v>0</v>
      </c>
      <c r="U55" s="3">
        <f>SUM(U42:U54)</f>
        <v>0</v>
      </c>
      <c r="V55" s="3">
        <f>SUM(V42:V54)</f>
        <v>0</v>
      </c>
      <c r="W55" s="3">
        <f t="shared" si="0"/>
        <v>-74705280.310000002</v>
      </c>
      <c r="X55" s="619"/>
      <c r="Y55" s="145">
        <f>SUMIF(X:X,"CC",W:W)</f>
        <v>-25545525.170000002</v>
      </c>
      <c r="Z55" t="s">
        <v>609</v>
      </c>
      <c r="AA55" t="s">
        <v>578</v>
      </c>
      <c r="AJ55" s="31"/>
    </row>
    <row r="56" spans="3:36">
      <c r="E56" t="s">
        <v>610</v>
      </c>
      <c r="K56" s="3">
        <v>-440127455.13</v>
      </c>
      <c r="L56" s="26"/>
      <c r="M56" s="27">
        <v>-435785474.60000002</v>
      </c>
      <c r="O56" s="3">
        <v>-4341980.53</v>
      </c>
      <c r="Q56">
        <v>-1</v>
      </c>
      <c r="R56" t="s">
        <v>611</v>
      </c>
      <c r="S56" s="3">
        <f>S55+S41+S24+S18</f>
        <v>205913.15000000002</v>
      </c>
      <c r="T56" s="3">
        <f>T55+T41+T24+T18</f>
        <v>0</v>
      </c>
      <c r="U56" s="3">
        <f>U55+U41+U24+U18</f>
        <v>0</v>
      </c>
      <c r="V56" s="3">
        <f>V55+V41+V24+V18</f>
        <v>0</v>
      </c>
      <c r="W56" s="3">
        <f t="shared" si="0"/>
        <v>-439921541.98000002</v>
      </c>
      <c r="X56" s="619"/>
      <c r="Y56" s="3">
        <f>SUM(Y9:Y55)-W56</f>
        <v>0</v>
      </c>
      <c r="Z56" t="s">
        <v>612</v>
      </c>
      <c r="AA56"/>
      <c r="AJ56" s="31"/>
    </row>
    <row r="57" spans="3:36">
      <c r="K57" s="3"/>
      <c r="L57" s="26"/>
      <c r="M57" s="27"/>
      <c r="O57" s="3"/>
      <c r="S57" s="3"/>
      <c r="T57" s="3"/>
      <c r="U57" s="3"/>
      <c r="V57" s="3"/>
      <c r="W57" s="3">
        <f t="shared" si="0"/>
        <v>0</v>
      </c>
      <c r="X57" s="619"/>
      <c r="AA57"/>
    </row>
    <row r="58" spans="3:36">
      <c r="C58">
        <v>5360</v>
      </c>
      <c r="D58" t="s">
        <v>537</v>
      </c>
      <c r="E58">
        <v>95550000</v>
      </c>
      <c r="H58" t="s">
        <v>613</v>
      </c>
      <c r="K58" s="3">
        <v>0</v>
      </c>
      <c r="L58" s="26"/>
      <c r="M58" s="27">
        <v>0</v>
      </c>
      <c r="O58" s="3">
        <v>0</v>
      </c>
      <c r="S58" s="3"/>
      <c r="T58" s="3"/>
      <c r="U58" s="3"/>
      <c r="V58" s="3"/>
      <c r="W58" s="3">
        <f t="shared" si="0"/>
        <v>0</v>
      </c>
      <c r="X58" s="44" t="s">
        <v>197</v>
      </c>
      <c r="AA58"/>
    </row>
    <row r="59" spans="3:36">
      <c r="C59">
        <v>5360</v>
      </c>
      <c r="D59" t="s">
        <v>537</v>
      </c>
      <c r="E59">
        <v>97170000</v>
      </c>
      <c r="H59" t="s">
        <v>614</v>
      </c>
      <c r="K59" s="3">
        <v>0</v>
      </c>
      <c r="L59" s="26"/>
      <c r="M59" s="27">
        <v>0</v>
      </c>
      <c r="O59" s="3">
        <v>0</v>
      </c>
      <c r="S59" s="3"/>
      <c r="T59" s="3"/>
      <c r="U59" s="3"/>
      <c r="V59" s="3"/>
      <c r="W59" s="3">
        <f t="shared" si="0"/>
        <v>0</v>
      </c>
      <c r="X59" s="44" t="s">
        <v>197</v>
      </c>
      <c r="AA59"/>
    </row>
    <row r="60" spans="3:36">
      <c r="C60">
        <v>5360</v>
      </c>
      <c r="D60" t="s">
        <v>537</v>
      </c>
      <c r="E60">
        <v>97180000</v>
      </c>
      <c r="H60" t="s">
        <v>615</v>
      </c>
      <c r="K60" s="3">
        <v>0</v>
      </c>
      <c r="L60" s="26"/>
      <c r="M60" s="27">
        <v>0</v>
      </c>
      <c r="O60" s="3">
        <v>0</v>
      </c>
      <c r="S60" s="3"/>
      <c r="T60" s="3"/>
      <c r="U60" s="3"/>
      <c r="V60" s="3"/>
      <c r="W60" s="3">
        <f t="shared" si="0"/>
        <v>0</v>
      </c>
      <c r="X60" s="44" t="s">
        <v>197</v>
      </c>
      <c r="AA60"/>
    </row>
    <row r="61" spans="3:36">
      <c r="C61">
        <v>5360</v>
      </c>
      <c r="D61" t="s">
        <v>537</v>
      </c>
      <c r="E61">
        <v>97280000</v>
      </c>
      <c r="H61" t="s">
        <v>616</v>
      </c>
      <c r="K61" s="3">
        <v>0</v>
      </c>
      <c r="L61" s="26"/>
      <c r="M61" s="27">
        <v>0</v>
      </c>
      <c r="O61" s="3">
        <v>0</v>
      </c>
      <c r="S61" s="3"/>
      <c r="T61" s="3"/>
      <c r="U61" s="3"/>
      <c r="V61" s="3"/>
      <c r="W61" s="3">
        <f t="shared" si="0"/>
        <v>0</v>
      </c>
      <c r="X61" s="44" t="s">
        <v>197</v>
      </c>
      <c r="AA61"/>
    </row>
    <row r="62" spans="3:36">
      <c r="C62">
        <v>5360</v>
      </c>
      <c r="D62" t="s">
        <v>537</v>
      </c>
      <c r="E62">
        <v>98000000</v>
      </c>
      <c r="H62" t="s">
        <v>617</v>
      </c>
      <c r="K62" s="3">
        <v>0</v>
      </c>
      <c r="L62" s="26"/>
      <c r="M62" s="27">
        <v>0</v>
      </c>
      <c r="O62" s="3">
        <v>0</v>
      </c>
      <c r="S62" s="3"/>
      <c r="T62" s="3"/>
      <c r="U62" s="3"/>
      <c r="V62" s="3"/>
      <c r="W62" s="3">
        <f t="shared" si="0"/>
        <v>0</v>
      </c>
      <c r="X62" s="44" t="s">
        <v>197</v>
      </c>
      <c r="AA62"/>
    </row>
    <row r="63" spans="3:36">
      <c r="C63">
        <v>5360</v>
      </c>
      <c r="D63" t="s">
        <v>537</v>
      </c>
      <c r="E63">
        <v>98001000</v>
      </c>
      <c r="H63" t="s">
        <v>618</v>
      </c>
      <c r="K63" s="3">
        <v>0</v>
      </c>
      <c r="L63" s="26"/>
      <c r="M63" s="27">
        <v>0</v>
      </c>
      <c r="O63" s="3">
        <v>0</v>
      </c>
      <c r="S63" s="3"/>
      <c r="T63" s="3"/>
      <c r="U63" s="3"/>
      <c r="V63" s="3"/>
      <c r="W63" s="3">
        <f t="shared" si="0"/>
        <v>0</v>
      </c>
      <c r="X63" s="44" t="s">
        <v>197</v>
      </c>
      <c r="AA63"/>
    </row>
    <row r="64" spans="3:36">
      <c r="C64">
        <v>5360</v>
      </c>
      <c r="D64" t="s">
        <v>537</v>
      </c>
      <c r="E64">
        <v>98010000</v>
      </c>
      <c r="H64" t="s">
        <v>619</v>
      </c>
      <c r="K64" s="3">
        <v>0</v>
      </c>
      <c r="L64" s="26"/>
      <c r="M64" s="27">
        <v>0</v>
      </c>
      <c r="O64" s="3">
        <v>0</v>
      </c>
      <c r="S64" s="3"/>
      <c r="T64" s="3"/>
      <c r="U64" s="3"/>
      <c r="V64" s="3"/>
      <c r="W64" s="3">
        <f t="shared" si="0"/>
        <v>0</v>
      </c>
      <c r="X64" s="44" t="s">
        <v>197</v>
      </c>
      <c r="AA64"/>
    </row>
    <row r="65" spans="3:36">
      <c r="C65">
        <v>5360</v>
      </c>
      <c r="D65" t="s">
        <v>537</v>
      </c>
      <c r="E65">
        <v>98020000</v>
      </c>
      <c r="H65" t="s">
        <v>620</v>
      </c>
      <c r="K65" s="3">
        <v>0</v>
      </c>
      <c r="L65" s="26"/>
      <c r="M65" s="27">
        <v>0</v>
      </c>
      <c r="O65" s="3">
        <v>0</v>
      </c>
      <c r="S65" s="3"/>
      <c r="T65" s="3"/>
      <c r="U65" s="3"/>
      <c r="V65" s="3"/>
      <c r="W65" s="3">
        <f t="shared" si="0"/>
        <v>0</v>
      </c>
      <c r="X65" s="44" t="s">
        <v>197</v>
      </c>
      <c r="AA65"/>
    </row>
    <row r="66" spans="3:36">
      <c r="C66">
        <v>5360</v>
      </c>
      <c r="D66" t="s">
        <v>537</v>
      </c>
      <c r="E66">
        <v>98030000</v>
      </c>
      <c r="H66" t="s">
        <v>621</v>
      </c>
      <c r="K66" s="3">
        <v>0</v>
      </c>
      <c r="L66" s="26"/>
      <c r="M66" s="27">
        <v>0</v>
      </c>
      <c r="O66" s="3">
        <v>0</v>
      </c>
      <c r="S66" s="3"/>
      <c r="T66" s="3"/>
      <c r="U66" s="3"/>
      <c r="V66" s="3"/>
      <c r="W66" s="3">
        <f t="shared" si="0"/>
        <v>0</v>
      </c>
      <c r="X66" s="44" t="s">
        <v>197</v>
      </c>
      <c r="AA66"/>
    </row>
    <row r="67" spans="3:36">
      <c r="C67">
        <v>5360</v>
      </c>
      <c r="E67">
        <v>98040000</v>
      </c>
      <c r="H67" t="s">
        <v>622</v>
      </c>
      <c r="K67" s="3">
        <v>153722767.27000001</v>
      </c>
      <c r="L67" s="26"/>
      <c r="M67" s="27">
        <v>172821572.78999999</v>
      </c>
      <c r="O67" s="3">
        <v>-19098805.52</v>
      </c>
      <c r="Q67">
        <v>-11.1</v>
      </c>
      <c r="S67" s="3"/>
      <c r="T67" s="3"/>
      <c r="U67" s="3"/>
      <c r="V67" s="3"/>
      <c r="W67" s="3">
        <f t="shared" si="0"/>
        <v>153722767.27000001</v>
      </c>
      <c r="X67" s="44" t="s">
        <v>197</v>
      </c>
      <c r="AA67"/>
      <c r="AJ67" s="31"/>
    </row>
    <row r="68" spans="3:36">
      <c r="C68">
        <v>5360</v>
      </c>
      <c r="D68" t="s">
        <v>537</v>
      </c>
      <c r="E68">
        <v>98041000</v>
      </c>
      <c r="H68" t="s">
        <v>623</v>
      </c>
      <c r="K68" s="3">
        <v>0</v>
      </c>
      <c r="L68" s="26"/>
      <c r="M68" s="27">
        <v>0</v>
      </c>
      <c r="O68" s="3">
        <v>0</v>
      </c>
      <c r="S68" s="3"/>
      <c r="T68" s="3"/>
      <c r="U68" s="3"/>
      <c r="V68" s="3"/>
      <c r="W68" s="3">
        <f t="shared" si="0"/>
        <v>0</v>
      </c>
      <c r="X68" s="44" t="s">
        <v>197</v>
      </c>
      <c r="AA68"/>
    </row>
    <row r="69" spans="3:36">
      <c r="C69">
        <v>5360</v>
      </c>
      <c r="D69" t="s">
        <v>537</v>
      </c>
      <c r="E69">
        <v>98050000</v>
      </c>
      <c r="H69" t="s">
        <v>624</v>
      </c>
      <c r="K69" s="3">
        <v>0</v>
      </c>
      <c r="L69" s="26"/>
      <c r="M69" s="27">
        <v>0</v>
      </c>
      <c r="O69" s="3">
        <v>0</v>
      </c>
      <c r="S69" s="3"/>
      <c r="T69" s="3"/>
      <c r="U69" s="3"/>
      <c r="V69" s="3"/>
      <c r="W69" s="3">
        <f t="shared" si="0"/>
        <v>0</v>
      </c>
      <c r="X69" s="44" t="s">
        <v>197</v>
      </c>
      <c r="AA69"/>
    </row>
    <row r="70" spans="3:36">
      <c r="C70">
        <v>5360</v>
      </c>
      <c r="D70" t="s">
        <v>537</v>
      </c>
      <c r="E70">
        <v>98051000</v>
      </c>
      <c r="H70" t="s">
        <v>625</v>
      </c>
      <c r="K70" s="3">
        <v>0</v>
      </c>
      <c r="L70" s="26"/>
      <c r="M70" s="27">
        <v>0</v>
      </c>
      <c r="O70" s="3">
        <v>0</v>
      </c>
      <c r="S70" s="3"/>
      <c r="T70" s="3"/>
      <c r="U70" s="3"/>
      <c r="V70" s="3"/>
      <c r="W70" s="3">
        <f t="shared" si="0"/>
        <v>0</v>
      </c>
      <c r="X70" s="44" t="s">
        <v>197</v>
      </c>
      <c r="AA70"/>
    </row>
    <row r="71" spans="3:36">
      <c r="C71">
        <v>5360</v>
      </c>
      <c r="D71" t="s">
        <v>537</v>
      </c>
      <c r="E71">
        <v>98060000</v>
      </c>
      <c r="H71" t="s">
        <v>626</v>
      </c>
      <c r="K71" s="3">
        <v>0</v>
      </c>
      <c r="L71" s="26"/>
      <c r="M71" s="27">
        <v>0</v>
      </c>
      <c r="O71" s="3">
        <v>0</v>
      </c>
      <c r="S71" s="3"/>
      <c r="T71" s="3"/>
      <c r="U71" s="3"/>
      <c r="V71" s="3"/>
      <c r="W71" s="3">
        <f t="shared" si="0"/>
        <v>0</v>
      </c>
      <c r="X71" s="44" t="s">
        <v>197</v>
      </c>
      <c r="AA71"/>
    </row>
    <row r="72" spans="3:36">
      <c r="C72">
        <v>5360</v>
      </c>
      <c r="D72" t="s">
        <v>537</v>
      </c>
      <c r="E72">
        <v>98070000</v>
      </c>
      <c r="H72" t="s">
        <v>627</v>
      </c>
      <c r="K72" s="3">
        <v>0</v>
      </c>
      <c r="L72" s="26"/>
      <c r="M72" s="27">
        <v>0</v>
      </c>
      <c r="O72" s="3">
        <v>0</v>
      </c>
      <c r="S72" s="3"/>
      <c r="T72" s="3"/>
      <c r="U72" s="3"/>
      <c r="V72" s="3"/>
      <c r="W72" s="3">
        <f t="shared" si="0"/>
        <v>0</v>
      </c>
      <c r="X72" s="44" t="s">
        <v>197</v>
      </c>
      <c r="AA72"/>
    </row>
    <row r="73" spans="3:36">
      <c r="C73">
        <v>5360</v>
      </c>
      <c r="D73" t="s">
        <v>537</v>
      </c>
      <c r="E73">
        <v>98071000</v>
      </c>
      <c r="H73" t="s">
        <v>628</v>
      </c>
      <c r="K73" s="3">
        <v>0</v>
      </c>
      <c r="L73" s="26"/>
      <c r="M73" s="27">
        <v>0</v>
      </c>
      <c r="O73" s="3">
        <v>0</v>
      </c>
      <c r="S73" s="3"/>
      <c r="T73" s="3"/>
      <c r="U73" s="3"/>
      <c r="V73" s="3"/>
      <c r="W73" s="3">
        <f t="shared" ref="W73:W136" si="1">SUM(K73,S73:V73)</f>
        <v>0</v>
      </c>
      <c r="X73" s="44" t="s">
        <v>580</v>
      </c>
      <c r="AA73"/>
    </row>
    <row r="74" spans="3:36">
      <c r="C74">
        <v>5360</v>
      </c>
      <c r="D74" t="s">
        <v>537</v>
      </c>
      <c r="E74">
        <v>98072000</v>
      </c>
      <c r="H74" t="s">
        <v>628</v>
      </c>
      <c r="K74" s="3">
        <v>0</v>
      </c>
      <c r="L74" s="26"/>
      <c r="M74" s="27">
        <v>0</v>
      </c>
      <c r="O74" s="3">
        <v>0</v>
      </c>
      <c r="S74" s="3"/>
      <c r="T74" s="3"/>
      <c r="U74" s="3"/>
      <c r="V74" s="3"/>
      <c r="W74" s="3">
        <f t="shared" si="1"/>
        <v>0</v>
      </c>
      <c r="X74" s="44" t="s">
        <v>580</v>
      </c>
      <c r="AA74"/>
    </row>
    <row r="75" spans="3:36">
      <c r="C75">
        <v>5360</v>
      </c>
      <c r="D75" t="s">
        <v>537</v>
      </c>
      <c r="E75">
        <v>98073000</v>
      </c>
      <c r="H75" t="s">
        <v>628</v>
      </c>
      <c r="K75" s="3">
        <v>0</v>
      </c>
      <c r="L75" s="26"/>
      <c r="M75" s="27">
        <v>0</v>
      </c>
      <c r="O75" s="3">
        <v>0</v>
      </c>
      <c r="S75" s="3"/>
      <c r="T75" s="3"/>
      <c r="U75" s="3"/>
      <c r="V75" s="3"/>
      <c r="W75" s="3">
        <f t="shared" si="1"/>
        <v>0</v>
      </c>
      <c r="X75" s="44" t="s">
        <v>580</v>
      </c>
      <c r="AA75"/>
    </row>
    <row r="76" spans="3:36">
      <c r="C76">
        <v>5360</v>
      </c>
      <c r="D76" t="s">
        <v>537</v>
      </c>
      <c r="E76">
        <v>98074000</v>
      </c>
      <c r="H76" t="s">
        <v>628</v>
      </c>
      <c r="K76" s="3">
        <v>0</v>
      </c>
      <c r="L76" s="26"/>
      <c r="M76" s="27">
        <v>0</v>
      </c>
      <c r="O76" s="3">
        <v>0</v>
      </c>
      <c r="S76" s="3"/>
      <c r="T76" s="3"/>
      <c r="U76" s="3"/>
      <c r="V76" s="3"/>
      <c r="W76" s="3">
        <f t="shared" si="1"/>
        <v>0</v>
      </c>
      <c r="X76" s="44" t="s">
        <v>580</v>
      </c>
      <c r="AA76"/>
    </row>
    <row r="77" spans="3:36">
      <c r="C77">
        <v>5360</v>
      </c>
      <c r="D77" t="s">
        <v>537</v>
      </c>
      <c r="E77">
        <v>98075000</v>
      </c>
      <c r="H77" t="s">
        <v>628</v>
      </c>
      <c r="K77" s="3">
        <v>0</v>
      </c>
      <c r="L77" s="26"/>
      <c r="M77" s="27">
        <v>0</v>
      </c>
      <c r="O77" s="3">
        <v>0</v>
      </c>
      <c r="S77" s="3"/>
      <c r="T77" s="3"/>
      <c r="U77" s="3"/>
      <c r="V77" s="3"/>
      <c r="W77" s="3">
        <f t="shared" si="1"/>
        <v>0</v>
      </c>
      <c r="X77" s="44" t="s">
        <v>580</v>
      </c>
      <c r="AA77"/>
    </row>
    <row r="78" spans="3:36">
      <c r="C78">
        <v>5360</v>
      </c>
      <c r="E78">
        <v>98081000</v>
      </c>
      <c r="H78" t="s">
        <v>629</v>
      </c>
      <c r="K78" s="3">
        <v>6232699.8799999999</v>
      </c>
      <c r="L78" s="26"/>
      <c r="M78" s="27">
        <v>9169630.3699999992</v>
      </c>
      <c r="O78" s="3">
        <v>-2936930.49</v>
      </c>
      <c r="Q78">
        <v>-32</v>
      </c>
      <c r="S78" s="3"/>
      <c r="T78" s="3"/>
      <c r="U78" s="3"/>
      <c r="V78" s="3"/>
      <c r="W78" s="3">
        <f t="shared" si="1"/>
        <v>6232699.8799999999</v>
      </c>
      <c r="X78" s="44" t="s">
        <v>197</v>
      </c>
      <c r="AA78"/>
      <c r="AJ78" s="31"/>
    </row>
    <row r="79" spans="3:36">
      <c r="C79">
        <v>5360</v>
      </c>
      <c r="E79">
        <v>98082000</v>
      </c>
      <c r="H79" t="s">
        <v>630</v>
      </c>
      <c r="K79" s="3">
        <v>-4468255.96</v>
      </c>
      <c r="L79" s="26"/>
      <c r="M79" s="27">
        <v>-8739910.7599999998</v>
      </c>
      <c r="O79" s="3">
        <v>4271654.8</v>
      </c>
      <c r="Q79">
        <v>48.9</v>
      </c>
      <c r="S79" s="3"/>
      <c r="T79" s="3"/>
      <c r="U79" s="3"/>
      <c r="V79" s="3"/>
      <c r="W79" s="3">
        <f t="shared" si="1"/>
        <v>-4468255.96</v>
      </c>
      <c r="X79" s="44" t="s">
        <v>197</v>
      </c>
      <c r="AA79"/>
      <c r="AJ79" s="31"/>
    </row>
    <row r="80" spans="3:36">
      <c r="C80">
        <v>5360</v>
      </c>
      <c r="E80">
        <v>98091000</v>
      </c>
      <c r="H80" t="s">
        <v>631</v>
      </c>
      <c r="K80" s="3">
        <v>1048773.28</v>
      </c>
      <c r="L80" s="26"/>
      <c r="M80" s="27">
        <v>2246683.41</v>
      </c>
      <c r="O80" s="3">
        <v>-1197910.1299999999</v>
      </c>
      <c r="Q80">
        <v>-53.3</v>
      </c>
      <c r="S80" s="3"/>
      <c r="T80" s="3"/>
      <c r="U80" s="3"/>
      <c r="V80" s="3"/>
      <c r="W80" s="3">
        <f t="shared" si="1"/>
        <v>1048773.28</v>
      </c>
      <c r="X80" s="44" t="s">
        <v>197</v>
      </c>
      <c r="AA80"/>
      <c r="AJ80" s="31"/>
    </row>
    <row r="81" spans="3:36">
      <c r="C81">
        <v>5360</v>
      </c>
      <c r="E81">
        <v>98092000</v>
      </c>
      <c r="H81" t="s">
        <v>632</v>
      </c>
      <c r="K81" s="3">
        <v>-819117.99</v>
      </c>
      <c r="L81" s="26"/>
      <c r="M81" s="27">
        <v>-1814239.93</v>
      </c>
      <c r="O81" s="3">
        <v>995121.94</v>
      </c>
      <c r="Q81">
        <v>54.9</v>
      </c>
      <c r="S81" s="3"/>
      <c r="T81" s="3"/>
      <c r="U81" s="3"/>
      <c r="V81" s="3"/>
      <c r="W81" s="3">
        <f t="shared" si="1"/>
        <v>-819117.99</v>
      </c>
      <c r="X81" s="44" t="s">
        <v>197</v>
      </c>
      <c r="AA81"/>
      <c r="AJ81" s="31"/>
    </row>
    <row r="82" spans="3:36">
      <c r="C82">
        <v>5360</v>
      </c>
      <c r="D82" t="s">
        <v>537</v>
      </c>
      <c r="E82">
        <v>98100000</v>
      </c>
      <c r="H82" t="s">
        <v>633</v>
      </c>
      <c r="K82" s="3">
        <v>0</v>
      </c>
      <c r="L82" s="26"/>
      <c r="M82" s="27">
        <v>0</v>
      </c>
      <c r="O82" s="3">
        <v>0</v>
      </c>
      <c r="S82" s="3"/>
      <c r="T82" s="3"/>
      <c r="U82" s="3"/>
      <c r="V82" s="3"/>
      <c r="W82" s="3">
        <f t="shared" si="1"/>
        <v>0</v>
      </c>
      <c r="X82" s="44" t="s">
        <v>197</v>
      </c>
      <c r="AA82"/>
    </row>
    <row r="83" spans="3:36">
      <c r="C83">
        <v>5360</v>
      </c>
      <c r="D83" t="s">
        <v>537</v>
      </c>
      <c r="E83">
        <v>98110000</v>
      </c>
      <c r="H83" t="s">
        <v>634</v>
      </c>
      <c r="K83" s="3">
        <v>0</v>
      </c>
      <c r="L83" s="26"/>
      <c r="M83" s="27">
        <v>0</v>
      </c>
      <c r="O83" s="3">
        <v>0</v>
      </c>
      <c r="S83" s="3"/>
      <c r="T83" s="3"/>
      <c r="U83" s="3"/>
      <c r="V83" s="3"/>
      <c r="W83" s="3">
        <f t="shared" si="1"/>
        <v>0</v>
      </c>
      <c r="X83" s="44" t="s">
        <v>197</v>
      </c>
      <c r="AA83"/>
    </row>
    <row r="84" spans="3:36">
      <c r="C84">
        <v>5360</v>
      </c>
      <c r="E84">
        <v>98120000</v>
      </c>
      <c r="H84" t="s">
        <v>635</v>
      </c>
      <c r="K84" s="3">
        <v>-94996.51</v>
      </c>
      <c r="L84" s="26"/>
      <c r="M84" s="27">
        <v>-167028.72</v>
      </c>
      <c r="O84" s="3">
        <v>72032.210000000006</v>
      </c>
      <c r="Q84">
        <v>43.1</v>
      </c>
      <c r="S84" s="3"/>
      <c r="T84" s="3"/>
      <c r="U84" s="3"/>
      <c r="V84" s="3"/>
      <c r="W84" s="3">
        <f t="shared" si="1"/>
        <v>-94996.51</v>
      </c>
      <c r="X84" s="44" t="s">
        <v>197</v>
      </c>
      <c r="AA84"/>
      <c r="AJ84" s="31"/>
    </row>
    <row r="85" spans="3:36">
      <c r="C85">
        <v>5360</v>
      </c>
      <c r="E85">
        <v>98130000</v>
      </c>
      <c r="H85" t="s">
        <v>636</v>
      </c>
      <c r="K85" s="3">
        <v>0</v>
      </c>
      <c r="L85" s="26"/>
      <c r="M85" s="27">
        <v>4123.58</v>
      </c>
      <c r="O85" s="3">
        <v>-4123.58</v>
      </c>
      <c r="Q85">
        <v>-100</v>
      </c>
      <c r="S85" s="9"/>
      <c r="T85" s="3"/>
      <c r="U85" s="3"/>
      <c r="V85" s="3"/>
      <c r="W85" s="3">
        <f t="shared" si="1"/>
        <v>0</v>
      </c>
      <c r="X85" s="44" t="s">
        <v>197</v>
      </c>
      <c r="AA85"/>
      <c r="AJ85" s="31"/>
    </row>
    <row r="86" spans="3:36">
      <c r="E86" t="s">
        <v>637</v>
      </c>
      <c r="K86" s="3">
        <v>155621869.97</v>
      </c>
      <c r="L86" s="26"/>
      <c r="M86" s="27">
        <v>173520830.74000001</v>
      </c>
      <c r="O86" s="3">
        <v>-17898960.77</v>
      </c>
      <c r="Q86">
        <v>-10.3</v>
      </c>
      <c r="R86" t="s">
        <v>569</v>
      </c>
      <c r="S86" s="3">
        <f>SUM(S58:S85)</f>
        <v>0</v>
      </c>
      <c r="T86" s="3">
        <f>SUM(T58:T85)</f>
        <v>0</v>
      </c>
      <c r="U86" s="3">
        <f>SUM(U58:U85)</f>
        <v>0</v>
      </c>
      <c r="V86" s="3">
        <f>SUM(V58:V85)</f>
        <v>0</v>
      </c>
      <c r="W86" s="3">
        <f t="shared" si="1"/>
        <v>155621869.97</v>
      </c>
      <c r="X86" s="44"/>
      <c r="AA86"/>
      <c r="AJ86" s="31"/>
    </row>
    <row r="87" spans="3:36">
      <c r="C87">
        <v>5360</v>
      </c>
      <c r="D87" t="s">
        <v>537</v>
      </c>
      <c r="E87">
        <v>95010000</v>
      </c>
      <c r="H87" t="s">
        <v>638</v>
      </c>
      <c r="K87" s="3">
        <v>0</v>
      </c>
      <c r="L87" s="26"/>
      <c r="M87" s="27">
        <v>0</v>
      </c>
      <c r="O87" s="3">
        <v>0</v>
      </c>
      <c r="S87" s="3"/>
      <c r="T87" s="3"/>
      <c r="U87" s="3"/>
      <c r="V87" s="3"/>
      <c r="W87" s="3">
        <f t="shared" si="1"/>
        <v>0</v>
      </c>
      <c r="X87" s="44" t="s">
        <v>197</v>
      </c>
      <c r="AA87"/>
    </row>
    <row r="88" spans="3:36">
      <c r="C88">
        <v>5360</v>
      </c>
      <c r="D88" t="s">
        <v>537</v>
      </c>
      <c r="E88">
        <v>95470000</v>
      </c>
      <c r="H88" t="s">
        <v>638</v>
      </c>
      <c r="K88" s="3">
        <v>0</v>
      </c>
      <c r="L88" s="26"/>
      <c r="M88" s="27">
        <v>0</v>
      </c>
      <c r="O88" s="3">
        <v>0</v>
      </c>
      <c r="S88" s="3"/>
      <c r="T88" s="3"/>
      <c r="U88" s="3"/>
      <c r="V88" s="3"/>
      <c r="W88" s="3">
        <f t="shared" si="1"/>
        <v>0</v>
      </c>
      <c r="X88" s="44" t="s">
        <v>197</v>
      </c>
      <c r="AA88"/>
    </row>
    <row r="89" spans="3:36">
      <c r="E89" t="s">
        <v>639</v>
      </c>
      <c r="K89" s="3">
        <v>0</v>
      </c>
      <c r="L89" s="26"/>
      <c r="M89" s="27">
        <v>0</v>
      </c>
      <c r="O89" s="3">
        <v>0</v>
      </c>
      <c r="R89" t="s">
        <v>569</v>
      </c>
      <c r="S89" s="3">
        <f>SUM(S87:S88)</f>
        <v>0</v>
      </c>
      <c r="T89" s="3">
        <f>SUM(T87:T88)</f>
        <v>0</v>
      </c>
      <c r="U89" s="3">
        <f>SUM(U87:U88)</f>
        <v>0</v>
      </c>
      <c r="V89" s="3">
        <f>SUM(V87:V88)</f>
        <v>0</v>
      </c>
      <c r="W89" s="3">
        <f t="shared" si="1"/>
        <v>0</v>
      </c>
      <c r="X89" s="619"/>
      <c r="AA89"/>
    </row>
    <row r="90" spans="3:36">
      <c r="C90">
        <v>5360</v>
      </c>
      <c r="E90">
        <v>95000000</v>
      </c>
      <c r="H90" t="s">
        <v>640</v>
      </c>
      <c r="K90" s="3">
        <v>1181.25</v>
      </c>
      <c r="L90" s="26"/>
      <c r="M90" s="27">
        <v>0</v>
      </c>
      <c r="O90" s="3">
        <v>1181.25</v>
      </c>
      <c r="S90" s="3">
        <v>-1181.25</v>
      </c>
      <c r="T90" s="3"/>
      <c r="U90" s="3"/>
      <c r="V90" s="3"/>
      <c r="W90" s="3">
        <f t="shared" si="1"/>
        <v>0</v>
      </c>
      <c r="X90" s="44" t="s">
        <v>197</v>
      </c>
      <c r="AA90"/>
    </row>
    <row r="91" spans="3:36">
      <c r="C91">
        <v>5360</v>
      </c>
      <c r="D91" t="s">
        <v>537</v>
      </c>
      <c r="E91">
        <v>95020000</v>
      </c>
      <c r="H91" t="s">
        <v>641</v>
      </c>
      <c r="K91" s="3">
        <v>0</v>
      </c>
      <c r="L91" s="26"/>
      <c r="M91" s="27">
        <v>0</v>
      </c>
      <c r="O91" s="3">
        <v>0</v>
      </c>
      <c r="S91" s="3"/>
      <c r="T91" s="3"/>
      <c r="U91" s="3"/>
      <c r="V91" s="3"/>
      <c r="W91" s="3">
        <f t="shared" si="1"/>
        <v>0</v>
      </c>
      <c r="X91" s="44" t="s">
        <v>197</v>
      </c>
      <c r="AA91"/>
    </row>
    <row r="92" spans="3:36">
      <c r="C92">
        <v>5360</v>
      </c>
      <c r="D92" t="s">
        <v>537</v>
      </c>
      <c r="E92">
        <v>95030000</v>
      </c>
      <c r="H92" t="s">
        <v>642</v>
      </c>
      <c r="K92" s="3">
        <v>0</v>
      </c>
      <c r="L92" s="26"/>
      <c r="M92" s="27">
        <v>0</v>
      </c>
      <c r="O92" s="3">
        <v>0</v>
      </c>
      <c r="S92" s="3"/>
      <c r="T92" s="3"/>
      <c r="U92" s="3"/>
      <c r="V92" s="3"/>
      <c r="W92" s="3">
        <f t="shared" si="1"/>
        <v>0</v>
      </c>
      <c r="X92" s="44" t="s">
        <v>197</v>
      </c>
      <c r="AA92"/>
    </row>
    <row r="93" spans="3:36">
      <c r="C93">
        <v>5360</v>
      </c>
      <c r="D93" t="s">
        <v>537</v>
      </c>
      <c r="E93">
        <v>95040000</v>
      </c>
      <c r="H93" t="s">
        <v>643</v>
      </c>
      <c r="K93" s="3">
        <v>0</v>
      </c>
      <c r="L93" s="26"/>
      <c r="M93" s="27">
        <v>0</v>
      </c>
      <c r="O93" s="3">
        <v>0</v>
      </c>
      <c r="S93" s="3"/>
      <c r="T93" s="3"/>
      <c r="U93" s="3"/>
      <c r="V93" s="3"/>
      <c r="W93" s="3">
        <f t="shared" si="1"/>
        <v>0</v>
      </c>
      <c r="X93" s="44" t="s">
        <v>197</v>
      </c>
      <c r="AA93"/>
    </row>
    <row r="94" spans="3:36">
      <c r="C94">
        <v>5360</v>
      </c>
      <c r="D94" t="s">
        <v>537</v>
      </c>
      <c r="E94">
        <v>95050000</v>
      </c>
      <c r="H94" t="s">
        <v>644</v>
      </c>
      <c r="K94" s="3">
        <v>0</v>
      </c>
      <c r="L94" s="26"/>
      <c r="M94" s="27">
        <v>0</v>
      </c>
      <c r="O94" s="3">
        <v>0</v>
      </c>
      <c r="S94" s="3"/>
      <c r="T94" s="3"/>
      <c r="U94" s="3"/>
      <c r="V94" s="3"/>
      <c r="W94" s="3">
        <f t="shared" si="1"/>
        <v>0</v>
      </c>
      <c r="X94" s="44" t="s">
        <v>197</v>
      </c>
      <c r="AA94"/>
    </row>
    <row r="95" spans="3:36">
      <c r="C95">
        <v>5360</v>
      </c>
      <c r="D95" t="s">
        <v>537</v>
      </c>
      <c r="E95">
        <v>95060000</v>
      </c>
      <c r="H95" t="s">
        <v>645</v>
      </c>
      <c r="K95" s="3">
        <v>0</v>
      </c>
      <c r="L95" s="26"/>
      <c r="M95" s="27">
        <v>0</v>
      </c>
      <c r="O95" s="3">
        <v>0</v>
      </c>
      <c r="S95" s="3"/>
      <c r="T95" s="3"/>
      <c r="U95" s="3"/>
      <c r="V95" s="3"/>
      <c r="W95" s="3">
        <f t="shared" si="1"/>
        <v>0</v>
      </c>
      <c r="X95" s="44" t="s">
        <v>197</v>
      </c>
      <c r="AA95"/>
    </row>
    <row r="96" spans="3:36">
      <c r="C96">
        <v>5360</v>
      </c>
      <c r="D96" t="s">
        <v>537</v>
      </c>
      <c r="E96">
        <v>95070000</v>
      </c>
      <c r="H96" t="s">
        <v>646</v>
      </c>
      <c r="K96" s="3">
        <v>0</v>
      </c>
      <c r="L96" s="26"/>
      <c r="M96" s="27">
        <v>0</v>
      </c>
      <c r="O96" s="3">
        <v>0</v>
      </c>
      <c r="S96" s="3"/>
      <c r="T96" s="3"/>
      <c r="U96" s="3"/>
      <c r="V96" s="3"/>
      <c r="W96" s="3">
        <f t="shared" si="1"/>
        <v>0</v>
      </c>
      <c r="X96" s="44" t="s">
        <v>197</v>
      </c>
      <c r="AA96"/>
    </row>
    <row r="97" spans="3:27">
      <c r="C97">
        <v>5360</v>
      </c>
      <c r="D97" t="s">
        <v>537</v>
      </c>
      <c r="E97">
        <v>95080000</v>
      </c>
      <c r="H97" t="s">
        <v>647</v>
      </c>
      <c r="K97" s="3">
        <v>0</v>
      </c>
      <c r="L97" s="26"/>
      <c r="M97" s="27">
        <v>0</v>
      </c>
      <c r="O97" s="3">
        <v>0</v>
      </c>
      <c r="S97" s="3"/>
      <c r="T97" s="3"/>
      <c r="U97" s="3"/>
      <c r="V97" s="3"/>
      <c r="W97" s="3">
        <f t="shared" si="1"/>
        <v>0</v>
      </c>
      <c r="X97" s="44" t="s">
        <v>197</v>
      </c>
      <c r="AA97"/>
    </row>
    <row r="98" spans="3:27">
      <c r="C98">
        <v>5360</v>
      </c>
      <c r="D98" t="s">
        <v>537</v>
      </c>
      <c r="E98">
        <v>95090000</v>
      </c>
      <c r="H98" t="s">
        <v>648</v>
      </c>
      <c r="K98" s="3">
        <v>0</v>
      </c>
      <c r="L98" s="26"/>
      <c r="M98" s="27">
        <v>0</v>
      </c>
      <c r="O98" s="3">
        <v>0</v>
      </c>
      <c r="S98" s="3"/>
      <c r="T98" s="3"/>
      <c r="U98" s="3"/>
      <c r="V98" s="3"/>
      <c r="W98" s="3">
        <f t="shared" si="1"/>
        <v>0</v>
      </c>
      <c r="X98" s="44" t="s">
        <v>197</v>
      </c>
      <c r="AA98"/>
    </row>
    <row r="99" spans="3:27">
      <c r="E99" t="s">
        <v>649</v>
      </c>
      <c r="K99" s="3">
        <v>1181.25</v>
      </c>
      <c r="L99" s="26"/>
      <c r="M99" s="27">
        <v>0</v>
      </c>
      <c r="O99" s="3">
        <v>1181.25</v>
      </c>
      <c r="R99" t="s">
        <v>650</v>
      </c>
      <c r="S99" s="3">
        <f>SUM(S90:S98)</f>
        <v>-1181.25</v>
      </c>
      <c r="T99" s="3">
        <f>SUM(T90:T98)</f>
        <v>0</v>
      </c>
      <c r="U99" s="3">
        <f>SUM(U90:U98)</f>
        <v>0</v>
      </c>
      <c r="V99" s="3">
        <f>SUM(V90:V98)</f>
        <v>0</v>
      </c>
      <c r="W99" s="3">
        <f t="shared" si="1"/>
        <v>0</v>
      </c>
      <c r="X99" s="619"/>
      <c r="AA99"/>
    </row>
    <row r="100" spans="3:27">
      <c r="C100">
        <v>5360</v>
      </c>
      <c r="D100" t="s">
        <v>537</v>
      </c>
      <c r="E100">
        <v>95100000</v>
      </c>
      <c r="H100" t="s">
        <v>651</v>
      </c>
      <c r="K100" s="3">
        <v>0</v>
      </c>
      <c r="L100" s="26"/>
      <c r="M100" s="27">
        <v>0</v>
      </c>
      <c r="O100" s="3">
        <v>0</v>
      </c>
      <c r="S100" s="3"/>
      <c r="T100" s="3"/>
      <c r="U100" s="3"/>
      <c r="V100" s="3"/>
      <c r="W100" s="3">
        <f t="shared" si="1"/>
        <v>0</v>
      </c>
      <c r="X100" s="44" t="s">
        <v>197</v>
      </c>
      <c r="AA100"/>
    </row>
    <row r="101" spans="3:27">
      <c r="C101">
        <v>5360</v>
      </c>
      <c r="D101" t="s">
        <v>537</v>
      </c>
      <c r="E101">
        <v>95110000</v>
      </c>
      <c r="H101" t="s">
        <v>652</v>
      </c>
      <c r="K101" s="3">
        <v>0</v>
      </c>
      <c r="L101" s="26"/>
      <c r="M101" s="27">
        <v>0</v>
      </c>
      <c r="O101" s="3">
        <v>0</v>
      </c>
      <c r="S101" s="3"/>
      <c r="T101" s="3"/>
      <c r="U101" s="3"/>
      <c r="V101" s="3"/>
      <c r="W101" s="3">
        <f t="shared" si="1"/>
        <v>0</v>
      </c>
      <c r="X101" s="44" t="s">
        <v>197</v>
      </c>
      <c r="AA101"/>
    </row>
    <row r="102" spans="3:27">
      <c r="C102">
        <v>5360</v>
      </c>
      <c r="D102" t="s">
        <v>537</v>
      </c>
      <c r="E102">
        <v>95120000</v>
      </c>
      <c r="H102" t="s">
        <v>653</v>
      </c>
      <c r="K102" s="3">
        <v>0</v>
      </c>
      <c r="L102" s="26"/>
      <c r="M102" s="27">
        <v>0</v>
      </c>
      <c r="O102" s="3">
        <v>0</v>
      </c>
      <c r="S102" s="3"/>
      <c r="T102" s="3"/>
      <c r="U102" s="3"/>
      <c r="V102" s="3"/>
      <c r="W102" s="3">
        <f t="shared" si="1"/>
        <v>0</v>
      </c>
      <c r="X102" s="44" t="s">
        <v>197</v>
      </c>
      <c r="AA102"/>
    </row>
    <row r="103" spans="3:27">
      <c r="C103">
        <v>5360</v>
      </c>
      <c r="D103" t="s">
        <v>537</v>
      </c>
      <c r="E103">
        <v>95130000</v>
      </c>
      <c r="H103" t="s">
        <v>654</v>
      </c>
      <c r="K103" s="3">
        <v>0</v>
      </c>
      <c r="L103" s="26"/>
      <c r="M103" s="27">
        <v>0</v>
      </c>
      <c r="O103" s="3">
        <v>0</v>
      </c>
      <c r="S103" s="3"/>
      <c r="T103" s="3"/>
      <c r="U103" s="3"/>
      <c r="V103" s="3"/>
      <c r="W103" s="3">
        <f t="shared" si="1"/>
        <v>0</v>
      </c>
      <c r="X103" s="44" t="s">
        <v>197</v>
      </c>
      <c r="AA103"/>
    </row>
    <row r="104" spans="3:27">
      <c r="C104">
        <v>5360</v>
      </c>
      <c r="D104" t="s">
        <v>537</v>
      </c>
      <c r="E104">
        <v>95140000</v>
      </c>
      <c r="H104" t="s">
        <v>655</v>
      </c>
      <c r="K104" s="3">
        <v>0</v>
      </c>
      <c r="L104" s="26"/>
      <c r="M104" s="27">
        <v>0</v>
      </c>
      <c r="O104" s="3">
        <v>0</v>
      </c>
      <c r="S104" s="3"/>
      <c r="T104" s="3"/>
      <c r="U104" s="3"/>
      <c r="V104" s="3"/>
      <c r="W104" s="3">
        <f t="shared" si="1"/>
        <v>0</v>
      </c>
      <c r="X104" s="44" t="s">
        <v>197</v>
      </c>
      <c r="AA104"/>
    </row>
    <row r="105" spans="3:27">
      <c r="C105">
        <v>5360</v>
      </c>
      <c r="D105" t="s">
        <v>537</v>
      </c>
      <c r="E105">
        <v>95150000</v>
      </c>
      <c r="H105" t="s">
        <v>628</v>
      </c>
      <c r="K105" s="3">
        <v>0</v>
      </c>
      <c r="L105" s="26"/>
      <c r="M105" s="27">
        <v>0</v>
      </c>
      <c r="O105" s="3">
        <v>0</v>
      </c>
      <c r="S105" s="3"/>
      <c r="T105" s="3"/>
      <c r="U105" s="3"/>
      <c r="V105" s="3"/>
      <c r="W105" s="3">
        <f t="shared" si="1"/>
        <v>0</v>
      </c>
      <c r="X105" s="44" t="s">
        <v>197</v>
      </c>
      <c r="AA105"/>
    </row>
    <row r="106" spans="3:27">
      <c r="E106" t="s">
        <v>656</v>
      </c>
      <c r="K106" s="3">
        <v>0</v>
      </c>
      <c r="L106" s="26"/>
      <c r="M106" s="27">
        <v>0</v>
      </c>
      <c r="O106" s="3">
        <v>0</v>
      </c>
      <c r="R106" t="s">
        <v>650</v>
      </c>
      <c r="S106" s="3">
        <f>SUM(S100:S105)</f>
        <v>0</v>
      </c>
      <c r="T106" s="3">
        <f>SUM(T100:T105)</f>
        <v>0</v>
      </c>
      <c r="U106" s="3">
        <f>SUM(U100:U105)</f>
        <v>0</v>
      </c>
      <c r="V106" s="3">
        <f>SUM(V100:V105)</f>
        <v>0</v>
      </c>
      <c r="W106" s="3">
        <f t="shared" si="1"/>
        <v>0</v>
      </c>
      <c r="X106" s="619"/>
      <c r="AA106"/>
    </row>
    <row r="107" spans="3:27">
      <c r="E107" t="s">
        <v>657</v>
      </c>
      <c r="K107" s="3">
        <v>1181.25</v>
      </c>
      <c r="L107" s="26"/>
      <c r="M107" s="27">
        <v>0</v>
      </c>
      <c r="O107" s="3">
        <v>1181.25</v>
      </c>
      <c r="R107" t="s">
        <v>658</v>
      </c>
      <c r="S107" s="3">
        <f>S99+S106</f>
        <v>-1181.25</v>
      </c>
      <c r="T107" s="3">
        <f>T99+T106</f>
        <v>0</v>
      </c>
      <c r="U107" s="3">
        <f>U99+U106</f>
        <v>0</v>
      </c>
      <c r="V107" s="3">
        <f>V99+V106</f>
        <v>0</v>
      </c>
      <c r="W107" s="3">
        <f t="shared" si="1"/>
        <v>0</v>
      </c>
      <c r="X107" s="619"/>
    </row>
    <row r="108" spans="3:27">
      <c r="C108">
        <v>5360</v>
      </c>
      <c r="D108" t="s">
        <v>537</v>
      </c>
      <c r="E108">
        <v>95170000</v>
      </c>
      <c r="H108" t="s">
        <v>659</v>
      </c>
      <c r="K108" s="3">
        <v>0</v>
      </c>
      <c r="L108" s="26"/>
      <c r="M108" s="27">
        <v>0</v>
      </c>
      <c r="O108" s="3">
        <v>0</v>
      </c>
      <c r="S108" s="3"/>
      <c r="T108" s="3"/>
      <c r="U108" s="3"/>
      <c r="V108" s="3"/>
      <c r="W108" s="3">
        <f t="shared" si="1"/>
        <v>0</v>
      </c>
      <c r="X108" s="44" t="s">
        <v>197</v>
      </c>
      <c r="AA108"/>
    </row>
    <row r="109" spans="3:27">
      <c r="C109">
        <v>5360</v>
      </c>
      <c r="D109" t="s">
        <v>537</v>
      </c>
      <c r="E109">
        <v>95180000</v>
      </c>
      <c r="H109" t="s">
        <v>660</v>
      </c>
      <c r="K109" s="3">
        <v>0</v>
      </c>
      <c r="L109" s="26"/>
      <c r="M109" s="27">
        <v>0</v>
      </c>
      <c r="O109" s="3">
        <v>0</v>
      </c>
      <c r="S109" s="3"/>
      <c r="T109" s="3"/>
      <c r="U109" s="3"/>
      <c r="V109" s="3"/>
      <c r="W109" s="3">
        <f t="shared" si="1"/>
        <v>0</v>
      </c>
      <c r="X109" s="44" t="s">
        <v>197</v>
      </c>
      <c r="AA109"/>
    </row>
    <row r="110" spans="3:27">
      <c r="C110">
        <v>5360</v>
      </c>
      <c r="D110" t="s">
        <v>537</v>
      </c>
      <c r="E110">
        <v>95190000</v>
      </c>
      <c r="H110" t="s">
        <v>661</v>
      </c>
      <c r="K110" s="3">
        <v>0</v>
      </c>
      <c r="L110" s="26"/>
      <c r="M110" s="27">
        <v>0</v>
      </c>
      <c r="O110" s="3">
        <v>0</v>
      </c>
      <c r="S110" s="3"/>
      <c r="T110" s="3"/>
      <c r="U110" s="3"/>
      <c r="V110" s="3"/>
      <c r="W110" s="3">
        <f t="shared" si="1"/>
        <v>0</v>
      </c>
      <c r="X110" s="44" t="s">
        <v>197</v>
      </c>
      <c r="AA110"/>
    </row>
    <row r="111" spans="3:27">
      <c r="C111">
        <v>5360</v>
      </c>
      <c r="D111" t="s">
        <v>537</v>
      </c>
      <c r="E111">
        <v>95200000</v>
      </c>
      <c r="H111" t="s">
        <v>641</v>
      </c>
      <c r="K111" s="3">
        <v>0</v>
      </c>
      <c r="L111" s="26"/>
      <c r="M111" s="27">
        <v>0</v>
      </c>
      <c r="O111" s="3">
        <v>0</v>
      </c>
      <c r="S111" s="3"/>
      <c r="T111" s="3"/>
      <c r="U111" s="3"/>
      <c r="V111" s="3"/>
      <c r="W111" s="3">
        <f t="shared" si="1"/>
        <v>0</v>
      </c>
      <c r="X111" s="44" t="s">
        <v>197</v>
      </c>
      <c r="AA111"/>
    </row>
    <row r="112" spans="3:27">
      <c r="C112">
        <v>5360</v>
      </c>
      <c r="D112" t="s">
        <v>537</v>
      </c>
      <c r="E112">
        <v>95210000</v>
      </c>
      <c r="H112" t="s">
        <v>642</v>
      </c>
      <c r="K112" s="3">
        <v>0</v>
      </c>
      <c r="L112" s="26"/>
      <c r="M112" s="27">
        <v>0</v>
      </c>
      <c r="O112" s="3">
        <v>0</v>
      </c>
      <c r="S112" s="3"/>
      <c r="T112" s="3"/>
      <c r="U112" s="3"/>
      <c r="V112" s="3"/>
      <c r="W112" s="3">
        <f t="shared" si="1"/>
        <v>0</v>
      </c>
      <c r="X112" s="44" t="s">
        <v>197</v>
      </c>
      <c r="AA112"/>
    </row>
    <row r="113" spans="3:27">
      <c r="C113">
        <v>5360</v>
      </c>
      <c r="D113" t="s">
        <v>537</v>
      </c>
      <c r="E113">
        <v>95220000</v>
      </c>
      <c r="H113" t="s">
        <v>643</v>
      </c>
      <c r="K113" s="3">
        <v>0</v>
      </c>
      <c r="L113" s="26"/>
      <c r="M113" s="27">
        <v>0</v>
      </c>
      <c r="O113" s="3">
        <v>0</v>
      </c>
      <c r="S113" s="3"/>
      <c r="T113" s="3"/>
      <c r="U113" s="3"/>
      <c r="V113" s="3"/>
      <c r="W113" s="3">
        <f t="shared" si="1"/>
        <v>0</v>
      </c>
      <c r="X113" s="44" t="s">
        <v>197</v>
      </c>
      <c r="AA113"/>
    </row>
    <row r="114" spans="3:27">
      <c r="C114">
        <v>5360</v>
      </c>
      <c r="D114" t="s">
        <v>537</v>
      </c>
      <c r="E114">
        <v>95230000</v>
      </c>
      <c r="H114" t="s">
        <v>644</v>
      </c>
      <c r="K114" s="3">
        <v>0</v>
      </c>
      <c r="L114" s="26"/>
      <c r="M114" s="27">
        <v>0</v>
      </c>
      <c r="O114" s="3">
        <v>0</v>
      </c>
      <c r="S114" s="3"/>
      <c r="T114" s="3"/>
      <c r="U114" s="3"/>
      <c r="V114" s="3"/>
      <c r="W114" s="3">
        <f t="shared" si="1"/>
        <v>0</v>
      </c>
      <c r="X114" s="44" t="s">
        <v>197</v>
      </c>
    </row>
    <row r="115" spans="3:27">
      <c r="C115">
        <v>5360</v>
      </c>
      <c r="D115" t="s">
        <v>537</v>
      </c>
      <c r="E115">
        <v>95240000</v>
      </c>
      <c r="H115" t="s">
        <v>662</v>
      </c>
      <c r="K115" s="3">
        <v>0</v>
      </c>
      <c r="L115" s="26"/>
      <c r="M115" s="27">
        <v>0</v>
      </c>
      <c r="O115" s="3">
        <v>0</v>
      </c>
      <c r="S115" s="3"/>
      <c r="T115" s="3"/>
      <c r="U115" s="3"/>
      <c r="V115" s="3"/>
      <c r="W115" s="3">
        <f t="shared" si="1"/>
        <v>0</v>
      </c>
      <c r="X115" s="44" t="s">
        <v>197</v>
      </c>
      <c r="AA115"/>
    </row>
    <row r="116" spans="3:27">
      <c r="C116">
        <v>5360</v>
      </c>
      <c r="D116" t="s">
        <v>537</v>
      </c>
      <c r="E116">
        <v>95250000</v>
      </c>
      <c r="H116" t="s">
        <v>646</v>
      </c>
      <c r="K116" s="3">
        <v>0</v>
      </c>
      <c r="L116" s="26"/>
      <c r="M116" s="27">
        <v>0</v>
      </c>
      <c r="O116" s="3">
        <v>0</v>
      </c>
      <c r="S116" s="3"/>
      <c r="T116" s="3"/>
      <c r="U116" s="3"/>
      <c r="V116" s="3"/>
      <c r="W116" s="3">
        <f t="shared" si="1"/>
        <v>0</v>
      </c>
      <c r="X116" s="44" t="s">
        <v>197</v>
      </c>
      <c r="AA116"/>
    </row>
    <row r="117" spans="3:27">
      <c r="C117">
        <v>5360</v>
      </c>
      <c r="D117" t="s">
        <v>537</v>
      </c>
      <c r="E117">
        <v>95350000</v>
      </c>
      <c r="H117" t="s">
        <v>663</v>
      </c>
      <c r="K117" s="3">
        <v>0</v>
      </c>
      <c r="L117" s="26"/>
      <c r="M117" s="27">
        <v>0</v>
      </c>
      <c r="O117" s="3">
        <v>0</v>
      </c>
      <c r="S117" s="3"/>
      <c r="T117" s="3"/>
      <c r="U117" s="3"/>
      <c r="V117" s="3"/>
      <c r="W117" s="3">
        <f t="shared" si="1"/>
        <v>0</v>
      </c>
      <c r="X117" s="44" t="s">
        <v>197</v>
      </c>
      <c r="AA117"/>
    </row>
    <row r="118" spans="3:27">
      <c r="C118">
        <v>5360</v>
      </c>
      <c r="D118" t="s">
        <v>537</v>
      </c>
      <c r="E118">
        <v>95360000</v>
      </c>
      <c r="H118" t="s">
        <v>664</v>
      </c>
      <c r="K118" s="3">
        <v>0</v>
      </c>
      <c r="L118" s="26"/>
      <c r="M118" s="27">
        <v>0</v>
      </c>
      <c r="O118" s="3">
        <v>0</v>
      </c>
      <c r="S118" s="3"/>
      <c r="T118" s="3"/>
      <c r="U118" s="3"/>
      <c r="V118" s="3"/>
      <c r="W118" s="3">
        <f t="shared" si="1"/>
        <v>0</v>
      </c>
      <c r="X118" s="44" t="s">
        <v>197</v>
      </c>
      <c r="AA118"/>
    </row>
    <row r="119" spans="3:27">
      <c r="C119">
        <v>5360</v>
      </c>
      <c r="D119" t="s">
        <v>537</v>
      </c>
      <c r="E119">
        <v>95370000</v>
      </c>
      <c r="H119" t="s">
        <v>665</v>
      </c>
      <c r="K119" s="3">
        <v>0</v>
      </c>
      <c r="L119" s="26"/>
      <c r="M119" s="27">
        <v>0</v>
      </c>
      <c r="O119" s="3">
        <v>0</v>
      </c>
      <c r="S119" s="3"/>
      <c r="T119" s="3"/>
      <c r="U119" s="3"/>
      <c r="V119" s="3"/>
      <c r="W119" s="3">
        <f t="shared" si="1"/>
        <v>0</v>
      </c>
      <c r="X119" s="44" t="s">
        <v>197</v>
      </c>
      <c r="AA119"/>
    </row>
    <row r="120" spans="3:27">
      <c r="C120">
        <v>5360</v>
      </c>
      <c r="D120" t="s">
        <v>537</v>
      </c>
      <c r="E120">
        <v>95380000</v>
      </c>
      <c r="H120" t="s">
        <v>644</v>
      </c>
      <c r="K120" s="3">
        <v>0</v>
      </c>
      <c r="L120" s="26"/>
      <c r="M120" s="27">
        <v>0</v>
      </c>
      <c r="O120" s="3">
        <v>0</v>
      </c>
      <c r="S120" s="3"/>
      <c r="T120" s="3"/>
      <c r="U120" s="3"/>
      <c r="V120" s="3"/>
      <c r="W120" s="3">
        <f t="shared" si="1"/>
        <v>0</v>
      </c>
      <c r="X120" s="44" t="s">
        <v>197</v>
      </c>
      <c r="AA120"/>
    </row>
    <row r="121" spans="3:27">
      <c r="C121">
        <v>5360</v>
      </c>
      <c r="D121" t="s">
        <v>537</v>
      </c>
      <c r="E121">
        <v>95390000</v>
      </c>
      <c r="H121" t="s">
        <v>666</v>
      </c>
      <c r="K121" s="3">
        <v>0</v>
      </c>
      <c r="L121" s="26"/>
      <c r="M121" s="27">
        <v>0</v>
      </c>
      <c r="O121" s="3">
        <v>0</v>
      </c>
      <c r="S121" s="3"/>
      <c r="T121" s="3"/>
      <c r="U121" s="3"/>
      <c r="V121" s="3"/>
      <c r="W121" s="3">
        <f t="shared" si="1"/>
        <v>0</v>
      </c>
      <c r="X121" s="44" t="s">
        <v>197</v>
      </c>
      <c r="AA121"/>
    </row>
    <row r="122" spans="3:27">
      <c r="C122">
        <v>5360</v>
      </c>
      <c r="D122" t="s">
        <v>537</v>
      </c>
      <c r="E122">
        <v>95400000</v>
      </c>
      <c r="H122" t="s">
        <v>646</v>
      </c>
      <c r="K122" s="3">
        <v>0</v>
      </c>
      <c r="L122" s="26"/>
      <c r="M122" s="27">
        <v>0</v>
      </c>
      <c r="O122" s="3">
        <v>0</v>
      </c>
      <c r="S122" s="3"/>
      <c r="T122" s="3"/>
      <c r="U122" s="3"/>
      <c r="V122" s="3"/>
      <c r="W122" s="3">
        <f t="shared" si="1"/>
        <v>0</v>
      </c>
      <c r="X122" s="44" t="s">
        <v>197</v>
      </c>
      <c r="AA122"/>
    </row>
    <row r="123" spans="3:27">
      <c r="C123">
        <v>5360</v>
      </c>
      <c r="D123" t="s">
        <v>537</v>
      </c>
      <c r="E123">
        <v>95401000</v>
      </c>
      <c r="H123" t="s">
        <v>667</v>
      </c>
      <c r="K123" s="3">
        <v>0</v>
      </c>
      <c r="L123" s="26"/>
      <c r="M123" s="27">
        <v>0</v>
      </c>
      <c r="O123" s="3">
        <v>0</v>
      </c>
      <c r="S123" s="3"/>
      <c r="T123" s="3"/>
      <c r="U123" s="3"/>
      <c r="V123" s="3"/>
      <c r="W123" s="3">
        <f t="shared" si="1"/>
        <v>0</v>
      </c>
      <c r="X123" s="44" t="s">
        <v>197</v>
      </c>
      <c r="AA123"/>
    </row>
    <row r="124" spans="3:27">
      <c r="C124">
        <v>5360</v>
      </c>
      <c r="D124" t="s">
        <v>537</v>
      </c>
      <c r="E124">
        <v>95410000</v>
      </c>
      <c r="H124" t="s">
        <v>668</v>
      </c>
      <c r="K124" s="3">
        <v>0</v>
      </c>
      <c r="L124" s="26"/>
      <c r="M124" s="27">
        <v>0</v>
      </c>
      <c r="O124" s="3">
        <v>0</v>
      </c>
      <c r="S124" s="3"/>
      <c r="T124" s="3"/>
      <c r="U124" s="3"/>
      <c r="V124" s="3"/>
      <c r="W124" s="3">
        <f t="shared" si="1"/>
        <v>0</v>
      </c>
      <c r="X124" s="44" t="s">
        <v>197</v>
      </c>
      <c r="AA124"/>
    </row>
    <row r="125" spans="3:27">
      <c r="C125">
        <v>5360</v>
      </c>
      <c r="D125" t="s">
        <v>537</v>
      </c>
      <c r="E125">
        <v>95480000</v>
      </c>
      <c r="H125" t="s">
        <v>669</v>
      </c>
      <c r="K125" s="3">
        <v>0</v>
      </c>
      <c r="L125" s="26"/>
      <c r="M125" s="27">
        <v>0</v>
      </c>
      <c r="O125" s="3">
        <v>0</v>
      </c>
      <c r="S125" s="3"/>
      <c r="T125" s="3"/>
      <c r="U125" s="3"/>
      <c r="V125" s="3"/>
      <c r="W125" s="3">
        <f t="shared" si="1"/>
        <v>0</v>
      </c>
      <c r="X125" s="44" t="s">
        <v>197</v>
      </c>
      <c r="AA125"/>
    </row>
    <row r="126" spans="3:27">
      <c r="C126">
        <v>5360</v>
      </c>
      <c r="D126" t="s">
        <v>537</v>
      </c>
      <c r="E126">
        <v>95481000</v>
      </c>
      <c r="H126" t="s">
        <v>670</v>
      </c>
      <c r="K126" s="3">
        <v>0</v>
      </c>
      <c r="L126" s="26"/>
      <c r="M126" s="27">
        <v>0</v>
      </c>
      <c r="O126" s="3">
        <v>0</v>
      </c>
      <c r="S126" s="3"/>
      <c r="T126" s="3"/>
      <c r="U126" s="3"/>
      <c r="V126" s="3"/>
      <c r="W126" s="3">
        <f t="shared" si="1"/>
        <v>0</v>
      </c>
      <c r="X126" s="44" t="s">
        <v>197</v>
      </c>
    </row>
    <row r="127" spans="3:27">
      <c r="C127">
        <v>5360</v>
      </c>
      <c r="D127" t="s">
        <v>537</v>
      </c>
      <c r="E127">
        <v>95490000</v>
      </c>
      <c r="H127" t="s">
        <v>671</v>
      </c>
      <c r="K127" s="3">
        <v>0</v>
      </c>
      <c r="L127" s="26"/>
      <c r="M127" s="27">
        <v>0</v>
      </c>
      <c r="O127" s="3">
        <v>0</v>
      </c>
      <c r="S127" s="3"/>
      <c r="T127" s="3"/>
      <c r="U127" s="3"/>
      <c r="V127" s="3"/>
      <c r="W127" s="3">
        <f t="shared" si="1"/>
        <v>0</v>
      </c>
      <c r="X127" s="44" t="s">
        <v>197</v>
      </c>
      <c r="AA127"/>
    </row>
    <row r="128" spans="3:27">
      <c r="C128">
        <v>5360</v>
      </c>
      <c r="D128" t="s">
        <v>537</v>
      </c>
      <c r="E128">
        <v>95500000</v>
      </c>
      <c r="H128" t="s">
        <v>646</v>
      </c>
      <c r="K128" s="3">
        <v>0</v>
      </c>
      <c r="L128" s="26"/>
      <c r="M128" s="27">
        <v>0</v>
      </c>
      <c r="O128" s="3">
        <v>0</v>
      </c>
      <c r="S128" s="3"/>
      <c r="T128" s="3"/>
      <c r="U128" s="3"/>
      <c r="V128" s="3"/>
      <c r="W128" s="3">
        <f t="shared" si="1"/>
        <v>0</v>
      </c>
      <c r="X128" s="44" t="s">
        <v>197</v>
      </c>
      <c r="AA128"/>
    </row>
    <row r="129" spans="3:27">
      <c r="C129">
        <v>5360</v>
      </c>
      <c r="D129" t="s">
        <v>537</v>
      </c>
      <c r="E129">
        <v>95501000</v>
      </c>
      <c r="H129" t="s">
        <v>628</v>
      </c>
      <c r="K129" s="3">
        <v>0</v>
      </c>
      <c r="L129" s="26"/>
      <c r="M129" s="27">
        <v>0</v>
      </c>
      <c r="O129" s="3">
        <v>0</v>
      </c>
      <c r="S129" s="3"/>
      <c r="T129" s="3"/>
      <c r="U129" s="3"/>
      <c r="V129" s="3"/>
      <c r="W129" s="3">
        <f t="shared" si="1"/>
        <v>0</v>
      </c>
      <c r="X129" s="619" t="s">
        <v>197</v>
      </c>
      <c r="AA129"/>
    </row>
    <row r="130" spans="3:27">
      <c r="E130" t="s">
        <v>672</v>
      </c>
      <c r="K130" s="3">
        <v>0</v>
      </c>
      <c r="L130" s="26"/>
      <c r="M130" s="27">
        <v>0</v>
      </c>
      <c r="O130" s="3">
        <v>0</v>
      </c>
      <c r="R130" t="s">
        <v>650</v>
      </c>
      <c r="S130" s="3">
        <f>SUM(S108:S129)</f>
        <v>0</v>
      </c>
      <c r="T130" s="3">
        <f>SUM(T108:T129)</f>
        <v>0</v>
      </c>
      <c r="U130" s="3">
        <f>SUM(U108:U129)</f>
        <v>0</v>
      </c>
      <c r="V130" s="3">
        <f>SUM(V108:V129)</f>
        <v>0</v>
      </c>
      <c r="W130" s="3">
        <f t="shared" si="1"/>
        <v>0</v>
      </c>
      <c r="X130" s="44"/>
      <c r="AA130"/>
    </row>
    <row r="131" spans="3:27">
      <c r="C131">
        <v>5360</v>
      </c>
      <c r="D131" t="s">
        <v>537</v>
      </c>
      <c r="E131">
        <v>95280000</v>
      </c>
      <c r="H131" t="s">
        <v>668</v>
      </c>
      <c r="K131" s="3">
        <v>0</v>
      </c>
      <c r="L131" s="26"/>
      <c r="M131" s="27">
        <v>0</v>
      </c>
      <c r="O131" s="3">
        <v>0</v>
      </c>
      <c r="S131" s="3"/>
      <c r="T131" s="3"/>
      <c r="U131" s="3"/>
      <c r="V131" s="3"/>
      <c r="W131" s="3">
        <f t="shared" si="1"/>
        <v>0</v>
      </c>
      <c r="X131" s="44" t="s">
        <v>197</v>
      </c>
      <c r="AA131"/>
    </row>
    <row r="132" spans="3:27">
      <c r="C132">
        <v>5360</v>
      </c>
      <c r="D132" t="s">
        <v>537</v>
      </c>
      <c r="E132">
        <v>95290000</v>
      </c>
      <c r="H132" t="s">
        <v>652</v>
      </c>
      <c r="K132" s="3">
        <v>0</v>
      </c>
      <c r="L132" s="26"/>
      <c r="M132" s="27">
        <v>0</v>
      </c>
      <c r="O132" s="3">
        <v>0</v>
      </c>
      <c r="S132" s="3"/>
      <c r="T132" s="3"/>
      <c r="U132" s="3"/>
      <c r="V132" s="3"/>
      <c r="W132" s="3">
        <f t="shared" si="1"/>
        <v>0</v>
      </c>
      <c r="X132" s="44" t="s">
        <v>197</v>
      </c>
      <c r="AA132"/>
    </row>
    <row r="133" spans="3:27">
      <c r="C133">
        <v>5360</v>
      </c>
      <c r="D133" t="s">
        <v>537</v>
      </c>
      <c r="E133">
        <v>95300000</v>
      </c>
      <c r="H133" t="s">
        <v>673</v>
      </c>
      <c r="K133" s="3">
        <v>0</v>
      </c>
      <c r="L133" s="26"/>
      <c r="M133" s="27">
        <v>0</v>
      </c>
      <c r="O133" s="3">
        <v>0</v>
      </c>
      <c r="S133" s="3"/>
      <c r="T133" s="3"/>
      <c r="U133" s="3"/>
      <c r="V133" s="3"/>
      <c r="W133" s="3">
        <f t="shared" si="1"/>
        <v>0</v>
      </c>
      <c r="X133" s="44" t="s">
        <v>197</v>
      </c>
      <c r="AA133"/>
    </row>
    <row r="134" spans="3:27">
      <c r="C134">
        <v>5360</v>
      </c>
      <c r="D134" t="s">
        <v>537</v>
      </c>
      <c r="E134">
        <v>95310000</v>
      </c>
      <c r="H134" t="s">
        <v>654</v>
      </c>
      <c r="K134" s="3">
        <v>0</v>
      </c>
      <c r="L134" s="26"/>
      <c r="M134" s="27">
        <v>0</v>
      </c>
      <c r="O134" s="3">
        <v>0</v>
      </c>
      <c r="S134" s="46"/>
      <c r="T134" s="46"/>
      <c r="U134" s="3"/>
      <c r="V134" s="3"/>
      <c r="W134" s="3">
        <f t="shared" si="1"/>
        <v>0</v>
      </c>
      <c r="X134" s="44" t="s">
        <v>197</v>
      </c>
      <c r="AA134"/>
    </row>
    <row r="135" spans="3:27">
      <c r="C135">
        <v>5360</v>
      </c>
      <c r="D135" t="s">
        <v>537</v>
      </c>
      <c r="E135">
        <v>95320000</v>
      </c>
      <c r="H135" t="s">
        <v>674</v>
      </c>
      <c r="K135" s="3">
        <v>0</v>
      </c>
      <c r="L135" s="26"/>
      <c r="M135" s="27">
        <v>0</v>
      </c>
      <c r="O135" s="3">
        <v>0</v>
      </c>
      <c r="S135" s="46"/>
      <c r="T135" s="46"/>
      <c r="U135" s="3"/>
      <c r="V135" s="3"/>
      <c r="W135" s="3">
        <f t="shared" si="1"/>
        <v>0</v>
      </c>
      <c r="X135" s="44" t="s">
        <v>197</v>
      </c>
      <c r="AA135"/>
    </row>
    <row r="136" spans="3:27">
      <c r="C136">
        <v>5360</v>
      </c>
      <c r="D136" t="s">
        <v>537</v>
      </c>
      <c r="E136">
        <v>95420000</v>
      </c>
      <c r="H136" t="s">
        <v>652</v>
      </c>
      <c r="K136" s="3">
        <v>0</v>
      </c>
      <c r="L136" s="26"/>
      <c r="M136" s="27">
        <v>0</v>
      </c>
      <c r="O136" s="3">
        <v>0</v>
      </c>
      <c r="S136" s="46"/>
      <c r="T136" s="46"/>
      <c r="U136" s="3"/>
      <c r="V136" s="3"/>
      <c r="W136" s="3">
        <f t="shared" si="1"/>
        <v>0</v>
      </c>
      <c r="X136" s="44" t="s">
        <v>197</v>
      </c>
      <c r="AA136"/>
    </row>
    <row r="137" spans="3:27">
      <c r="C137">
        <v>5360</v>
      </c>
      <c r="D137" t="s">
        <v>537</v>
      </c>
      <c r="E137">
        <v>95430000</v>
      </c>
      <c r="H137" t="s">
        <v>675</v>
      </c>
      <c r="K137" s="3">
        <v>0</v>
      </c>
      <c r="L137" s="26"/>
      <c r="M137" s="27">
        <v>0</v>
      </c>
      <c r="O137" s="3">
        <v>0</v>
      </c>
      <c r="S137" s="3"/>
      <c r="T137" s="3"/>
      <c r="U137" s="3"/>
      <c r="V137" s="3"/>
      <c r="W137" s="3">
        <f t="shared" ref="W137:W200" si="2">SUM(K137,S137:V137)</f>
        <v>0</v>
      </c>
      <c r="X137" s="44" t="s">
        <v>197</v>
      </c>
      <c r="AA137"/>
    </row>
    <row r="138" spans="3:27">
      <c r="C138">
        <v>5360</v>
      </c>
      <c r="D138" t="s">
        <v>537</v>
      </c>
      <c r="E138">
        <v>95440000</v>
      </c>
      <c r="H138" t="s">
        <v>654</v>
      </c>
      <c r="K138" s="3">
        <v>0</v>
      </c>
      <c r="L138" s="26"/>
      <c r="M138" s="27">
        <v>0</v>
      </c>
      <c r="O138" s="3">
        <v>0</v>
      </c>
      <c r="S138" s="3"/>
      <c r="T138" s="3"/>
      <c r="U138" s="3"/>
      <c r="V138" s="3"/>
      <c r="W138" s="3">
        <f t="shared" si="2"/>
        <v>0</v>
      </c>
      <c r="X138" s="44" t="s">
        <v>197</v>
      </c>
      <c r="AA138"/>
    </row>
    <row r="139" spans="3:27">
      <c r="C139">
        <v>5360</v>
      </c>
      <c r="D139" t="s">
        <v>537</v>
      </c>
      <c r="E139">
        <v>95450000</v>
      </c>
      <c r="H139" t="s">
        <v>676</v>
      </c>
      <c r="K139" s="3">
        <v>0</v>
      </c>
      <c r="L139" s="26"/>
      <c r="M139" s="27">
        <v>0</v>
      </c>
      <c r="O139" s="3">
        <v>0</v>
      </c>
      <c r="S139" s="3"/>
      <c r="T139" s="3"/>
      <c r="U139" s="3"/>
      <c r="V139" s="3"/>
      <c r="W139" s="3">
        <f t="shared" si="2"/>
        <v>0</v>
      </c>
      <c r="X139" s="44" t="s">
        <v>197</v>
      </c>
      <c r="AA139"/>
    </row>
    <row r="140" spans="3:27">
      <c r="C140">
        <v>5360</v>
      </c>
      <c r="D140" t="s">
        <v>537</v>
      </c>
      <c r="E140">
        <v>95451000</v>
      </c>
      <c r="H140" t="s">
        <v>628</v>
      </c>
      <c r="K140" s="3">
        <v>0</v>
      </c>
      <c r="L140" s="26"/>
      <c r="M140" s="27">
        <v>0</v>
      </c>
      <c r="O140" s="3">
        <v>0</v>
      </c>
      <c r="S140" s="3"/>
      <c r="T140" s="3"/>
      <c r="U140" s="3"/>
      <c r="V140" s="3"/>
      <c r="W140" s="3">
        <f t="shared" si="2"/>
        <v>0</v>
      </c>
      <c r="X140" s="44" t="s">
        <v>197</v>
      </c>
      <c r="AA140"/>
    </row>
    <row r="141" spans="3:27">
      <c r="C141">
        <v>5360</v>
      </c>
      <c r="D141" t="s">
        <v>537</v>
      </c>
      <c r="E141">
        <v>95460000</v>
      </c>
      <c r="H141" t="s">
        <v>677</v>
      </c>
      <c r="K141" s="3">
        <v>0</v>
      </c>
      <c r="L141" s="26"/>
      <c r="M141" s="27">
        <v>0</v>
      </c>
      <c r="O141" s="3">
        <v>0</v>
      </c>
      <c r="S141" s="3"/>
      <c r="T141" s="3"/>
      <c r="U141" s="3"/>
      <c r="V141" s="3"/>
      <c r="W141" s="3">
        <f t="shared" si="2"/>
        <v>0</v>
      </c>
      <c r="X141" s="44" t="s">
        <v>197</v>
      </c>
      <c r="AA141"/>
    </row>
    <row r="142" spans="3:27">
      <c r="C142">
        <v>5360</v>
      </c>
      <c r="D142" t="s">
        <v>537</v>
      </c>
      <c r="E142">
        <v>95510000</v>
      </c>
      <c r="H142" t="s">
        <v>668</v>
      </c>
      <c r="K142" s="3">
        <v>0</v>
      </c>
      <c r="L142" s="26"/>
      <c r="M142" s="27">
        <v>0</v>
      </c>
      <c r="O142" s="3">
        <v>0</v>
      </c>
      <c r="S142" s="3"/>
      <c r="T142" s="3"/>
      <c r="U142" s="3"/>
      <c r="V142" s="3"/>
      <c r="W142" s="3">
        <f t="shared" si="2"/>
        <v>0</v>
      </c>
      <c r="X142" s="44" t="s">
        <v>197</v>
      </c>
      <c r="AA142"/>
    </row>
    <row r="143" spans="3:27">
      <c r="C143">
        <v>5360</v>
      </c>
      <c r="D143" t="s">
        <v>537</v>
      </c>
      <c r="E143">
        <v>95520000</v>
      </c>
      <c r="H143" t="s">
        <v>652</v>
      </c>
      <c r="K143" s="3">
        <v>0</v>
      </c>
      <c r="L143" s="26"/>
      <c r="M143" s="27">
        <v>0</v>
      </c>
      <c r="O143" s="3">
        <v>0</v>
      </c>
      <c r="S143" s="3"/>
      <c r="T143" s="3"/>
      <c r="U143" s="3"/>
      <c r="V143" s="3"/>
      <c r="W143" s="3">
        <f t="shared" si="2"/>
        <v>0</v>
      </c>
      <c r="X143" s="44" t="s">
        <v>197</v>
      </c>
      <c r="AA143"/>
    </row>
    <row r="144" spans="3:27">
      <c r="C144">
        <v>5360</v>
      </c>
      <c r="D144" t="s">
        <v>537</v>
      </c>
      <c r="E144">
        <v>95530000</v>
      </c>
      <c r="H144" t="s">
        <v>678</v>
      </c>
      <c r="K144" s="3">
        <v>0</v>
      </c>
      <c r="L144" s="26"/>
      <c r="M144" s="27">
        <v>0</v>
      </c>
      <c r="O144" s="3">
        <v>0</v>
      </c>
      <c r="S144" s="3"/>
      <c r="T144" s="3"/>
      <c r="U144" s="3"/>
      <c r="V144" s="3"/>
      <c r="W144" s="3">
        <f t="shared" si="2"/>
        <v>0</v>
      </c>
      <c r="X144" s="44" t="s">
        <v>197</v>
      </c>
      <c r="AA144"/>
    </row>
    <row r="145" spans="3:27">
      <c r="C145">
        <v>5360</v>
      </c>
      <c r="D145" t="s">
        <v>537</v>
      </c>
      <c r="E145">
        <v>95540000</v>
      </c>
      <c r="H145" t="s">
        <v>679</v>
      </c>
      <c r="K145" s="3">
        <v>0</v>
      </c>
      <c r="L145" s="26"/>
      <c r="M145" s="27">
        <v>0</v>
      </c>
      <c r="O145" s="3">
        <v>0</v>
      </c>
      <c r="S145" s="3"/>
      <c r="T145" s="3"/>
      <c r="U145" s="3"/>
      <c r="V145" s="3"/>
      <c r="W145" s="3">
        <f t="shared" si="2"/>
        <v>0</v>
      </c>
      <c r="X145" s="44" t="s">
        <v>197</v>
      </c>
    </row>
    <row r="146" spans="3:27">
      <c r="C146">
        <v>5360</v>
      </c>
      <c r="D146" t="s">
        <v>537</v>
      </c>
      <c r="E146">
        <v>95541000</v>
      </c>
      <c r="H146" t="s">
        <v>628</v>
      </c>
      <c r="K146" s="3">
        <v>0</v>
      </c>
      <c r="L146" s="26"/>
      <c r="M146" s="27">
        <v>0</v>
      </c>
      <c r="O146" s="3">
        <v>0</v>
      </c>
      <c r="S146" s="3"/>
      <c r="T146" s="3"/>
      <c r="U146" s="3"/>
      <c r="V146" s="3"/>
      <c r="W146" s="3">
        <f t="shared" si="2"/>
        <v>0</v>
      </c>
      <c r="X146" s="619" t="s">
        <v>197</v>
      </c>
      <c r="AA146"/>
    </row>
    <row r="147" spans="3:27">
      <c r="E147" t="s">
        <v>680</v>
      </c>
      <c r="K147" s="3">
        <v>0</v>
      </c>
      <c r="L147" s="26"/>
      <c r="M147" s="27">
        <v>0</v>
      </c>
      <c r="O147" s="3">
        <v>0</v>
      </c>
      <c r="R147" t="s">
        <v>650</v>
      </c>
      <c r="S147" s="3">
        <f>SUM(S131:S146)</f>
        <v>0</v>
      </c>
      <c r="T147" s="3">
        <f>SUM(T131:T146)</f>
        <v>0</v>
      </c>
      <c r="U147" s="3">
        <f>SUM(U131:U146)</f>
        <v>0</v>
      </c>
      <c r="V147" s="3">
        <f>SUM(V131:V146)</f>
        <v>0</v>
      </c>
      <c r="W147" s="3">
        <f t="shared" si="2"/>
        <v>0</v>
      </c>
      <c r="X147" s="619"/>
      <c r="AA147"/>
    </row>
    <row r="148" spans="3:27">
      <c r="E148" t="s">
        <v>681</v>
      </c>
      <c r="K148" s="3">
        <v>0</v>
      </c>
      <c r="L148" s="26"/>
      <c r="M148" s="27">
        <v>0</v>
      </c>
      <c r="O148" s="3">
        <v>0</v>
      </c>
      <c r="R148" t="s">
        <v>658</v>
      </c>
      <c r="S148" s="3">
        <f>S147+S130</f>
        <v>0</v>
      </c>
      <c r="T148" s="3">
        <f>T147+T130</f>
        <v>0</v>
      </c>
      <c r="U148" s="3">
        <f>U147+U130</f>
        <v>0</v>
      </c>
      <c r="V148" s="3">
        <f>V147+V130</f>
        <v>0</v>
      </c>
      <c r="W148" s="3">
        <f t="shared" si="2"/>
        <v>0</v>
      </c>
      <c r="X148" s="44"/>
      <c r="AA148"/>
    </row>
    <row r="149" spans="3:27">
      <c r="C149">
        <v>5360</v>
      </c>
      <c r="D149" t="s">
        <v>537</v>
      </c>
      <c r="E149">
        <v>95560000</v>
      </c>
      <c r="H149" t="s">
        <v>682</v>
      </c>
      <c r="K149" s="3">
        <v>0</v>
      </c>
      <c r="L149" s="26"/>
      <c r="M149" s="27">
        <v>0</v>
      </c>
      <c r="O149" s="3">
        <v>0</v>
      </c>
      <c r="S149" s="3"/>
      <c r="T149" s="3"/>
      <c r="U149" s="3"/>
      <c r="V149" s="3"/>
      <c r="W149" s="3">
        <f t="shared" si="2"/>
        <v>0</v>
      </c>
      <c r="X149" s="44" t="s">
        <v>197</v>
      </c>
      <c r="AA149"/>
    </row>
    <row r="150" spans="3:27">
      <c r="C150">
        <v>5360</v>
      </c>
      <c r="D150" t="s">
        <v>537</v>
      </c>
      <c r="E150">
        <v>95570000</v>
      </c>
      <c r="H150" t="s">
        <v>683</v>
      </c>
      <c r="K150" s="3">
        <v>0</v>
      </c>
      <c r="L150" s="26"/>
      <c r="M150" s="27">
        <v>0</v>
      </c>
      <c r="O150" s="3">
        <v>0</v>
      </c>
      <c r="S150" s="3"/>
      <c r="T150" s="3"/>
      <c r="U150" s="3"/>
      <c r="V150" s="3"/>
      <c r="W150" s="3">
        <f t="shared" si="2"/>
        <v>0</v>
      </c>
      <c r="X150" s="44" t="s">
        <v>197</v>
      </c>
      <c r="AA150"/>
    </row>
    <row r="151" spans="3:27">
      <c r="C151">
        <v>5360</v>
      </c>
      <c r="D151" t="s">
        <v>537</v>
      </c>
      <c r="E151">
        <v>95600000</v>
      </c>
      <c r="H151" t="s">
        <v>684</v>
      </c>
      <c r="K151" s="3">
        <v>0</v>
      </c>
      <c r="L151" s="26"/>
      <c r="M151" s="27">
        <v>0</v>
      </c>
      <c r="O151" s="3">
        <v>0</v>
      </c>
      <c r="S151" s="3"/>
      <c r="T151" s="3"/>
      <c r="U151" s="3"/>
      <c r="V151" s="3"/>
      <c r="W151" s="3">
        <f t="shared" si="2"/>
        <v>0</v>
      </c>
      <c r="X151" s="44" t="s">
        <v>199</v>
      </c>
      <c r="AA151"/>
    </row>
    <row r="152" spans="3:27">
      <c r="C152">
        <v>5360</v>
      </c>
      <c r="D152" t="s">
        <v>537</v>
      </c>
      <c r="E152">
        <v>95610000</v>
      </c>
      <c r="H152" t="s">
        <v>628</v>
      </c>
      <c r="K152" s="3">
        <v>0</v>
      </c>
      <c r="L152" s="26"/>
      <c r="M152" s="27">
        <v>0</v>
      </c>
      <c r="O152" s="3">
        <v>0</v>
      </c>
      <c r="S152" s="3"/>
      <c r="T152" s="3"/>
      <c r="U152" s="3"/>
      <c r="V152" s="3"/>
      <c r="W152" s="3">
        <f t="shared" si="2"/>
        <v>0</v>
      </c>
      <c r="X152" s="44" t="s">
        <v>580</v>
      </c>
      <c r="AA152"/>
    </row>
    <row r="153" spans="3:27">
      <c r="C153">
        <v>5360</v>
      </c>
      <c r="D153" t="s">
        <v>537</v>
      </c>
      <c r="E153">
        <v>95611000</v>
      </c>
      <c r="H153" t="s">
        <v>685</v>
      </c>
      <c r="K153" s="3">
        <v>0</v>
      </c>
      <c r="L153" s="26"/>
      <c r="M153" s="27">
        <v>0</v>
      </c>
      <c r="O153" s="3">
        <v>0</v>
      </c>
      <c r="S153" s="3"/>
      <c r="T153" s="3"/>
      <c r="U153" s="3"/>
      <c r="V153" s="3"/>
      <c r="W153" s="3">
        <f t="shared" si="2"/>
        <v>0</v>
      </c>
      <c r="X153" s="44" t="s">
        <v>199</v>
      </c>
      <c r="AA153"/>
    </row>
    <row r="154" spans="3:27">
      <c r="C154">
        <v>5360</v>
      </c>
      <c r="D154" t="s">
        <v>537</v>
      </c>
      <c r="E154">
        <v>95612000</v>
      </c>
      <c r="H154" t="s">
        <v>686</v>
      </c>
      <c r="K154" s="3">
        <v>0</v>
      </c>
      <c r="L154" s="26"/>
      <c r="M154" s="27">
        <v>0</v>
      </c>
      <c r="O154" s="3">
        <v>0</v>
      </c>
      <c r="S154" s="3"/>
      <c r="T154" s="3"/>
      <c r="U154" s="3"/>
      <c r="V154" s="3"/>
      <c r="W154" s="3">
        <f t="shared" si="2"/>
        <v>0</v>
      </c>
      <c r="X154" s="44" t="s">
        <v>199</v>
      </c>
    </row>
    <row r="155" spans="3:27">
      <c r="C155">
        <v>5360</v>
      </c>
      <c r="D155" t="s">
        <v>537</v>
      </c>
      <c r="E155">
        <v>95613000</v>
      </c>
      <c r="H155" t="s">
        <v>687</v>
      </c>
      <c r="K155" s="3">
        <v>0</v>
      </c>
      <c r="L155" s="26"/>
      <c r="M155" s="27">
        <v>0</v>
      </c>
      <c r="O155" s="3">
        <v>0</v>
      </c>
      <c r="S155" s="3"/>
      <c r="T155" s="3"/>
      <c r="U155" s="3"/>
      <c r="V155" s="3"/>
      <c r="W155" s="3">
        <f t="shared" si="2"/>
        <v>0</v>
      </c>
      <c r="X155" s="44" t="s">
        <v>199</v>
      </c>
      <c r="AA155"/>
    </row>
    <row r="156" spans="3:27">
      <c r="C156">
        <v>5360</v>
      </c>
      <c r="D156" t="s">
        <v>537</v>
      </c>
      <c r="E156">
        <v>95614000</v>
      </c>
      <c r="H156" t="s">
        <v>688</v>
      </c>
      <c r="K156" s="3">
        <v>0</v>
      </c>
      <c r="L156" s="26"/>
      <c r="M156" s="27">
        <v>0</v>
      </c>
      <c r="O156" s="3">
        <v>0</v>
      </c>
      <c r="S156" s="3"/>
      <c r="T156" s="3"/>
      <c r="U156" s="3"/>
      <c r="V156" s="3"/>
      <c r="W156" s="3">
        <f t="shared" si="2"/>
        <v>0</v>
      </c>
      <c r="X156" s="44" t="s">
        <v>199</v>
      </c>
      <c r="AA156"/>
    </row>
    <row r="157" spans="3:27">
      <c r="C157">
        <v>5360</v>
      </c>
      <c r="D157" t="s">
        <v>537</v>
      </c>
      <c r="E157">
        <v>95615000</v>
      </c>
      <c r="H157" t="s">
        <v>689</v>
      </c>
      <c r="K157" s="3">
        <v>0</v>
      </c>
      <c r="L157" s="26"/>
      <c r="M157" s="27">
        <v>0</v>
      </c>
      <c r="O157" s="3">
        <v>0</v>
      </c>
      <c r="S157" s="3"/>
      <c r="T157" s="3"/>
      <c r="U157" s="3"/>
      <c r="V157" s="3"/>
      <c r="W157" s="3">
        <f t="shared" si="2"/>
        <v>0</v>
      </c>
      <c r="X157" s="44" t="s">
        <v>199</v>
      </c>
    </row>
    <row r="158" spans="3:27">
      <c r="C158">
        <v>5360</v>
      </c>
      <c r="D158" t="s">
        <v>537</v>
      </c>
      <c r="E158">
        <v>95616000</v>
      </c>
      <c r="H158" t="s">
        <v>690</v>
      </c>
      <c r="K158" s="3">
        <v>0</v>
      </c>
      <c r="L158" s="26"/>
      <c r="M158" s="27">
        <v>0</v>
      </c>
      <c r="O158" s="3">
        <v>0</v>
      </c>
      <c r="S158" s="3"/>
      <c r="T158" s="3"/>
      <c r="U158" s="3"/>
      <c r="V158" s="3"/>
      <c r="W158" s="3">
        <f t="shared" si="2"/>
        <v>0</v>
      </c>
      <c r="X158" s="44" t="s">
        <v>199</v>
      </c>
    </row>
    <row r="159" spans="3:27">
      <c r="C159">
        <v>5360</v>
      </c>
      <c r="D159" t="s">
        <v>537</v>
      </c>
      <c r="E159">
        <v>95617000</v>
      </c>
      <c r="H159" t="s">
        <v>691</v>
      </c>
      <c r="K159" s="3">
        <v>0</v>
      </c>
      <c r="L159" s="26"/>
      <c r="M159" s="27">
        <v>0</v>
      </c>
      <c r="O159" s="3">
        <v>0</v>
      </c>
      <c r="S159" s="3"/>
      <c r="T159" s="3"/>
      <c r="U159" s="3"/>
      <c r="V159" s="3"/>
      <c r="W159" s="3">
        <f t="shared" si="2"/>
        <v>0</v>
      </c>
      <c r="X159" s="44" t="s">
        <v>199</v>
      </c>
    </row>
    <row r="160" spans="3:27">
      <c r="C160">
        <v>5360</v>
      </c>
      <c r="D160" t="s">
        <v>537</v>
      </c>
      <c r="E160">
        <v>95618000</v>
      </c>
      <c r="H160" t="s">
        <v>692</v>
      </c>
      <c r="K160" s="3">
        <v>0</v>
      </c>
      <c r="L160" s="26"/>
      <c r="M160" s="27">
        <v>0</v>
      </c>
      <c r="O160" s="3">
        <v>0</v>
      </c>
      <c r="S160" s="3"/>
      <c r="T160" s="3"/>
      <c r="U160" s="3"/>
      <c r="V160" s="3"/>
      <c r="W160" s="3">
        <f t="shared" si="2"/>
        <v>0</v>
      </c>
      <c r="X160" s="44" t="s">
        <v>199</v>
      </c>
      <c r="AA160"/>
    </row>
    <row r="161" spans="3:27">
      <c r="C161">
        <v>5360</v>
      </c>
      <c r="E161">
        <v>95620000</v>
      </c>
      <c r="H161" t="s">
        <v>693</v>
      </c>
      <c r="K161" s="3">
        <v>589.46</v>
      </c>
      <c r="L161" s="26"/>
      <c r="M161" s="27">
        <v>0.77</v>
      </c>
      <c r="O161" s="3">
        <v>588.69000000000005</v>
      </c>
      <c r="Q161">
        <v>76453.2</v>
      </c>
      <c r="S161" s="3">
        <v>-589.46</v>
      </c>
      <c r="T161" s="3"/>
      <c r="U161" s="3"/>
      <c r="V161" s="3"/>
      <c r="W161" s="3">
        <f t="shared" si="2"/>
        <v>0</v>
      </c>
      <c r="X161" s="44" t="s">
        <v>199</v>
      </c>
      <c r="AA161"/>
    </row>
    <row r="162" spans="3:27">
      <c r="C162">
        <v>5360</v>
      </c>
      <c r="D162" t="s">
        <v>537</v>
      </c>
      <c r="E162">
        <v>95630000</v>
      </c>
      <c r="H162" t="s">
        <v>694</v>
      </c>
      <c r="K162" s="3">
        <v>0</v>
      </c>
      <c r="L162" s="26"/>
      <c r="M162" s="27">
        <v>0</v>
      </c>
      <c r="O162" s="3">
        <v>0</v>
      </c>
      <c r="S162" s="3"/>
      <c r="T162" s="3"/>
      <c r="U162" s="3"/>
      <c r="V162" s="3"/>
      <c r="W162" s="3">
        <f t="shared" si="2"/>
        <v>0</v>
      </c>
      <c r="X162" s="44" t="s">
        <v>199</v>
      </c>
      <c r="AA162"/>
    </row>
    <row r="163" spans="3:27">
      <c r="C163">
        <v>5360</v>
      </c>
      <c r="D163" t="s">
        <v>537</v>
      </c>
      <c r="E163">
        <v>95640000</v>
      </c>
      <c r="H163" t="s">
        <v>695</v>
      </c>
      <c r="K163" s="3">
        <v>0</v>
      </c>
      <c r="L163" s="26"/>
      <c r="M163" s="27">
        <v>0</v>
      </c>
      <c r="O163" s="3">
        <v>0</v>
      </c>
      <c r="S163" s="3"/>
      <c r="T163" s="3"/>
      <c r="U163" s="3"/>
      <c r="V163" s="3"/>
      <c r="W163" s="3">
        <f t="shared" si="2"/>
        <v>0</v>
      </c>
      <c r="X163" s="44" t="s">
        <v>199</v>
      </c>
      <c r="AA163"/>
    </row>
    <row r="164" spans="3:27">
      <c r="C164">
        <v>5360</v>
      </c>
      <c r="D164" t="s">
        <v>537</v>
      </c>
      <c r="E164">
        <v>95650000</v>
      </c>
      <c r="H164" t="s">
        <v>696</v>
      </c>
      <c r="K164" s="3">
        <v>0</v>
      </c>
      <c r="L164" s="26"/>
      <c r="M164" s="27">
        <v>0</v>
      </c>
      <c r="O164" s="3">
        <v>0</v>
      </c>
      <c r="S164" s="3"/>
      <c r="T164" s="3"/>
      <c r="U164" s="3"/>
      <c r="V164" s="3"/>
      <c r="W164" s="3">
        <f t="shared" si="2"/>
        <v>0</v>
      </c>
      <c r="X164" s="44" t="s">
        <v>199</v>
      </c>
      <c r="AA164"/>
    </row>
    <row r="165" spans="3:27">
      <c r="C165">
        <v>5360</v>
      </c>
      <c r="D165" t="s">
        <v>537</v>
      </c>
      <c r="E165">
        <v>95660000</v>
      </c>
      <c r="H165" t="s">
        <v>697</v>
      </c>
      <c r="K165" s="3">
        <v>0</v>
      </c>
      <c r="L165" s="26"/>
      <c r="M165" s="27">
        <v>0</v>
      </c>
      <c r="O165" s="3">
        <v>0</v>
      </c>
      <c r="S165" s="3"/>
      <c r="T165" s="3"/>
      <c r="U165" s="3"/>
      <c r="V165" s="3"/>
      <c r="W165" s="3">
        <f t="shared" si="2"/>
        <v>0</v>
      </c>
      <c r="X165" s="44" t="s">
        <v>199</v>
      </c>
      <c r="AA165"/>
    </row>
    <row r="166" spans="3:27">
      <c r="C166">
        <v>5360</v>
      </c>
      <c r="D166" t="s">
        <v>537</v>
      </c>
      <c r="E166">
        <v>95670000</v>
      </c>
      <c r="H166" t="s">
        <v>698</v>
      </c>
      <c r="K166" s="3">
        <v>0</v>
      </c>
      <c r="L166" s="26"/>
      <c r="M166" s="27">
        <v>0</v>
      </c>
      <c r="O166" s="3">
        <v>0</v>
      </c>
      <c r="S166" s="3"/>
      <c r="T166" s="3"/>
      <c r="U166" s="3"/>
      <c r="V166" s="3"/>
      <c r="W166" s="3">
        <f t="shared" si="2"/>
        <v>0</v>
      </c>
      <c r="X166" s="44" t="s">
        <v>199</v>
      </c>
      <c r="AA166"/>
    </row>
    <row r="167" spans="3:27">
      <c r="C167">
        <v>5360</v>
      </c>
      <c r="D167" t="s">
        <v>537</v>
      </c>
      <c r="E167">
        <v>95671000</v>
      </c>
      <c r="H167" t="s">
        <v>628</v>
      </c>
      <c r="K167" s="3">
        <v>0</v>
      </c>
      <c r="L167" s="26"/>
      <c r="M167" s="27">
        <v>0</v>
      </c>
      <c r="O167" s="3">
        <v>0</v>
      </c>
      <c r="S167" s="3"/>
      <c r="T167" s="3"/>
      <c r="U167" s="3"/>
      <c r="V167" s="3"/>
      <c r="W167" s="3">
        <f t="shared" si="2"/>
        <v>0</v>
      </c>
      <c r="X167" s="44" t="s">
        <v>199</v>
      </c>
      <c r="AA167"/>
    </row>
    <row r="168" spans="3:27">
      <c r="C168">
        <v>5360</v>
      </c>
      <c r="D168" t="s">
        <v>537</v>
      </c>
      <c r="E168">
        <v>95757000</v>
      </c>
      <c r="H168" t="s">
        <v>699</v>
      </c>
      <c r="K168" s="3">
        <v>0</v>
      </c>
      <c r="L168" s="26"/>
      <c r="M168" s="27">
        <v>0</v>
      </c>
      <c r="O168" s="3">
        <v>0</v>
      </c>
      <c r="S168" s="3"/>
      <c r="T168" s="3"/>
      <c r="U168" s="3"/>
      <c r="V168" s="3"/>
      <c r="W168" s="3">
        <f t="shared" si="2"/>
        <v>0</v>
      </c>
      <c r="X168" s="44" t="s">
        <v>199</v>
      </c>
      <c r="AA168"/>
    </row>
    <row r="169" spans="3:27">
      <c r="E169" t="s">
        <v>700</v>
      </c>
      <c r="K169" s="3">
        <v>589.46</v>
      </c>
      <c r="L169" s="26"/>
      <c r="M169" s="27">
        <v>0.77</v>
      </c>
      <c r="O169" s="3">
        <v>588.69000000000005</v>
      </c>
      <c r="Q169">
        <v>76453.2</v>
      </c>
      <c r="R169" t="s">
        <v>650</v>
      </c>
      <c r="S169" s="3">
        <f>SUM(S149:S168)</f>
        <v>-589.46</v>
      </c>
      <c r="T169" s="3">
        <f>SUM(T149:T168)</f>
        <v>0</v>
      </c>
      <c r="U169" s="3">
        <f>SUM(U149:U168)</f>
        <v>0</v>
      </c>
      <c r="V169" s="3">
        <f>SUM(V149:V168)</f>
        <v>0</v>
      </c>
      <c r="W169" s="3">
        <f t="shared" si="2"/>
        <v>0</v>
      </c>
      <c r="X169" s="44"/>
      <c r="AA169"/>
    </row>
    <row r="170" spans="3:27">
      <c r="C170">
        <v>5360</v>
      </c>
      <c r="D170" t="s">
        <v>537</v>
      </c>
      <c r="E170">
        <v>95680000</v>
      </c>
      <c r="H170" t="s">
        <v>701</v>
      </c>
      <c r="K170" s="3">
        <v>0</v>
      </c>
      <c r="L170" s="26"/>
      <c r="M170" s="27">
        <v>0</v>
      </c>
      <c r="O170" s="3">
        <v>0</v>
      </c>
      <c r="S170" s="3"/>
      <c r="T170" s="3"/>
      <c r="U170" s="3"/>
      <c r="V170" s="3"/>
      <c r="W170" s="3">
        <f t="shared" si="2"/>
        <v>0</v>
      </c>
      <c r="X170" s="44" t="s">
        <v>199</v>
      </c>
      <c r="AA170"/>
    </row>
    <row r="171" spans="3:27">
      <c r="C171">
        <v>5360</v>
      </c>
      <c r="D171" t="s">
        <v>537</v>
      </c>
      <c r="E171">
        <v>95690000</v>
      </c>
      <c r="H171" t="s">
        <v>702</v>
      </c>
      <c r="K171" s="3">
        <v>0</v>
      </c>
      <c r="L171" s="26"/>
      <c r="M171" s="27">
        <v>0</v>
      </c>
      <c r="O171" s="3">
        <v>0</v>
      </c>
      <c r="S171" s="3"/>
      <c r="T171" s="3"/>
      <c r="U171" s="3"/>
      <c r="V171" s="3"/>
      <c r="W171" s="3">
        <f t="shared" si="2"/>
        <v>0</v>
      </c>
      <c r="X171" s="44" t="s">
        <v>199</v>
      </c>
      <c r="AA171"/>
    </row>
    <row r="172" spans="3:27">
      <c r="C172">
        <v>5360</v>
      </c>
      <c r="D172" t="s">
        <v>537</v>
      </c>
      <c r="E172">
        <v>95691000</v>
      </c>
      <c r="H172" t="s">
        <v>703</v>
      </c>
      <c r="K172" s="3">
        <v>0</v>
      </c>
      <c r="L172" s="26"/>
      <c r="M172" s="27">
        <v>0</v>
      </c>
      <c r="O172" s="3">
        <v>0</v>
      </c>
      <c r="S172" s="3"/>
      <c r="T172" s="3"/>
      <c r="U172" s="3"/>
      <c r="V172" s="3"/>
      <c r="W172" s="3">
        <f t="shared" si="2"/>
        <v>0</v>
      </c>
      <c r="X172" s="44" t="s">
        <v>199</v>
      </c>
      <c r="AA172"/>
    </row>
    <row r="173" spans="3:27">
      <c r="C173">
        <v>5360</v>
      </c>
      <c r="D173" t="s">
        <v>537</v>
      </c>
      <c r="E173">
        <v>95692000</v>
      </c>
      <c r="H173" t="s">
        <v>704</v>
      </c>
      <c r="K173" s="3">
        <v>0</v>
      </c>
      <c r="L173" s="26"/>
      <c r="M173" s="27">
        <v>0</v>
      </c>
      <c r="O173" s="3">
        <v>0</v>
      </c>
      <c r="S173" s="3"/>
      <c r="T173" s="3"/>
      <c r="U173" s="3"/>
      <c r="V173" s="3"/>
      <c r="W173" s="3">
        <f t="shared" si="2"/>
        <v>0</v>
      </c>
      <c r="X173" s="44" t="s">
        <v>199</v>
      </c>
      <c r="AA173"/>
    </row>
    <row r="174" spans="3:27">
      <c r="C174">
        <v>5360</v>
      </c>
      <c r="D174" t="s">
        <v>537</v>
      </c>
      <c r="E174">
        <v>95693000</v>
      </c>
      <c r="H174" t="s">
        <v>705</v>
      </c>
      <c r="K174" s="3">
        <v>0</v>
      </c>
      <c r="L174" s="26"/>
      <c r="M174" s="27">
        <v>0</v>
      </c>
      <c r="O174" s="3">
        <v>0</v>
      </c>
      <c r="S174" s="3"/>
      <c r="T174" s="3"/>
      <c r="U174" s="3"/>
      <c r="V174" s="3"/>
      <c r="W174" s="3">
        <f t="shared" si="2"/>
        <v>0</v>
      </c>
      <c r="X174" s="44" t="s">
        <v>199</v>
      </c>
      <c r="AA174"/>
    </row>
    <row r="175" spans="3:27">
      <c r="C175">
        <v>5360</v>
      </c>
      <c r="D175" t="s">
        <v>537</v>
      </c>
      <c r="E175">
        <v>95694000</v>
      </c>
      <c r="H175" t="s">
        <v>706</v>
      </c>
      <c r="K175" s="3">
        <v>0</v>
      </c>
      <c r="L175" s="26"/>
      <c r="M175" s="27">
        <v>0</v>
      </c>
      <c r="O175" s="3">
        <v>0</v>
      </c>
      <c r="S175" s="3"/>
      <c r="T175" s="3"/>
      <c r="U175" s="3"/>
      <c r="V175" s="3"/>
      <c r="W175" s="3">
        <f t="shared" si="2"/>
        <v>0</v>
      </c>
      <c r="X175" s="44" t="s">
        <v>199</v>
      </c>
      <c r="AA175"/>
    </row>
    <row r="176" spans="3:27">
      <c r="C176">
        <v>5360</v>
      </c>
      <c r="D176" t="s">
        <v>537</v>
      </c>
      <c r="E176">
        <v>95700000</v>
      </c>
      <c r="H176" t="s">
        <v>707</v>
      </c>
      <c r="K176" s="3">
        <v>0</v>
      </c>
      <c r="L176" s="26"/>
      <c r="M176" s="27">
        <v>0</v>
      </c>
      <c r="O176" s="3">
        <v>0</v>
      </c>
      <c r="S176" s="3"/>
      <c r="T176" s="3"/>
      <c r="U176" s="3"/>
      <c r="V176" s="3"/>
      <c r="W176" s="3">
        <f t="shared" si="2"/>
        <v>0</v>
      </c>
      <c r="X176" s="44" t="s">
        <v>199</v>
      </c>
      <c r="AA176"/>
    </row>
    <row r="177" spans="3:27">
      <c r="C177">
        <v>5360</v>
      </c>
      <c r="D177" t="s">
        <v>537</v>
      </c>
      <c r="E177">
        <v>95710000</v>
      </c>
      <c r="H177" t="s">
        <v>708</v>
      </c>
      <c r="K177" s="3">
        <v>0</v>
      </c>
      <c r="L177" s="26"/>
      <c r="M177" s="27">
        <v>0</v>
      </c>
      <c r="O177" s="3">
        <v>0</v>
      </c>
      <c r="S177" s="3"/>
      <c r="T177" s="3"/>
      <c r="U177" s="3"/>
      <c r="V177" s="3"/>
      <c r="W177" s="3">
        <f t="shared" si="2"/>
        <v>0</v>
      </c>
      <c r="X177" s="44" t="s">
        <v>199</v>
      </c>
      <c r="AA177"/>
    </row>
    <row r="178" spans="3:27">
      <c r="C178">
        <v>5360</v>
      </c>
      <c r="D178" t="s">
        <v>537</v>
      </c>
      <c r="E178">
        <v>95720000</v>
      </c>
      <c r="H178" t="s">
        <v>709</v>
      </c>
      <c r="K178" s="3">
        <v>0</v>
      </c>
      <c r="L178" s="26"/>
      <c r="M178" s="27">
        <v>0</v>
      </c>
      <c r="O178" s="3">
        <v>0</v>
      </c>
      <c r="S178" s="3"/>
      <c r="T178" s="3"/>
      <c r="U178" s="3"/>
      <c r="V178" s="3"/>
      <c r="W178" s="3">
        <f t="shared" si="2"/>
        <v>0</v>
      </c>
      <c r="X178" s="44" t="s">
        <v>199</v>
      </c>
      <c r="AA178"/>
    </row>
    <row r="179" spans="3:27">
      <c r="C179">
        <v>5360</v>
      </c>
      <c r="D179" t="s">
        <v>537</v>
      </c>
      <c r="E179">
        <v>95730000</v>
      </c>
      <c r="H179" t="s">
        <v>710</v>
      </c>
      <c r="K179" s="3">
        <v>0</v>
      </c>
      <c r="L179" s="26"/>
      <c r="M179" s="27">
        <v>0</v>
      </c>
      <c r="O179" s="3">
        <v>0</v>
      </c>
      <c r="S179" s="3"/>
      <c r="T179" s="3"/>
      <c r="U179" s="3"/>
      <c r="V179" s="3"/>
      <c r="W179" s="3">
        <f t="shared" si="2"/>
        <v>0</v>
      </c>
      <c r="X179" s="44" t="s">
        <v>199</v>
      </c>
      <c r="AA179"/>
    </row>
    <row r="180" spans="3:27">
      <c r="C180">
        <v>5360</v>
      </c>
      <c r="D180" t="s">
        <v>537</v>
      </c>
      <c r="E180">
        <v>95740000</v>
      </c>
      <c r="H180" t="s">
        <v>628</v>
      </c>
      <c r="K180" s="3">
        <v>0</v>
      </c>
      <c r="L180" s="26"/>
      <c r="M180" s="27">
        <v>0</v>
      </c>
      <c r="O180" s="3">
        <v>0</v>
      </c>
      <c r="S180" s="3"/>
      <c r="T180" s="3"/>
      <c r="U180" s="3"/>
      <c r="V180" s="3"/>
      <c r="W180" s="3">
        <f t="shared" si="2"/>
        <v>0</v>
      </c>
      <c r="X180" s="44" t="s">
        <v>199</v>
      </c>
      <c r="AA180"/>
    </row>
    <row r="181" spans="3:27">
      <c r="C181">
        <v>5360</v>
      </c>
      <c r="D181" t="s">
        <v>537</v>
      </c>
      <c r="E181">
        <v>95750000</v>
      </c>
      <c r="H181" t="s">
        <v>628</v>
      </c>
      <c r="K181" s="3">
        <v>0</v>
      </c>
      <c r="L181" s="26"/>
      <c r="M181" s="27">
        <v>0</v>
      </c>
      <c r="O181" s="3">
        <v>0</v>
      </c>
      <c r="S181" s="3"/>
      <c r="T181" s="3"/>
      <c r="U181" s="3"/>
      <c r="V181" s="3"/>
      <c r="W181" s="3">
        <f t="shared" si="2"/>
        <v>0</v>
      </c>
      <c r="X181" s="44" t="s">
        <v>580</v>
      </c>
      <c r="AA181"/>
    </row>
    <row r="182" spans="3:27">
      <c r="C182">
        <v>5360</v>
      </c>
      <c r="D182" t="s">
        <v>537</v>
      </c>
      <c r="E182">
        <v>95751000</v>
      </c>
      <c r="H182" t="s">
        <v>711</v>
      </c>
      <c r="K182" s="3">
        <v>0</v>
      </c>
      <c r="L182" s="26"/>
      <c r="M182" s="27">
        <v>0</v>
      </c>
      <c r="O182" s="3">
        <v>0</v>
      </c>
      <c r="S182" s="3"/>
      <c r="T182" s="3"/>
      <c r="U182" s="3"/>
      <c r="V182" s="3"/>
      <c r="W182" s="3">
        <f t="shared" si="2"/>
        <v>0</v>
      </c>
      <c r="X182" s="44" t="s">
        <v>199</v>
      </c>
      <c r="AA182"/>
    </row>
    <row r="183" spans="3:27">
      <c r="C183">
        <v>5360</v>
      </c>
      <c r="D183" t="s">
        <v>537</v>
      </c>
      <c r="E183">
        <v>95752000</v>
      </c>
      <c r="H183" t="s">
        <v>712</v>
      </c>
      <c r="K183" s="3">
        <v>0</v>
      </c>
      <c r="L183" s="26"/>
      <c r="M183" s="27">
        <v>0</v>
      </c>
      <c r="O183" s="3">
        <v>0</v>
      </c>
      <c r="S183" s="3"/>
      <c r="T183" s="3"/>
      <c r="U183" s="3"/>
      <c r="V183" s="3"/>
      <c r="W183" s="3">
        <f t="shared" si="2"/>
        <v>0</v>
      </c>
      <c r="X183" s="44" t="s">
        <v>199</v>
      </c>
      <c r="AA183"/>
    </row>
    <row r="184" spans="3:27">
      <c r="C184">
        <v>5360</v>
      </c>
      <c r="D184" t="s">
        <v>537</v>
      </c>
      <c r="E184">
        <v>95753000</v>
      </c>
      <c r="H184" t="s">
        <v>713</v>
      </c>
      <c r="K184" s="3">
        <v>0</v>
      </c>
      <c r="L184" s="26"/>
      <c r="M184" s="27">
        <v>0</v>
      </c>
      <c r="O184" s="3">
        <v>0</v>
      </c>
      <c r="S184" s="3"/>
      <c r="T184" s="3"/>
      <c r="U184" s="3"/>
      <c r="V184" s="3"/>
      <c r="W184" s="3">
        <f t="shared" si="2"/>
        <v>0</v>
      </c>
      <c r="X184" s="44" t="s">
        <v>199</v>
      </c>
      <c r="AA184"/>
    </row>
    <row r="185" spans="3:27">
      <c r="C185">
        <v>5360</v>
      </c>
      <c r="D185" t="s">
        <v>537</v>
      </c>
      <c r="E185">
        <v>95754000</v>
      </c>
      <c r="H185" t="s">
        <v>714</v>
      </c>
      <c r="K185" s="3">
        <v>0</v>
      </c>
      <c r="L185" s="26"/>
      <c r="M185" s="27">
        <v>0</v>
      </c>
      <c r="O185" s="3">
        <v>0</v>
      </c>
      <c r="S185" s="3"/>
      <c r="T185" s="3"/>
      <c r="U185" s="3"/>
      <c r="V185" s="3"/>
      <c r="W185" s="3">
        <f t="shared" si="2"/>
        <v>0</v>
      </c>
      <c r="X185" s="44" t="s">
        <v>199</v>
      </c>
      <c r="AA185"/>
    </row>
    <row r="186" spans="3:27">
      <c r="C186">
        <v>5360</v>
      </c>
      <c r="D186" t="s">
        <v>537</v>
      </c>
      <c r="E186">
        <v>95755000</v>
      </c>
      <c r="H186" t="s">
        <v>715</v>
      </c>
      <c r="K186" s="3">
        <v>0</v>
      </c>
      <c r="L186" s="26"/>
      <c r="M186" s="27">
        <v>0</v>
      </c>
      <c r="O186" s="3">
        <v>0</v>
      </c>
      <c r="S186" s="3"/>
      <c r="T186" s="3"/>
      <c r="U186" s="3"/>
      <c r="V186" s="3"/>
      <c r="W186" s="3">
        <f t="shared" si="2"/>
        <v>0</v>
      </c>
      <c r="X186" s="44" t="s">
        <v>199</v>
      </c>
      <c r="AA186"/>
    </row>
    <row r="187" spans="3:27">
      <c r="C187">
        <v>5360</v>
      </c>
      <c r="D187" t="s">
        <v>537</v>
      </c>
      <c r="E187">
        <v>95756000</v>
      </c>
      <c r="H187" t="s">
        <v>716</v>
      </c>
      <c r="K187" s="3">
        <v>0</v>
      </c>
      <c r="L187" s="26"/>
      <c r="M187" s="27">
        <v>0</v>
      </c>
      <c r="O187" s="3">
        <v>0</v>
      </c>
      <c r="S187" s="3"/>
      <c r="T187" s="3"/>
      <c r="U187" s="3"/>
      <c r="V187" s="3"/>
      <c r="W187" s="3">
        <f t="shared" si="2"/>
        <v>0</v>
      </c>
      <c r="X187" s="44" t="s">
        <v>199</v>
      </c>
      <c r="AA187"/>
    </row>
    <row r="188" spans="3:27">
      <c r="C188">
        <v>5360</v>
      </c>
      <c r="D188" t="s">
        <v>537</v>
      </c>
      <c r="E188">
        <v>95758000</v>
      </c>
      <c r="H188" t="s">
        <v>698</v>
      </c>
      <c r="K188" s="3">
        <v>0</v>
      </c>
      <c r="L188" s="26"/>
      <c r="M188" s="27">
        <v>0</v>
      </c>
      <c r="O188" s="3">
        <v>0</v>
      </c>
      <c r="S188" s="3"/>
      <c r="T188" s="3"/>
      <c r="U188" s="3"/>
      <c r="V188" s="3"/>
      <c r="W188" s="3">
        <f t="shared" si="2"/>
        <v>0</v>
      </c>
      <c r="X188" s="44" t="s">
        <v>199</v>
      </c>
      <c r="AA188"/>
    </row>
    <row r="189" spans="3:27">
      <c r="C189">
        <v>5360</v>
      </c>
      <c r="D189" t="s">
        <v>537</v>
      </c>
      <c r="E189">
        <v>95761000</v>
      </c>
      <c r="H189" t="s">
        <v>717</v>
      </c>
      <c r="K189" s="3">
        <v>0</v>
      </c>
      <c r="L189" s="26"/>
      <c r="M189" s="27">
        <v>0</v>
      </c>
      <c r="O189" s="3">
        <v>0</v>
      </c>
      <c r="S189" s="3"/>
      <c r="T189" s="3"/>
      <c r="U189" s="3"/>
      <c r="V189" s="3"/>
      <c r="W189" s="3">
        <f t="shared" si="2"/>
        <v>0</v>
      </c>
      <c r="X189" s="44" t="s">
        <v>199</v>
      </c>
      <c r="AA189"/>
    </row>
    <row r="190" spans="3:27">
      <c r="C190">
        <v>5360</v>
      </c>
      <c r="D190" t="s">
        <v>537</v>
      </c>
      <c r="E190">
        <v>95762000</v>
      </c>
      <c r="H190" t="s">
        <v>703</v>
      </c>
      <c r="K190" s="3">
        <v>0</v>
      </c>
      <c r="L190" s="26"/>
      <c r="M190" s="27">
        <v>0</v>
      </c>
      <c r="O190" s="3">
        <v>0</v>
      </c>
      <c r="S190" s="3"/>
      <c r="T190" s="3"/>
      <c r="U190" s="3"/>
      <c r="V190" s="3"/>
      <c r="W190" s="3">
        <f t="shared" si="2"/>
        <v>0</v>
      </c>
      <c r="X190" s="44" t="s">
        <v>199</v>
      </c>
      <c r="AA190"/>
    </row>
    <row r="191" spans="3:27">
      <c r="C191">
        <v>5360</v>
      </c>
      <c r="D191" t="s">
        <v>537</v>
      </c>
      <c r="E191">
        <v>95763000</v>
      </c>
      <c r="H191" t="s">
        <v>704</v>
      </c>
      <c r="K191" s="3">
        <v>0</v>
      </c>
      <c r="L191" s="26"/>
      <c r="M191" s="27">
        <v>0</v>
      </c>
      <c r="O191" s="3">
        <v>0</v>
      </c>
      <c r="S191" s="3"/>
      <c r="T191" s="3"/>
      <c r="U191" s="3"/>
      <c r="V191" s="3"/>
      <c r="W191" s="3">
        <f t="shared" si="2"/>
        <v>0</v>
      </c>
      <c r="X191" s="44" t="s">
        <v>199</v>
      </c>
      <c r="AA191"/>
    </row>
    <row r="192" spans="3:27">
      <c r="C192">
        <v>5360</v>
      </c>
      <c r="D192" t="s">
        <v>537</v>
      </c>
      <c r="E192">
        <v>95764000</v>
      </c>
      <c r="H192" t="s">
        <v>705</v>
      </c>
      <c r="K192" s="3">
        <v>0</v>
      </c>
      <c r="L192" s="26"/>
      <c r="M192" s="27">
        <v>0</v>
      </c>
      <c r="O192" s="3">
        <v>0</v>
      </c>
      <c r="S192" s="3"/>
      <c r="T192" s="3"/>
      <c r="U192" s="3"/>
      <c r="V192" s="3"/>
      <c r="W192" s="3">
        <f t="shared" si="2"/>
        <v>0</v>
      </c>
      <c r="X192" s="44" t="s">
        <v>199</v>
      </c>
      <c r="AA192"/>
    </row>
    <row r="193" spans="3:36">
      <c r="C193">
        <v>5360</v>
      </c>
      <c r="D193" t="s">
        <v>537</v>
      </c>
      <c r="E193">
        <v>95765000</v>
      </c>
      <c r="H193" t="s">
        <v>718</v>
      </c>
      <c r="K193" s="3">
        <v>0</v>
      </c>
      <c r="L193" s="26"/>
      <c r="M193" s="27">
        <v>0</v>
      </c>
      <c r="O193" s="3">
        <v>0</v>
      </c>
      <c r="S193" s="3"/>
      <c r="T193" s="3"/>
      <c r="U193" s="3"/>
      <c r="V193" s="3"/>
      <c r="W193" s="3">
        <f t="shared" si="2"/>
        <v>0</v>
      </c>
      <c r="X193" s="44" t="s">
        <v>199</v>
      </c>
      <c r="AA193"/>
    </row>
    <row r="194" spans="3:36">
      <c r="E194" t="s">
        <v>719</v>
      </c>
      <c r="K194" s="3">
        <v>0</v>
      </c>
      <c r="L194" s="26"/>
      <c r="M194" s="27">
        <v>0</v>
      </c>
      <c r="O194" s="3">
        <v>0</v>
      </c>
      <c r="R194" t="s">
        <v>650</v>
      </c>
      <c r="S194" s="3">
        <f>SUM(S170:S193)</f>
        <v>0</v>
      </c>
      <c r="T194" s="3">
        <f>SUM(T170:T193)</f>
        <v>0</v>
      </c>
      <c r="U194" s="3">
        <f>SUM(U170:U193)</f>
        <v>0</v>
      </c>
      <c r="V194" s="3">
        <f>SUM(V170:V193)</f>
        <v>0</v>
      </c>
      <c r="W194" s="3">
        <f t="shared" si="2"/>
        <v>0</v>
      </c>
      <c r="X194" s="44"/>
      <c r="AA194"/>
    </row>
    <row r="195" spans="3:36">
      <c r="E195" t="s">
        <v>720</v>
      </c>
      <c r="K195" s="3">
        <v>589.46</v>
      </c>
      <c r="L195" s="26"/>
      <c r="M195" s="27">
        <v>0.77</v>
      </c>
      <c r="O195" s="3">
        <v>588.69000000000005</v>
      </c>
      <c r="Q195">
        <v>76453.2</v>
      </c>
      <c r="R195" t="s">
        <v>658</v>
      </c>
      <c r="S195" s="3">
        <f>S194+S169</f>
        <v>-589.46</v>
      </c>
      <c r="T195" s="3">
        <f>T194+T169</f>
        <v>0</v>
      </c>
      <c r="U195" s="3">
        <f>U194+U169</f>
        <v>0</v>
      </c>
      <c r="V195" s="3">
        <f>V194+V169</f>
        <v>0</v>
      </c>
      <c r="W195" s="3">
        <f t="shared" si="2"/>
        <v>0</v>
      </c>
      <c r="X195" s="44"/>
      <c r="AA195"/>
    </row>
    <row r="196" spans="3:36">
      <c r="C196">
        <v>5360</v>
      </c>
      <c r="D196" t="s">
        <v>537</v>
      </c>
      <c r="E196">
        <v>95800000</v>
      </c>
      <c r="H196" t="s">
        <v>721</v>
      </c>
      <c r="K196" s="3">
        <v>0</v>
      </c>
      <c r="L196" s="26"/>
      <c r="M196" s="27">
        <v>0</v>
      </c>
      <c r="O196" s="3">
        <v>0</v>
      </c>
      <c r="S196" s="3"/>
      <c r="T196" s="3"/>
      <c r="U196" s="3"/>
      <c r="V196" s="3"/>
      <c r="W196" s="3">
        <f t="shared" si="2"/>
        <v>0</v>
      </c>
      <c r="X196" s="44" t="s">
        <v>200</v>
      </c>
      <c r="AA196"/>
    </row>
    <row r="197" spans="3:36">
      <c r="C197">
        <v>5360</v>
      </c>
      <c r="D197" t="s">
        <v>537</v>
      </c>
      <c r="E197">
        <v>95810000</v>
      </c>
      <c r="H197" t="s">
        <v>722</v>
      </c>
      <c r="K197" s="3">
        <v>0</v>
      </c>
      <c r="L197" s="26"/>
      <c r="M197" s="27">
        <v>0</v>
      </c>
      <c r="O197" s="3">
        <v>0</v>
      </c>
      <c r="S197" s="3"/>
      <c r="T197" s="3"/>
      <c r="U197" s="3"/>
      <c r="V197" s="3"/>
      <c r="W197" s="3">
        <f t="shared" si="2"/>
        <v>0</v>
      </c>
      <c r="X197" s="44" t="s">
        <v>200</v>
      </c>
      <c r="AA197"/>
    </row>
    <row r="198" spans="3:36">
      <c r="C198">
        <v>5360</v>
      </c>
      <c r="D198" t="s">
        <v>537</v>
      </c>
      <c r="E198">
        <v>95811000</v>
      </c>
      <c r="H198" t="s">
        <v>628</v>
      </c>
      <c r="K198" s="3">
        <v>0</v>
      </c>
      <c r="L198" s="26"/>
      <c r="M198" s="27">
        <v>0</v>
      </c>
      <c r="O198" s="3">
        <v>0</v>
      </c>
      <c r="S198" s="3"/>
      <c r="T198" s="3"/>
      <c r="U198" s="3"/>
      <c r="V198" s="3"/>
      <c r="W198" s="3">
        <f t="shared" si="2"/>
        <v>0</v>
      </c>
      <c r="X198" s="44" t="s">
        <v>200</v>
      </c>
      <c r="AA198"/>
    </row>
    <row r="199" spans="3:36">
      <c r="C199">
        <v>5360</v>
      </c>
      <c r="D199" t="s">
        <v>537</v>
      </c>
      <c r="E199">
        <v>95820000</v>
      </c>
      <c r="H199" t="s">
        <v>723</v>
      </c>
      <c r="K199" s="3">
        <v>0</v>
      </c>
      <c r="L199" s="26"/>
      <c r="M199" s="27">
        <v>0</v>
      </c>
      <c r="O199" s="3">
        <v>0</v>
      </c>
      <c r="S199" s="3"/>
      <c r="T199" s="3"/>
      <c r="U199" s="3"/>
      <c r="V199" s="3"/>
      <c r="W199" s="3">
        <f t="shared" si="2"/>
        <v>0</v>
      </c>
      <c r="X199" s="44" t="s">
        <v>200</v>
      </c>
      <c r="AA199"/>
    </row>
    <row r="200" spans="3:36">
      <c r="C200">
        <v>5360</v>
      </c>
      <c r="D200" t="s">
        <v>537</v>
      </c>
      <c r="E200">
        <v>95830000</v>
      </c>
      <c r="H200" t="s">
        <v>724</v>
      </c>
      <c r="K200" s="3">
        <v>0</v>
      </c>
      <c r="L200" s="26"/>
      <c r="M200" s="27">
        <v>0</v>
      </c>
      <c r="O200" s="3">
        <v>0</v>
      </c>
      <c r="S200" s="3"/>
      <c r="T200" s="3"/>
      <c r="U200" s="3"/>
      <c r="V200" s="3"/>
      <c r="W200" s="3">
        <f t="shared" si="2"/>
        <v>0</v>
      </c>
      <c r="X200" s="44" t="s">
        <v>200</v>
      </c>
      <c r="AA200"/>
    </row>
    <row r="201" spans="3:36">
      <c r="C201">
        <v>5360</v>
      </c>
      <c r="D201" t="s">
        <v>537</v>
      </c>
      <c r="E201">
        <v>95840000</v>
      </c>
      <c r="H201" t="s">
        <v>725</v>
      </c>
      <c r="K201" s="3">
        <v>0</v>
      </c>
      <c r="L201" s="26"/>
      <c r="M201" s="27">
        <v>0</v>
      </c>
      <c r="O201" s="3">
        <v>0</v>
      </c>
      <c r="S201" s="3"/>
      <c r="T201" s="3"/>
      <c r="U201" s="3"/>
      <c r="V201" s="3"/>
      <c r="W201" s="3">
        <f t="shared" ref="W201:W264" si="3">SUM(K201,S201:V201)</f>
        <v>0</v>
      </c>
      <c r="X201" s="44" t="s">
        <v>200</v>
      </c>
      <c r="AA201"/>
    </row>
    <row r="202" spans="3:36">
      <c r="C202">
        <v>5360</v>
      </c>
      <c r="D202" t="s">
        <v>537</v>
      </c>
      <c r="E202">
        <v>95850000</v>
      </c>
      <c r="H202" t="s">
        <v>726</v>
      </c>
      <c r="K202" s="3">
        <v>0</v>
      </c>
      <c r="L202" s="26"/>
      <c r="M202" s="27">
        <v>0</v>
      </c>
      <c r="O202" s="3">
        <v>0</v>
      </c>
      <c r="S202" s="3"/>
      <c r="T202" s="3"/>
      <c r="U202" s="3"/>
      <c r="V202" s="3"/>
      <c r="W202" s="3">
        <f t="shared" si="3"/>
        <v>0</v>
      </c>
      <c r="X202" s="44" t="s">
        <v>200</v>
      </c>
      <c r="AA202"/>
    </row>
    <row r="203" spans="3:36">
      <c r="C203">
        <v>5360</v>
      </c>
      <c r="E203">
        <v>95860000</v>
      </c>
      <c r="H203" t="s">
        <v>727</v>
      </c>
      <c r="K203" s="3">
        <v>309.38</v>
      </c>
      <c r="L203" s="26"/>
      <c r="M203" s="27">
        <v>0</v>
      </c>
      <c r="O203" s="3">
        <v>309.38</v>
      </c>
      <c r="S203" s="3">
        <v>-309.38</v>
      </c>
      <c r="T203" s="3"/>
      <c r="U203" s="3"/>
      <c r="V203" s="3"/>
      <c r="W203" s="3">
        <f t="shared" si="3"/>
        <v>0</v>
      </c>
      <c r="X203" s="44" t="s">
        <v>200</v>
      </c>
      <c r="AA203"/>
    </row>
    <row r="204" spans="3:36">
      <c r="C204">
        <v>5360</v>
      </c>
      <c r="D204" t="s">
        <v>537</v>
      </c>
      <c r="E204">
        <v>95870000</v>
      </c>
      <c r="H204" t="s">
        <v>728</v>
      </c>
      <c r="K204" s="3">
        <v>0</v>
      </c>
      <c r="L204" s="26"/>
      <c r="M204" s="27">
        <v>0</v>
      </c>
      <c r="O204" s="3">
        <v>0</v>
      </c>
      <c r="S204" s="3"/>
      <c r="T204" s="3"/>
      <c r="U204" s="3"/>
      <c r="V204" s="3"/>
      <c r="W204" s="3">
        <f t="shared" si="3"/>
        <v>0</v>
      </c>
      <c r="X204" s="44" t="s">
        <v>200</v>
      </c>
      <c r="AA204"/>
    </row>
    <row r="205" spans="3:36">
      <c r="C205">
        <v>5360</v>
      </c>
      <c r="E205">
        <v>95880000</v>
      </c>
      <c r="H205" t="s">
        <v>729</v>
      </c>
      <c r="K205" s="3">
        <v>614.34</v>
      </c>
      <c r="M205" s="3">
        <v>34612.75</v>
      </c>
      <c r="O205" s="3">
        <v>-33998.410000000003</v>
      </c>
      <c r="Q205">
        <v>-98.2</v>
      </c>
      <c r="S205" s="3">
        <v>-614.34</v>
      </c>
      <c r="T205" s="3"/>
      <c r="U205" s="3"/>
      <c r="V205" s="3"/>
      <c r="W205" s="3">
        <f t="shared" si="3"/>
        <v>0</v>
      </c>
      <c r="X205" s="44" t="s">
        <v>200</v>
      </c>
      <c r="AA205"/>
      <c r="AJ205" s="31"/>
    </row>
    <row r="206" spans="3:36">
      <c r="C206">
        <v>5360</v>
      </c>
      <c r="D206" t="s">
        <v>537</v>
      </c>
      <c r="E206">
        <v>95890000</v>
      </c>
      <c r="H206" t="s">
        <v>730</v>
      </c>
      <c r="K206" s="3">
        <v>0</v>
      </c>
      <c r="M206" s="3">
        <v>0</v>
      </c>
      <c r="O206" s="3">
        <v>0</v>
      </c>
      <c r="S206" s="3"/>
      <c r="T206" s="3"/>
      <c r="U206" s="3"/>
      <c r="V206" s="3"/>
      <c r="W206" s="3">
        <f t="shared" si="3"/>
        <v>0</v>
      </c>
      <c r="X206" s="44" t="s">
        <v>200</v>
      </c>
      <c r="AA206"/>
    </row>
    <row r="207" spans="3:36">
      <c r="E207" t="s">
        <v>731</v>
      </c>
      <c r="K207" s="3">
        <v>923.72</v>
      </c>
      <c r="M207" s="3">
        <v>34612.75</v>
      </c>
      <c r="O207" s="3">
        <v>-33689.03</v>
      </c>
      <c r="Q207">
        <v>-97.3</v>
      </c>
      <c r="R207" t="s">
        <v>650</v>
      </c>
      <c r="S207" s="3">
        <f>SUM(S196:S206)</f>
        <v>-923.72</v>
      </c>
      <c r="T207" s="3">
        <f>SUM(T196:T206)</f>
        <v>0</v>
      </c>
      <c r="U207" s="3">
        <f>SUM(U196:U206)</f>
        <v>0</v>
      </c>
      <c r="V207" s="3">
        <f>SUM(V196:V206)</f>
        <v>0</v>
      </c>
      <c r="W207" s="3">
        <f t="shared" si="3"/>
        <v>0</v>
      </c>
      <c r="X207" s="44"/>
      <c r="AA207"/>
      <c r="AJ207" s="31"/>
    </row>
    <row r="208" spans="3:36">
      <c r="C208">
        <v>5360</v>
      </c>
      <c r="D208" t="s">
        <v>537</v>
      </c>
      <c r="E208">
        <v>95900000</v>
      </c>
      <c r="H208" t="s">
        <v>732</v>
      </c>
      <c r="K208" s="3">
        <v>0</v>
      </c>
      <c r="M208" s="3">
        <v>0</v>
      </c>
      <c r="O208" s="3">
        <v>0</v>
      </c>
      <c r="S208" s="3"/>
      <c r="T208" s="3"/>
      <c r="U208" s="3"/>
      <c r="V208" s="3"/>
      <c r="W208" s="3">
        <f t="shared" si="3"/>
        <v>0</v>
      </c>
      <c r="X208" s="44" t="s">
        <v>200</v>
      </c>
      <c r="AA208"/>
    </row>
    <row r="209" spans="3:36">
      <c r="C209">
        <v>5360</v>
      </c>
      <c r="D209" t="s">
        <v>537</v>
      </c>
      <c r="E209">
        <v>95910000</v>
      </c>
      <c r="H209" t="s">
        <v>733</v>
      </c>
      <c r="K209" s="3">
        <v>0</v>
      </c>
      <c r="M209" s="3">
        <v>0</v>
      </c>
      <c r="O209" s="3">
        <v>0</v>
      </c>
      <c r="S209" s="3"/>
      <c r="T209" s="3"/>
      <c r="U209" s="3"/>
      <c r="V209" s="3"/>
      <c r="W209" s="3">
        <f t="shared" si="3"/>
        <v>0</v>
      </c>
      <c r="X209" s="44" t="s">
        <v>200</v>
      </c>
      <c r="AA209"/>
    </row>
    <row r="210" spans="3:36">
      <c r="C210">
        <v>5360</v>
      </c>
      <c r="D210" t="s">
        <v>537</v>
      </c>
      <c r="E210">
        <v>95920000</v>
      </c>
      <c r="H210" t="s">
        <v>734</v>
      </c>
      <c r="K210" s="3">
        <v>0</v>
      </c>
      <c r="M210" s="3">
        <v>0</v>
      </c>
      <c r="O210" s="3">
        <v>0</v>
      </c>
      <c r="S210" s="3"/>
      <c r="T210" s="3"/>
      <c r="U210" s="3"/>
      <c r="V210" s="3"/>
      <c r="W210" s="3">
        <f t="shared" si="3"/>
        <v>0</v>
      </c>
      <c r="X210" s="44" t="s">
        <v>200</v>
      </c>
      <c r="AA210"/>
    </row>
    <row r="211" spans="3:36">
      <c r="C211">
        <v>5360</v>
      </c>
      <c r="D211" t="s">
        <v>537</v>
      </c>
      <c r="E211">
        <v>95921000</v>
      </c>
      <c r="H211" t="s">
        <v>628</v>
      </c>
      <c r="K211" s="3">
        <v>0</v>
      </c>
      <c r="M211" s="3">
        <v>0</v>
      </c>
      <c r="O211" s="3">
        <v>0</v>
      </c>
      <c r="S211" s="3"/>
      <c r="T211" s="3"/>
      <c r="U211" s="3"/>
      <c r="V211" s="3"/>
      <c r="W211" s="3">
        <f t="shared" si="3"/>
        <v>0</v>
      </c>
      <c r="X211" s="44" t="s">
        <v>200</v>
      </c>
      <c r="AA211"/>
    </row>
    <row r="212" spans="3:36">
      <c r="C212">
        <v>5360</v>
      </c>
      <c r="D212" t="s">
        <v>537</v>
      </c>
      <c r="E212">
        <v>95930000</v>
      </c>
      <c r="H212" t="s">
        <v>735</v>
      </c>
      <c r="K212" s="3">
        <v>0</v>
      </c>
      <c r="M212" s="3">
        <v>0</v>
      </c>
      <c r="O212" s="3">
        <v>0</v>
      </c>
      <c r="S212" s="3"/>
      <c r="T212" s="3"/>
      <c r="U212" s="3"/>
      <c r="V212" s="3"/>
      <c r="W212" s="3">
        <f t="shared" si="3"/>
        <v>0</v>
      </c>
      <c r="X212" s="44" t="s">
        <v>200</v>
      </c>
      <c r="AA212"/>
    </row>
    <row r="213" spans="3:36">
      <c r="C213">
        <v>5360</v>
      </c>
      <c r="D213" t="s">
        <v>537</v>
      </c>
      <c r="E213">
        <v>95940000</v>
      </c>
      <c r="H213" t="s">
        <v>736</v>
      </c>
      <c r="K213" s="3">
        <v>0</v>
      </c>
      <c r="M213" s="3">
        <v>0</v>
      </c>
      <c r="O213" s="3">
        <v>0</v>
      </c>
      <c r="S213" s="3"/>
      <c r="T213" s="3"/>
      <c r="U213" s="3"/>
      <c r="V213" s="3"/>
      <c r="W213" s="3">
        <f t="shared" si="3"/>
        <v>0</v>
      </c>
      <c r="X213" s="44" t="s">
        <v>200</v>
      </c>
      <c r="AA213"/>
    </row>
    <row r="214" spans="3:36">
      <c r="C214">
        <v>5360</v>
      </c>
      <c r="D214" t="s">
        <v>537</v>
      </c>
      <c r="E214">
        <v>95941000</v>
      </c>
      <c r="H214" t="s">
        <v>628</v>
      </c>
      <c r="K214" s="3">
        <v>0</v>
      </c>
      <c r="M214" s="3">
        <v>0</v>
      </c>
      <c r="O214" s="3">
        <v>0</v>
      </c>
      <c r="S214" s="3"/>
      <c r="T214" s="3"/>
      <c r="U214" s="3"/>
      <c r="V214" s="3"/>
      <c r="W214" s="3">
        <f t="shared" si="3"/>
        <v>0</v>
      </c>
      <c r="X214" s="44" t="s">
        <v>200</v>
      </c>
      <c r="AA214"/>
    </row>
    <row r="215" spans="3:36">
      <c r="C215">
        <v>5360</v>
      </c>
      <c r="D215" t="s">
        <v>537</v>
      </c>
      <c r="E215">
        <v>95950000</v>
      </c>
      <c r="H215" t="s">
        <v>737</v>
      </c>
      <c r="K215" s="3">
        <v>0</v>
      </c>
      <c r="M215" s="3">
        <v>0</v>
      </c>
      <c r="O215" s="3">
        <v>0</v>
      </c>
      <c r="S215" s="3"/>
      <c r="T215" s="3"/>
      <c r="U215" s="3"/>
      <c r="V215" s="3"/>
      <c r="W215" s="3">
        <f t="shared" si="3"/>
        <v>0</v>
      </c>
      <c r="X215" s="44" t="s">
        <v>200</v>
      </c>
      <c r="AA215"/>
      <c r="AJ215" s="31"/>
    </row>
    <row r="216" spans="3:36">
      <c r="C216">
        <v>5360</v>
      </c>
      <c r="D216" t="s">
        <v>537</v>
      </c>
      <c r="E216">
        <v>95960000</v>
      </c>
      <c r="H216" t="s">
        <v>738</v>
      </c>
      <c r="K216" s="3">
        <v>0</v>
      </c>
      <c r="M216" s="3">
        <v>0</v>
      </c>
      <c r="O216" s="3">
        <v>0</v>
      </c>
      <c r="S216" s="3"/>
      <c r="T216" s="3"/>
      <c r="U216" s="3"/>
      <c r="V216" s="3"/>
      <c r="W216" s="3">
        <f t="shared" si="3"/>
        <v>0</v>
      </c>
      <c r="X216" s="44" t="s">
        <v>200</v>
      </c>
      <c r="AA216"/>
    </row>
    <row r="217" spans="3:36">
      <c r="C217">
        <v>5360</v>
      </c>
      <c r="D217" t="s">
        <v>537</v>
      </c>
      <c r="E217">
        <v>95970000</v>
      </c>
      <c r="H217" t="s">
        <v>739</v>
      </c>
      <c r="K217" s="3">
        <v>0</v>
      </c>
      <c r="M217" s="3">
        <v>0</v>
      </c>
      <c r="O217" s="3">
        <v>0</v>
      </c>
      <c r="S217" s="3"/>
      <c r="T217" s="3"/>
      <c r="U217" s="3"/>
      <c r="V217" s="3"/>
      <c r="W217" s="3">
        <f t="shared" si="3"/>
        <v>0</v>
      </c>
      <c r="X217" s="44" t="s">
        <v>200</v>
      </c>
      <c r="AA217"/>
    </row>
    <row r="218" spans="3:36">
      <c r="C218">
        <v>5360</v>
      </c>
      <c r="D218" t="s">
        <v>537</v>
      </c>
      <c r="E218">
        <v>95980000</v>
      </c>
      <c r="H218" t="s">
        <v>740</v>
      </c>
      <c r="K218" s="3">
        <v>0</v>
      </c>
      <c r="M218" s="3">
        <v>0</v>
      </c>
      <c r="O218" s="3">
        <v>0</v>
      </c>
      <c r="S218" s="3"/>
      <c r="T218" s="3"/>
      <c r="U218" s="3"/>
      <c r="V218" s="3"/>
      <c r="W218" s="3">
        <f t="shared" si="3"/>
        <v>0</v>
      </c>
      <c r="X218" s="44" t="s">
        <v>200</v>
      </c>
      <c r="AA218"/>
    </row>
    <row r="219" spans="3:36">
      <c r="E219" t="s">
        <v>741</v>
      </c>
      <c r="K219" s="3">
        <v>0</v>
      </c>
      <c r="M219" s="3">
        <v>0</v>
      </c>
      <c r="O219" s="3">
        <v>0</v>
      </c>
      <c r="R219" t="s">
        <v>650</v>
      </c>
      <c r="S219" s="3">
        <f>SUM(S208:S218)</f>
        <v>0</v>
      </c>
      <c r="T219" s="3">
        <f>SUM(T208:T218)</f>
        <v>0</v>
      </c>
      <c r="U219" s="3">
        <f>SUM(U208:U218)</f>
        <v>0</v>
      </c>
      <c r="V219" s="3">
        <f>SUM(V208:V218)</f>
        <v>0</v>
      </c>
      <c r="W219" s="3">
        <f t="shared" si="3"/>
        <v>0</v>
      </c>
      <c r="X219" s="44"/>
      <c r="AA219"/>
      <c r="AJ219" s="31"/>
    </row>
    <row r="220" spans="3:36">
      <c r="E220" t="s">
        <v>742</v>
      </c>
      <c r="K220" s="3">
        <v>923.72</v>
      </c>
      <c r="M220" s="3">
        <v>34612.75</v>
      </c>
      <c r="O220" s="3">
        <v>-33689.03</v>
      </c>
      <c r="Q220">
        <v>-97.3</v>
      </c>
      <c r="R220" t="s">
        <v>658</v>
      </c>
      <c r="S220" s="3">
        <f>S207+S219</f>
        <v>-923.72</v>
      </c>
      <c r="T220" s="3">
        <f>T207+T219</f>
        <v>0</v>
      </c>
      <c r="U220" s="3">
        <f>U207+U219</f>
        <v>0</v>
      </c>
      <c r="V220" s="3">
        <f>V207+V219</f>
        <v>0</v>
      </c>
      <c r="W220" s="3">
        <f t="shared" si="3"/>
        <v>0</v>
      </c>
      <c r="X220" s="44"/>
      <c r="AA220"/>
      <c r="AJ220" s="31"/>
    </row>
    <row r="221" spans="3:36">
      <c r="C221">
        <v>5360</v>
      </c>
      <c r="D221" t="s">
        <v>537</v>
      </c>
      <c r="E221">
        <v>97350000</v>
      </c>
      <c r="H221" t="s">
        <v>743</v>
      </c>
      <c r="K221" s="3">
        <v>0</v>
      </c>
      <c r="M221" s="3">
        <v>0</v>
      </c>
      <c r="O221" s="3">
        <v>0</v>
      </c>
      <c r="S221" s="3"/>
      <c r="T221" s="3"/>
      <c r="U221" s="3"/>
      <c r="V221" s="3"/>
      <c r="W221" s="3">
        <f t="shared" si="3"/>
        <v>0</v>
      </c>
      <c r="X221" s="44" t="s">
        <v>197</v>
      </c>
      <c r="AA221"/>
    </row>
    <row r="222" spans="3:36">
      <c r="C222">
        <v>5360</v>
      </c>
      <c r="D222" t="s">
        <v>537</v>
      </c>
      <c r="E222">
        <v>97360000</v>
      </c>
      <c r="H222" t="s">
        <v>744</v>
      </c>
      <c r="K222" s="3">
        <v>0</v>
      </c>
      <c r="M222" s="3">
        <v>0</v>
      </c>
      <c r="O222" s="3">
        <v>0</v>
      </c>
      <c r="S222" s="3"/>
      <c r="T222" s="3"/>
      <c r="U222" s="3"/>
      <c r="V222" s="3"/>
      <c r="W222" s="3">
        <f t="shared" si="3"/>
        <v>0</v>
      </c>
      <c r="X222" s="44" t="s">
        <v>197</v>
      </c>
      <c r="AA222"/>
    </row>
    <row r="223" spans="3:36">
      <c r="C223">
        <v>5360</v>
      </c>
      <c r="D223" t="s">
        <v>537</v>
      </c>
      <c r="E223">
        <v>97410000</v>
      </c>
      <c r="H223" t="s">
        <v>745</v>
      </c>
      <c r="K223" s="3">
        <v>0</v>
      </c>
      <c r="M223" s="3">
        <v>0</v>
      </c>
      <c r="O223" s="3">
        <v>0</v>
      </c>
      <c r="S223" s="3"/>
      <c r="T223" s="3"/>
      <c r="U223" s="3"/>
      <c r="V223" s="3"/>
      <c r="W223" s="3">
        <f t="shared" si="3"/>
        <v>0</v>
      </c>
      <c r="X223" s="44" t="s">
        <v>197</v>
      </c>
      <c r="AA223"/>
    </row>
    <row r="224" spans="3:36">
      <c r="C224">
        <v>5360</v>
      </c>
      <c r="D224" t="s">
        <v>537</v>
      </c>
      <c r="E224">
        <v>97420000</v>
      </c>
      <c r="H224" t="s">
        <v>746</v>
      </c>
      <c r="K224" s="3">
        <v>0</v>
      </c>
      <c r="M224" s="3">
        <v>0</v>
      </c>
      <c r="O224" s="3">
        <v>0</v>
      </c>
      <c r="S224" s="3"/>
      <c r="T224" s="3"/>
      <c r="U224" s="3"/>
      <c r="V224" s="3"/>
      <c r="W224" s="3">
        <f t="shared" si="3"/>
        <v>0</v>
      </c>
      <c r="X224" s="44" t="s">
        <v>197</v>
      </c>
      <c r="AA224"/>
    </row>
    <row r="225" spans="3:27">
      <c r="C225">
        <v>5360</v>
      </c>
      <c r="D225" t="s">
        <v>537</v>
      </c>
      <c r="E225">
        <v>97500000</v>
      </c>
      <c r="H225" t="s">
        <v>747</v>
      </c>
      <c r="K225" s="3">
        <v>0</v>
      </c>
      <c r="M225" s="3">
        <v>0</v>
      </c>
      <c r="O225" s="3">
        <v>0</v>
      </c>
      <c r="S225" s="3"/>
      <c r="T225" s="3"/>
      <c r="U225" s="3"/>
      <c r="V225" s="3"/>
      <c r="W225" s="3">
        <f t="shared" si="3"/>
        <v>0</v>
      </c>
      <c r="X225" s="44" t="s">
        <v>197</v>
      </c>
      <c r="AA225"/>
    </row>
    <row r="226" spans="3:27">
      <c r="C226">
        <v>5360</v>
      </c>
      <c r="D226" t="s">
        <v>537</v>
      </c>
      <c r="E226">
        <v>97510000</v>
      </c>
      <c r="H226" t="s">
        <v>748</v>
      </c>
      <c r="K226" s="3">
        <v>0</v>
      </c>
      <c r="M226" s="3">
        <v>0</v>
      </c>
      <c r="O226" s="3">
        <v>0</v>
      </c>
      <c r="S226" s="3"/>
      <c r="T226" s="3"/>
      <c r="U226" s="3"/>
      <c r="V226" s="3"/>
      <c r="W226" s="3">
        <f t="shared" si="3"/>
        <v>0</v>
      </c>
      <c r="X226" s="44" t="s">
        <v>197</v>
      </c>
      <c r="AA226"/>
    </row>
    <row r="227" spans="3:27">
      <c r="C227">
        <v>5360</v>
      </c>
      <c r="D227" t="s">
        <v>537</v>
      </c>
      <c r="E227">
        <v>97520000</v>
      </c>
      <c r="H227" t="s">
        <v>749</v>
      </c>
      <c r="K227" s="3">
        <v>0</v>
      </c>
      <c r="M227" s="3">
        <v>0</v>
      </c>
      <c r="O227" s="3">
        <v>0</v>
      </c>
      <c r="S227" s="3"/>
      <c r="T227" s="3"/>
      <c r="U227" s="3"/>
      <c r="V227" s="3"/>
      <c r="W227" s="3">
        <f t="shared" si="3"/>
        <v>0</v>
      </c>
      <c r="X227" s="44" t="s">
        <v>197</v>
      </c>
      <c r="AA227"/>
    </row>
    <row r="228" spans="3:27">
      <c r="C228">
        <v>5360</v>
      </c>
      <c r="D228" t="s">
        <v>537</v>
      </c>
      <c r="E228">
        <v>97530000</v>
      </c>
      <c r="H228" t="s">
        <v>750</v>
      </c>
      <c r="K228" s="3">
        <v>0</v>
      </c>
      <c r="M228" s="3">
        <v>0</v>
      </c>
      <c r="O228" s="3">
        <v>0</v>
      </c>
      <c r="S228" s="3"/>
      <c r="T228" s="3"/>
      <c r="U228" s="3"/>
      <c r="V228" s="3"/>
      <c r="W228" s="3">
        <f t="shared" si="3"/>
        <v>0</v>
      </c>
      <c r="X228" s="44" t="s">
        <v>197</v>
      </c>
      <c r="AA228"/>
    </row>
    <row r="229" spans="3:27">
      <c r="C229">
        <v>5360</v>
      </c>
      <c r="D229" t="s">
        <v>537</v>
      </c>
      <c r="E229">
        <v>97540000</v>
      </c>
      <c r="H229" t="s">
        <v>751</v>
      </c>
      <c r="K229" s="3">
        <v>0</v>
      </c>
      <c r="M229" s="3">
        <v>0</v>
      </c>
      <c r="O229" s="3">
        <v>0</v>
      </c>
      <c r="S229" s="3"/>
      <c r="T229" s="3"/>
      <c r="U229" s="3"/>
      <c r="V229" s="3"/>
      <c r="W229" s="3">
        <f t="shared" si="3"/>
        <v>0</v>
      </c>
      <c r="X229" s="44" t="s">
        <v>197</v>
      </c>
      <c r="AA229"/>
    </row>
    <row r="230" spans="3:27">
      <c r="C230">
        <v>5360</v>
      </c>
      <c r="D230" t="s">
        <v>537</v>
      </c>
      <c r="E230">
        <v>97550000</v>
      </c>
      <c r="H230" t="s">
        <v>752</v>
      </c>
      <c r="K230" s="3">
        <v>0</v>
      </c>
      <c r="M230" s="3">
        <v>0</v>
      </c>
      <c r="O230" s="3">
        <v>0</v>
      </c>
      <c r="S230" s="3"/>
      <c r="T230" s="3"/>
      <c r="U230" s="3"/>
      <c r="V230" s="3"/>
      <c r="W230" s="3">
        <f t="shared" si="3"/>
        <v>0</v>
      </c>
      <c r="X230" s="44" t="s">
        <v>197</v>
      </c>
      <c r="AA230"/>
    </row>
    <row r="231" spans="3:27">
      <c r="C231">
        <v>5360</v>
      </c>
      <c r="D231" t="s">
        <v>537</v>
      </c>
      <c r="E231">
        <v>97560000</v>
      </c>
      <c r="H231" t="s">
        <v>753</v>
      </c>
      <c r="K231" s="3">
        <v>0</v>
      </c>
      <c r="M231" s="3">
        <v>0</v>
      </c>
      <c r="O231" s="3">
        <v>0</v>
      </c>
      <c r="S231" s="3"/>
      <c r="T231" s="3"/>
      <c r="U231" s="3"/>
      <c r="V231" s="3"/>
      <c r="W231" s="3">
        <f t="shared" si="3"/>
        <v>0</v>
      </c>
      <c r="X231" s="44" t="s">
        <v>197</v>
      </c>
      <c r="AA231"/>
    </row>
    <row r="232" spans="3:27">
      <c r="C232">
        <v>5360</v>
      </c>
      <c r="D232" t="s">
        <v>537</v>
      </c>
      <c r="E232">
        <v>97570000</v>
      </c>
      <c r="H232" t="s">
        <v>754</v>
      </c>
      <c r="K232" s="3">
        <v>0</v>
      </c>
      <c r="M232" s="3">
        <v>0</v>
      </c>
      <c r="O232" s="3">
        <v>0</v>
      </c>
      <c r="S232" s="3"/>
      <c r="T232" s="3"/>
      <c r="U232" s="3"/>
      <c r="V232" s="3"/>
      <c r="W232" s="3">
        <f t="shared" si="3"/>
        <v>0</v>
      </c>
      <c r="X232" s="44" t="s">
        <v>197</v>
      </c>
      <c r="AA232"/>
    </row>
    <row r="233" spans="3:27">
      <c r="C233">
        <v>5360</v>
      </c>
      <c r="D233" t="s">
        <v>537</v>
      </c>
      <c r="E233">
        <v>97580000</v>
      </c>
      <c r="H233" t="s">
        <v>755</v>
      </c>
      <c r="K233" s="3">
        <v>0</v>
      </c>
      <c r="M233" s="3">
        <v>0</v>
      </c>
      <c r="O233" s="3">
        <v>0</v>
      </c>
      <c r="S233" s="3"/>
      <c r="T233" s="3"/>
      <c r="U233" s="3"/>
      <c r="V233" s="3"/>
      <c r="W233" s="3">
        <f t="shared" si="3"/>
        <v>0</v>
      </c>
      <c r="X233" s="44" t="s">
        <v>197</v>
      </c>
      <c r="AA233"/>
    </row>
    <row r="234" spans="3:27">
      <c r="C234">
        <v>5360</v>
      </c>
      <c r="D234" t="s">
        <v>537</v>
      </c>
      <c r="E234">
        <v>97590000</v>
      </c>
      <c r="H234" t="s">
        <v>756</v>
      </c>
      <c r="K234" s="3">
        <v>0</v>
      </c>
      <c r="M234" s="3">
        <v>0</v>
      </c>
      <c r="O234" s="3">
        <v>0</v>
      </c>
      <c r="S234" s="3"/>
      <c r="T234" s="3"/>
      <c r="U234" s="3"/>
      <c r="V234" s="3"/>
      <c r="W234" s="3">
        <f t="shared" si="3"/>
        <v>0</v>
      </c>
      <c r="X234" s="44" t="s">
        <v>197</v>
      </c>
      <c r="AA234"/>
    </row>
    <row r="235" spans="3:27">
      <c r="C235">
        <v>5360</v>
      </c>
      <c r="D235" t="s">
        <v>537</v>
      </c>
      <c r="E235">
        <v>97600000</v>
      </c>
      <c r="H235" t="s">
        <v>757</v>
      </c>
      <c r="K235" s="3">
        <v>0</v>
      </c>
      <c r="M235" s="3">
        <v>0</v>
      </c>
      <c r="O235" s="3">
        <v>0</v>
      </c>
      <c r="S235" s="3"/>
      <c r="T235" s="3"/>
      <c r="U235" s="3"/>
      <c r="V235" s="3"/>
      <c r="W235" s="3">
        <f t="shared" si="3"/>
        <v>0</v>
      </c>
      <c r="X235" s="44" t="s">
        <v>197</v>
      </c>
      <c r="AA235"/>
    </row>
    <row r="236" spans="3:27">
      <c r="C236">
        <v>5360</v>
      </c>
      <c r="D236" t="s">
        <v>537</v>
      </c>
      <c r="E236">
        <v>97610000</v>
      </c>
      <c r="H236" t="s">
        <v>758</v>
      </c>
      <c r="K236" s="3">
        <v>0</v>
      </c>
      <c r="M236" s="3">
        <v>0</v>
      </c>
      <c r="O236" s="3">
        <v>0</v>
      </c>
      <c r="S236" s="3"/>
      <c r="T236" s="3"/>
      <c r="U236" s="3"/>
      <c r="V236" s="3"/>
      <c r="W236" s="3">
        <f t="shared" si="3"/>
        <v>0</v>
      </c>
      <c r="X236" s="44" t="s">
        <v>197</v>
      </c>
      <c r="AA236"/>
    </row>
    <row r="237" spans="3:27">
      <c r="C237">
        <v>5360</v>
      </c>
      <c r="D237" t="s">
        <v>537</v>
      </c>
      <c r="E237">
        <v>97620000</v>
      </c>
      <c r="H237" t="s">
        <v>745</v>
      </c>
      <c r="K237" s="3">
        <v>0</v>
      </c>
      <c r="M237" s="3">
        <v>0</v>
      </c>
      <c r="O237" s="3">
        <v>0</v>
      </c>
      <c r="S237" s="3"/>
      <c r="T237" s="3"/>
      <c r="U237" s="3"/>
      <c r="V237" s="3"/>
      <c r="W237" s="3">
        <f t="shared" si="3"/>
        <v>0</v>
      </c>
      <c r="X237" s="44" t="s">
        <v>197</v>
      </c>
      <c r="AA237"/>
    </row>
    <row r="238" spans="3:27">
      <c r="C238">
        <v>5360</v>
      </c>
      <c r="D238" t="s">
        <v>537</v>
      </c>
      <c r="E238">
        <v>97630000</v>
      </c>
      <c r="H238" t="s">
        <v>759</v>
      </c>
      <c r="K238" s="3">
        <v>0</v>
      </c>
      <c r="M238" s="3">
        <v>0</v>
      </c>
      <c r="O238" s="3">
        <v>0</v>
      </c>
      <c r="S238" s="3"/>
      <c r="T238" s="3"/>
      <c r="U238" s="3"/>
      <c r="V238" s="3"/>
      <c r="W238" s="3">
        <f t="shared" si="3"/>
        <v>0</v>
      </c>
      <c r="X238" s="44" t="s">
        <v>197</v>
      </c>
      <c r="AA238"/>
    </row>
    <row r="239" spans="3:27">
      <c r="C239">
        <v>5360</v>
      </c>
      <c r="D239" t="s">
        <v>537</v>
      </c>
      <c r="E239">
        <v>97640000</v>
      </c>
      <c r="H239" t="s">
        <v>760</v>
      </c>
      <c r="K239" s="3">
        <v>0</v>
      </c>
      <c r="M239" s="3">
        <v>0</v>
      </c>
      <c r="O239" s="3">
        <v>0</v>
      </c>
      <c r="S239" s="3"/>
      <c r="T239" s="3"/>
      <c r="U239" s="3"/>
      <c r="V239" s="3"/>
      <c r="W239" s="3">
        <f t="shared" si="3"/>
        <v>0</v>
      </c>
      <c r="X239" s="44" t="s">
        <v>197</v>
      </c>
      <c r="AA239"/>
    </row>
    <row r="240" spans="3:27">
      <c r="C240">
        <v>5360</v>
      </c>
      <c r="D240" t="s">
        <v>537</v>
      </c>
      <c r="E240">
        <v>97650000</v>
      </c>
      <c r="H240" t="s">
        <v>761</v>
      </c>
      <c r="K240" s="3">
        <v>0</v>
      </c>
      <c r="M240" s="3">
        <v>0</v>
      </c>
      <c r="O240" s="3">
        <v>0</v>
      </c>
      <c r="S240" s="3"/>
      <c r="T240" s="3"/>
      <c r="U240" s="3"/>
      <c r="V240" s="3"/>
      <c r="W240" s="3">
        <f t="shared" si="3"/>
        <v>0</v>
      </c>
      <c r="X240" s="44" t="s">
        <v>197</v>
      </c>
      <c r="AA240"/>
    </row>
    <row r="241" spans="3:27">
      <c r="C241">
        <v>5360</v>
      </c>
      <c r="D241" t="s">
        <v>537</v>
      </c>
      <c r="E241">
        <v>97660000</v>
      </c>
      <c r="H241" t="s">
        <v>762</v>
      </c>
      <c r="K241" s="3">
        <v>0</v>
      </c>
      <c r="M241" s="3">
        <v>0</v>
      </c>
      <c r="O241" s="3">
        <v>0</v>
      </c>
      <c r="S241" s="3"/>
      <c r="T241" s="3"/>
      <c r="U241" s="3"/>
      <c r="V241" s="3"/>
      <c r="W241" s="3">
        <f t="shared" si="3"/>
        <v>0</v>
      </c>
      <c r="X241" s="44" t="s">
        <v>197</v>
      </c>
      <c r="AA241"/>
    </row>
    <row r="242" spans="3:27">
      <c r="C242">
        <v>5360</v>
      </c>
      <c r="D242" t="s">
        <v>537</v>
      </c>
      <c r="E242">
        <v>97670000</v>
      </c>
      <c r="H242" t="s">
        <v>763</v>
      </c>
      <c r="K242" s="3">
        <v>0</v>
      </c>
      <c r="M242" s="3">
        <v>0</v>
      </c>
      <c r="O242" s="3">
        <v>0</v>
      </c>
      <c r="S242" s="3"/>
      <c r="T242" s="3"/>
      <c r="U242" s="3"/>
      <c r="V242" s="3"/>
      <c r="W242" s="3">
        <f t="shared" si="3"/>
        <v>0</v>
      </c>
      <c r="X242" s="44" t="s">
        <v>197</v>
      </c>
      <c r="AA242"/>
    </row>
    <row r="243" spans="3:27">
      <c r="C243">
        <v>5360</v>
      </c>
      <c r="D243" t="s">
        <v>537</v>
      </c>
      <c r="E243">
        <v>97680000</v>
      </c>
      <c r="H243" t="s">
        <v>764</v>
      </c>
      <c r="K243" s="3">
        <v>0</v>
      </c>
      <c r="M243" s="3">
        <v>0</v>
      </c>
      <c r="O243" s="3">
        <v>0</v>
      </c>
      <c r="S243" s="3"/>
      <c r="T243" s="3"/>
      <c r="U243" s="3"/>
      <c r="V243" s="3"/>
      <c r="W243" s="3">
        <f t="shared" si="3"/>
        <v>0</v>
      </c>
      <c r="X243" s="44" t="s">
        <v>197</v>
      </c>
      <c r="AA243"/>
    </row>
    <row r="244" spans="3:27">
      <c r="C244">
        <v>5360</v>
      </c>
      <c r="D244" t="s">
        <v>537</v>
      </c>
      <c r="E244">
        <v>97690000</v>
      </c>
      <c r="H244" t="s">
        <v>765</v>
      </c>
      <c r="K244" s="3">
        <v>0</v>
      </c>
      <c r="M244" s="3">
        <v>0</v>
      </c>
      <c r="O244" s="3">
        <v>0</v>
      </c>
      <c r="S244" s="3"/>
      <c r="T244" s="3"/>
      <c r="U244" s="3"/>
      <c r="V244" s="3"/>
      <c r="W244" s="3">
        <f t="shared" si="3"/>
        <v>0</v>
      </c>
      <c r="X244" s="44" t="s">
        <v>197</v>
      </c>
      <c r="AA244"/>
    </row>
    <row r="245" spans="3:27">
      <c r="C245">
        <v>5360</v>
      </c>
      <c r="D245" t="s">
        <v>537</v>
      </c>
      <c r="E245">
        <v>97700000</v>
      </c>
      <c r="H245" t="s">
        <v>747</v>
      </c>
      <c r="K245" s="3">
        <v>0</v>
      </c>
      <c r="M245" s="3">
        <v>0</v>
      </c>
      <c r="O245" s="3">
        <v>0</v>
      </c>
      <c r="S245" s="3"/>
      <c r="T245" s="3"/>
      <c r="U245" s="3"/>
      <c r="V245" s="3"/>
      <c r="W245" s="3">
        <f t="shared" si="3"/>
        <v>0</v>
      </c>
      <c r="X245" s="44" t="s">
        <v>197</v>
      </c>
      <c r="AA245"/>
    </row>
    <row r="246" spans="3:27">
      <c r="C246">
        <v>5360</v>
      </c>
      <c r="D246" t="s">
        <v>537</v>
      </c>
      <c r="E246">
        <v>97710000</v>
      </c>
      <c r="H246" t="s">
        <v>766</v>
      </c>
      <c r="K246" s="3">
        <v>0</v>
      </c>
      <c r="M246" s="3">
        <v>0</v>
      </c>
      <c r="O246" s="3">
        <v>0</v>
      </c>
      <c r="S246" s="3"/>
      <c r="T246" s="3"/>
      <c r="U246" s="3"/>
      <c r="V246" s="3"/>
      <c r="W246" s="3">
        <f t="shared" si="3"/>
        <v>0</v>
      </c>
      <c r="X246" s="44" t="s">
        <v>197</v>
      </c>
      <c r="AA246"/>
    </row>
    <row r="247" spans="3:27">
      <c r="C247">
        <v>5360</v>
      </c>
      <c r="D247" t="s">
        <v>537</v>
      </c>
      <c r="E247">
        <v>97720000</v>
      </c>
      <c r="H247" t="s">
        <v>767</v>
      </c>
      <c r="K247" s="3">
        <v>0</v>
      </c>
      <c r="M247" s="3">
        <v>0</v>
      </c>
      <c r="O247" s="3">
        <v>0</v>
      </c>
      <c r="S247" s="3"/>
      <c r="T247" s="3"/>
      <c r="U247" s="3"/>
      <c r="V247" s="3"/>
      <c r="W247" s="3">
        <f t="shared" si="3"/>
        <v>0</v>
      </c>
      <c r="X247" s="44" t="s">
        <v>197</v>
      </c>
      <c r="AA247"/>
    </row>
    <row r="248" spans="3:27">
      <c r="C248">
        <v>5360</v>
      </c>
      <c r="D248" t="s">
        <v>537</v>
      </c>
      <c r="E248">
        <v>97730000</v>
      </c>
      <c r="H248" t="s">
        <v>768</v>
      </c>
      <c r="K248" s="3">
        <v>0</v>
      </c>
      <c r="M248" s="3">
        <v>0</v>
      </c>
      <c r="O248" s="3">
        <v>0</v>
      </c>
      <c r="S248" s="3"/>
      <c r="T248" s="3"/>
      <c r="U248" s="3"/>
      <c r="V248" s="3"/>
      <c r="W248" s="3">
        <f t="shared" si="3"/>
        <v>0</v>
      </c>
      <c r="X248" s="44" t="s">
        <v>197</v>
      </c>
      <c r="AA248"/>
    </row>
    <row r="249" spans="3:27">
      <c r="C249">
        <v>5360</v>
      </c>
      <c r="D249" t="s">
        <v>537</v>
      </c>
      <c r="E249">
        <v>97740000</v>
      </c>
      <c r="H249" t="s">
        <v>769</v>
      </c>
      <c r="K249" s="3">
        <v>0</v>
      </c>
      <c r="M249" s="3">
        <v>0</v>
      </c>
      <c r="O249" s="3">
        <v>0</v>
      </c>
      <c r="S249" s="3"/>
      <c r="T249" s="3"/>
      <c r="U249" s="3"/>
      <c r="V249" s="3"/>
      <c r="W249" s="3">
        <f t="shared" si="3"/>
        <v>0</v>
      </c>
      <c r="X249" s="44" t="s">
        <v>197</v>
      </c>
      <c r="AA249"/>
    </row>
    <row r="250" spans="3:27">
      <c r="C250">
        <v>5360</v>
      </c>
      <c r="D250" t="s">
        <v>537</v>
      </c>
      <c r="E250">
        <v>97750000</v>
      </c>
      <c r="H250" t="s">
        <v>770</v>
      </c>
      <c r="K250" s="3">
        <v>0</v>
      </c>
      <c r="M250" s="3">
        <v>0</v>
      </c>
      <c r="O250" s="3">
        <v>0</v>
      </c>
      <c r="S250" s="3"/>
      <c r="T250" s="3"/>
      <c r="U250" s="3"/>
      <c r="V250" s="3"/>
      <c r="W250" s="3">
        <f t="shared" si="3"/>
        <v>0</v>
      </c>
      <c r="X250" s="44" t="s">
        <v>197</v>
      </c>
      <c r="AA250"/>
    </row>
    <row r="251" spans="3:27">
      <c r="C251">
        <v>5360</v>
      </c>
      <c r="D251" t="s">
        <v>537</v>
      </c>
      <c r="E251">
        <v>97760000</v>
      </c>
      <c r="H251" t="s">
        <v>771</v>
      </c>
      <c r="K251" s="3">
        <v>0</v>
      </c>
      <c r="M251" s="3">
        <v>0</v>
      </c>
      <c r="O251" s="3">
        <v>0</v>
      </c>
      <c r="S251" s="3"/>
      <c r="T251" s="3"/>
      <c r="U251" s="3"/>
      <c r="V251" s="3"/>
      <c r="W251" s="3">
        <f t="shared" si="3"/>
        <v>0</v>
      </c>
      <c r="X251" s="44" t="s">
        <v>197</v>
      </c>
      <c r="AA251"/>
    </row>
    <row r="252" spans="3:27">
      <c r="C252">
        <v>5360</v>
      </c>
      <c r="D252" t="s">
        <v>537</v>
      </c>
      <c r="E252">
        <v>97770000</v>
      </c>
      <c r="H252" t="s">
        <v>772</v>
      </c>
      <c r="K252" s="3">
        <v>0</v>
      </c>
      <c r="M252" s="3">
        <v>0</v>
      </c>
      <c r="O252" s="3">
        <v>0</v>
      </c>
      <c r="S252" s="3"/>
      <c r="T252" s="3"/>
      <c r="U252" s="3"/>
      <c r="V252" s="3"/>
      <c r="W252" s="3">
        <f t="shared" si="3"/>
        <v>0</v>
      </c>
      <c r="X252" s="44" t="s">
        <v>197</v>
      </c>
      <c r="AA252"/>
    </row>
    <row r="253" spans="3:27">
      <c r="C253">
        <v>5360</v>
      </c>
      <c r="D253" t="s">
        <v>537</v>
      </c>
      <c r="E253">
        <v>97780000</v>
      </c>
      <c r="H253" t="s">
        <v>773</v>
      </c>
      <c r="K253" s="3">
        <v>0</v>
      </c>
      <c r="M253" s="3">
        <v>0</v>
      </c>
      <c r="O253" s="3">
        <v>0</v>
      </c>
      <c r="S253" s="3"/>
      <c r="T253" s="3"/>
      <c r="U253" s="3"/>
      <c r="V253" s="3"/>
      <c r="W253" s="3">
        <f t="shared" si="3"/>
        <v>0</v>
      </c>
      <c r="X253" s="44" t="s">
        <v>197</v>
      </c>
      <c r="AA253"/>
    </row>
    <row r="254" spans="3:27">
      <c r="C254">
        <v>5360</v>
      </c>
      <c r="D254" t="s">
        <v>537</v>
      </c>
      <c r="E254">
        <v>97790000</v>
      </c>
      <c r="H254" t="s">
        <v>774</v>
      </c>
      <c r="K254" s="3">
        <v>0</v>
      </c>
      <c r="M254" s="3">
        <v>0</v>
      </c>
      <c r="O254" s="3">
        <v>0</v>
      </c>
      <c r="S254" s="3"/>
      <c r="T254" s="3"/>
      <c r="U254" s="3"/>
      <c r="V254" s="3"/>
      <c r="W254" s="3">
        <f t="shared" si="3"/>
        <v>0</v>
      </c>
      <c r="X254" s="44" t="s">
        <v>197</v>
      </c>
      <c r="AA254"/>
    </row>
    <row r="255" spans="3:27">
      <c r="C255">
        <v>5360</v>
      </c>
      <c r="D255" t="s">
        <v>537</v>
      </c>
      <c r="E255">
        <v>97800000</v>
      </c>
      <c r="H255" t="s">
        <v>775</v>
      </c>
      <c r="K255" s="3">
        <v>0</v>
      </c>
      <c r="M255" s="3">
        <v>0</v>
      </c>
      <c r="O255" s="3">
        <v>0</v>
      </c>
      <c r="S255" s="3"/>
      <c r="T255" s="3"/>
      <c r="U255" s="3"/>
      <c r="V255" s="3"/>
      <c r="W255" s="3">
        <f t="shared" si="3"/>
        <v>0</v>
      </c>
      <c r="X255" s="44" t="s">
        <v>197</v>
      </c>
      <c r="AA255"/>
    </row>
    <row r="256" spans="3:27">
      <c r="C256">
        <v>5360</v>
      </c>
      <c r="D256" t="s">
        <v>537</v>
      </c>
      <c r="E256">
        <v>97810000</v>
      </c>
      <c r="H256" t="s">
        <v>776</v>
      </c>
      <c r="K256" s="3">
        <v>0</v>
      </c>
      <c r="M256" s="3">
        <v>0</v>
      </c>
      <c r="O256" s="3">
        <v>0</v>
      </c>
      <c r="S256" s="3"/>
      <c r="T256" s="3"/>
      <c r="U256" s="3"/>
      <c r="V256" s="3"/>
      <c r="W256" s="3">
        <f t="shared" si="3"/>
        <v>0</v>
      </c>
      <c r="X256" s="44" t="s">
        <v>197</v>
      </c>
      <c r="AA256"/>
    </row>
    <row r="257" spans="3:27">
      <c r="C257">
        <v>5360</v>
      </c>
      <c r="D257" t="s">
        <v>537</v>
      </c>
      <c r="E257">
        <v>97820000</v>
      </c>
      <c r="H257" t="s">
        <v>777</v>
      </c>
      <c r="K257" s="3">
        <v>0</v>
      </c>
      <c r="M257" s="3">
        <v>0</v>
      </c>
      <c r="O257" s="3">
        <v>0</v>
      </c>
      <c r="S257" s="3"/>
      <c r="T257" s="3"/>
      <c r="U257" s="3"/>
      <c r="V257" s="3"/>
      <c r="W257" s="3">
        <f t="shared" si="3"/>
        <v>0</v>
      </c>
      <c r="X257" s="44" t="s">
        <v>197</v>
      </c>
      <c r="AA257"/>
    </row>
    <row r="258" spans="3:27">
      <c r="C258">
        <v>5360</v>
      </c>
      <c r="D258" t="s">
        <v>537</v>
      </c>
      <c r="E258">
        <v>97830000</v>
      </c>
      <c r="H258" t="s">
        <v>757</v>
      </c>
      <c r="K258" s="3">
        <v>0</v>
      </c>
      <c r="M258" s="3">
        <v>0</v>
      </c>
      <c r="O258" s="3">
        <v>0</v>
      </c>
      <c r="S258" s="3"/>
      <c r="T258" s="3"/>
      <c r="U258" s="3"/>
      <c r="V258" s="3"/>
      <c r="W258" s="3">
        <f t="shared" si="3"/>
        <v>0</v>
      </c>
      <c r="X258" s="44" t="s">
        <v>197</v>
      </c>
      <c r="AA258"/>
    </row>
    <row r="259" spans="3:27">
      <c r="C259">
        <v>5360</v>
      </c>
      <c r="D259" t="s">
        <v>537</v>
      </c>
      <c r="E259">
        <v>97840000</v>
      </c>
      <c r="H259" t="s">
        <v>758</v>
      </c>
      <c r="K259" s="3">
        <v>0</v>
      </c>
      <c r="M259" s="3">
        <v>0</v>
      </c>
      <c r="O259" s="3">
        <v>0</v>
      </c>
      <c r="S259" s="3"/>
      <c r="T259" s="3"/>
      <c r="U259" s="3"/>
      <c r="V259" s="3"/>
      <c r="W259" s="3">
        <f t="shared" si="3"/>
        <v>0</v>
      </c>
      <c r="X259" s="44" t="s">
        <v>197</v>
      </c>
      <c r="AA259"/>
    </row>
    <row r="260" spans="3:27">
      <c r="C260">
        <v>5360</v>
      </c>
      <c r="D260" t="s">
        <v>537</v>
      </c>
      <c r="E260">
        <v>97850000</v>
      </c>
      <c r="H260" t="s">
        <v>745</v>
      </c>
      <c r="K260" s="3">
        <v>0</v>
      </c>
      <c r="M260" s="3">
        <v>0</v>
      </c>
      <c r="O260" s="3">
        <v>0</v>
      </c>
      <c r="S260" s="3"/>
      <c r="T260" s="3"/>
      <c r="U260" s="3"/>
      <c r="V260" s="3"/>
      <c r="W260" s="3">
        <f t="shared" si="3"/>
        <v>0</v>
      </c>
      <c r="X260" s="44" t="s">
        <v>197</v>
      </c>
      <c r="AA260"/>
    </row>
    <row r="261" spans="3:27">
      <c r="C261">
        <v>5360</v>
      </c>
      <c r="D261" t="s">
        <v>537</v>
      </c>
      <c r="E261">
        <v>97860000</v>
      </c>
      <c r="H261" t="s">
        <v>778</v>
      </c>
      <c r="K261" s="3">
        <v>0</v>
      </c>
      <c r="M261" s="3">
        <v>0</v>
      </c>
      <c r="O261" s="3">
        <v>0</v>
      </c>
      <c r="S261" s="3"/>
      <c r="T261" s="3"/>
      <c r="U261" s="3"/>
      <c r="V261" s="3"/>
      <c r="W261" s="3">
        <f t="shared" si="3"/>
        <v>0</v>
      </c>
      <c r="X261" s="44" t="s">
        <v>197</v>
      </c>
      <c r="AA261"/>
    </row>
    <row r="262" spans="3:27">
      <c r="C262">
        <v>5360</v>
      </c>
      <c r="D262" t="s">
        <v>537</v>
      </c>
      <c r="E262">
        <v>97870000</v>
      </c>
      <c r="H262" t="s">
        <v>779</v>
      </c>
      <c r="K262" s="3">
        <v>0</v>
      </c>
      <c r="M262" s="3">
        <v>0</v>
      </c>
      <c r="O262" s="3">
        <v>0</v>
      </c>
      <c r="S262" s="3"/>
      <c r="T262" s="3"/>
      <c r="U262" s="3"/>
      <c r="V262" s="3"/>
      <c r="W262" s="3">
        <f t="shared" si="3"/>
        <v>0</v>
      </c>
      <c r="X262" s="44" t="s">
        <v>197</v>
      </c>
      <c r="AA262"/>
    </row>
    <row r="263" spans="3:27">
      <c r="C263">
        <v>5360</v>
      </c>
      <c r="D263" t="s">
        <v>537</v>
      </c>
      <c r="E263">
        <v>97880000</v>
      </c>
      <c r="H263" t="s">
        <v>780</v>
      </c>
      <c r="K263" s="3">
        <v>0</v>
      </c>
      <c r="M263" s="3">
        <v>0</v>
      </c>
      <c r="O263" s="3">
        <v>0</v>
      </c>
      <c r="S263" s="3"/>
      <c r="T263" s="3"/>
      <c r="U263" s="3"/>
      <c r="V263" s="3"/>
      <c r="W263" s="3">
        <f t="shared" si="3"/>
        <v>0</v>
      </c>
      <c r="X263" s="44" t="s">
        <v>197</v>
      </c>
      <c r="AA263"/>
    </row>
    <row r="264" spans="3:27">
      <c r="C264">
        <v>5360</v>
      </c>
      <c r="D264" t="s">
        <v>537</v>
      </c>
      <c r="E264">
        <v>97890000</v>
      </c>
      <c r="H264" t="s">
        <v>781</v>
      </c>
      <c r="K264" s="3">
        <v>0</v>
      </c>
      <c r="M264" s="3">
        <v>0</v>
      </c>
      <c r="O264" s="3">
        <v>0</v>
      </c>
      <c r="S264" s="3"/>
      <c r="T264" s="3"/>
      <c r="U264" s="3"/>
      <c r="V264" s="3"/>
      <c r="W264" s="3">
        <f t="shared" si="3"/>
        <v>0</v>
      </c>
      <c r="X264" s="44" t="s">
        <v>197</v>
      </c>
      <c r="AA264"/>
    </row>
    <row r="265" spans="3:27">
      <c r="C265">
        <v>5360</v>
      </c>
      <c r="D265" t="s">
        <v>537</v>
      </c>
      <c r="E265">
        <v>97900000</v>
      </c>
      <c r="H265" t="s">
        <v>782</v>
      </c>
      <c r="K265" s="3">
        <v>0</v>
      </c>
      <c r="M265" s="3">
        <v>0</v>
      </c>
      <c r="O265" s="3">
        <v>0</v>
      </c>
      <c r="S265" s="3"/>
      <c r="T265" s="3"/>
      <c r="U265" s="3"/>
      <c r="V265" s="3"/>
      <c r="W265" s="3">
        <f t="shared" ref="W265:W328" si="4">SUM(K265,S265:V265)</f>
        <v>0</v>
      </c>
      <c r="X265" s="44" t="s">
        <v>197</v>
      </c>
      <c r="AA265"/>
    </row>
    <row r="266" spans="3:27">
      <c r="C266">
        <v>5360</v>
      </c>
      <c r="D266" t="s">
        <v>537</v>
      </c>
      <c r="E266">
        <v>97910000</v>
      </c>
      <c r="H266" t="s">
        <v>765</v>
      </c>
      <c r="K266" s="3">
        <v>0</v>
      </c>
      <c r="M266" s="3">
        <v>0</v>
      </c>
      <c r="O266" s="3">
        <v>0</v>
      </c>
      <c r="S266" s="3"/>
      <c r="T266" s="3"/>
      <c r="U266" s="3"/>
      <c r="V266" s="3"/>
      <c r="W266" s="3">
        <f t="shared" si="4"/>
        <v>0</v>
      </c>
      <c r="X266" s="44" t="s">
        <v>197</v>
      </c>
      <c r="AA266"/>
    </row>
    <row r="267" spans="3:27">
      <c r="C267">
        <v>5360</v>
      </c>
      <c r="D267" t="s">
        <v>537</v>
      </c>
      <c r="E267">
        <v>97950000</v>
      </c>
      <c r="H267" t="s">
        <v>783</v>
      </c>
      <c r="K267" s="3">
        <v>0</v>
      </c>
      <c r="M267" s="3">
        <v>0</v>
      </c>
      <c r="O267" s="3">
        <v>0</v>
      </c>
      <c r="S267" s="3"/>
      <c r="T267" s="3"/>
      <c r="U267" s="3"/>
      <c r="V267" s="3"/>
      <c r="W267" s="3">
        <f t="shared" si="4"/>
        <v>0</v>
      </c>
      <c r="X267" s="44" t="s">
        <v>197</v>
      </c>
      <c r="AA267"/>
    </row>
    <row r="268" spans="3:27">
      <c r="C268">
        <v>5360</v>
      </c>
      <c r="D268" t="s">
        <v>537</v>
      </c>
      <c r="E268">
        <v>97960000</v>
      </c>
      <c r="H268" t="s">
        <v>784</v>
      </c>
      <c r="K268" s="3">
        <v>0</v>
      </c>
      <c r="M268" s="3">
        <v>0</v>
      </c>
      <c r="O268" s="3">
        <v>0</v>
      </c>
      <c r="S268" s="3"/>
      <c r="T268" s="3"/>
      <c r="U268" s="3"/>
      <c r="V268" s="3"/>
      <c r="W268" s="3">
        <f t="shared" si="4"/>
        <v>0</v>
      </c>
      <c r="X268" s="44" t="s">
        <v>197</v>
      </c>
      <c r="AA268"/>
    </row>
    <row r="269" spans="3:27">
      <c r="C269">
        <v>5360</v>
      </c>
      <c r="D269" t="s">
        <v>537</v>
      </c>
      <c r="E269">
        <v>97970000</v>
      </c>
      <c r="H269" t="s">
        <v>785</v>
      </c>
      <c r="K269" s="3">
        <v>0</v>
      </c>
      <c r="M269" s="3">
        <v>0</v>
      </c>
      <c r="O269" s="3">
        <v>0</v>
      </c>
      <c r="S269" s="3"/>
      <c r="T269" s="3"/>
      <c r="U269" s="3"/>
      <c r="V269" s="3"/>
      <c r="W269" s="3">
        <f t="shared" si="4"/>
        <v>0</v>
      </c>
      <c r="X269" s="44" t="s">
        <v>197</v>
      </c>
      <c r="AA269"/>
    </row>
    <row r="270" spans="3:27">
      <c r="C270">
        <v>5360</v>
      </c>
      <c r="D270" t="s">
        <v>537</v>
      </c>
      <c r="E270">
        <v>97980000</v>
      </c>
      <c r="H270" t="s">
        <v>786</v>
      </c>
      <c r="K270" s="3">
        <v>0</v>
      </c>
      <c r="M270" s="3">
        <v>0</v>
      </c>
      <c r="O270" s="3">
        <v>0</v>
      </c>
      <c r="S270" s="3"/>
      <c r="T270" s="3"/>
      <c r="U270" s="3"/>
      <c r="V270" s="3"/>
      <c r="W270" s="3">
        <f t="shared" si="4"/>
        <v>0</v>
      </c>
      <c r="X270" s="44" t="s">
        <v>197</v>
      </c>
      <c r="Y270" t="s">
        <v>787</v>
      </c>
      <c r="AA270"/>
    </row>
    <row r="271" spans="3:27">
      <c r="C271">
        <v>5360</v>
      </c>
      <c r="D271" t="s">
        <v>537</v>
      </c>
      <c r="E271">
        <v>98140000</v>
      </c>
      <c r="H271" t="s">
        <v>747</v>
      </c>
      <c r="K271" s="3">
        <v>0</v>
      </c>
      <c r="M271" s="3">
        <v>0</v>
      </c>
      <c r="O271" s="3">
        <v>0</v>
      </c>
      <c r="S271" s="3"/>
      <c r="T271" s="3"/>
      <c r="U271" s="3"/>
      <c r="V271" s="3"/>
      <c r="W271" s="3">
        <f t="shared" si="4"/>
        <v>0</v>
      </c>
      <c r="X271" s="44" t="s">
        <v>198</v>
      </c>
      <c r="Y271" s="145">
        <f>SUMIF(X:X,"A",W:W)</f>
        <v>155621869.97</v>
      </c>
      <c r="Z271" t="s">
        <v>788</v>
      </c>
      <c r="AA271"/>
    </row>
    <row r="272" spans="3:27">
      <c r="C272">
        <v>5360</v>
      </c>
      <c r="D272" t="s">
        <v>537</v>
      </c>
      <c r="E272">
        <v>98150000</v>
      </c>
      <c r="H272" t="s">
        <v>789</v>
      </c>
      <c r="K272" s="3">
        <v>0</v>
      </c>
      <c r="M272" s="3">
        <v>0</v>
      </c>
      <c r="O272" s="3">
        <v>0</v>
      </c>
      <c r="S272" s="3"/>
      <c r="T272" s="3"/>
      <c r="U272" s="3"/>
      <c r="V272" s="3"/>
      <c r="W272" s="3">
        <f t="shared" si="4"/>
        <v>0</v>
      </c>
      <c r="X272" s="44" t="s">
        <v>198</v>
      </c>
      <c r="AA272"/>
    </row>
    <row r="273" spans="3:27">
      <c r="C273">
        <v>5360</v>
      </c>
      <c r="D273" t="s">
        <v>537</v>
      </c>
      <c r="E273">
        <v>98160000</v>
      </c>
      <c r="H273" t="s">
        <v>790</v>
      </c>
      <c r="K273" s="3">
        <v>0</v>
      </c>
      <c r="M273" s="3">
        <v>0</v>
      </c>
      <c r="O273" s="3">
        <v>0</v>
      </c>
      <c r="S273" s="3"/>
      <c r="T273" s="3"/>
      <c r="U273" s="3"/>
      <c r="V273" s="3"/>
      <c r="W273" s="3">
        <f t="shared" si="4"/>
        <v>0</v>
      </c>
      <c r="X273" s="44" t="s">
        <v>198</v>
      </c>
      <c r="AA273"/>
    </row>
    <row r="274" spans="3:27">
      <c r="C274">
        <v>5360</v>
      </c>
      <c r="D274" t="s">
        <v>537</v>
      </c>
      <c r="E274">
        <v>98170000</v>
      </c>
      <c r="H274" t="s">
        <v>791</v>
      </c>
      <c r="K274" s="3">
        <v>0</v>
      </c>
      <c r="M274" s="3">
        <v>0</v>
      </c>
      <c r="O274" s="3">
        <v>0</v>
      </c>
      <c r="S274" s="3"/>
      <c r="T274" s="3"/>
      <c r="U274" s="3"/>
      <c r="V274" s="3"/>
      <c r="W274" s="3">
        <f t="shared" si="4"/>
        <v>0</v>
      </c>
      <c r="X274" s="44" t="s">
        <v>198</v>
      </c>
      <c r="AA274"/>
    </row>
    <row r="275" spans="3:27">
      <c r="C275">
        <v>5360</v>
      </c>
      <c r="D275" t="s">
        <v>537</v>
      </c>
      <c r="E275">
        <v>98180000</v>
      </c>
      <c r="H275" t="s">
        <v>792</v>
      </c>
      <c r="K275" s="3">
        <v>0</v>
      </c>
      <c r="M275" s="3">
        <v>0</v>
      </c>
      <c r="O275" s="3">
        <v>0</v>
      </c>
      <c r="S275" s="3"/>
      <c r="T275" s="3"/>
      <c r="U275" s="3"/>
      <c r="V275" s="3"/>
      <c r="W275" s="3">
        <f t="shared" si="4"/>
        <v>0</v>
      </c>
      <c r="X275" s="44" t="s">
        <v>198</v>
      </c>
      <c r="AA275"/>
    </row>
    <row r="276" spans="3:27">
      <c r="C276">
        <v>5360</v>
      </c>
      <c r="D276" t="s">
        <v>537</v>
      </c>
      <c r="E276">
        <v>98190000</v>
      </c>
      <c r="H276" t="s">
        <v>793</v>
      </c>
      <c r="K276" s="3">
        <v>0</v>
      </c>
      <c r="M276" s="3">
        <v>0</v>
      </c>
      <c r="O276" s="3">
        <v>0</v>
      </c>
      <c r="S276" s="3"/>
      <c r="T276" s="3"/>
      <c r="U276" s="3"/>
      <c r="V276" s="3"/>
      <c r="W276" s="3">
        <f t="shared" si="4"/>
        <v>0</v>
      </c>
      <c r="X276" s="44" t="s">
        <v>198</v>
      </c>
      <c r="AA276"/>
    </row>
    <row r="277" spans="3:27">
      <c r="C277">
        <v>5360</v>
      </c>
      <c r="D277" t="s">
        <v>537</v>
      </c>
      <c r="E277">
        <v>98200000</v>
      </c>
      <c r="H277" t="s">
        <v>794</v>
      </c>
      <c r="K277" s="3">
        <v>0</v>
      </c>
      <c r="M277" s="3">
        <v>0</v>
      </c>
      <c r="O277" s="3">
        <v>0</v>
      </c>
      <c r="S277" s="3"/>
      <c r="T277" s="3"/>
      <c r="U277" s="3"/>
      <c r="V277" s="3"/>
      <c r="W277" s="3">
        <f t="shared" si="4"/>
        <v>0</v>
      </c>
      <c r="X277" s="44" t="s">
        <v>198</v>
      </c>
      <c r="AA277"/>
    </row>
    <row r="278" spans="3:27">
      <c r="C278">
        <v>5360</v>
      </c>
      <c r="D278" t="s">
        <v>537</v>
      </c>
      <c r="E278">
        <v>98210000</v>
      </c>
      <c r="H278" t="s">
        <v>795</v>
      </c>
      <c r="K278" s="3">
        <v>0</v>
      </c>
      <c r="M278" s="3">
        <v>0</v>
      </c>
      <c r="O278" s="3">
        <v>0</v>
      </c>
      <c r="S278" s="3"/>
      <c r="T278" s="3"/>
      <c r="U278" s="3"/>
      <c r="V278" s="3"/>
      <c r="W278" s="3">
        <f t="shared" si="4"/>
        <v>0</v>
      </c>
      <c r="X278" s="44" t="s">
        <v>198</v>
      </c>
      <c r="AA278"/>
    </row>
    <row r="279" spans="3:27">
      <c r="C279">
        <v>5360</v>
      </c>
      <c r="D279" t="s">
        <v>537</v>
      </c>
      <c r="E279">
        <v>98220000</v>
      </c>
      <c r="H279" t="s">
        <v>796</v>
      </c>
      <c r="K279" s="3">
        <v>0</v>
      </c>
      <c r="M279" s="3">
        <v>0</v>
      </c>
      <c r="O279" s="3">
        <v>0</v>
      </c>
      <c r="S279" s="3"/>
      <c r="T279" s="3"/>
      <c r="U279" s="3"/>
      <c r="V279" s="3"/>
      <c r="W279" s="3">
        <f t="shared" si="4"/>
        <v>0</v>
      </c>
      <c r="X279" s="44" t="s">
        <v>198</v>
      </c>
      <c r="AA279"/>
    </row>
    <row r="280" spans="3:27">
      <c r="C280">
        <v>5360</v>
      </c>
      <c r="D280" t="s">
        <v>537</v>
      </c>
      <c r="E280">
        <v>98230000</v>
      </c>
      <c r="H280" t="s">
        <v>797</v>
      </c>
      <c r="K280" s="3">
        <v>0</v>
      </c>
      <c r="M280" s="3">
        <v>0</v>
      </c>
      <c r="O280" s="3">
        <v>0</v>
      </c>
      <c r="S280" s="3"/>
      <c r="T280" s="3"/>
      <c r="U280" s="3"/>
      <c r="V280" s="3"/>
      <c r="W280" s="3">
        <f t="shared" si="4"/>
        <v>0</v>
      </c>
      <c r="X280" s="44" t="s">
        <v>198</v>
      </c>
      <c r="AA280"/>
    </row>
    <row r="281" spans="3:27">
      <c r="C281">
        <v>5360</v>
      </c>
      <c r="D281" t="s">
        <v>537</v>
      </c>
      <c r="E281">
        <v>98240000</v>
      </c>
      <c r="H281" t="s">
        <v>756</v>
      </c>
      <c r="K281" s="3">
        <v>0</v>
      </c>
      <c r="M281" s="3">
        <v>0</v>
      </c>
      <c r="O281" s="3">
        <v>0</v>
      </c>
      <c r="S281" s="3"/>
      <c r="T281" s="3"/>
      <c r="U281" s="3"/>
      <c r="V281" s="3"/>
      <c r="W281" s="3">
        <f t="shared" si="4"/>
        <v>0</v>
      </c>
      <c r="X281" s="44" t="s">
        <v>198</v>
      </c>
      <c r="AA281"/>
    </row>
    <row r="282" spans="3:27">
      <c r="C282">
        <v>5360</v>
      </c>
      <c r="D282" t="s">
        <v>537</v>
      </c>
      <c r="E282">
        <v>98250000</v>
      </c>
      <c r="H282" t="s">
        <v>798</v>
      </c>
      <c r="K282" s="3">
        <v>0</v>
      </c>
      <c r="M282" s="3">
        <v>0</v>
      </c>
      <c r="O282" s="3">
        <v>0</v>
      </c>
      <c r="S282" s="3"/>
      <c r="T282" s="3"/>
      <c r="U282" s="3"/>
      <c r="V282" s="3"/>
      <c r="W282" s="3">
        <f t="shared" si="4"/>
        <v>0</v>
      </c>
      <c r="X282" s="44" t="s">
        <v>198</v>
      </c>
      <c r="AA282"/>
    </row>
    <row r="283" spans="3:27">
      <c r="C283">
        <v>5360</v>
      </c>
      <c r="D283" t="s">
        <v>537</v>
      </c>
      <c r="E283">
        <v>98260000</v>
      </c>
      <c r="H283" t="s">
        <v>757</v>
      </c>
      <c r="K283" s="3">
        <v>0</v>
      </c>
      <c r="M283" s="3">
        <v>0</v>
      </c>
      <c r="O283" s="3">
        <v>0</v>
      </c>
      <c r="S283" s="3"/>
      <c r="T283" s="3"/>
      <c r="U283" s="3"/>
      <c r="V283" s="3"/>
      <c r="W283" s="3">
        <f t="shared" si="4"/>
        <v>0</v>
      </c>
      <c r="X283" s="44" t="s">
        <v>198</v>
      </c>
      <c r="AA283"/>
    </row>
    <row r="284" spans="3:27">
      <c r="C284">
        <v>5360</v>
      </c>
      <c r="D284" t="s">
        <v>537</v>
      </c>
      <c r="E284">
        <v>98300000</v>
      </c>
      <c r="H284" t="s">
        <v>758</v>
      </c>
      <c r="K284" s="3">
        <v>0</v>
      </c>
      <c r="M284" s="3">
        <v>0</v>
      </c>
      <c r="O284" s="3">
        <v>0</v>
      </c>
      <c r="S284" s="3"/>
      <c r="T284" s="3"/>
      <c r="U284" s="3"/>
      <c r="V284" s="3"/>
      <c r="W284" s="3">
        <f t="shared" si="4"/>
        <v>0</v>
      </c>
      <c r="X284" s="44" t="s">
        <v>198</v>
      </c>
      <c r="AA284"/>
    </row>
    <row r="285" spans="3:27">
      <c r="C285">
        <v>5360</v>
      </c>
      <c r="D285" t="s">
        <v>537</v>
      </c>
      <c r="E285">
        <v>98310000</v>
      </c>
      <c r="H285" t="s">
        <v>745</v>
      </c>
      <c r="K285" s="3">
        <v>0</v>
      </c>
      <c r="M285" s="3">
        <v>0</v>
      </c>
      <c r="O285" s="3">
        <v>0</v>
      </c>
      <c r="S285" s="3"/>
      <c r="T285" s="3"/>
      <c r="U285" s="3"/>
      <c r="V285" s="3"/>
      <c r="W285" s="3">
        <f t="shared" si="4"/>
        <v>0</v>
      </c>
      <c r="X285" s="44" t="s">
        <v>198</v>
      </c>
      <c r="AA285"/>
    </row>
    <row r="286" spans="3:27">
      <c r="C286">
        <v>5360</v>
      </c>
      <c r="D286" t="s">
        <v>537</v>
      </c>
      <c r="E286">
        <v>98320000</v>
      </c>
      <c r="H286" t="s">
        <v>799</v>
      </c>
      <c r="K286" s="3">
        <v>0</v>
      </c>
      <c r="M286" s="3">
        <v>0</v>
      </c>
      <c r="O286" s="3">
        <v>0</v>
      </c>
      <c r="S286" s="3"/>
      <c r="T286" s="3"/>
      <c r="U286" s="3"/>
      <c r="V286" s="3"/>
      <c r="W286" s="3">
        <f t="shared" si="4"/>
        <v>0</v>
      </c>
      <c r="X286" s="44" t="s">
        <v>198</v>
      </c>
      <c r="AA286"/>
    </row>
    <row r="287" spans="3:27">
      <c r="C287">
        <v>5360</v>
      </c>
      <c r="D287" t="s">
        <v>537</v>
      </c>
      <c r="E287">
        <v>98330000</v>
      </c>
      <c r="H287" t="s">
        <v>800</v>
      </c>
      <c r="K287" s="3">
        <v>0</v>
      </c>
      <c r="M287" s="3">
        <v>0</v>
      </c>
      <c r="O287" s="3">
        <v>0</v>
      </c>
      <c r="S287" s="3"/>
      <c r="T287" s="3"/>
      <c r="U287" s="3"/>
      <c r="V287" s="3"/>
      <c r="W287" s="3">
        <f t="shared" si="4"/>
        <v>0</v>
      </c>
      <c r="X287" s="44" t="s">
        <v>198</v>
      </c>
      <c r="AA287"/>
    </row>
    <row r="288" spans="3:27">
      <c r="C288">
        <v>5360</v>
      </c>
      <c r="D288" t="s">
        <v>537</v>
      </c>
      <c r="E288">
        <v>98340000</v>
      </c>
      <c r="H288" t="s">
        <v>801</v>
      </c>
      <c r="K288" s="3">
        <v>0</v>
      </c>
      <c r="M288" s="3">
        <v>0</v>
      </c>
      <c r="O288" s="3">
        <v>0</v>
      </c>
      <c r="S288" s="3"/>
      <c r="T288" s="3"/>
      <c r="U288" s="3"/>
      <c r="V288" s="3"/>
      <c r="W288" s="3">
        <f t="shared" si="4"/>
        <v>0</v>
      </c>
      <c r="X288" s="44" t="s">
        <v>198</v>
      </c>
      <c r="AA288"/>
    </row>
    <row r="289" spans="3:36">
      <c r="C289">
        <v>5360</v>
      </c>
      <c r="D289" t="s">
        <v>537</v>
      </c>
      <c r="E289">
        <v>98350000</v>
      </c>
      <c r="H289" t="s">
        <v>802</v>
      </c>
      <c r="K289" s="3">
        <v>0</v>
      </c>
      <c r="M289" s="3">
        <v>0</v>
      </c>
      <c r="O289" s="3">
        <v>0</v>
      </c>
      <c r="S289" s="3"/>
      <c r="T289" s="3"/>
      <c r="U289" s="3"/>
      <c r="V289" s="3"/>
      <c r="W289" s="3">
        <f t="shared" si="4"/>
        <v>0</v>
      </c>
      <c r="X289" s="44" t="s">
        <v>198</v>
      </c>
      <c r="AA289"/>
    </row>
    <row r="290" spans="3:36">
      <c r="C290">
        <v>5360</v>
      </c>
      <c r="D290" t="s">
        <v>537</v>
      </c>
      <c r="E290">
        <v>98360000</v>
      </c>
      <c r="H290" t="s">
        <v>763</v>
      </c>
      <c r="K290" s="3">
        <v>0</v>
      </c>
      <c r="M290" s="3">
        <v>0</v>
      </c>
      <c r="O290" s="3">
        <v>0</v>
      </c>
      <c r="S290" s="3"/>
      <c r="T290" s="3"/>
      <c r="U290" s="3"/>
      <c r="V290" s="3"/>
      <c r="W290" s="3">
        <f t="shared" si="4"/>
        <v>0</v>
      </c>
      <c r="X290" s="44" t="s">
        <v>198</v>
      </c>
      <c r="AA290"/>
    </row>
    <row r="291" spans="3:36">
      <c r="C291">
        <v>5360</v>
      </c>
      <c r="D291" t="s">
        <v>537</v>
      </c>
      <c r="E291">
        <v>98370000</v>
      </c>
      <c r="H291" t="s">
        <v>765</v>
      </c>
      <c r="K291" s="3">
        <v>0</v>
      </c>
      <c r="M291" s="3">
        <v>0</v>
      </c>
      <c r="O291" s="3">
        <v>0</v>
      </c>
      <c r="S291" s="3"/>
      <c r="T291" s="3"/>
      <c r="U291" s="3"/>
      <c r="V291" s="3"/>
      <c r="W291" s="3">
        <f t="shared" si="4"/>
        <v>0</v>
      </c>
      <c r="X291" s="619" t="s">
        <v>198</v>
      </c>
      <c r="AA291"/>
    </row>
    <row r="292" spans="3:36">
      <c r="E292" t="s">
        <v>803</v>
      </c>
      <c r="K292" s="3">
        <v>0</v>
      </c>
      <c r="M292" s="3">
        <v>0</v>
      </c>
      <c r="O292" s="3">
        <v>0</v>
      </c>
      <c r="R292" t="s">
        <v>650</v>
      </c>
      <c r="S292" s="3">
        <f>SUM(S221:S291)</f>
        <v>0</v>
      </c>
      <c r="T292" s="3">
        <f>SUM(T221:T291)</f>
        <v>0</v>
      </c>
      <c r="U292" s="3">
        <f>SUM(U221:U291)</f>
        <v>0</v>
      </c>
      <c r="V292" s="3">
        <f>SUM(V221:V291)</f>
        <v>0</v>
      </c>
      <c r="W292" s="3">
        <f t="shared" si="4"/>
        <v>0</v>
      </c>
      <c r="X292" s="44"/>
      <c r="AA292"/>
    </row>
    <row r="293" spans="3:36">
      <c r="C293">
        <v>5360</v>
      </c>
      <c r="D293" t="s">
        <v>537</v>
      </c>
      <c r="E293">
        <v>98400000</v>
      </c>
      <c r="H293" t="s">
        <v>747</v>
      </c>
      <c r="K293" s="3">
        <v>0</v>
      </c>
      <c r="M293" s="3">
        <v>0</v>
      </c>
      <c r="O293" s="3">
        <v>0</v>
      </c>
      <c r="S293" s="3"/>
      <c r="T293" s="3"/>
      <c r="U293" s="3"/>
      <c r="V293" s="3"/>
      <c r="W293" s="3">
        <f t="shared" si="4"/>
        <v>0</v>
      </c>
      <c r="X293" s="44" t="s">
        <v>198</v>
      </c>
      <c r="AA293"/>
    </row>
    <row r="294" spans="3:36">
      <c r="C294">
        <v>5360</v>
      </c>
      <c r="E294">
        <v>98410000</v>
      </c>
      <c r="H294" t="s">
        <v>804</v>
      </c>
      <c r="K294" s="3">
        <v>2366263.35</v>
      </c>
      <c r="M294" s="3">
        <v>2481468.7400000002</v>
      </c>
      <c r="O294" s="3">
        <v>-115205.39</v>
      </c>
      <c r="Q294">
        <v>-4.5999999999999996</v>
      </c>
      <c r="S294" s="3"/>
      <c r="T294" s="3"/>
      <c r="U294" s="3"/>
      <c r="V294" s="3"/>
      <c r="W294" s="3">
        <f t="shared" si="4"/>
        <v>2366263.35</v>
      </c>
      <c r="X294" s="44" t="s">
        <v>198</v>
      </c>
      <c r="AA294"/>
      <c r="AJ294" s="31"/>
    </row>
    <row r="295" spans="3:36">
      <c r="C295">
        <v>5360</v>
      </c>
      <c r="E295">
        <v>98420000</v>
      </c>
      <c r="H295" t="s">
        <v>757</v>
      </c>
      <c r="K295" s="3">
        <v>955.13</v>
      </c>
      <c r="M295" s="3">
        <v>1021.05</v>
      </c>
      <c r="O295" s="3">
        <v>-65.92</v>
      </c>
      <c r="Q295">
        <v>-6.5</v>
      </c>
      <c r="S295" s="3"/>
      <c r="T295" s="3"/>
      <c r="U295" s="3"/>
      <c r="V295" s="3"/>
      <c r="W295" s="3">
        <f t="shared" si="4"/>
        <v>955.13</v>
      </c>
      <c r="X295" s="44" t="s">
        <v>198</v>
      </c>
      <c r="AA295"/>
      <c r="AJ295" s="31"/>
    </row>
    <row r="296" spans="3:36">
      <c r="C296">
        <v>5360</v>
      </c>
      <c r="D296" t="s">
        <v>537</v>
      </c>
      <c r="E296">
        <v>98421000</v>
      </c>
      <c r="H296" t="s">
        <v>768</v>
      </c>
      <c r="K296" s="3">
        <v>0</v>
      </c>
      <c r="M296" s="3">
        <v>0</v>
      </c>
      <c r="O296" s="3">
        <v>0</v>
      </c>
      <c r="S296" s="3"/>
      <c r="T296" s="3"/>
      <c r="U296" s="3"/>
      <c r="V296" s="3"/>
      <c r="W296" s="3">
        <f t="shared" si="4"/>
        <v>0</v>
      </c>
      <c r="X296" s="44" t="s">
        <v>198</v>
      </c>
      <c r="AA296"/>
    </row>
    <row r="297" spans="3:36">
      <c r="C297">
        <v>5360</v>
      </c>
      <c r="D297" t="s">
        <v>537</v>
      </c>
      <c r="E297">
        <v>98422000</v>
      </c>
      <c r="H297" t="s">
        <v>769</v>
      </c>
      <c r="K297" s="3">
        <v>0</v>
      </c>
      <c r="M297" s="3">
        <v>0</v>
      </c>
      <c r="O297" s="3">
        <v>0</v>
      </c>
      <c r="S297" s="3"/>
      <c r="T297" s="3"/>
      <c r="U297" s="3"/>
      <c r="V297" s="3"/>
      <c r="W297" s="3">
        <f t="shared" si="4"/>
        <v>0</v>
      </c>
      <c r="X297" s="44" t="s">
        <v>198</v>
      </c>
      <c r="AA297"/>
    </row>
    <row r="298" spans="3:36">
      <c r="C298">
        <v>5360</v>
      </c>
      <c r="D298" t="s">
        <v>537</v>
      </c>
      <c r="E298">
        <v>98423000</v>
      </c>
      <c r="H298" t="s">
        <v>797</v>
      </c>
      <c r="K298" s="3">
        <v>0</v>
      </c>
      <c r="M298" s="3">
        <v>0</v>
      </c>
      <c r="O298" s="3">
        <v>0</v>
      </c>
      <c r="S298" s="3"/>
      <c r="T298" s="3"/>
      <c r="U298" s="3"/>
      <c r="V298" s="3"/>
      <c r="W298" s="3">
        <f t="shared" si="4"/>
        <v>0</v>
      </c>
      <c r="X298" s="44" t="s">
        <v>198</v>
      </c>
      <c r="AA298"/>
    </row>
    <row r="299" spans="3:36">
      <c r="C299">
        <v>5360</v>
      </c>
      <c r="D299" t="s">
        <v>537</v>
      </c>
      <c r="E299">
        <v>98440000</v>
      </c>
      <c r="H299" t="s">
        <v>628</v>
      </c>
      <c r="K299" s="3">
        <v>0</v>
      </c>
      <c r="M299" s="3">
        <v>0</v>
      </c>
      <c r="O299" s="3">
        <v>0</v>
      </c>
      <c r="S299" s="3"/>
      <c r="T299" s="3"/>
      <c r="U299" s="3"/>
      <c r="V299" s="3"/>
      <c r="W299" s="3">
        <f t="shared" si="4"/>
        <v>0</v>
      </c>
      <c r="X299" s="44" t="s">
        <v>580</v>
      </c>
      <c r="AA299"/>
    </row>
    <row r="300" spans="3:36">
      <c r="C300">
        <v>5360</v>
      </c>
      <c r="E300">
        <v>98441000</v>
      </c>
      <c r="H300" t="s">
        <v>747</v>
      </c>
      <c r="K300" s="3">
        <v>37255.22</v>
      </c>
      <c r="M300" s="3">
        <v>100492.58</v>
      </c>
      <c r="O300" s="3">
        <v>-63237.36</v>
      </c>
      <c r="Q300">
        <v>-62.9</v>
      </c>
      <c r="S300" s="3"/>
      <c r="T300" s="3"/>
      <c r="U300" s="3"/>
      <c r="V300" s="3"/>
      <c r="W300" s="3">
        <f t="shared" si="4"/>
        <v>37255.22</v>
      </c>
      <c r="X300" s="44" t="s">
        <v>198</v>
      </c>
      <c r="AA300"/>
      <c r="AJ300" s="31"/>
    </row>
    <row r="301" spans="3:36">
      <c r="C301">
        <v>5360</v>
      </c>
      <c r="E301">
        <v>98442000</v>
      </c>
      <c r="H301" t="s">
        <v>805</v>
      </c>
      <c r="K301" s="3">
        <v>143.43</v>
      </c>
      <c r="M301" s="3">
        <v>0</v>
      </c>
      <c r="O301" s="3">
        <v>143.43</v>
      </c>
      <c r="S301" s="3"/>
      <c r="T301" s="3"/>
      <c r="U301" s="3"/>
      <c r="V301" s="3"/>
      <c r="W301" s="3">
        <f t="shared" si="4"/>
        <v>143.43</v>
      </c>
      <c r="X301" s="44" t="s">
        <v>198</v>
      </c>
      <c r="AA301"/>
    </row>
    <row r="302" spans="3:36">
      <c r="C302">
        <v>5360</v>
      </c>
      <c r="D302" t="s">
        <v>537</v>
      </c>
      <c r="E302">
        <v>98443000</v>
      </c>
      <c r="H302" t="s">
        <v>806</v>
      </c>
      <c r="K302" s="3">
        <v>0</v>
      </c>
      <c r="M302" s="3">
        <v>0</v>
      </c>
      <c r="O302" s="3">
        <v>0</v>
      </c>
      <c r="S302" s="3"/>
      <c r="T302" s="3"/>
      <c r="U302" s="3"/>
      <c r="V302" s="3"/>
      <c r="W302" s="3">
        <f t="shared" si="4"/>
        <v>0</v>
      </c>
      <c r="X302" s="44" t="s">
        <v>198</v>
      </c>
      <c r="AA302"/>
    </row>
    <row r="303" spans="3:36">
      <c r="C303">
        <v>5360</v>
      </c>
      <c r="E303">
        <v>98444000</v>
      </c>
      <c r="H303" t="s">
        <v>807</v>
      </c>
      <c r="K303" s="3">
        <v>23819.9</v>
      </c>
      <c r="M303" s="3">
        <v>22131.06</v>
      </c>
      <c r="O303" s="3">
        <v>1688.84</v>
      </c>
      <c r="Q303">
        <v>7.6</v>
      </c>
      <c r="S303" s="3"/>
      <c r="T303" s="3"/>
      <c r="U303" s="3"/>
      <c r="V303" s="3"/>
      <c r="W303" s="3">
        <f t="shared" si="4"/>
        <v>23819.9</v>
      </c>
      <c r="X303" s="44" t="s">
        <v>198</v>
      </c>
      <c r="AA303"/>
      <c r="AJ303" s="31"/>
    </row>
    <row r="304" spans="3:36">
      <c r="C304">
        <v>5360</v>
      </c>
      <c r="D304" t="s">
        <v>537</v>
      </c>
      <c r="E304">
        <v>98445000</v>
      </c>
      <c r="H304" t="s">
        <v>808</v>
      </c>
      <c r="K304" s="3">
        <v>0</v>
      </c>
      <c r="M304" s="3">
        <v>0</v>
      </c>
      <c r="O304" s="3">
        <v>0</v>
      </c>
      <c r="S304" s="3"/>
      <c r="T304" s="3"/>
      <c r="U304" s="3"/>
      <c r="V304" s="3"/>
      <c r="W304" s="3">
        <f t="shared" si="4"/>
        <v>0</v>
      </c>
      <c r="X304" s="44" t="s">
        <v>198</v>
      </c>
      <c r="AA304"/>
    </row>
    <row r="305" spans="3:36">
      <c r="C305">
        <v>5360</v>
      </c>
      <c r="D305" t="s">
        <v>537</v>
      </c>
      <c r="E305">
        <v>98446000</v>
      </c>
      <c r="H305" t="s">
        <v>809</v>
      </c>
      <c r="K305" s="3">
        <v>0</v>
      </c>
      <c r="M305" s="3">
        <v>0</v>
      </c>
      <c r="O305" s="3">
        <v>0</v>
      </c>
      <c r="S305" s="3"/>
      <c r="T305" s="3"/>
      <c r="U305" s="3"/>
      <c r="V305" s="3"/>
      <c r="W305" s="3">
        <f t="shared" si="4"/>
        <v>0</v>
      </c>
      <c r="X305" s="44" t="s">
        <v>198</v>
      </c>
      <c r="AA305"/>
    </row>
    <row r="306" spans="3:36">
      <c r="C306">
        <v>5360</v>
      </c>
      <c r="D306" t="s">
        <v>537</v>
      </c>
      <c r="E306">
        <v>98447000</v>
      </c>
      <c r="H306" t="s">
        <v>810</v>
      </c>
      <c r="K306" s="3">
        <v>0</v>
      </c>
      <c r="M306" s="3">
        <v>0</v>
      </c>
      <c r="O306" s="3">
        <v>0</v>
      </c>
      <c r="S306" s="3"/>
      <c r="T306" s="3"/>
      <c r="U306" s="3"/>
      <c r="V306" s="3"/>
      <c r="W306" s="3">
        <f t="shared" si="4"/>
        <v>0</v>
      </c>
      <c r="X306" s="44" t="s">
        <v>198</v>
      </c>
      <c r="AA306"/>
    </row>
    <row r="307" spans="3:36">
      <c r="C307">
        <v>5360</v>
      </c>
      <c r="D307" t="s">
        <v>537</v>
      </c>
      <c r="E307">
        <v>98448000</v>
      </c>
      <c r="H307" t="s">
        <v>811</v>
      </c>
      <c r="K307" s="3">
        <v>0</v>
      </c>
      <c r="M307" s="3">
        <v>0</v>
      </c>
      <c r="O307" s="3">
        <v>0</v>
      </c>
      <c r="S307" s="3"/>
      <c r="T307" s="3"/>
      <c r="U307" s="3"/>
      <c r="V307" s="3"/>
      <c r="W307" s="3">
        <f t="shared" si="4"/>
        <v>0</v>
      </c>
      <c r="X307" s="44" t="s">
        <v>198</v>
      </c>
      <c r="AA307"/>
    </row>
    <row r="308" spans="3:36">
      <c r="C308">
        <v>5360</v>
      </c>
      <c r="D308" t="s">
        <v>537</v>
      </c>
      <c r="E308">
        <v>98450000</v>
      </c>
      <c r="H308" t="s">
        <v>628</v>
      </c>
      <c r="K308" s="3">
        <v>0</v>
      </c>
      <c r="M308" s="3">
        <v>0</v>
      </c>
      <c r="O308" s="3">
        <v>0</v>
      </c>
      <c r="S308" s="3"/>
      <c r="T308" s="3"/>
      <c r="U308" s="3"/>
      <c r="V308" s="3"/>
      <c r="W308" s="3">
        <f t="shared" si="4"/>
        <v>0</v>
      </c>
      <c r="X308" s="44" t="s">
        <v>580</v>
      </c>
      <c r="AA308"/>
    </row>
    <row r="309" spans="3:36">
      <c r="C309">
        <v>5360</v>
      </c>
      <c r="E309">
        <v>98451000</v>
      </c>
      <c r="H309" t="s">
        <v>768</v>
      </c>
      <c r="K309" s="3">
        <v>3047.76</v>
      </c>
      <c r="M309" s="3">
        <v>6889.9</v>
      </c>
      <c r="O309" s="3">
        <v>-3842.14</v>
      </c>
      <c r="Q309">
        <v>-55.8</v>
      </c>
      <c r="S309" s="3"/>
      <c r="T309" s="3"/>
      <c r="U309" s="3"/>
      <c r="V309" s="3"/>
      <c r="W309" s="3">
        <f t="shared" si="4"/>
        <v>3047.76</v>
      </c>
      <c r="X309" s="44" t="s">
        <v>198</v>
      </c>
      <c r="AA309"/>
      <c r="AJ309" s="31"/>
    </row>
    <row r="310" spans="3:36">
      <c r="C310">
        <v>5360</v>
      </c>
      <c r="E310">
        <v>98452000</v>
      </c>
      <c r="H310" t="s">
        <v>769</v>
      </c>
      <c r="K310" s="3">
        <v>11190.48</v>
      </c>
      <c r="M310" s="3">
        <v>-16423.54</v>
      </c>
      <c r="O310" s="3">
        <v>27614.02</v>
      </c>
      <c r="Q310">
        <v>168.1</v>
      </c>
      <c r="S310" s="3"/>
      <c r="T310" s="3"/>
      <c r="U310" s="3"/>
      <c r="V310" s="3"/>
      <c r="W310" s="3">
        <f t="shared" si="4"/>
        <v>11190.48</v>
      </c>
      <c r="X310" s="44" t="s">
        <v>198</v>
      </c>
      <c r="AA310"/>
      <c r="AJ310" s="31"/>
    </row>
    <row r="311" spans="3:36">
      <c r="C311">
        <v>5360</v>
      </c>
      <c r="E311">
        <v>98453000</v>
      </c>
      <c r="H311" t="s">
        <v>757</v>
      </c>
      <c r="K311" s="3">
        <v>0</v>
      </c>
      <c r="M311" s="3">
        <v>11568.51</v>
      </c>
      <c r="O311" s="3">
        <v>-11568.51</v>
      </c>
      <c r="Q311">
        <v>-100</v>
      </c>
      <c r="S311" s="3"/>
      <c r="T311" s="3"/>
      <c r="U311" s="3"/>
      <c r="V311" s="3"/>
      <c r="W311" s="3">
        <f t="shared" si="4"/>
        <v>0</v>
      </c>
      <c r="X311" s="44" t="s">
        <v>198</v>
      </c>
      <c r="AA311"/>
      <c r="AJ311" s="31"/>
    </row>
    <row r="312" spans="3:36">
      <c r="C312">
        <v>5360</v>
      </c>
      <c r="D312" t="s">
        <v>537</v>
      </c>
      <c r="E312">
        <v>98454000</v>
      </c>
      <c r="H312" t="s">
        <v>812</v>
      </c>
      <c r="K312" s="3">
        <v>0</v>
      </c>
      <c r="M312" s="3">
        <v>0</v>
      </c>
      <c r="O312" s="3">
        <v>0</v>
      </c>
      <c r="S312" s="3"/>
      <c r="T312" s="3"/>
      <c r="U312" s="3"/>
      <c r="V312" s="3"/>
      <c r="W312" s="3">
        <f t="shared" si="4"/>
        <v>0</v>
      </c>
      <c r="X312" s="44" t="s">
        <v>198</v>
      </c>
      <c r="AA312"/>
    </row>
    <row r="313" spans="3:36">
      <c r="C313">
        <v>5360</v>
      </c>
      <c r="D313" t="s">
        <v>537</v>
      </c>
      <c r="E313">
        <v>98455000</v>
      </c>
      <c r="H313" t="s">
        <v>813</v>
      </c>
      <c r="K313" s="3">
        <v>0</v>
      </c>
      <c r="M313" s="3">
        <v>0</v>
      </c>
      <c r="O313" s="3">
        <v>0</v>
      </c>
      <c r="S313" s="3"/>
      <c r="T313" s="3"/>
      <c r="U313" s="3"/>
      <c r="V313" s="3"/>
      <c r="W313" s="3">
        <f t="shared" si="4"/>
        <v>0</v>
      </c>
      <c r="X313" s="44" t="s">
        <v>198</v>
      </c>
      <c r="AA313"/>
    </row>
    <row r="314" spans="3:36">
      <c r="C314">
        <v>5360</v>
      </c>
      <c r="D314" t="s">
        <v>537</v>
      </c>
      <c r="E314">
        <v>98456000</v>
      </c>
      <c r="H314" t="s">
        <v>814</v>
      </c>
      <c r="K314" s="3">
        <v>0</v>
      </c>
      <c r="M314" s="3">
        <v>0</v>
      </c>
      <c r="O314" s="3">
        <v>0</v>
      </c>
      <c r="S314" s="3"/>
      <c r="T314" s="3"/>
      <c r="U314" s="3"/>
      <c r="V314" s="3"/>
      <c r="W314" s="3">
        <f t="shared" si="4"/>
        <v>0</v>
      </c>
      <c r="X314" s="44" t="s">
        <v>198</v>
      </c>
      <c r="AA314"/>
    </row>
    <row r="315" spans="3:36">
      <c r="C315">
        <v>5360</v>
      </c>
      <c r="D315" t="s">
        <v>537</v>
      </c>
      <c r="E315">
        <v>98460000</v>
      </c>
      <c r="H315" t="s">
        <v>628</v>
      </c>
      <c r="K315" s="3">
        <v>0</v>
      </c>
      <c r="M315" s="3">
        <v>0</v>
      </c>
      <c r="O315" s="3">
        <v>0</v>
      </c>
      <c r="S315" s="3"/>
      <c r="T315" s="3"/>
      <c r="U315" s="3"/>
      <c r="V315" s="3"/>
      <c r="W315" s="3">
        <f t="shared" si="4"/>
        <v>0</v>
      </c>
      <c r="X315" s="44" t="s">
        <v>580</v>
      </c>
      <c r="AA315"/>
    </row>
    <row r="316" spans="3:36">
      <c r="C316">
        <v>5360</v>
      </c>
      <c r="D316" t="s">
        <v>537</v>
      </c>
      <c r="E316">
        <v>98461000</v>
      </c>
      <c r="H316" t="s">
        <v>797</v>
      </c>
      <c r="K316" s="3">
        <v>0</v>
      </c>
      <c r="M316" s="3">
        <v>0</v>
      </c>
      <c r="O316" s="3">
        <v>0</v>
      </c>
      <c r="S316" s="3"/>
      <c r="T316" s="3"/>
      <c r="U316" s="3"/>
      <c r="V316" s="3"/>
      <c r="W316" s="3">
        <f t="shared" si="4"/>
        <v>0</v>
      </c>
      <c r="X316" s="44" t="s">
        <v>198</v>
      </c>
      <c r="AA316"/>
    </row>
    <row r="317" spans="3:36">
      <c r="C317">
        <v>5360</v>
      </c>
      <c r="E317">
        <v>98462000</v>
      </c>
      <c r="H317" t="s">
        <v>756</v>
      </c>
      <c r="K317" s="3">
        <v>388505.3</v>
      </c>
      <c r="M317" s="3">
        <v>495231.31</v>
      </c>
      <c r="O317" s="3">
        <v>-106726.01</v>
      </c>
      <c r="Q317">
        <v>-21.6</v>
      </c>
      <c r="S317" s="3"/>
      <c r="T317" s="3"/>
      <c r="U317" s="3"/>
      <c r="V317" s="3"/>
      <c r="W317" s="3">
        <f t="shared" si="4"/>
        <v>388505.3</v>
      </c>
      <c r="X317" s="44" t="s">
        <v>198</v>
      </c>
      <c r="AA317"/>
      <c r="AJ317" s="31"/>
    </row>
    <row r="318" spans="3:36">
      <c r="C318">
        <v>5360</v>
      </c>
      <c r="D318" t="s">
        <v>537</v>
      </c>
      <c r="E318">
        <v>98500000</v>
      </c>
      <c r="H318" t="s">
        <v>747</v>
      </c>
      <c r="K318" s="3">
        <v>0</v>
      </c>
      <c r="M318" s="3">
        <v>0</v>
      </c>
      <c r="O318" s="3">
        <v>0</v>
      </c>
      <c r="S318" s="3"/>
      <c r="T318" s="3"/>
      <c r="U318" s="3"/>
      <c r="V318" s="3"/>
      <c r="W318" s="3">
        <f t="shared" si="4"/>
        <v>0</v>
      </c>
      <c r="X318" s="44" t="s">
        <v>199</v>
      </c>
      <c r="AA318"/>
    </row>
    <row r="319" spans="3:36">
      <c r="C319">
        <v>5360</v>
      </c>
      <c r="D319" t="s">
        <v>537</v>
      </c>
      <c r="E319">
        <v>98510000</v>
      </c>
      <c r="H319" t="s">
        <v>811</v>
      </c>
      <c r="K319" s="3">
        <v>0</v>
      </c>
      <c r="M319" s="3">
        <v>0</v>
      </c>
      <c r="O319" s="3">
        <v>0</v>
      </c>
      <c r="S319" s="3"/>
      <c r="T319" s="3"/>
      <c r="U319" s="3"/>
      <c r="V319" s="3"/>
      <c r="W319" s="3">
        <f t="shared" si="4"/>
        <v>0</v>
      </c>
      <c r="X319" s="44" t="s">
        <v>199</v>
      </c>
      <c r="AA319"/>
    </row>
    <row r="320" spans="3:36">
      <c r="C320">
        <v>5360</v>
      </c>
      <c r="D320" t="s">
        <v>537</v>
      </c>
      <c r="E320">
        <v>98520000</v>
      </c>
      <c r="H320" t="s">
        <v>810</v>
      </c>
      <c r="K320" s="3">
        <v>0</v>
      </c>
      <c r="M320" s="3">
        <v>0</v>
      </c>
      <c r="O320" s="3">
        <v>0</v>
      </c>
      <c r="S320" s="3"/>
      <c r="T320" s="3"/>
      <c r="U320" s="3"/>
      <c r="V320" s="3"/>
      <c r="W320" s="3">
        <f t="shared" si="4"/>
        <v>0</v>
      </c>
      <c r="X320" s="44" t="s">
        <v>199</v>
      </c>
      <c r="AA320"/>
    </row>
    <row r="321" spans="3:36">
      <c r="C321">
        <v>5360</v>
      </c>
      <c r="D321" t="s">
        <v>537</v>
      </c>
      <c r="E321">
        <v>98530000</v>
      </c>
      <c r="H321" t="s">
        <v>809</v>
      </c>
      <c r="K321" s="3">
        <v>0</v>
      </c>
      <c r="M321" s="3">
        <v>0</v>
      </c>
      <c r="O321" s="3">
        <v>0</v>
      </c>
      <c r="S321" s="3"/>
      <c r="T321" s="3"/>
      <c r="U321" s="3"/>
      <c r="V321" s="3"/>
      <c r="W321" s="3">
        <f t="shared" si="4"/>
        <v>0</v>
      </c>
      <c r="X321" s="44" t="s">
        <v>199</v>
      </c>
      <c r="AA321"/>
    </row>
    <row r="322" spans="3:36">
      <c r="C322">
        <v>5360</v>
      </c>
      <c r="D322" t="s">
        <v>537</v>
      </c>
      <c r="E322">
        <v>98540000</v>
      </c>
      <c r="H322" t="s">
        <v>815</v>
      </c>
      <c r="K322" s="3">
        <v>0</v>
      </c>
      <c r="M322" s="3">
        <v>0</v>
      </c>
      <c r="O322" s="3">
        <v>0</v>
      </c>
      <c r="S322" s="3"/>
      <c r="T322" s="3"/>
      <c r="U322" s="3"/>
      <c r="V322" s="3"/>
      <c r="W322" s="3">
        <f t="shared" si="4"/>
        <v>0</v>
      </c>
      <c r="X322" s="44" t="s">
        <v>199</v>
      </c>
      <c r="AA322"/>
    </row>
    <row r="323" spans="3:36">
      <c r="C323">
        <v>5360</v>
      </c>
      <c r="D323" t="s">
        <v>537</v>
      </c>
      <c r="E323">
        <v>98550000</v>
      </c>
      <c r="H323" t="s">
        <v>816</v>
      </c>
      <c r="K323" s="3">
        <v>0</v>
      </c>
      <c r="M323" s="3">
        <v>0</v>
      </c>
      <c r="O323" s="3">
        <v>0</v>
      </c>
      <c r="S323" s="3"/>
      <c r="T323" s="3"/>
      <c r="U323" s="3"/>
      <c r="V323" s="3"/>
      <c r="W323" s="3">
        <f t="shared" si="4"/>
        <v>0</v>
      </c>
      <c r="X323" s="44" t="s">
        <v>199</v>
      </c>
      <c r="AA323"/>
    </row>
    <row r="324" spans="3:36">
      <c r="C324">
        <v>5360</v>
      </c>
      <c r="E324">
        <v>98560000</v>
      </c>
      <c r="H324" t="s">
        <v>817</v>
      </c>
      <c r="K324" s="3">
        <v>190194.12</v>
      </c>
      <c r="M324" s="3">
        <v>46029.23</v>
      </c>
      <c r="O324" s="3">
        <v>144164.89000000001</v>
      </c>
      <c r="Q324">
        <v>313.2</v>
      </c>
      <c r="S324" s="3"/>
      <c r="T324" s="3"/>
      <c r="U324" s="3"/>
      <c r="V324" s="3"/>
      <c r="W324" s="3">
        <f t="shared" si="4"/>
        <v>190194.12</v>
      </c>
      <c r="X324" s="44" t="s">
        <v>199</v>
      </c>
      <c r="AA324"/>
      <c r="AJ324" s="31"/>
    </row>
    <row r="325" spans="3:36">
      <c r="C325">
        <v>5360</v>
      </c>
      <c r="E325">
        <v>98570000</v>
      </c>
      <c r="H325" t="s">
        <v>818</v>
      </c>
      <c r="K325" s="3">
        <v>820.18</v>
      </c>
      <c r="M325" s="3">
        <v>1824.13</v>
      </c>
      <c r="O325" s="3">
        <v>-1003.95</v>
      </c>
      <c r="Q325">
        <v>-55</v>
      </c>
      <c r="S325" s="3"/>
      <c r="T325" s="3"/>
      <c r="U325" s="3"/>
      <c r="V325" s="3"/>
      <c r="W325" s="3">
        <f t="shared" si="4"/>
        <v>820.18</v>
      </c>
      <c r="X325" s="44" t="s">
        <v>199</v>
      </c>
      <c r="AA325"/>
      <c r="AJ325" s="31"/>
    </row>
    <row r="326" spans="3:36">
      <c r="C326">
        <v>5360</v>
      </c>
      <c r="D326" t="s">
        <v>537</v>
      </c>
      <c r="E326">
        <v>98580000</v>
      </c>
      <c r="H326" t="s">
        <v>819</v>
      </c>
      <c r="K326" s="3">
        <v>0</v>
      </c>
      <c r="M326" s="3">
        <v>0</v>
      </c>
      <c r="O326" s="3">
        <v>0</v>
      </c>
      <c r="S326" s="3"/>
      <c r="T326" s="3"/>
      <c r="U326" s="3"/>
      <c r="V326" s="3"/>
      <c r="W326" s="3">
        <f t="shared" si="4"/>
        <v>0</v>
      </c>
      <c r="X326" s="44" t="s">
        <v>199</v>
      </c>
      <c r="AA326"/>
    </row>
    <row r="327" spans="3:36">
      <c r="C327">
        <v>5360</v>
      </c>
      <c r="D327" t="s">
        <v>537</v>
      </c>
      <c r="E327">
        <v>98590000</v>
      </c>
      <c r="H327" t="s">
        <v>756</v>
      </c>
      <c r="K327" s="3">
        <v>0</v>
      </c>
      <c r="M327" s="3">
        <v>0</v>
      </c>
      <c r="O327" s="3">
        <v>0</v>
      </c>
      <c r="S327" s="3"/>
      <c r="T327" s="3"/>
      <c r="U327" s="3"/>
      <c r="V327" s="3"/>
      <c r="W327" s="3">
        <f t="shared" si="4"/>
        <v>0</v>
      </c>
      <c r="X327" s="44" t="s">
        <v>199</v>
      </c>
      <c r="AA327"/>
    </row>
    <row r="328" spans="3:36">
      <c r="C328">
        <v>5360</v>
      </c>
      <c r="D328" t="s">
        <v>537</v>
      </c>
      <c r="E328">
        <v>98600000</v>
      </c>
      <c r="H328" t="s">
        <v>757</v>
      </c>
      <c r="K328" s="3">
        <v>0</v>
      </c>
      <c r="M328" s="3">
        <v>0</v>
      </c>
      <c r="O328" s="3">
        <v>0</v>
      </c>
      <c r="S328" s="3"/>
      <c r="T328" s="3"/>
      <c r="U328" s="3"/>
      <c r="V328" s="3"/>
      <c r="W328" s="3">
        <f t="shared" si="4"/>
        <v>0</v>
      </c>
      <c r="X328" s="44" t="s">
        <v>199</v>
      </c>
      <c r="AA328"/>
    </row>
    <row r="329" spans="3:36">
      <c r="C329">
        <v>5360</v>
      </c>
      <c r="E329">
        <v>98610000</v>
      </c>
      <c r="H329" t="s">
        <v>758</v>
      </c>
      <c r="K329" s="3">
        <v>142664.81</v>
      </c>
      <c r="M329" s="3">
        <v>96163.16</v>
      </c>
      <c r="O329" s="3">
        <v>46501.65</v>
      </c>
      <c r="Q329">
        <v>48.4</v>
      </c>
      <c r="S329" s="3"/>
      <c r="T329" s="3"/>
      <c r="U329" s="3"/>
      <c r="V329" s="3"/>
      <c r="W329" s="3">
        <f t="shared" ref="W329:W392" si="5">SUM(K329,S329:V329)</f>
        <v>142664.81</v>
      </c>
      <c r="X329" s="44" t="s">
        <v>199</v>
      </c>
      <c r="AA329"/>
      <c r="AJ329" s="31"/>
    </row>
    <row r="330" spans="3:36">
      <c r="C330">
        <v>5360</v>
      </c>
      <c r="D330" t="s">
        <v>537</v>
      </c>
      <c r="E330">
        <v>98620000</v>
      </c>
      <c r="H330" t="s">
        <v>745</v>
      </c>
      <c r="K330" s="3">
        <v>0</v>
      </c>
      <c r="M330" s="3">
        <v>0</v>
      </c>
      <c r="O330" s="3">
        <v>0</v>
      </c>
      <c r="S330" s="3"/>
      <c r="T330" s="3"/>
      <c r="U330" s="3"/>
      <c r="V330" s="3"/>
      <c r="W330" s="3">
        <f t="shared" si="5"/>
        <v>0</v>
      </c>
      <c r="X330" s="44" t="s">
        <v>199</v>
      </c>
      <c r="AA330"/>
    </row>
    <row r="331" spans="3:36">
      <c r="C331">
        <v>5360</v>
      </c>
      <c r="E331">
        <v>98640000</v>
      </c>
      <c r="H331" t="s">
        <v>801</v>
      </c>
      <c r="K331" s="3">
        <v>870</v>
      </c>
      <c r="M331" s="3">
        <v>0</v>
      </c>
      <c r="O331" s="3">
        <v>870</v>
      </c>
      <c r="S331" s="3"/>
      <c r="T331" s="3"/>
      <c r="U331" s="3"/>
      <c r="V331" s="3"/>
      <c r="W331" s="3">
        <f t="shared" si="5"/>
        <v>870</v>
      </c>
      <c r="X331" s="44" t="s">
        <v>199</v>
      </c>
      <c r="AA331"/>
    </row>
    <row r="332" spans="3:36">
      <c r="C332">
        <v>5360</v>
      </c>
      <c r="D332" t="s">
        <v>537</v>
      </c>
      <c r="E332">
        <v>98660000</v>
      </c>
      <c r="H332" t="s">
        <v>820</v>
      </c>
      <c r="K332" s="3">
        <v>0</v>
      </c>
      <c r="M332" s="3">
        <v>0</v>
      </c>
      <c r="O332" s="3">
        <v>0</v>
      </c>
      <c r="S332" s="3"/>
      <c r="T332" s="3"/>
      <c r="U332" s="3"/>
      <c r="V332" s="3"/>
      <c r="W332" s="3">
        <f t="shared" si="5"/>
        <v>0</v>
      </c>
      <c r="X332" s="44" t="s">
        <v>199</v>
      </c>
      <c r="AA332"/>
    </row>
    <row r="333" spans="3:36">
      <c r="C333">
        <v>5360</v>
      </c>
      <c r="D333" t="s">
        <v>537</v>
      </c>
      <c r="E333">
        <v>98670000</v>
      </c>
      <c r="H333" t="s">
        <v>765</v>
      </c>
      <c r="K333" s="3">
        <v>0</v>
      </c>
      <c r="M333" s="3">
        <v>0</v>
      </c>
      <c r="O333" s="3">
        <v>0</v>
      </c>
      <c r="S333" s="3"/>
      <c r="T333" s="3"/>
      <c r="U333" s="3"/>
      <c r="V333" s="3"/>
      <c r="W333" s="3">
        <f t="shared" si="5"/>
        <v>0</v>
      </c>
      <c r="X333" s="44" t="s">
        <v>199</v>
      </c>
      <c r="AA333"/>
    </row>
    <row r="334" spans="3:36">
      <c r="C334" s="326">
        <v>5360</v>
      </c>
      <c r="D334" s="326"/>
      <c r="E334" s="326">
        <v>98700000</v>
      </c>
      <c r="F334" s="326"/>
      <c r="G334" s="326"/>
      <c r="H334" s="326" t="s">
        <v>747</v>
      </c>
      <c r="I334" s="326"/>
      <c r="J334" s="326"/>
      <c r="K334" s="327">
        <v>2966789.3</v>
      </c>
      <c r="L334" s="326"/>
      <c r="M334" s="327">
        <v>1864919.45</v>
      </c>
      <c r="N334" s="326"/>
      <c r="O334" s="327">
        <v>1101869.8500000001</v>
      </c>
      <c r="Q334">
        <v>59.1</v>
      </c>
      <c r="S334" s="3"/>
      <c r="T334" s="3"/>
      <c r="U334" s="3"/>
      <c r="V334" s="3"/>
      <c r="W334" s="3">
        <f t="shared" si="5"/>
        <v>2966789.3</v>
      </c>
      <c r="X334" s="44" t="s">
        <v>199</v>
      </c>
      <c r="AA334"/>
      <c r="AJ334" s="31"/>
    </row>
    <row r="335" spans="3:36">
      <c r="C335">
        <v>5360</v>
      </c>
      <c r="E335">
        <v>98710000</v>
      </c>
      <c r="H335" t="s">
        <v>821</v>
      </c>
      <c r="K335" s="3">
        <v>821806.07999999996</v>
      </c>
      <c r="M335" s="3">
        <v>769259.41</v>
      </c>
      <c r="O335" s="3">
        <v>52546.67</v>
      </c>
      <c r="Q335">
        <v>6.8</v>
      </c>
      <c r="S335" s="3"/>
      <c r="T335" s="3"/>
      <c r="U335" s="3"/>
      <c r="V335" s="3"/>
      <c r="W335" s="3">
        <f t="shared" si="5"/>
        <v>821806.07999999996</v>
      </c>
      <c r="X335" s="44" t="s">
        <v>200</v>
      </c>
      <c r="AA335"/>
      <c r="AJ335" s="31"/>
    </row>
    <row r="336" spans="3:36">
      <c r="C336">
        <v>5360</v>
      </c>
      <c r="D336" t="s">
        <v>537</v>
      </c>
      <c r="E336">
        <v>98720000</v>
      </c>
      <c r="H336" t="s">
        <v>809</v>
      </c>
      <c r="K336" s="3">
        <v>0</v>
      </c>
      <c r="M336" s="3">
        <v>0</v>
      </c>
      <c r="O336" s="3">
        <v>0</v>
      </c>
      <c r="S336" s="3"/>
      <c r="T336" s="3"/>
      <c r="U336" s="3"/>
      <c r="V336" s="3"/>
      <c r="W336" s="3">
        <f t="shared" si="5"/>
        <v>0</v>
      </c>
      <c r="X336" s="44" t="s">
        <v>200</v>
      </c>
      <c r="AA336"/>
    </row>
    <row r="337" spans="3:36">
      <c r="C337">
        <v>5360</v>
      </c>
      <c r="E337">
        <v>98730000</v>
      </c>
      <c r="H337" t="s">
        <v>793</v>
      </c>
      <c r="K337" s="3">
        <v>12524.56</v>
      </c>
      <c r="M337" s="3">
        <v>13677.35</v>
      </c>
      <c r="O337" s="3">
        <v>-1152.79</v>
      </c>
      <c r="Q337">
        <v>-8.4</v>
      </c>
      <c r="S337" s="3"/>
      <c r="T337" s="3"/>
      <c r="U337" s="3"/>
      <c r="V337" s="3"/>
      <c r="W337" s="3">
        <f t="shared" si="5"/>
        <v>12524.56</v>
      </c>
      <c r="X337" s="44" t="s">
        <v>200</v>
      </c>
      <c r="AA337"/>
      <c r="AJ337" s="31"/>
    </row>
    <row r="338" spans="3:36">
      <c r="C338">
        <v>5360</v>
      </c>
      <c r="E338">
        <v>98740000</v>
      </c>
      <c r="H338" t="s">
        <v>822</v>
      </c>
      <c r="K338" s="3">
        <v>6497828.8899999997</v>
      </c>
      <c r="M338" s="3">
        <v>5852296.5</v>
      </c>
      <c r="O338" s="3">
        <v>645532.39</v>
      </c>
      <c r="Q338">
        <v>11</v>
      </c>
      <c r="S338" s="3"/>
      <c r="T338" s="3"/>
      <c r="U338" s="3"/>
      <c r="V338" s="3"/>
      <c r="W338" s="3">
        <f t="shared" si="5"/>
        <v>6497828.8899999997</v>
      </c>
      <c r="X338" s="44" t="s">
        <v>200</v>
      </c>
      <c r="AA338"/>
      <c r="AJ338" s="31"/>
    </row>
    <row r="339" spans="3:36">
      <c r="C339">
        <v>5360</v>
      </c>
      <c r="E339">
        <v>98750000</v>
      </c>
      <c r="H339" t="s">
        <v>823</v>
      </c>
      <c r="K339" s="3">
        <v>700531.59</v>
      </c>
      <c r="M339" s="3">
        <v>661292.16</v>
      </c>
      <c r="O339" s="3">
        <v>39239.43</v>
      </c>
      <c r="Q339">
        <v>5.9</v>
      </c>
      <c r="S339" s="3"/>
      <c r="T339" s="3"/>
      <c r="U339" s="3"/>
      <c r="V339" s="3"/>
      <c r="W339" s="3">
        <f t="shared" si="5"/>
        <v>700531.59</v>
      </c>
      <c r="X339" s="44" t="s">
        <v>200</v>
      </c>
      <c r="AA339"/>
      <c r="AJ339" s="31"/>
    </row>
    <row r="340" spans="3:36">
      <c r="C340">
        <v>5360</v>
      </c>
      <c r="E340">
        <v>98760000</v>
      </c>
      <c r="H340" t="s">
        <v>824</v>
      </c>
      <c r="K340" s="3">
        <v>0</v>
      </c>
      <c r="M340" s="3">
        <v>15158.96</v>
      </c>
      <c r="O340" s="3">
        <v>-15158.96</v>
      </c>
      <c r="Q340">
        <v>-100</v>
      </c>
      <c r="S340" s="3"/>
      <c r="T340" s="3"/>
      <c r="U340" s="3"/>
      <c r="V340" s="3"/>
      <c r="W340" s="3">
        <f t="shared" si="5"/>
        <v>0</v>
      </c>
      <c r="X340" s="44" t="s">
        <v>200</v>
      </c>
      <c r="AA340"/>
      <c r="AJ340" s="31"/>
    </row>
    <row r="341" spans="3:36">
      <c r="C341">
        <v>5360</v>
      </c>
      <c r="D341" t="s">
        <v>537</v>
      </c>
      <c r="E341">
        <v>98770000</v>
      </c>
      <c r="H341" t="s">
        <v>825</v>
      </c>
      <c r="K341" s="3">
        <v>0</v>
      </c>
      <c r="M341" s="3">
        <v>0</v>
      </c>
      <c r="O341" s="3">
        <v>0</v>
      </c>
      <c r="S341" s="3"/>
      <c r="T341" s="3"/>
      <c r="U341" s="3"/>
      <c r="V341" s="3"/>
      <c r="W341" s="3">
        <f t="shared" si="5"/>
        <v>0</v>
      </c>
      <c r="X341" s="44" t="s">
        <v>200</v>
      </c>
      <c r="AA341"/>
    </row>
    <row r="342" spans="3:36">
      <c r="C342" s="326">
        <v>5360</v>
      </c>
      <c r="D342" s="326"/>
      <c r="E342" s="326">
        <v>98780000</v>
      </c>
      <c r="F342" s="326"/>
      <c r="G342" s="326"/>
      <c r="H342" s="326" t="s">
        <v>826</v>
      </c>
      <c r="I342" s="326"/>
      <c r="J342" s="326"/>
      <c r="K342" s="327">
        <v>5278802.46</v>
      </c>
      <c r="L342" s="326"/>
      <c r="M342" s="327">
        <v>3253424.38</v>
      </c>
      <c r="N342" s="326"/>
      <c r="O342" s="327">
        <v>2025378.08</v>
      </c>
      <c r="Q342">
        <v>62.3</v>
      </c>
      <c r="S342" s="3">
        <v>22901.53</v>
      </c>
      <c r="T342" s="3"/>
      <c r="U342" s="3"/>
      <c r="V342" s="3"/>
      <c r="W342" s="3">
        <f t="shared" si="5"/>
        <v>5301703.99</v>
      </c>
      <c r="X342" s="44" t="s">
        <v>200</v>
      </c>
      <c r="AA342"/>
      <c r="AJ342" s="31"/>
    </row>
    <row r="343" spans="3:36">
      <c r="C343">
        <v>5360</v>
      </c>
      <c r="E343">
        <v>98790000</v>
      </c>
      <c r="H343" t="s">
        <v>827</v>
      </c>
      <c r="K343" s="3">
        <v>39584.980000000003</v>
      </c>
      <c r="M343" s="3">
        <v>236129.21</v>
      </c>
      <c r="O343" s="3">
        <v>-196544.23</v>
      </c>
      <c r="Q343">
        <v>-83.2</v>
      </c>
      <c r="S343" s="3"/>
      <c r="T343" s="3"/>
      <c r="U343" s="3"/>
      <c r="V343" s="3"/>
      <c r="W343" s="3">
        <f t="shared" si="5"/>
        <v>39584.980000000003</v>
      </c>
      <c r="X343" s="44" t="s">
        <v>200</v>
      </c>
      <c r="AA343"/>
      <c r="AJ343" s="31"/>
    </row>
    <row r="344" spans="3:36">
      <c r="C344">
        <v>5360</v>
      </c>
      <c r="E344">
        <v>98800000</v>
      </c>
      <c r="H344" t="s">
        <v>756</v>
      </c>
      <c r="K344" s="3">
        <v>4532772.07</v>
      </c>
      <c r="M344" s="3">
        <v>4533708.79</v>
      </c>
      <c r="O344" s="3">
        <v>-936.72</v>
      </c>
      <c r="S344" s="3"/>
      <c r="T344" s="3"/>
      <c r="U344" s="3"/>
      <c r="V344" s="3"/>
      <c r="W344" s="3">
        <f t="shared" si="5"/>
        <v>4532772.07</v>
      </c>
      <c r="X344" s="44" t="s">
        <v>200</v>
      </c>
      <c r="AA344"/>
      <c r="AJ344" s="31"/>
    </row>
    <row r="345" spans="3:36">
      <c r="C345">
        <v>5360</v>
      </c>
      <c r="D345" t="s">
        <v>537</v>
      </c>
      <c r="E345">
        <v>98810000</v>
      </c>
      <c r="H345" t="s">
        <v>757</v>
      </c>
      <c r="K345" s="3">
        <v>0</v>
      </c>
      <c r="M345" s="3">
        <v>0</v>
      </c>
      <c r="O345" s="3">
        <v>0</v>
      </c>
      <c r="S345" s="3"/>
      <c r="T345" s="3"/>
      <c r="U345" s="3"/>
      <c r="V345" s="3"/>
      <c r="W345" s="3">
        <f t="shared" si="5"/>
        <v>0</v>
      </c>
      <c r="X345" s="619" t="s">
        <v>200</v>
      </c>
      <c r="AA345"/>
    </row>
    <row r="346" spans="3:36">
      <c r="E346" t="s">
        <v>828</v>
      </c>
      <c r="K346" s="3">
        <v>24016369.609999999</v>
      </c>
      <c r="M346" s="3">
        <v>20446262.34</v>
      </c>
      <c r="O346" s="3">
        <v>3570107.27</v>
      </c>
      <c r="Q346">
        <v>17.5</v>
      </c>
      <c r="R346" t="s">
        <v>650</v>
      </c>
      <c r="S346" s="3">
        <f>SUM(S293:S345)</f>
        <v>22901.53</v>
      </c>
      <c r="T346" s="3">
        <f>SUM(T293:T345)</f>
        <v>0</v>
      </c>
      <c r="U346" s="3">
        <f>SUM(U293:U345)</f>
        <v>0</v>
      </c>
      <c r="V346" s="3">
        <f>SUM(V293:V345)</f>
        <v>0</v>
      </c>
      <c r="W346" s="3">
        <f t="shared" si="5"/>
        <v>24039271.140000001</v>
      </c>
      <c r="X346" s="44"/>
      <c r="AA346"/>
      <c r="AJ346" s="31"/>
    </row>
    <row r="347" spans="3:36">
      <c r="C347">
        <v>5360</v>
      </c>
      <c r="D347" t="s">
        <v>537</v>
      </c>
      <c r="E347">
        <v>98430000</v>
      </c>
      <c r="H347" t="s">
        <v>628</v>
      </c>
      <c r="K347" s="3">
        <v>0</v>
      </c>
      <c r="M347" s="3">
        <v>0</v>
      </c>
      <c r="O347" s="3">
        <v>0</v>
      </c>
      <c r="S347" s="3"/>
      <c r="T347" s="3"/>
      <c r="U347" s="3"/>
      <c r="V347" s="3"/>
      <c r="W347" s="3">
        <f t="shared" si="5"/>
        <v>0</v>
      </c>
      <c r="X347" s="44" t="s">
        <v>580</v>
      </c>
      <c r="AA347"/>
    </row>
    <row r="348" spans="3:36">
      <c r="C348">
        <v>5360</v>
      </c>
      <c r="D348" t="s">
        <v>537</v>
      </c>
      <c r="E348">
        <v>98431000</v>
      </c>
      <c r="H348" t="s">
        <v>758</v>
      </c>
      <c r="K348" s="3">
        <v>0</v>
      </c>
      <c r="M348" s="3">
        <v>0</v>
      </c>
      <c r="O348" s="3">
        <v>0</v>
      </c>
      <c r="S348" s="3"/>
      <c r="T348" s="3"/>
      <c r="U348" s="3"/>
      <c r="V348" s="3"/>
      <c r="W348" s="3">
        <f t="shared" si="5"/>
        <v>0</v>
      </c>
      <c r="X348" s="44" t="s">
        <v>198</v>
      </c>
      <c r="AA348"/>
    </row>
    <row r="349" spans="3:36">
      <c r="C349">
        <v>5360</v>
      </c>
      <c r="D349" t="s">
        <v>537</v>
      </c>
      <c r="E349">
        <v>98432000</v>
      </c>
      <c r="H349" t="s">
        <v>745</v>
      </c>
      <c r="K349" s="3">
        <v>0</v>
      </c>
      <c r="M349" s="3">
        <v>0</v>
      </c>
      <c r="O349" s="3">
        <v>0</v>
      </c>
      <c r="S349" s="3"/>
      <c r="T349" s="3"/>
      <c r="U349" s="3"/>
      <c r="V349" s="3"/>
      <c r="W349" s="3">
        <f t="shared" si="5"/>
        <v>0</v>
      </c>
      <c r="X349" s="44" t="s">
        <v>198</v>
      </c>
      <c r="AA349"/>
    </row>
    <row r="350" spans="3:36">
      <c r="C350">
        <v>5360</v>
      </c>
      <c r="D350" t="s">
        <v>537</v>
      </c>
      <c r="E350">
        <v>98433000</v>
      </c>
      <c r="H350" t="s">
        <v>829</v>
      </c>
      <c r="K350" s="3">
        <v>0</v>
      </c>
      <c r="M350" s="3">
        <v>0</v>
      </c>
      <c r="O350" s="3">
        <v>0</v>
      </c>
      <c r="S350" s="3"/>
      <c r="T350" s="3"/>
      <c r="U350" s="3"/>
      <c r="V350" s="3"/>
      <c r="W350" s="3">
        <f t="shared" si="5"/>
        <v>0</v>
      </c>
      <c r="X350" s="44" t="s">
        <v>198</v>
      </c>
      <c r="AA350"/>
    </row>
    <row r="351" spans="3:36">
      <c r="C351">
        <v>5360</v>
      </c>
      <c r="D351" t="s">
        <v>537</v>
      </c>
      <c r="E351">
        <v>98434000</v>
      </c>
      <c r="H351" t="s">
        <v>763</v>
      </c>
      <c r="K351" s="3">
        <v>0</v>
      </c>
      <c r="M351" s="3">
        <v>0</v>
      </c>
      <c r="O351" s="3">
        <v>0</v>
      </c>
      <c r="S351" s="3"/>
      <c r="T351" s="3"/>
      <c r="U351" s="3"/>
      <c r="V351" s="3"/>
      <c r="W351" s="3">
        <f t="shared" si="5"/>
        <v>0</v>
      </c>
      <c r="X351" s="44" t="s">
        <v>198</v>
      </c>
      <c r="AA351"/>
    </row>
    <row r="352" spans="3:36">
      <c r="C352">
        <v>5360</v>
      </c>
      <c r="D352" t="s">
        <v>537</v>
      </c>
      <c r="E352">
        <v>98435000</v>
      </c>
      <c r="H352" t="s">
        <v>830</v>
      </c>
      <c r="K352" s="3">
        <v>0</v>
      </c>
      <c r="M352" s="3">
        <v>0</v>
      </c>
      <c r="O352" s="3">
        <v>0</v>
      </c>
      <c r="S352" s="3"/>
      <c r="T352" s="3"/>
      <c r="U352" s="3"/>
      <c r="V352" s="3"/>
      <c r="W352" s="3">
        <f t="shared" si="5"/>
        <v>0</v>
      </c>
      <c r="X352" s="44" t="s">
        <v>198</v>
      </c>
      <c r="AA352"/>
    </row>
    <row r="353" spans="3:36">
      <c r="C353">
        <v>5360</v>
      </c>
      <c r="E353">
        <v>98436000</v>
      </c>
      <c r="H353" t="s">
        <v>831</v>
      </c>
      <c r="K353" s="3">
        <v>39137.279999999999</v>
      </c>
      <c r="M353" s="3">
        <v>123897</v>
      </c>
      <c r="O353" s="3">
        <v>-84759.72</v>
      </c>
      <c r="Q353">
        <v>-68.400000000000006</v>
      </c>
      <c r="S353" s="3"/>
      <c r="T353" s="3"/>
      <c r="U353" s="3"/>
      <c r="V353" s="3"/>
      <c r="W353" s="3">
        <f t="shared" si="5"/>
        <v>39137.279999999999</v>
      </c>
      <c r="X353" s="44" t="s">
        <v>198</v>
      </c>
      <c r="AA353"/>
      <c r="AJ353" s="31"/>
    </row>
    <row r="354" spans="3:36">
      <c r="C354">
        <v>5360</v>
      </c>
      <c r="D354" t="s">
        <v>537</v>
      </c>
      <c r="E354">
        <v>98437000</v>
      </c>
      <c r="H354" t="s">
        <v>781</v>
      </c>
      <c r="K354" s="3">
        <v>0</v>
      </c>
      <c r="M354" s="3">
        <v>0</v>
      </c>
      <c r="O354" s="3">
        <v>0</v>
      </c>
      <c r="S354" s="3"/>
      <c r="T354" s="3"/>
      <c r="U354" s="3"/>
      <c r="V354" s="3"/>
      <c r="W354" s="3">
        <f t="shared" si="5"/>
        <v>0</v>
      </c>
      <c r="X354" s="44" t="s">
        <v>198</v>
      </c>
      <c r="AA354"/>
    </row>
    <row r="355" spans="3:36">
      <c r="C355">
        <v>5360</v>
      </c>
      <c r="D355" t="s">
        <v>537</v>
      </c>
      <c r="E355">
        <v>98438000</v>
      </c>
      <c r="H355" t="s">
        <v>832</v>
      </c>
      <c r="K355" s="3">
        <v>0</v>
      </c>
      <c r="M355" s="3">
        <v>0</v>
      </c>
      <c r="O355" s="3">
        <v>0</v>
      </c>
      <c r="S355" s="3"/>
      <c r="T355" s="3"/>
      <c r="U355" s="3"/>
      <c r="V355" s="3"/>
      <c r="W355" s="3">
        <f t="shared" si="5"/>
        <v>0</v>
      </c>
      <c r="X355" s="44" t="s">
        <v>198</v>
      </c>
      <c r="AA355"/>
      <c r="AJ355" s="31"/>
    </row>
    <row r="356" spans="3:36">
      <c r="C356">
        <v>5360</v>
      </c>
      <c r="D356" t="s">
        <v>537</v>
      </c>
      <c r="E356">
        <v>98439000</v>
      </c>
      <c r="H356" t="s">
        <v>765</v>
      </c>
      <c r="K356" s="3">
        <v>0</v>
      </c>
      <c r="M356" s="3">
        <v>0</v>
      </c>
      <c r="O356" s="3">
        <v>0</v>
      </c>
      <c r="S356" s="3"/>
      <c r="T356" s="3"/>
      <c r="U356" s="3"/>
      <c r="V356" s="3"/>
      <c r="W356" s="3">
        <f t="shared" si="5"/>
        <v>0</v>
      </c>
      <c r="X356" s="44" t="s">
        <v>198</v>
      </c>
      <c r="AA356"/>
    </row>
    <row r="357" spans="3:36">
      <c r="C357">
        <v>5360</v>
      </c>
      <c r="D357" t="s">
        <v>537</v>
      </c>
      <c r="E357">
        <v>98470000</v>
      </c>
      <c r="H357" t="s">
        <v>628</v>
      </c>
      <c r="K357" s="3">
        <v>0</v>
      </c>
      <c r="M357" s="3">
        <v>0</v>
      </c>
      <c r="O357" s="3">
        <v>0</v>
      </c>
      <c r="S357" s="3"/>
      <c r="T357" s="3"/>
      <c r="U357" s="3"/>
      <c r="V357" s="3"/>
      <c r="W357" s="3">
        <f t="shared" si="5"/>
        <v>0</v>
      </c>
      <c r="X357" s="44" t="s">
        <v>580</v>
      </c>
      <c r="AA357"/>
    </row>
    <row r="358" spans="3:36">
      <c r="C358">
        <v>5360</v>
      </c>
      <c r="D358" t="s">
        <v>537</v>
      </c>
      <c r="E358">
        <v>98471000</v>
      </c>
      <c r="H358" t="s">
        <v>758</v>
      </c>
      <c r="K358" s="3">
        <v>0</v>
      </c>
      <c r="M358" s="3">
        <v>0</v>
      </c>
      <c r="O358" s="3">
        <v>0</v>
      </c>
      <c r="S358" s="3"/>
      <c r="T358" s="3"/>
      <c r="U358" s="3"/>
      <c r="V358" s="3"/>
      <c r="W358" s="3">
        <f t="shared" si="5"/>
        <v>0</v>
      </c>
      <c r="X358" s="44" t="s">
        <v>198</v>
      </c>
      <c r="AA358"/>
    </row>
    <row r="359" spans="3:36">
      <c r="C359">
        <v>5360</v>
      </c>
      <c r="E359">
        <v>98472000</v>
      </c>
      <c r="H359" t="s">
        <v>745</v>
      </c>
      <c r="K359" s="3">
        <v>76360.73</v>
      </c>
      <c r="M359" s="3">
        <v>46642.91</v>
      </c>
      <c r="O359" s="3">
        <v>29717.82</v>
      </c>
      <c r="Q359">
        <v>63.7</v>
      </c>
      <c r="S359" s="3"/>
      <c r="T359" s="3"/>
      <c r="U359" s="3"/>
      <c r="V359" s="3"/>
      <c r="W359" s="3">
        <f t="shared" si="5"/>
        <v>76360.73</v>
      </c>
      <c r="X359" s="44" t="s">
        <v>198</v>
      </c>
      <c r="AA359"/>
      <c r="AJ359" s="31"/>
    </row>
    <row r="360" spans="3:36">
      <c r="C360">
        <v>5360</v>
      </c>
      <c r="E360">
        <v>98473000</v>
      </c>
      <c r="H360" t="s">
        <v>833</v>
      </c>
      <c r="K360" s="3">
        <v>4885</v>
      </c>
      <c r="M360" s="3">
        <v>4252.96</v>
      </c>
      <c r="O360" s="3">
        <v>632.04</v>
      </c>
      <c r="Q360">
        <v>14.9</v>
      </c>
      <c r="S360" s="3"/>
      <c r="T360" s="3"/>
      <c r="U360" s="3"/>
      <c r="V360" s="3"/>
      <c r="W360" s="3">
        <f t="shared" si="5"/>
        <v>4885</v>
      </c>
      <c r="X360" s="44" t="s">
        <v>198</v>
      </c>
      <c r="AA360"/>
      <c r="AJ360" s="31"/>
    </row>
    <row r="361" spans="3:36">
      <c r="C361">
        <v>5360</v>
      </c>
      <c r="D361" t="s">
        <v>537</v>
      </c>
      <c r="E361">
        <v>98474000</v>
      </c>
      <c r="H361" t="s">
        <v>834</v>
      </c>
      <c r="K361" s="3">
        <v>0</v>
      </c>
      <c r="M361" s="3">
        <v>0</v>
      </c>
      <c r="O361" s="3">
        <v>0</v>
      </c>
      <c r="S361" s="3"/>
      <c r="T361" s="3"/>
      <c r="U361" s="3"/>
      <c r="V361" s="3"/>
      <c r="W361" s="3">
        <f t="shared" si="5"/>
        <v>0</v>
      </c>
      <c r="X361" s="44" t="s">
        <v>198</v>
      </c>
      <c r="AA361"/>
    </row>
    <row r="362" spans="3:36">
      <c r="C362">
        <v>5360</v>
      </c>
      <c r="E362">
        <v>98475000</v>
      </c>
      <c r="H362" t="s">
        <v>832</v>
      </c>
      <c r="K362" s="3">
        <v>23372.41</v>
      </c>
      <c r="M362" s="3">
        <v>14829.13</v>
      </c>
      <c r="O362" s="3">
        <v>8543.2800000000007</v>
      </c>
      <c r="Q362">
        <v>57.6</v>
      </c>
      <c r="S362" s="3"/>
      <c r="T362" s="3"/>
      <c r="U362" s="3"/>
      <c r="V362" s="3"/>
      <c r="W362" s="3">
        <f t="shared" si="5"/>
        <v>23372.41</v>
      </c>
      <c r="X362" s="44" t="s">
        <v>198</v>
      </c>
      <c r="AA362"/>
      <c r="AJ362" s="31"/>
    </row>
    <row r="363" spans="3:36">
      <c r="C363">
        <v>5360</v>
      </c>
      <c r="D363" t="s">
        <v>537</v>
      </c>
      <c r="E363">
        <v>98476000</v>
      </c>
      <c r="H363" t="s">
        <v>801</v>
      </c>
      <c r="K363" s="3">
        <v>0</v>
      </c>
      <c r="M363" s="3">
        <v>0</v>
      </c>
      <c r="O363" s="3">
        <v>0</v>
      </c>
      <c r="S363" s="3"/>
      <c r="T363" s="3"/>
      <c r="U363" s="3"/>
      <c r="V363" s="3"/>
      <c r="W363" s="3">
        <f t="shared" si="5"/>
        <v>0</v>
      </c>
      <c r="X363" s="44" t="s">
        <v>198</v>
      </c>
      <c r="AA363"/>
    </row>
    <row r="364" spans="3:36">
      <c r="C364">
        <v>5360</v>
      </c>
      <c r="D364" t="s">
        <v>537</v>
      </c>
      <c r="E364">
        <v>98477000</v>
      </c>
      <c r="H364" t="s">
        <v>820</v>
      </c>
      <c r="K364" s="3">
        <v>0</v>
      </c>
      <c r="M364" s="3">
        <v>0</v>
      </c>
      <c r="O364" s="3">
        <v>0</v>
      </c>
      <c r="S364" s="3"/>
      <c r="T364" s="3"/>
      <c r="U364" s="3"/>
      <c r="V364" s="3"/>
      <c r="W364" s="3">
        <f t="shared" si="5"/>
        <v>0</v>
      </c>
      <c r="X364" s="44" t="s">
        <v>198</v>
      </c>
      <c r="AA364"/>
    </row>
    <row r="365" spans="3:36">
      <c r="C365">
        <v>5360</v>
      </c>
      <c r="E365">
        <v>98478000</v>
      </c>
      <c r="H365" t="s">
        <v>765</v>
      </c>
      <c r="K365" s="3">
        <v>313607.7</v>
      </c>
      <c r="M365" s="3">
        <v>285238.03999999998</v>
      </c>
      <c r="O365" s="3">
        <v>28369.66</v>
      </c>
      <c r="Q365">
        <v>9.9</v>
      </c>
      <c r="S365" s="3"/>
      <c r="T365" s="3"/>
      <c r="U365" s="3"/>
      <c r="V365" s="3"/>
      <c r="W365" s="3">
        <f t="shared" si="5"/>
        <v>313607.7</v>
      </c>
      <c r="X365" s="44" t="s">
        <v>198</v>
      </c>
      <c r="Y365" t="s">
        <v>835</v>
      </c>
      <c r="AA365"/>
      <c r="AJ365" s="31"/>
    </row>
    <row r="366" spans="3:36">
      <c r="C366">
        <v>5360</v>
      </c>
      <c r="D366" t="s">
        <v>537</v>
      </c>
      <c r="E366">
        <v>98480000</v>
      </c>
      <c r="H366" t="s">
        <v>836</v>
      </c>
      <c r="K366" s="3">
        <v>0</v>
      </c>
      <c r="M366" s="3">
        <v>0</v>
      </c>
      <c r="O366" s="3">
        <v>0</v>
      </c>
      <c r="S366" s="3"/>
      <c r="T366" s="3"/>
      <c r="U366" s="3"/>
      <c r="V366" s="3"/>
      <c r="W366" s="3">
        <f t="shared" si="5"/>
        <v>0</v>
      </c>
      <c r="X366" s="44" t="s">
        <v>580</v>
      </c>
      <c r="Y366" s="145">
        <f>SUMIF(X:X,"B",W:W)</f>
        <v>3288543.69</v>
      </c>
      <c r="Z366" t="s">
        <v>94</v>
      </c>
      <c r="AA366"/>
    </row>
    <row r="367" spans="3:36">
      <c r="C367">
        <v>5360</v>
      </c>
      <c r="E367">
        <v>98630000</v>
      </c>
      <c r="H367" t="s">
        <v>837</v>
      </c>
      <c r="K367" s="3">
        <v>563712.34</v>
      </c>
      <c r="M367" s="3">
        <v>517314.26</v>
      </c>
      <c r="O367" s="3">
        <v>46398.080000000002</v>
      </c>
      <c r="Q367">
        <v>9</v>
      </c>
      <c r="S367" s="3"/>
      <c r="T367" s="3"/>
      <c r="U367" s="3"/>
      <c r="V367" s="3"/>
      <c r="W367" s="3">
        <f t="shared" si="5"/>
        <v>563712.34</v>
      </c>
      <c r="X367" s="44" t="s">
        <v>199</v>
      </c>
      <c r="Y367" s="32"/>
      <c r="AA367"/>
      <c r="AJ367" s="31"/>
    </row>
    <row r="368" spans="3:36">
      <c r="C368">
        <v>5360</v>
      </c>
      <c r="E368">
        <v>98650000</v>
      </c>
      <c r="H368" t="s">
        <v>802</v>
      </c>
      <c r="K368" s="3">
        <v>20277.740000000002</v>
      </c>
      <c r="M368" s="3">
        <v>25367.95</v>
      </c>
      <c r="O368" s="3">
        <v>-5090.21</v>
      </c>
      <c r="Q368">
        <v>-20.100000000000001</v>
      </c>
      <c r="S368" s="3"/>
      <c r="T368" s="3"/>
      <c r="U368" s="3"/>
      <c r="V368" s="3"/>
      <c r="W368" s="3">
        <f t="shared" si="5"/>
        <v>20277.740000000002</v>
      </c>
      <c r="X368" s="44" t="s">
        <v>199</v>
      </c>
      <c r="Y368" s="32" t="s">
        <v>838</v>
      </c>
      <c r="AA368"/>
      <c r="AJ368" s="31"/>
    </row>
    <row r="369" spans="3:36">
      <c r="C369">
        <v>5360</v>
      </c>
      <c r="E369">
        <v>98850000</v>
      </c>
      <c r="H369" t="s">
        <v>758</v>
      </c>
      <c r="K369" s="3">
        <v>1029817.93</v>
      </c>
      <c r="M369" s="3">
        <v>732303.49</v>
      </c>
      <c r="O369" s="3">
        <v>297514.44</v>
      </c>
      <c r="Q369">
        <v>40.6</v>
      </c>
      <c r="S369" s="3"/>
      <c r="T369" s="3"/>
      <c r="U369" s="3"/>
      <c r="V369" s="3"/>
      <c r="W369" s="3">
        <f t="shared" si="5"/>
        <v>1029817.93</v>
      </c>
      <c r="X369" s="44" t="s">
        <v>200</v>
      </c>
      <c r="Y369" s="145">
        <f>SUMIF(X:X,"T",W:W)</f>
        <v>3885328.4899999998</v>
      </c>
      <c r="Z369" t="s">
        <v>95</v>
      </c>
      <c r="AA369"/>
      <c r="AJ369" s="31"/>
    </row>
    <row r="370" spans="3:36">
      <c r="C370">
        <v>5360</v>
      </c>
      <c r="D370" t="s">
        <v>537</v>
      </c>
      <c r="E370">
        <v>98860000</v>
      </c>
      <c r="H370" t="s">
        <v>745</v>
      </c>
      <c r="K370" s="3">
        <v>0</v>
      </c>
      <c r="M370" s="3">
        <v>0</v>
      </c>
      <c r="O370" s="3">
        <v>0</v>
      </c>
      <c r="S370" s="3"/>
      <c r="T370" s="3"/>
      <c r="U370" s="3"/>
      <c r="V370" s="3"/>
      <c r="W370" s="3">
        <f t="shared" si="5"/>
        <v>0</v>
      </c>
      <c r="X370" s="44" t="s">
        <v>200</v>
      </c>
      <c r="Y370" s="32"/>
      <c r="AA370"/>
    </row>
    <row r="371" spans="3:36">
      <c r="C371">
        <v>5360</v>
      </c>
      <c r="E371">
        <v>98870000</v>
      </c>
      <c r="H371" t="s">
        <v>837</v>
      </c>
      <c r="K371" s="3">
        <v>1875994.89</v>
      </c>
      <c r="M371" s="3">
        <v>2222214.5699999998</v>
      </c>
      <c r="O371" s="3">
        <v>-346219.68</v>
      </c>
      <c r="Q371">
        <v>-15.6</v>
      </c>
      <c r="S371" s="3"/>
      <c r="T371" s="3"/>
      <c r="U371" s="3"/>
      <c r="V371" s="3"/>
      <c r="W371" s="3">
        <f t="shared" si="5"/>
        <v>1875994.89</v>
      </c>
      <c r="X371" s="44" t="s">
        <v>200</v>
      </c>
      <c r="Y371" s="32"/>
      <c r="AA371"/>
      <c r="AJ371" s="31"/>
    </row>
    <row r="372" spans="3:36">
      <c r="C372">
        <v>5360</v>
      </c>
      <c r="E372">
        <v>98880000</v>
      </c>
      <c r="H372" t="s">
        <v>801</v>
      </c>
      <c r="K372" s="3">
        <v>99.29</v>
      </c>
      <c r="M372" s="3">
        <v>0</v>
      </c>
      <c r="O372" s="3">
        <v>99.29</v>
      </c>
      <c r="S372" s="3"/>
      <c r="T372" s="3"/>
      <c r="U372" s="3"/>
      <c r="V372" s="3"/>
      <c r="W372" s="3">
        <f t="shared" si="5"/>
        <v>99.29</v>
      </c>
      <c r="X372" s="44" t="s">
        <v>200</v>
      </c>
      <c r="Y372" s="32"/>
      <c r="AA372"/>
    </row>
    <row r="373" spans="3:36">
      <c r="C373">
        <v>5360</v>
      </c>
      <c r="E373">
        <v>98890000</v>
      </c>
      <c r="H373" t="s">
        <v>839</v>
      </c>
      <c r="K373" s="3">
        <v>719555.03</v>
      </c>
      <c r="M373" s="3">
        <v>849230.8</v>
      </c>
      <c r="O373" s="3">
        <v>-129675.77</v>
      </c>
      <c r="Q373">
        <v>-15.3</v>
      </c>
      <c r="S373" s="3"/>
      <c r="T373" s="3"/>
      <c r="U373" s="3"/>
      <c r="V373" s="3"/>
      <c r="W373" s="3">
        <f t="shared" si="5"/>
        <v>719555.03</v>
      </c>
      <c r="X373" s="44" t="s">
        <v>200</v>
      </c>
      <c r="Y373" s="32"/>
      <c r="AA373"/>
      <c r="AJ373" s="31"/>
    </row>
    <row r="374" spans="3:36">
      <c r="C374">
        <v>5360</v>
      </c>
      <c r="E374">
        <v>98900000</v>
      </c>
      <c r="H374" t="s">
        <v>840</v>
      </c>
      <c r="K374" s="3">
        <v>188416.35</v>
      </c>
      <c r="M374" s="3">
        <v>531680.36</v>
      </c>
      <c r="O374" s="3">
        <v>-343264.01</v>
      </c>
      <c r="Q374">
        <v>-64.599999999999994</v>
      </c>
      <c r="S374" s="3"/>
      <c r="T374" s="3"/>
      <c r="U374" s="3"/>
      <c r="V374" s="3"/>
      <c r="W374" s="3">
        <f t="shared" si="5"/>
        <v>188416.35</v>
      </c>
      <c r="X374" s="44" t="s">
        <v>200</v>
      </c>
      <c r="Y374" s="32"/>
      <c r="AA374"/>
      <c r="AJ374" s="31"/>
    </row>
    <row r="375" spans="3:36">
      <c r="C375">
        <v>5360</v>
      </c>
      <c r="D375" t="s">
        <v>537</v>
      </c>
      <c r="E375">
        <v>98910000</v>
      </c>
      <c r="H375" t="s">
        <v>841</v>
      </c>
      <c r="K375" s="3">
        <v>0</v>
      </c>
      <c r="M375" s="3">
        <v>0</v>
      </c>
      <c r="O375" s="3">
        <v>0</v>
      </c>
      <c r="S375" s="3"/>
      <c r="T375" s="3"/>
      <c r="U375" s="3"/>
      <c r="V375" s="3"/>
      <c r="W375" s="3">
        <f t="shared" si="5"/>
        <v>0</v>
      </c>
      <c r="X375" s="44" t="s">
        <v>200</v>
      </c>
      <c r="Y375" s="32"/>
      <c r="AA375"/>
    </row>
    <row r="376" spans="3:36">
      <c r="C376">
        <v>5360</v>
      </c>
      <c r="E376">
        <v>98920000</v>
      </c>
      <c r="H376" t="s">
        <v>842</v>
      </c>
      <c r="K376" s="3">
        <v>5184436.42</v>
      </c>
      <c r="M376" s="3">
        <v>4505164.8899999997</v>
      </c>
      <c r="O376" s="3">
        <v>679271.53</v>
      </c>
      <c r="Q376">
        <v>15.1</v>
      </c>
      <c r="S376" s="3"/>
      <c r="T376" s="3"/>
      <c r="U376" s="3"/>
      <c r="V376" s="3"/>
      <c r="W376" s="3">
        <f t="shared" si="5"/>
        <v>5184436.42</v>
      </c>
      <c r="X376" s="44" t="s">
        <v>200</v>
      </c>
      <c r="Y376" s="32"/>
      <c r="AA376"/>
      <c r="AJ376" s="31"/>
    </row>
    <row r="377" spans="3:36">
      <c r="C377" s="326">
        <v>5360</v>
      </c>
      <c r="D377" s="326"/>
      <c r="E377" s="326">
        <v>98930000</v>
      </c>
      <c r="F377" s="326"/>
      <c r="G377" s="326"/>
      <c r="H377" s="326" t="s">
        <v>843</v>
      </c>
      <c r="I377" s="326"/>
      <c r="J377" s="326"/>
      <c r="K377" s="327">
        <v>967736.52</v>
      </c>
      <c r="L377" s="326"/>
      <c r="M377" s="327">
        <v>23869568.530000001</v>
      </c>
      <c r="N377" s="326"/>
      <c r="O377" s="327">
        <v>-22901832.010000002</v>
      </c>
      <c r="Q377">
        <v>-95.9</v>
      </c>
      <c r="S377" s="3"/>
      <c r="T377" s="3"/>
      <c r="U377" s="3"/>
      <c r="V377" s="3"/>
      <c r="W377" s="3">
        <f t="shared" si="5"/>
        <v>967736.52</v>
      </c>
      <c r="X377" s="44" t="s">
        <v>200</v>
      </c>
      <c r="Y377" s="32"/>
      <c r="AA377"/>
      <c r="AJ377" s="31"/>
    </row>
    <row r="378" spans="3:36">
      <c r="C378">
        <v>5360</v>
      </c>
      <c r="E378">
        <v>98940000</v>
      </c>
      <c r="H378" t="s">
        <v>765</v>
      </c>
      <c r="K378" s="3">
        <v>5609.08</v>
      </c>
      <c r="M378" s="3">
        <v>5031.4799999999996</v>
      </c>
      <c r="O378" s="3">
        <v>577.6</v>
      </c>
      <c r="Q378">
        <v>11.5</v>
      </c>
      <c r="S378" s="3"/>
      <c r="T378" s="3"/>
      <c r="U378" s="3"/>
      <c r="V378" s="3"/>
      <c r="W378" s="3">
        <f t="shared" si="5"/>
        <v>5609.08</v>
      </c>
      <c r="X378" s="619" t="s">
        <v>200</v>
      </c>
      <c r="Y378" s="32" t="s">
        <v>844</v>
      </c>
      <c r="AA378"/>
      <c r="AJ378" s="31"/>
    </row>
    <row r="379" spans="3:36">
      <c r="E379" t="s">
        <v>845</v>
      </c>
      <c r="K379" s="3">
        <v>11013018.710000001</v>
      </c>
      <c r="M379" s="3">
        <v>33732736.369999997</v>
      </c>
      <c r="O379" s="3">
        <v>-22719717.66</v>
      </c>
      <c r="Q379">
        <v>-67.400000000000006</v>
      </c>
      <c r="R379" t="s">
        <v>650</v>
      </c>
      <c r="S379" s="3">
        <f>SUM(S347:S378)</f>
        <v>0</v>
      </c>
      <c r="T379" s="3">
        <f>SUM(T347:T378)</f>
        <v>0</v>
      </c>
      <c r="U379" s="3">
        <f>SUM(U347:U378)</f>
        <v>0</v>
      </c>
      <c r="V379" s="3">
        <f>SUM(V347:V378)</f>
        <v>0</v>
      </c>
      <c r="W379" s="3">
        <f t="shared" si="5"/>
        <v>11013018.710000001</v>
      </c>
      <c r="X379" s="619"/>
      <c r="Y379" s="145">
        <f>SUMIF(X:X,"D",W:W)</f>
        <v>27878417.669999998</v>
      </c>
      <c r="Z379" t="s">
        <v>96</v>
      </c>
      <c r="AA379"/>
      <c r="AJ379" s="31"/>
    </row>
    <row r="380" spans="3:36">
      <c r="E380" t="s">
        <v>846</v>
      </c>
      <c r="K380" s="3">
        <v>35029388.32</v>
      </c>
      <c r="M380" s="3">
        <v>54178998.710000001</v>
      </c>
      <c r="O380" s="3">
        <v>-19149610.390000001</v>
      </c>
      <c r="Q380">
        <v>-35.299999999999997</v>
      </c>
      <c r="R380" t="s">
        <v>658</v>
      </c>
      <c r="S380" s="3">
        <f>S292+S346+S379</f>
        <v>22901.53</v>
      </c>
      <c r="T380" s="3">
        <f>T292+T346+T379</f>
        <v>0</v>
      </c>
      <c r="U380" s="3">
        <f>U292+U346+U379</f>
        <v>0</v>
      </c>
      <c r="V380" s="3">
        <f>V292+V346+V379</f>
        <v>0</v>
      </c>
      <c r="W380" s="3">
        <f t="shared" si="5"/>
        <v>35052289.850000001</v>
      </c>
      <c r="X380" s="44"/>
      <c r="AA380"/>
      <c r="AJ380" s="31"/>
    </row>
    <row r="381" spans="3:36">
      <c r="C381">
        <v>5360</v>
      </c>
      <c r="E381">
        <v>99010000</v>
      </c>
      <c r="H381" t="s">
        <v>847</v>
      </c>
      <c r="K381" s="3">
        <v>308774.71999999997</v>
      </c>
      <c r="M381" s="3">
        <v>270011.24</v>
      </c>
      <c r="O381" s="3">
        <v>38763.480000000003</v>
      </c>
      <c r="Q381">
        <v>14.4</v>
      </c>
      <c r="S381" s="3"/>
      <c r="T381" s="3"/>
      <c r="U381" s="3"/>
      <c r="V381" s="3">
        <v>-1</v>
      </c>
      <c r="W381" s="3">
        <f t="shared" si="5"/>
        <v>308773.71999999997</v>
      </c>
      <c r="X381" s="44" t="s">
        <v>201</v>
      </c>
      <c r="AA381"/>
      <c r="AJ381" s="31"/>
    </row>
    <row r="382" spans="3:36">
      <c r="C382">
        <v>5360</v>
      </c>
      <c r="E382">
        <v>99020000</v>
      </c>
      <c r="H382" t="s">
        <v>848</v>
      </c>
      <c r="K382" s="3">
        <v>793780.56</v>
      </c>
      <c r="M382" s="3">
        <v>741811.79</v>
      </c>
      <c r="O382" s="3">
        <v>51968.77</v>
      </c>
      <c r="Q382">
        <v>7</v>
      </c>
      <c r="S382" s="3"/>
      <c r="T382" s="3"/>
      <c r="U382" s="3"/>
      <c r="V382" s="3">
        <v>-1</v>
      </c>
      <c r="W382" s="3">
        <f t="shared" si="5"/>
        <v>793779.56</v>
      </c>
      <c r="X382" s="44" t="s">
        <v>201</v>
      </c>
      <c r="AA382"/>
      <c r="AJ382" s="31"/>
    </row>
    <row r="383" spans="3:36">
      <c r="C383">
        <v>5360</v>
      </c>
      <c r="E383">
        <v>99030000</v>
      </c>
      <c r="H383" t="s">
        <v>849</v>
      </c>
      <c r="K383" s="3">
        <v>5471235.29</v>
      </c>
      <c r="M383" s="3">
        <v>5114190.58</v>
      </c>
      <c r="O383" s="3">
        <v>357044.71</v>
      </c>
      <c r="Q383">
        <v>7</v>
      </c>
      <c r="S383" s="3"/>
      <c r="T383" s="3"/>
      <c r="U383" s="3"/>
      <c r="V383" s="3"/>
      <c r="W383" s="3">
        <f t="shared" si="5"/>
        <v>5471235.29</v>
      </c>
      <c r="X383" s="44" t="s">
        <v>201</v>
      </c>
      <c r="AA383"/>
      <c r="AJ383" s="31"/>
    </row>
    <row r="384" spans="3:36">
      <c r="C384" s="326">
        <v>5360</v>
      </c>
      <c r="D384" s="326"/>
      <c r="E384" s="326">
        <v>99040000</v>
      </c>
      <c r="F384" s="326"/>
      <c r="G384" s="326"/>
      <c r="H384" s="326" t="s">
        <v>850</v>
      </c>
      <c r="I384" s="326"/>
      <c r="J384" s="326"/>
      <c r="K384" s="327">
        <v>18537656.899999999</v>
      </c>
      <c r="L384" s="326"/>
      <c r="M384" s="327">
        <v>8817225.2200000007</v>
      </c>
      <c r="N384" s="326"/>
      <c r="O384" s="327">
        <v>9720431.6799999997</v>
      </c>
      <c r="Q384">
        <v>110.2</v>
      </c>
      <c r="S384" s="3"/>
      <c r="T384" s="3"/>
      <c r="U384" s="3"/>
      <c r="V384" s="3"/>
      <c r="W384" s="9">
        <f t="shared" si="5"/>
        <v>18537656.899999999</v>
      </c>
      <c r="X384" s="44" t="s">
        <v>201</v>
      </c>
      <c r="AA384"/>
      <c r="AJ384" s="31"/>
    </row>
    <row r="385" spans="3:36">
      <c r="C385">
        <v>5360</v>
      </c>
      <c r="E385">
        <v>99050000</v>
      </c>
      <c r="H385" t="s">
        <v>851</v>
      </c>
      <c r="K385" s="3">
        <v>416363.37</v>
      </c>
      <c r="M385" s="3">
        <v>430460.15</v>
      </c>
      <c r="O385" s="3">
        <v>-14096.78</v>
      </c>
      <c r="Q385">
        <v>-3.3</v>
      </c>
      <c r="S385" s="3"/>
      <c r="T385" s="3"/>
      <c r="U385" s="3"/>
      <c r="V385" s="3"/>
      <c r="W385" s="3">
        <f t="shared" si="5"/>
        <v>416363.37</v>
      </c>
      <c r="X385" s="619" t="s">
        <v>201</v>
      </c>
      <c r="AA385"/>
      <c r="AJ385" s="31"/>
    </row>
    <row r="386" spans="3:36">
      <c r="E386" t="s">
        <v>852</v>
      </c>
      <c r="K386" s="3">
        <v>25527810.84</v>
      </c>
      <c r="M386" s="3">
        <v>15373698.98</v>
      </c>
      <c r="O386" s="3">
        <v>10154111.859999999</v>
      </c>
      <c r="Q386">
        <v>66</v>
      </c>
      <c r="R386" t="s">
        <v>650</v>
      </c>
      <c r="S386" s="3">
        <f>SUM(S381:S385)</f>
        <v>0</v>
      </c>
      <c r="T386" s="3">
        <f>SUM(T381:T385)</f>
        <v>0</v>
      </c>
      <c r="U386" s="3">
        <f>SUM(U381:U385)</f>
        <v>0</v>
      </c>
      <c r="V386" s="3">
        <f>SUM(V381:V385)</f>
        <v>-2</v>
      </c>
      <c r="W386" s="3">
        <f t="shared" si="5"/>
        <v>25527808.84</v>
      </c>
      <c r="X386" s="44"/>
      <c r="AA386"/>
      <c r="AJ386" s="31"/>
    </row>
    <row r="387" spans="3:36">
      <c r="C387">
        <v>5360</v>
      </c>
      <c r="D387" t="s">
        <v>537</v>
      </c>
      <c r="E387">
        <v>99060000</v>
      </c>
      <c r="H387" t="s">
        <v>853</v>
      </c>
      <c r="K387" s="3">
        <v>0</v>
      </c>
      <c r="M387" s="3">
        <v>0</v>
      </c>
      <c r="O387" s="3">
        <v>0</v>
      </c>
      <c r="S387" s="3"/>
      <c r="T387" s="3"/>
      <c r="U387" s="3"/>
      <c r="V387" s="3"/>
      <c r="W387" s="3">
        <f t="shared" si="5"/>
        <v>0</v>
      </c>
      <c r="X387" s="44" t="s">
        <v>201</v>
      </c>
      <c r="AA387"/>
    </row>
    <row r="388" spans="3:36">
      <c r="C388">
        <v>5360</v>
      </c>
      <c r="E388">
        <v>99070000</v>
      </c>
      <c r="H388" t="s">
        <v>854</v>
      </c>
      <c r="K388" s="3">
        <v>3729.42</v>
      </c>
      <c r="M388" s="3">
        <v>6760.06</v>
      </c>
      <c r="O388" s="3">
        <v>-3030.64</v>
      </c>
      <c r="Q388">
        <v>-44.8</v>
      </c>
      <c r="S388" s="3"/>
      <c r="T388" s="3"/>
      <c r="U388" s="3"/>
      <c r="V388" s="3"/>
      <c r="W388" s="3">
        <f t="shared" si="5"/>
        <v>3729.42</v>
      </c>
      <c r="X388" s="44" t="s">
        <v>201</v>
      </c>
      <c r="AA388"/>
      <c r="AJ388" s="31"/>
    </row>
    <row r="389" spans="3:36">
      <c r="C389">
        <v>5360</v>
      </c>
      <c r="E389">
        <v>99080000</v>
      </c>
      <c r="H389" t="s">
        <v>855</v>
      </c>
      <c r="K389" s="3">
        <v>23639375.93</v>
      </c>
      <c r="M389" s="3">
        <v>29793205.949999999</v>
      </c>
      <c r="O389" s="3">
        <v>-6153830.0199999996</v>
      </c>
      <c r="Q389">
        <v>-20.7</v>
      </c>
      <c r="S389" s="3"/>
      <c r="T389" s="3"/>
      <c r="U389" s="3"/>
      <c r="V389" s="3"/>
      <c r="W389" s="3">
        <f t="shared" si="5"/>
        <v>23639375.93</v>
      </c>
      <c r="X389" s="44" t="s">
        <v>201</v>
      </c>
      <c r="AA389"/>
      <c r="AJ389" s="31"/>
    </row>
    <row r="390" spans="3:36">
      <c r="C390">
        <v>5360</v>
      </c>
      <c r="E390">
        <v>99090000</v>
      </c>
      <c r="H390" t="s">
        <v>856</v>
      </c>
      <c r="K390" s="3">
        <v>1133899.3500000001</v>
      </c>
      <c r="M390" s="3">
        <v>985701.68</v>
      </c>
      <c r="O390" s="3">
        <v>148197.67000000001</v>
      </c>
      <c r="Q390">
        <v>15</v>
      </c>
      <c r="S390" s="3"/>
      <c r="T390" s="3"/>
      <c r="U390" s="3"/>
      <c r="V390" s="3"/>
      <c r="W390" s="3">
        <f t="shared" si="5"/>
        <v>1133899.3500000001</v>
      </c>
      <c r="X390" s="44" t="s">
        <v>201</v>
      </c>
      <c r="AA390"/>
      <c r="AJ390" s="31"/>
    </row>
    <row r="391" spans="3:36">
      <c r="C391">
        <v>5360</v>
      </c>
      <c r="E391">
        <v>99100000</v>
      </c>
      <c r="H391" t="s">
        <v>857</v>
      </c>
      <c r="K391" s="3">
        <v>895576.07</v>
      </c>
      <c r="M391" s="3">
        <v>885252.47</v>
      </c>
      <c r="O391" s="3">
        <v>10323.6</v>
      </c>
      <c r="Q391">
        <v>1.2</v>
      </c>
      <c r="S391" s="3"/>
      <c r="T391" s="3"/>
      <c r="U391" s="3"/>
      <c r="V391" s="3"/>
      <c r="W391" s="3">
        <f t="shared" si="5"/>
        <v>895576.07</v>
      </c>
      <c r="X391" s="44" t="s">
        <v>201</v>
      </c>
      <c r="Y391" t="s">
        <v>858</v>
      </c>
      <c r="AA391"/>
      <c r="AJ391" s="31"/>
    </row>
    <row r="392" spans="3:36">
      <c r="C392">
        <v>5360</v>
      </c>
      <c r="E392">
        <v>99110000</v>
      </c>
      <c r="H392" t="s">
        <v>859</v>
      </c>
      <c r="K392" s="3">
        <v>17407.900000000001</v>
      </c>
      <c r="M392" s="3">
        <v>15120.17</v>
      </c>
      <c r="O392" s="3">
        <v>2287.73</v>
      </c>
      <c r="Q392">
        <v>15.1</v>
      </c>
      <c r="S392" s="3"/>
      <c r="T392" s="3"/>
      <c r="U392" s="3"/>
      <c r="V392" s="3"/>
      <c r="W392" s="3">
        <f t="shared" si="5"/>
        <v>17407.900000000001</v>
      </c>
      <c r="X392" s="44" t="s">
        <v>204</v>
      </c>
      <c r="Y392" s="145">
        <f>SUMIF(X:X,"F",W:W)</f>
        <v>51200389.609999999</v>
      </c>
      <c r="Z392" t="s">
        <v>97</v>
      </c>
      <c r="AA392"/>
      <c r="AJ392" s="31"/>
    </row>
    <row r="393" spans="3:36">
      <c r="C393">
        <v>5360</v>
      </c>
      <c r="E393">
        <v>99120000</v>
      </c>
      <c r="H393" t="s">
        <v>860</v>
      </c>
      <c r="K393" s="3">
        <v>138552.71</v>
      </c>
      <c r="M393" s="3">
        <v>102510.71</v>
      </c>
      <c r="O393" s="3">
        <v>36042</v>
      </c>
      <c r="Q393">
        <v>35.200000000000003</v>
      </c>
      <c r="S393" s="3"/>
      <c r="T393" s="3"/>
      <c r="U393" s="3"/>
      <c r="V393" s="3"/>
      <c r="W393" s="3">
        <f t="shared" ref="W393:W456" si="6">SUM(K393,S393:V393)</f>
        <v>138552.71</v>
      </c>
      <c r="X393" s="44" t="s">
        <v>204</v>
      </c>
      <c r="Y393" s="32"/>
      <c r="AA393"/>
      <c r="AJ393" s="31"/>
    </row>
    <row r="394" spans="3:36">
      <c r="C394">
        <v>5360</v>
      </c>
      <c r="E394">
        <v>99130000</v>
      </c>
      <c r="H394" t="s">
        <v>861</v>
      </c>
      <c r="K394" s="3">
        <v>93202.85</v>
      </c>
      <c r="M394" s="3">
        <v>66214.47</v>
      </c>
      <c r="O394" s="3">
        <v>26988.38</v>
      </c>
      <c r="Q394">
        <v>40.799999999999997</v>
      </c>
      <c r="S394" s="3"/>
      <c r="T394" s="3"/>
      <c r="U394" s="3"/>
      <c r="V394" s="3">
        <v>-1</v>
      </c>
      <c r="W394" s="3">
        <f t="shared" si="6"/>
        <v>93201.85</v>
      </c>
      <c r="X394" s="44" t="s">
        <v>204</v>
      </c>
      <c r="Y394" s="32"/>
      <c r="AA394"/>
      <c r="AJ394" s="31"/>
    </row>
    <row r="395" spans="3:36">
      <c r="C395">
        <v>5360</v>
      </c>
      <c r="E395">
        <v>99160000</v>
      </c>
      <c r="H395" t="s">
        <v>862</v>
      </c>
      <c r="K395" s="3">
        <v>5232.1000000000004</v>
      </c>
      <c r="M395" s="3">
        <v>14222.83</v>
      </c>
      <c r="O395" s="3">
        <v>-8990.73</v>
      </c>
      <c r="Q395">
        <v>-63.2</v>
      </c>
      <c r="S395" s="3"/>
      <c r="T395" s="3"/>
      <c r="U395" s="3"/>
      <c r="V395" s="3"/>
      <c r="W395" s="3">
        <f t="shared" si="6"/>
        <v>5232.1000000000004</v>
      </c>
      <c r="X395" s="44" t="s">
        <v>204</v>
      </c>
      <c r="Y395" s="32"/>
      <c r="AA395"/>
      <c r="AJ395" s="31"/>
    </row>
    <row r="396" spans="3:36">
      <c r="C396">
        <v>5360</v>
      </c>
      <c r="D396" t="s">
        <v>537</v>
      </c>
      <c r="E396">
        <v>99170000</v>
      </c>
      <c r="H396" t="s">
        <v>863</v>
      </c>
      <c r="K396" s="3">
        <v>0</v>
      </c>
      <c r="M396" s="3">
        <v>0</v>
      </c>
      <c r="O396" s="3">
        <v>0</v>
      </c>
      <c r="S396" s="3"/>
      <c r="T396" s="3"/>
      <c r="U396" s="3"/>
      <c r="V396" s="3"/>
      <c r="W396" s="3">
        <f t="shared" si="6"/>
        <v>0</v>
      </c>
      <c r="X396" s="619" t="s">
        <v>204</v>
      </c>
      <c r="Y396" s="32" t="s">
        <v>864</v>
      </c>
      <c r="AA396"/>
    </row>
    <row r="397" spans="3:36">
      <c r="E397" t="s">
        <v>865</v>
      </c>
      <c r="K397" s="3">
        <v>25926976.329999998</v>
      </c>
      <c r="M397" s="3">
        <v>31868988.34</v>
      </c>
      <c r="O397" s="3">
        <v>-5942012.0099999998</v>
      </c>
      <c r="Q397">
        <v>-18.600000000000001</v>
      </c>
      <c r="R397" t="s">
        <v>650</v>
      </c>
      <c r="S397" s="3">
        <f>SUM(S387:S396)</f>
        <v>0</v>
      </c>
      <c r="T397" s="3">
        <f>SUM(T387:T396)</f>
        <v>0</v>
      </c>
      <c r="U397" s="3">
        <f>SUM(U387:U396)</f>
        <v>0</v>
      </c>
      <c r="V397" s="3">
        <f>SUM(V387:V396)</f>
        <v>-1</v>
      </c>
      <c r="W397" s="3">
        <f t="shared" si="6"/>
        <v>25926975.329999998</v>
      </c>
      <c r="X397" s="619"/>
      <c r="Y397" s="145">
        <f>SUMIF(X:X,"E",W:W)</f>
        <v>254394.56</v>
      </c>
      <c r="Z397" t="s">
        <v>98</v>
      </c>
      <c r="AA397"/>
      <c r="AJ397" s="31"/>
    </row>
    <row r="398" spans="3:36">
      <c r="E398" t="s">
        <v>866</v>
      </c>
      <c r="K398" s="3">
        <v>51454787.170000002</v>
      </c>
      <c r="M398" s="3">
        <v>47242687.32</v>
      </c>
      <c r="O398" s="3">
        <v>4212099.8499999996</v>
      </c>
      <c r="Q398">
        <v>8.9</v>
      </c>
      <c r="R398" t="s">
        <v>658</v>
      </c>
      <c r="S398" s="3">
        <f>S386+S397</f>
        <v>0</v>
      </c>
      <c r="T398" s="3">
        <f>T386+T397</f>
        <v>0</v>
      </c>
      <c r="U398" s="3">
        <f>U386+U397</f>
        <v>0</v>
      </c>
      <c r="V398" s="3">
        <f>V386+V397</f>
        <v>-3</v>
      </c>
      <c r="W398" s="3">
        <f t="shared" si="6"/>
        <v>51454784.170000002</v>
      </c>
      <c r="X398" s="44"/>
      <c r="AA398"/>
      <c r="AJ398" s="31"/>
    </row>
    <row r="399" spans="3:36">
      <c r="C399">
        <v>5360</v>
      </c>
      <c r="D399" t="s">
        <v>537</v>
      </c>
      <c r="E399">
        <v>94010000</v>
      </c>
      <c r="H399" t="s">
        <v>867</v>
      </c>
      <c r="K399" s="3">
        <v>0</v>
      </c>
      <c r="M399" s="3">
        <v>0</v>
      </c>
      <c r="O399" s="3">
        <v>0</v>
      </c>
      <c r="S399" s="3"/>
      <c r="T399" s="3"/>
      <c r="U399" s="3"/>
      <c r="V399" s="3"/>
      <c r="W399" s="3">
        <f t="shared" si="6"/>
        <v>0</v>
      </c>
      <c r="X399" s="44" t="s">
        <v>580</v>
      </c>
      <c r="AA399"/>
    </row>
    <row r="400" spans="3:36">
      <c r="C400" s="326">
        <v>5360</v>
      </c>
      <c r="D400" s="326"/>
      <c r="E400" s="326">
        <v>99200000</v>
      </c>
      <c r="F400" s="326"/>
      <c r="G400" s="326"/>
      <c r="H400" s="326" t="s">
        <v>868</v>
      </c>
      <c r="I400" s="326"/>
      <c r="J400" s="326"/>
      <c r="K400" s="327">
        <v>11486430.85</v>
      </c>
      <c r="L400" s="326"/>
      <c r="M400" s="327">
        <v>9465683.6799999997</v>
      </c>
      <c r="N400" s="326"/>
      <c r="O400" s="327">
        <v>2020747.17</v>
      </c>
      <c r="Q400">
        <v>21.3</v>
      </c>
      <c r="S400" s="3"/>
      <c r="T400" s="3"/>
      <c r="U400" s="3"/>
      <c r="V400" s="3"/>
      <c r="W400" s="3">
        <f t="shared" si="6"/>
        <v>11486430.85</v>
      </c>
      <c r="X400" s="44" t="s">
        <v>205</v>
      </c>
      <c r="AA400"/>
      <c r="AJ400" s="31"/>
    </row>
    <row r="401" spans="3:36">
      <c r="C401" s="326">
        <v>5360</v>
      </c>
      <c r="D401" s="326"/>
      <c r="E401" s="326">
        <v>99210000</v>
      </c>
      <c r="F401" s="326"/>
      <c r="G401" s="326"/>
      <c r="H401" s="326" t="s">
        <v>869</v>
      </c>
      <c r="I401" s="326"/>
      <c r="J401" s="326"/>
      <c r="K401" s="327">
        <v>9161474.0899999999</v>
      </c>
      <c r="L401" s="326"/>
      <c r="M401" s="327">
        <v>7115116.3700000001</v>
      </c>
      <c r="N401" s="326"/>
      <c r="O401" s="327">
        <v>2046357.72</v>
      </c>
      <c r="Q401">
        <v>28.8</v>
      </c>
      <c r="S401" s="3"/>
      <c r="T401" s="3"/>
      <c r="U401" s="3"/>
      <c r="V401" s="3"/>
      <c r="W401" s="3">
        <f t="shared" si="6"/>
        <v>9161474.0899999999</v>
      </c>
      <c r="X401" s="44" t="s">
        <v>205</v>
      </c>
      <c r="AA401"/>
      <c r="AJ401" s="31"/>
    </row>
    <row r="402" spans="3:36">
      <c r="C402">
        <v>5360</v>
      </c>
      <c r="E402">
        <v>99220000</v>
      </c>
      <c r="H402" t="s">
        <v>870</v>
      </c>
      <c r="K402" s="3">
        <v>-2192154.7799999998</v>
      </c>
      <c r="M402" s="3">
        <v>-1729142.2</v>
      </c>
      <c r="O402" s="3">
        <v>-463012.58</v>
      </c>
      <c r="Q402">
        <v>-26.8</v>
      </c>
      <c r="S402" s="3"/>
      <c r="T402" s="3"/>
      <c r="U402" s="3"/>
      <c r="V402" s="3"/>
      <c r="W402" s="3">
        <f t="shared" si="6"/>
        <v>-2192154.7799999998</v>
      </c>
      <c r="X402" s="44" t="s">
        <v>205</v>
      </c>
      <c r="AA402"/>
      <c r="AJ402" s="31"/>
    </row>
    <row r="403" spans="3:36">
      <c r="C403" s="326">
        <v>5360</v>
      </c>
      <c r="D403" s="326"/>
      <c r="E403" s="326">
        <v>99230000</v>
      </c>
      <c r="F403" s="326"/>
      <c r="G403" s="326"/>
      <c r="H403" s="326" t="s">
        <v>871</v>
      </c>
      <c r="I403" s="326"/>
      <c r="J403" s="326"/>
      <c r="K403" s="327">
        <v>8303281.46</v>
      </c>
      <c r="L403" s="326"/>
      <c r="M403" s="327">
        <v>3341999.61</v>
      </c>
      <c r="N403" s="326"/>
      <c r="O403" s="327">
        <v>4961281.8499999996</v>
      </c>
      <c r="Q403">
        <v>148.5</v>
      </c>
      <c r="S403" s="3"/>
      <c r="T403" s="3"/>
      <c r="U403" s="3"/>
      <c r="V403" s="3">
        <v>1</v>
      </c>
      <c r="W403" s="3">
        <f t="shared" si="6"/>
        <v>8303282.46</v>
      </c>
      <c r="X403" s="44" t="s">
        <v>205</v>
      </c>
      <c r="AA403"/>
      <c r="AJ403" s="31"/>
    </row>
    <row r="404" spans="3:36">
      <c r="C404">
        <v>5360</v>
      </c>
      <c r="E404">
        <v>99240000</v>
      </c>
      <c r="H404" t="s">
        <v>872</v>
      </c>
      <c r="K404" s="3">
        <v>148778.49</v>
      </c>
      <c r="M404" s="3">
        <v>146636.56</v>
      </c>
      <c r="O404" s="3">
        <v>2141.9299999999998</v>
      </c>
      <c r="Q404">
        <v>1.5</v>
      </c>
      <c r="S404" s="3"/>
      <c r="T404" s="3"/>
      <c r="U404" s="3"/>
      <c r="V404" s="3">
        <v>1</v>
      </c>
      <c r="W404" s="3">
        <f t="shared" si="6"/>
        <v>148779.49</v>
      </c>
      <c r="X404" s="44" t="s">
        <v>205</v>
      </c>
      <c r="AA404"/>
      <c r="AJ404" s="31"/>
    </row>
    <row r="405" spans="3:36">
      <c r="C405">
        <v>5360</v>
      </c>
      <c r="E405">
        <v>99250000</v>
      </c>
      <c r="H405" t="s">
        <v>873</v>
      </c>
      <c r="K405" s="3">
        <v>1620057.24</v>
      </c>
      <c r="M405" s="3">
        <v>8152975.5</v>
      </c>
      <c r="O405" s="3">
        <v>-6532918.2599999998</v>
      </c>
      <c r="Q405">
        <v>-80.099999999999994</v>
      </c>
      <c r="S405" s="3"/>
      <c r="T405" s="3"/>
      <c r="U405" s="3"/>
      <c r="V405" s="3">
        <v>1</v>
      </c>
      <c r="W405" s="3">
        <f t="shared" si="6"/>
        <v>1620058.24</v>
      </c>
      <c r="X405" s="44" t="s">
        <v>205</v>
      </c>
      <c r="AA405"/>
      <c r="AJ405" s="31"/>
    </row>
    <row r="406" spans="3:36">
      <c r="C406" s="326">
        <v>5360</v>
      </c>
      <c r="D406" s="326"/>
      <c r="E406" s="326">
        <v>99260000</v>
      </c>
      <c r="F406" s="326"/>
      <c r="G406" s="326"/>
      <c r="H406" s="326" t="s">
        <v>874</v>
      </c>
      <c r="I406" s="326"/>
      <c r="J406" s="326"/>
      <c r="K406" s="327">
        <v>7989168.7000000002</v>
      </c>
      <c r="L406" s="326"/>
      <c r="M406" s="327">
        <v>1094784.42</v>
      </c>
      <c r="N406" s="326"/>
      <c r="O406" s="327">
        <v>6894384.2800000003</v>
      </c>
      <c r="Q406">
        <v>629.70000000000005</v>
      </c>
      <c r="S406" s="3"/>
      <c r="T406" s="3"/>
      <c r="U406" s="3"/>
      <c r="V406" s="3"/>
      <c r="W406" s="3">
        <f t="shared" si="6"/>
        <v>7989168.7000000002</v>
      </c>
      <c r="X406" s="44" t="s">
        <v>205</v>
      </c>
      <c r="AA406"/>
      <c r="AJ406" s="31"/>
    </row>
    <row r="407" spans="3:36">
      <c r="C407">
        <v>5360</v>
      </c>
      <c r="D407" t="s">
        <v>537</v>
      </c>
      <c r="E407">
        <v>99270000</v>
      </c>
      <c r="H407" t="s">
        <v>875</v>
      </c>
      <c r="K407" s="3">
        <v>0</v>
      </c>
      <c r="M407" s="3">
        <v>0</v>
      </c>
      <c r="O407" s="3">
        <v>0</v>
      </c>
      <c r="S407" s="3"/>
      <c r="T407" s="3"/>
      <c r="U407" s="3"/>
      <c r="V407" s="3"/>
      <c r="W407" s="3">
        <f t="shared" si="6"/>
        <v>0</v>
      </c>
      <c r="X407" s="44" t="s">
        <v>205</v>
      </c>
      <c r="AA407"/>
    </row>
    <row r="408" spans="3:36">
      <c r="C408">
        <v>5360</v>
      </c>
      <c r="E408">
        <v>99280000</v>
      </c>
      <c r="H408" t="s">
        <v>876</v>
      </c>
      <c r="K408" s="3">
        <v>2618994.2999999998</v>
      </c>
      <c r="M408" s="3">
        <v>2658638.61</v>
      </c>
      <c r="O408" s="3">
        <v>-39644.31</v>
      </c>
      <c r="Q408">
        <v>-1.5</v>
      </c>
      <c r="S408" s="3"/>
      <c r="T408" s="3"/>
      <c r="U408" s="3"/>
      <c r="V408" s="3"/>
      <c r="W408" s="3">
        <f t="shared" si="6"/>
        <v>2618994.2999999998</v>
      </c>
      <c r="X408" s="44" t="s">
        <v>205</v>
      </c>
      <c r="AA408"/>
      <c r="AJ408" s="31"/>
    </row>
    <row r="409" spans="3:36">
      <c r="C409">
        <v>5360</v>
      </c>
      <c r="D409" t="s">
        <v>537</v>
      </c>
      <c r="E409">
        <v>99290000</v>
      </c>
      <c r="H409" t="s">
        <v>877</v>
      </c>
      <c r="K409" s="3">
        <v>0</v>
      </c>
      <c r="M409" s="3">
        <v>0</v>
      </c>
      <c r="O409" s="3">
        <v>0</v>
      </c>
      <c r="S409" s="3"/>
      <c r="T409" s="3"/>
      <c r="U409" s="3"/>
      <c r="V409" s="3"/>
      <c r="W409" s="3">
        <f t="shared" si="6"/>
        <v>0</v>
      </c>
      <c r="X409" s="44" t="s">
        <v>205</v>
      </c>
      <c r="AA409"/>
    </row>
    <row r="410" spans="3:36">
      <c r="C410">
        <v>5360</v>
      </c>
      <c r="D410" t="s">
        <v>537</v>
      </c>
      <c r="E410">
        <v>99300000</v>
      </c>
      <c r="H410" t="s">
        <v>628</v>
      </c>
      <c r="K410" s="3">
        <v>0</v>
      </c>
      <c r="M410" s="3">
        <v>0</v>
      </c>
      <c r="O410" s="3">
        <v>0</v>
      </c>
      <c r="S410" s="3"/>
      <c r="T410" s="3"/>
      <c r="U410" s="3"/>
      <c r="V410" s="3"/>
      <c r="W410" s="3">
        <f t="shared" si="6"/>
        <v>0</v>
      </c>
      <c r="X410" s="44" t="s">
        <v>580</v>
      </c>
      <c r="AA410"/>
    </row>
    <row r="411" spans="3:36">
      <c r="C411">
        <v>5360</v>
      </c>
      <c r="E411">
        <v>99301000</v>
      </c>
      <c r="H411" t="s">
        <v>878</v>
      </c>
      <c r="K411" s="3">
        <v>0</v>
      </c>
      <c r="M411" s="3">
        <v>2296.91</v>
      </c>
      <c r="O411" s="3">
        <v>-2296.91</v>
      </c>
      <c r="Q411">
        <v>-100</v>
      </c>
      <c r="S411" s="3"/>
      <c r="T411" s="3"/>
      <c r="U411" s="3"/>
      <c r="V411" s="3"/>
      <c r="W411" s="3">
        <f t="shared" si="6"/>
        <v>0</v>
      </c>
      <c r="X411" s="44" t="s">
        <v>205</v>
      </c>
      <c r="AA411"/>
      <c r="AJ411" s="31"/>
    </row>
    <row r="412" spans="3:36">
      <c r="C412" s="326">
        <v>5360</v>
      </c>
      <c r="D412" s="326"/>
      <c r="E412" s="326">
        <v>99302000</v>
      </c>
      <c r="F412" s="326"/>
      <c r="G412" s="326"/>
      <c r="H412" s="326" t="s">
        <v>879</v>
      </c>
      <c r="I412" s="326"/>
      <c r="J412" s="326"/>
      <c r="K412" s="327">
        <v>1181274.3899999999</v>
      </c>
      <c r="L412" s="326"/>
      <c r="M412" s="327">
        <v>593207.48</v>
      </c>
      <c r="N412" s="326"/>
      <c r="O412" s="327">
        <v>588066.91</v>
      </c>
      <c r="Q412">
        <v>99.1</v>
      </c>
      <c r="S412" s="3"/>
      <c r="T412" s="3"/>
      <c r="U412" s="3"/>
      <c r="V412" s="3"/>
      <c r="W412" s="3">
        <f t="shared" si="6"/>
        <v>1181274.3899999999</v>
      </c>
      <c r="X412" s="44" t="s">
        <v>205</v>
      </c>
      <c r="AA412"/>
      <c r="AJ412" s="31"/>
    </row>
    <row r="413" spans="3:36">
      <c r="C413" s="326">
        <v>5360</v>
      </c>
      <c r="D413" s="326"/>
      <c r="E413" s="326">
        <v>99310000</v>
      </c>
      <c r="F413" s="326"/>
      <c r="G413" s="326"/>
      <c r="H413" s="326" t="s">
        <v>880</v>
      </c>
      <c r="I413" s="326"/>
      <c r="J413" s="326"/>
      <c r="K413" s="327">
        <v>10011244.279999999</v>
      </c>
      <c r="L413" s="326"/>
      <c r="M413" s="327">
        <v>7143988</v>
      </c>
      <c r="N413" s="326"/>
      <c r="O413" s="327">
        <v>2867256.28</v>
      </c>
      <c r="Q413">
        <v>40.1</v>
      </c>
      <c r="S413" s="3"/>
      <c r="T413" s="3"/>
      <c r="U413" s="3"/>
      <c r="V413" s="3">
        <v>1</v>
      </c>
      <c r="W413" s="3">
        <f t="shared" si="6"/>
        <v>10011245.279999999</v>
      </c>
      <c r="X413" s="44" t="s">
        <v>205</v>
      </c>
      <c r="AA413"/>
      <c r="AJ413" s="31"/>
    </row>
    <row r="414" spans="3:36">
      <c r="C414">
        <v>5360</v>
      </c>
      <c r="D414" t="s">
        <v>537</v>
      </c>
      <c r="E414">
        <v>99330000</v>
      </c>
      <c r="H414" t="s">
        <v>881</v>
      </c>
      <c r="K414" s="3">
        <v>0</v>
      </c>
      <c r="M414" s="3">
        <v>0</v>
      </c>
      <c r="O414" s="3">
        <v>0</v>
      </c>
      <c r="S414" s="3"/>
      <c r="T414" s="3"/>
      <c r="U414" s="3"/>
      <c r="V414" s="3"/>
      <c r="W414" s="3">
        <f t="shared" si="6"/>
        <v>0</v>
      </c>
      <c r="X414" s="619" t="s">
        <v>205</v>
      </c>
      <c r="AA414"/>
    </row>
    <row r="415" spans="3:36">
      <c r="E415" t="s">
        <v>882</v>
      </c>
      <c r="K415" s="3">
        <v>50328549.020000003</v>
      </c>
      <c r="M415" s="3">
        <v>37986184.939999998</v>
      </c>
      <c r="O415" s="3">
        <v>12342364.08</v>
      </c>
      <c r="Q415">
        <v>32.5</v>
      </c>
      <c r="R415" t="s">
        <v>650</v>
      </c>
      <c r="S415" s="3">
        <f>SUM(S399:S414)</f>
        <v>0</v>
      </c>
      <c r="T415" s="3">
        <f>SUM(T399:T414)</f>
        <v>0</v>
      </c>
      <c r="U415" s="3">
        <f>SUM(U399:U414)</f>
        <v>0</v>
      </c>
      <c r="V415" s="3">
        <f>SUM(V399:V414)</f>
        <v>4</v>
      </c>
      <c r="W415" s="3">
        <f t="shared" si="6"/>
        <v>50328553.020000003</v>
      </c>
      <c r="X415" s="44"/>
      <c r="AA415"/>
      <c r="AJ415" s="31"/>
    </row>
    <row r="416" spans="3:36">
      <c r="C416">
        <v>5360</v>
      </c>
      <c r="D416" t="s">
        <v>537</v>
      </c>
      <c r="E416">
        <v>94020000</v>
      </c>
      <c r="H416" t="s">
        <v>883</v>
      </c>
      <c r="K416" s="3">
        <v>0</v>
      </c>
      <c r="M416" s="3">
        <v>0</v>
      </c>
      <c r="O416" s="3">
        <v>0</v>
      </c>
      <c r="S416" s="3"/>
      <c r="T416" s="3"/>
      <c r="U416" s="3"/>
      <c r="V416" s="3"/>
      <c r="W416" s="3">
        <f t="shared" si="6"/>
        <v>0</v>
      </c>
      <c r="X416" s="44" t="s">
        <v>580</v>
      </c>
      <c r="AA416"/>
    </row>
    <row r="417" spans="3:36">
      <c r="C417">
        <v>5360</v>
      </c>
      <c r="E417">
        <v>99320000</v>
      </c>
      <c r="H417" t="s">
        <v>884</v>
      </c>
      <c r="K417" s="3">
        <v>8</v>
      </c>
      <c r="M417" s="3">
        <v>433.33</v>
      </c>
      <c r="O417" s="3">
        <v>-425.33</v>
      </c>
      <c r="Q417">
        <v>-98.2</v>
      </c>
      <c r="S417" s="3"/>
      <c r="T417" s="3"/>
      <c r="U417" s="3"/>
      <c r="V417" s="3"/>
      <c r="W417" s="3">
        <f t="shared" si="6"/>
        <v>8</v>
      </c>
      <c r="X417" s="44" t="s">
        <v>205</v>
      </c>
      <c r="AA417"/>
      <c r="AJ417" s="31"/>
    </row>
    <row r="418" spans="3:36">
      <c r="C418">
        <v>5360</v>
      </c>
      <c r="E418">
        <v>99350000</v>
      </c>
      <c r="H418" t="s">
        <v>885</v>
      </c>
      <c r="K418" s="3">
        <v>8580.41</v>
      </c>
      <c r="M418" s="3">
        <v>13161.94</v>
      </c>
      <c r="O418" s="3">
        <v>-4581.53</v>
      </c>
      <c r="Q418">
        <v>-34.799999999999997</v>
      </c>
      <c r="S418" s="3">
        <v>-8580.41</v>
      </c>
      <c r="T418" s="3"/>
      <c r="U418" s="3"/>
      <c r="V418" s="3"/>
      <c r="W418" s="3">
        <f t="shared" si="6"/>
        <v>0</v>
      </c>
      <c r="X418" s="619" t="s">
        <v>205</v>
      </c>
      <c r="Y418" t="s">
        <v>886</v>
      </c>
      <c r="AA418"/>
      <c r="AJ418" s="31"/>
    </row>
    <row r="419" spans="3:36">
      <c r="E419" t="s">
        <v>887</v>
      </c>
      <c r="K419" s="3">
        <v>8588.41</v>
      </c>
      <c r="M419" s="3">
        <v>13595.27</v>
      </c>
      <c r="O419" s="3">
        <v>-5006.8599999999997</v>
      </c>
      <c r="Q419">
        <v>-36.799999999999997</v>
      </c>
      <c r="R419" t="s">
        <v>650</v>
      </c>
      <c r="S419" s="3">
        <f>SUM(S416:S418)</f>
        <v>-8580.41</v>
      </c>
      <c r="T419" s="3">
        <f>SUM(T416:T418)</f>
        <v>0</v>
      </c>
      <c r="U419" s="3">
        <f>SUM(U416:U418)</f>
        <v>0</v>
      </c>
      <c r="V419" s="3">
        <f>SUM(V416:V418)</f>
        <v>0</v>
      </c>
      <c r="W419" s="3">
        <f t="shared" si="6"/>
        <v>8</v>
      </c>
      <c r="X419" s="619"/>
      <c r="Y419" s="145">
        <f>SUMIF(X:X,"M",W:W)</f>
        <v>50328561.019999996</v>
      </c>
      <c r="Z419" t="s">
        <v>888</v>
      </c>
      <c r="AA419"/>
      <c r="AJ419" s="31"/>
    </row>
    <row r="420" spans="3:36">
      <c r="E420" t="s">
        <v>889</v>
      </c>
      <c r="K420" s="3">
        <v>50337137.43</v>
      </c>
      <c r="M420" s="3">
        <v>37999780.210000001</v>
      </c>
      <c r="O420" s="3">
        <v>12337357.220000001</v>
      </c>
      <c r="Q420">
        <v>32.5</v>
      </c>
      <c r="R420" t="s">
        <v>658</v>
      </c>
      <c r="S420" s="3">
        <f>S415+S419</f>
        <v>-8580.41</v>
      </c>
      <c r="T420" s="3">
        <f>T415+T419</f>
        <v>0</v>
      </c>
      <c r="U420" s="3">
        <f>U415+U419</f>
        <v>0</v>
      </c>
      <c r="V420" s="3">
        <f>V415+V419</f>
        <v>4</v>
      </c>
      <c r="W420" s="3">
        <f t="shared" si="6"/>
        <v>50328561.020000003</v>
      </c>
      <c r="X420" s="619"/>
      <c r="Y420" s="32"/>
      <c r="AA420"/>
      <c r="AJ420" s="31"/>
    </row>
    <row r="421" spans="3:36">
      <c r="E421" t="s">
        <v>890</v>
      </c>
      <c r="K421" s="3">
        <v>136824007.34999999</v>
      </c>
      <c r="M421" s="3">
        <v>139456079.75999999</v>
      </c>
      <c r="O421" s="3">
        <v>-2632072.41</v>
      </c>
      <c r="Q421">
        <v>-1.9</v>
      </c>
      <c r="R421" t="s">
        <v>569</v>
      </c>
      <c r="S421" s="3">
        <f>S107+S148+S195+S220+S380+S398+S420</f>
        <v>11626.689999999999</v>
      </c>
      <c r="T421" s="3">
        <f>T107+T148+T195+T220+T380+T398+T420</f>
        <v>0</v>
      </c>
      <c r="U421" s="3">
        <f>U107+U148+U195+U220+U380+U398+U420</f>
        <v>0</v>
      </c>
      <c r="V421" s="3">
        <f>V107+V148+V195+V220+V380+V398+V420</f>
        <v>1</v>
      </c>
      <c r="W421" s="3">
        <f t="shared" si="6"/>
        <v>136835635.03999999</v>
      </c>
      <c r="X421" s="44"/>
      <c r="Y421" s="32"/>
      <c r="AA421"/>
      <c r="AJ421" s="31"/>
    </row>
    <row r="422" spans="3:36">
      <c r="C422" s="326">
        <v>5360</v>
      </c>
      <c r="D422" s="326"/>
      <c r="E422" s="326">
        <v>94030000</v>
      </c>
      <c r="F422" s="326"/>
      <c r="G422" s="326"/>
      <c r="H422" s="326" t="s">
        <v>891</v>
      </c>
      <c r="I422" s="326"/>
      <c r="J422" s="326"/>
      <c r="K422" s="327">
        <v>44196599.340000004</v>
      </c>
      <c r="L422" s="326"/>
      <c r="M422" s="327">
        <v>39845285.350000001</v>
      </c>
      <c r="N422" s="326"/>
      <c r="O422" s="327">
        <v>4351313.99</v>
      </c>
      <c r="Q422">
        <v>10.9</v>
      </c>
      <c r="S422" s="3"/>
      <c r="T422" s="3"/>
      <c r="U422" s="3"/>
      <c r="V422" s="3"/>
      <c r="W422" s="3">
        <f t="shared" si="6"/>
        <v>44196599.340000004</v>
      </c>
      <c r="X422" s="44" t="s">
        <v>206</v>
      </c>
      <c r="Y422" s="32"/>
      <c r="AA422"/>
      <c r="AJ422" s="31"/>
    </row>
    <row r="423" spans="3:36">
      <c r="C423">
        <v>5360</v>
      </c>
      <c r="E423">
        <v>94031000</v>
      </c>
      <c r="H423" t="s">
        <v>892</v>
      </c>
      <c r="K423" s="3">
        <v>0</v>
      </c>
      <c r="M423" s="3">
        <v>0</v>
      </c>
      <c r="O423" s="3">
        <v>0</v>
      </c>
      <c r="S423" s="3"/>
      <c r="T423" s="3"/>
      <c r="U423" s="3"/>
      <c r="V423" s="3"/>
      <c r="W423" s="3">
        <f t="shared" si="6"/>
        <v>0</v>
      </c>
      <c r="X423" s="619" t="s">
        <v>206</v>
      </c>
      <c r="Y423" s="32"/>
      <c r="AA423"/>
    </row>
    <row r="424" spans="3:36">
      <c r="E424" t="s">
        <v>893</v>
      </c>
      <c r="K424" s="3">
        <v>44196599.340000004</v>
      </c>
      <c r="M424" s="3">
        <v>39845285.350000001</v>
      </c>
      <c r="O424" s="3">
        <v>4351313.99</v>
      </c>
      <c r="Q424">
        <v>10.9</v>
      </c>
      <c r="R424" t="s">
        <v>658</v>
      </c>
      <c r="S424" s="3">
        <f>SUM(S422:S423)</f>
        <v>0</v>
      </c>
      <c r="T424" s="3">
        <f>SUM(T422:T423)</f>
        <v>0</v>
      </c>
      <c r="U424" s="3">
        <f>SUM(U422:U423)</f>
        <v>0</v>
      </c>
      <c r="V424" s="3">
        <f>SUM(V422:V423)</f>
        <v>0</v>
      </c>
      <c r="W424" s="3">
        <f t="shared" si="6"/>
        <v>44196599.340000004</v>
      </c>
      <c r="X424" s="44"/>
      <c r="Y424" s="32"/>
      <c r="AA424"/>
      <c r="AJ424" s="31"/>
    </row>
    <row r="425" spans="3:36">
      <c r="C425">
        <v>5360</v>
      </c>
      <c r="D425" t="s">
        <v>537</v>
      </c>
      <c r="E425">
        <v>94040000</v>
      </c>
      <c r="H425" t="s">
        <v>894</v>
      </c>
      <c r="K425" s="3">
        <v>0</v>
      </c>
      <c r="M425" s="3">
        <v>0</v>
      </c>
      <c r="O425" s="3">
        <v>0</v>
      </c>
      <c r="S425" s="3"/>
      <c r="T425" s="3"/>
      <c r="U425" s="3"/>
      <c r="V425" s="3"/>
      <c r="W425" s="3">
        <f t="shared" si="6"/>
        <v>0</v>
      </c>
      <c r="X425" s="44" t="s">
        <v>206</v>
      </c>
      <c r="Y425" s="32"/>
      <c r="AA425"/>
    </row>
    <row r="426" spans="3:36">
      <c r="C426">
        <v>5360</v>
      </c>
      <c r="E426">
        <v>94050000</v>
      </c>
      <c r="H426" t="s">
        <v>895</v>
      </c>
      <c r="K426" s="3">
        <v>0</v>
      </c>
      <c r="M426" s="3">
        <v>0</v>
      </c>
      <c r="O426" s="3">
        <v>0</v>
      </c>
      <c r="S426" s="3"/>
      <c r="T426" s="3"/>
      <c r="U426" s="3"/>
      <c r="V426" s="3"/>
      <c r="W426" s="3">
        <f t="shared" si="6"/>
        <v>0</v>
      </c>
      <c r="X426" s="44" t="s">
        <v>206</v>
      </c>
      <c r="Y426" s="32"/>
      <c r="AA426"/>
      <c r="AJ426" s="31"/>
    </row>
    <row r="427" spans="3:36">
      <c r="C427">
        <v>5360</v>
      </c>
      <c r="D427" t="s">
        <v>537</v>
      </c>
      <c r="E427">
        <v>94060000</v>
      </c>
      <c r="H427" t="s">
        <v>896</v>
      </c>
      <c r="K427" s="3">
        <v>0</v>
      </c>
      <c r="M427" s="3">
        <v>0</v>
      </c>
      <c r="O427" s="3">
        <v>0</v>
      </c>
      <c r="S427" s="3"/>
      <c r="T427" s="3"/>
      <c r="U427" s="3"/>
      <c r="V427" s="3"/>
      <c r="W427" s="3">
        <f t="shared" si="6"/>
        <v>0</v>
      </c>
      <c r="X427" s="44" t="s">
        <v>206</v>
      </c>
      <c r="Y427" s="32"/>
      <c r="AA427"/>
    </row>
    <row r="428" spans="3:36">
      <c r="C428">
        <v>5360</v>
      </c>
      <c r="D428" t="s">
        <v>537</v>
      </c>
      <c r="E428">
        <v>94070000</v>
      </c>
      <c r="H428" t="s">
        <v>897</v>
      </c>
      <c r="K428" s="3">
        <v>0</v>
      </c>
      <c r="M428" s="3">
        <v>0</v>
      </c>
      <c r="O428" s="3">
        <v>0</v>
      </c>
      <c r="S428" s="3"/>
      <c r="T428" s="3"/>
      <c r="U428" s="3"/>
      <c r="V428" s="3"/>
      <c r="W428" s="3">
        <f t="shared" si="6"/>
        <v>0</v>
      </c>
      <c r="X428" s="44" t="s">
        <v>206</v>
      </c>
      <c r="Y428" s="32"/>
      <c r="AA428"/>
    </row>
    <row r="429" spans="3:36">
      <c r="C429">
        <v>5360</v>
      </c>
      <c r="E429">
        <v>94073000</v>
      </c>
      <c r="H429" t="s">
        <v>898</v>
      </c>
      <c r="K429" s="3">
        <v>426180</v>
      </c>
      <c r="M429" s="3">
        <v>426910.48</v>
      </c>
      <c r="O429" s="3">
        <v>-730.48</v>
      </c>
      <c r="Q429">
        <v>-0.2</v>
      </c>
      <c r="S429" s="3"/>
      <c r="T429" s="3"/>
      <c r="U429" s="3"/>
      <c r="V429" s="3"/>
      <c r="W429" s="3">
        <f t="shared" si="6"/>
        <v>426180</v>
      </c>
      <c r="X429" s="44" t="s">
        <v>206</v>
      </c>
      <c r="Y429" s="32"/>
      <c r="AA429"/>
      <c r="AJ429" s="31"/>
    </row>
    <row r="430" spans="3:36">
      <c r="C430">
        <v>5360</v>
      </c>
      <c r="D430" t="s">
        <v>537</v>
      </c>
      <c r="E430">
        <v>94074000</v>
      </c>
      <c r="H430" t="s">
        <v>899</v>
      </c>
      <c r="K430" s="3">
        <v>0</v>
      </c>
      <c r="M430" s="3">
        <v>0</v>
      </c>
      <c r="O430" s="3">
        <v>0</v>
      </c>
      <c r="S430" s="3"/>
      <c r="T430" s="3"/>
      <c r="U430" s="3"/>
      <c r="V430" s="3"/>
      <c r="W430" s="3">
        <f t="shared" si="6"/>
        <v>0</v>
      </c>
      <c r="X430" s="619" t="s">
        <v>206</v>
      </c>
      <c r="Y430" s="32" t="s">
        <v>900</v>
      </c>
      <c r="AA430"/>
    </row>
    <row r="431" spans="3:36">
      <c r="E431" t="s">
        <v>901</v>
      </c>
      <c r="K431" s="3">
        <v>426180</v>
      </c>
      <c r="M431" s="3">
        <v>426910.48</v>
      </c>
      <c r="O431" s="3">
        <v>-730.48</v>
      </c>
      <c r="Q431">
        <v>-0.2</v>
      </c>
      <c r="R431" t="s">
        <v>658</v>
      </c>
      <c r="S431" s="3">
        <f>SUM(S425:S430)</f>
        <v>0</v>
      </c>
      <c r="T431" s="3">
        <f>SUM(T425:T430)</f>
        <v>0</v>
      </c>
      <c r="U431" s="3">
        <f>SUM(U425:U430)</f>
        <v>0</v>
      </c>
      <c r="V431" s="3">
        <f>SUM(V425:V430)</f>
        <v>0</v>
      </c>
      <c r="W431" s="3">
        <f t="shared" si="6"/>
        <v>426180</v>
      </c>
      <c r="X431" s="619"/>
      <c r="Y431" s="145">
        <f>SUMIF(X:X,"G",W:W)</f>
        <v>44622779.340000004</v>
      </c>
      <c r="Z431" t="s">
        <v>427</v>
      </c>
      <c r="AA431"/>
      <c r="AJ431" s="31"/>
    </row>
    <row r="432" spans="3:36">
      <c r="E432" t="s">
        <v>427</v>
      </c>
      <c r="K432" s="3">
        <v>44622779.340000004</v>
      </c>
      <c r="M432" s="3">
        <v>40272195.829999998</v>
      </c>
      <c r="O432" s="3">
        <v>4350583.51</v>
      </c>
      <c r="Q432">
        <v>10.8</v>
      </c>
      <c r="R432" t="s">
        <v>569</v>
      </c>
      <c r="S432" s="3">
        <f>S424+S431</f>
        <v>0</v>
      </c>
      <c r="T432" s="3">
        <f>T424+T431</f>
        <v>0</v>
      </c>
      <c r="U432" s="3">
        <f>U424+U431</f>
        <v>0</v>
      </c>
      <c r="V432" s="3">
        <f>V424+V431</f>
        <v>0</v>
      </c>
      <c r="W432" s="3">
        <f t="shared" si="6"/>
        <v>44622779.340000004</v>
      </c>
      <c r="X432" s="44"/>
      <c r="AA432"/>
      <c r="AJ432" s="31"/>
    </row>
    <row r="433" spans="3:36">
      <c r="C433">
        <v>5360</v>
      </c>
      <c r="D433" t="s">
        <v>537</v>
      </c>
      <c r="E433">
        <v>94080000</v>
      </c>
      <c r="H433" t="s">
        <v>336</v>
      </c>
      <c r="K433" s="3">
        <v>0</v>
      </c>
      <c r="M433" s="3">
        <v>0</v>
      </c>
      <c r="O433" s="3">
        <v>0</v>
      </c>
      <c r="S433" s="3"/>
      <c r="T433" s="3"/>
      <c r="U433" s="3"/>
      <c r="V433" s="3"/>
      <c r="W433" s="3">
        <f t="shared" si="6"/>
        <v>0</v>
      </c>
      <c r="X433" s="44" t="s">
        <v>580</v>
      </c>
      <c r="AA433"/>
    </row>
    <row r="434" spans="3:36">
      <c r="C434" s="326">
        <v>5360</v>
      </c>
      <c r="D434" s="326"/>
      <c r="E434" s="326">
        <v>94081000</v>
      </c>
      <c r="F434" s="326"/>
      <c r="G434" s="326"/>
      <c r="H434" s="326" t="s">
        <v>902</v>
      </c>
      <c r="I434" s="326"/>
      <c r="J434" s="326"/>
      <c r="K434" s="327">
        <v>43801583.289999999</v>
      </c>
      <c r="L434" s="326"/>
      <c r="M434" s="327">
        <v>40630514.219999999</v>
      </c>
      <c r="N434" s="326"/>
      <c r="O434" s="327">
        <v>3171069.07</v>
      </c>
      <c r="Q434">
        <v>7.8</v>
      </c>
      <c r="S434" s="3"/>
      <c r="T434" s="3"/>
      <c r="U434" s="3"/>
      <c r="V434" s="3">
        <v>-1</v>
      </c>
      <c r="W434" s="3">
        <f t="shared" si="6"/>
        <v>43801582.289999999</v>
      </c>
      <c r="X434" s="44" t="s">
        <v>207</v>
      </c>
      <c r="Y434" t="s">
        <v>903</v>
      </c>
      <c r="AA434"/>
      <c r="AJ434" s="31"/>
    </row>
    <row r="435" spans="3:36">
      <c r="C435">
        <v>5360</v>
      </c>
      <c r="D435" t="s">
        <v>537</v>
      </c>
      <c r="E435">
        <v>94082000</v>
      </c>
      <c r="H435" t="s">
        <v>340</v>
      </c>
      <c r="K435" s="3">
        <v>0</v>
      </c>
      <c r="M435" s="3">
        <v>0</v>
      </c>
      <c r="O435" s="3">
        <v>0</v>
      </c>
      <c r="S435" s="3"/>
      <c r="T435" s="3"/>
      <c r="U435" s="3"/>
      <c r="V435" s="3"/>
      <c r="W435" s="3">
        <f t="shared" si="6"/>
        <v>0</v>
      </c>
      <c r="X435" s="44" t="s">
        <v>209</v>
      </c>
      <c r="Y435" s="145">
        <f>SUMIF(X:X,"H",W:W)</f>
        <v>43801582.289999999</v>
      </c>
      <c r="Z435" t="s">
        <v>904</v>
      </c>
      <c r="AA435"/>
    </row>
    <row r="436" spans="3:36">
      <c r="C436">
        <v>5360</v>
      </c>
      <c r="D436" t="s">
        <v>537</v>
      </c>
      <c r="E436">
        <v>94090000</v>
      </c>
      <c r="H436" t="s">
        <v>336</v>
      </c>
      <c r="K436" s="3">
        <v>0</v>
      </c>
      <c r="M436" s="3">
        <v>0</v>
      </c>
      <c r="O436" s="3">
        <v>0</v>
      </c>
      <c r="S436" s="3"/>
      <c r="T436" s="3"/>
      <c r="U436" s="3"/>
      <c r="V436" s="3"/>
      <c r="W436" s="3">
        <f t="shared" si="6"/>
        <v>0</v>
      </c>
      <c r="X436" s="44" t="s">
        <v>580</v>
      </c>
      <c r="AA436"/>
    </row>
    <row r="437" spans="3:36">
      <c r="C437">
        <v>5360</v>
      </c>
      <c r="D437" t="s">
        <v>537</v>
      </c>
      <c r="E437">
        <v>94100000</v>
      </c>
      <c r="H437" t="s">
        <v>336</v>
      </c>
      <c r="K437" s="3">
        <v>0</v>
      </c>
      <c r="M437" s="3">
        <v>0</v>
      </c>
      <c r="O437" s="3">
        <v>0</v>
      </c>
      <c r="S437" s="3"/>
      <c r="T437" s="3"/>
      <c r="U437" s="3"/>
      <c r="V437" s="3"/>
      <c r="W437" s="3">
        <f t="shared" si="6"/>
        <v>0</v>
      </c>
      <c r="X437" s="619" t="s">
        <v>580</v>
      </c>
      <c r="Y437" t="s">
        <v>905</v>
      </c>
      <c r="AA437"/>
    </row>
    <row r="438" spans="3:36">
      <c r="E438" t="s">
        <v>906</v>
      </c>
      <c r="K438" s="3">
        <v>43801583.289999999</v>
      </c>
      <c r="M438" s="3">
        <v>40630514.219999999</v>
      </c>
      <c r="O438" s="3">
        <v>3171069.07</v>
      </c>
      <c r="Q438">
        <v>7.8</v>
      </c>
      <c r="R438" t="s">
        <v>569</v>
      </c>
      <c r="S438" s="3">
        <f>SUM(S433:S437)</f>
        <v>0</v>
      </c>
      <c r="T438" s="3">
        <f>SUM(T433:T437)</f>
        <v>0</v>
      </c>
      <c r="U438" s="3">
        <f>SUM(U433:U437)</f>
        <v>0</v>
      </c>
      <c r="V438" s="3">
        <f>SUM(V433:V437)</f>
        <v>-1</v>
      </c>
      <c r="W438" s="3">
        <f t="shared" si="6"/>
        <v>43801582.289999999</v>
      </c>
      <c r="X438" s="44"/>
      <c r="Y438" t="s">
        <v>907</v>
      </c>
      <c r="Z438" s="32">
        <f>'94081000'!B6</f>
        <v>13653106.619999999</v>
      </c>
      <c r="AA438"/>
      <c r="AJ438" s="31"/>
    </row>
    <row r="439" spans="3:36">
      <c r="C439">
        <v>5360</v>
      </c>
      <c r="D439" t="s">
        <v>537</v>
      </c>
      <c r="E439">
        <v>94101000</v>
      </c>
      <c r="H439" t="s">
        <v>908</v>
      </c>
      <c r="K439" s="3">
        <v>0</v>
      </c>
      <c r="M439" s="3">
        <v>0</v>
      </c>
      <c r="O439" s="3">
        <v>0</v>
      </c>
      <c r="S439" s="3"/>
      <c r="T439" s="3">
        <v>20247632</v>
      </c>
      <c r="U439" s="32"/>
      <c r="V439" s="3"/>
      <c r="W439" s="3">
        <f t="shared" si="6"/>
        <v>20247632</v>
      </c>
      <c r="X439" s="619" t="s">
        <v>208</v>
      </c>
      <c r="Y439" t="s">
        <v>909</v>
      </c>
      <c r="Z439" s="32">
        <f>'94081000'!B7</f>
        <v>5332.27</v>
      </c>
    </row>
    <row r="440" spans="3:36">
      <c r="E440" t="s">
        <v>910</v>
      </c>
      <c r="K440" s="3">
        <v>0</v>
      </c>
      <c r="M440" s="3">
        <v>0</v>
      </c>
      <c r="O440" s="3">
        <v>0</v>
      </c>
      <c r="R440" t="s">
        <v>569</v>
      </c>
      <c r="S440" s="3">
        <f>SUM(S439)</f>
        <v>0</v>
      </c>
      <c r="T440" s="3">
        <f>SUM(T439)</f>
        <v>20247632</v>
      </c>
      <c r="U440" s="3">
        <f>SUM(U439)</f>
        <v>0</v>
      </c>
      <c r="V440" s="3">
        <f>SUM(V439)</f>
        <v>0</v>
      </c>
      <c r="W440" s="3">
        <f t="shared" si="6"/>
        <v>20247632</v>
      </c>
      <c r="X440" s="44"/>
      <c r="Y440" t="s">
        <v>911</v>
      </c>
      <c r="Z440" s="32">
        <f>'94081000'!B8</f>
        <v>2963727.11</v>
      </c>
      <c r="AA440"/>
    </row>
    <row r="441" spans="3:36">
      <c r="C441">
        <v>5360</v>
      </c>
      <c r="D441" t="s">
        <v>537</v>
      </c>
      <c r="E441">
        <v>94110000</v>
      </c>
      <c r="H441" t="s">
        <v>336</v>
      </c>
      <c r="K441" s="3">
        <v>0</v>
      </c>
      <c r="M441" s="3">
        <v>0</v>
      </c>
      <c r="O441" s="3">
        <v>0</v>
      </c>
      <c r="S441" s="3"/>
      <c r="T441" s="3"/>
      <c r="U441" s="3"/>
      <c r="V441" s="3"/>
      <c r="W441" s="3">
        <f t="shared" si="6"/>
        <v>0</v>
      </c>
      <c r="X441" s="44" t="s">
        <v>580</v>
      </c>
      <c r="Y441" t="s">
        <v>912</v>
      </c>
      <c r="Z441" s="32">
        <f>'94081000'!B9</f>
        <v>36994662.75</v>
      </c>
      <c r="AA441"/>
    </row>
    <row r="442" spans="3:36">
      <c r="C442">
        <v>5360</v>
      </c>
      <c r="D442" t="s">
        <v>537</v>
      </c>
      <c r="E442">
        <v>94111000</v>
      </c>
      <c r="H442" t="s">
        <v>913</v>
      </c>
      <c r="K442" s="3">
        <v>0</v>
      </c>
      <c r="M442" s="3">
        <v>0</v>
      </c>
      <c r="O442" s="3">
        <v>0</v>
      </c>
      <c r="S442" s="3"/>
      <c r="T442" s="3"/>
      <c r="U442" s="3"/>
      <c r="V442" s="3"/>
      <c r="W442" s="3">
        <f t="shared" si="6"/>
        <v>0</v>
      </c>
      <c r="X442" s="44" t="s">
        <v>208</v>
      </c>
      <c r="AA442"/>
    </row>
    <row r="443" spans="3:36">
      <c r="C443">
        <v>5360</v>
      </c>
      <c r="E443">
        <v>94111010</v>
      </c>
      <c r="H443" t="s">
        <v>914</v>
      </c>
      <c r="K443" s="3">
        <v>0</v>
      </c>
      <c r="M443" s="3">
        <v>0</v>
      </c>
      <c r="O443" s="3">
        <v>0</v>
      </c>
      <c r="S443" s="3"/>
      <c r="T443" s="3"/>
      <c r="U443" s="3"/>
      <c r="V443" s="3"/>
      <c r="W443" s="3">
        <f t="shared" si="6"/>
        <v>0</v>
      </c>
      <c r="X443" s="44" t="s">
        <v>208</v>
      </c>
      <c r="AA443"/>
    </row>
    <row r="444" spans="3:36">
      <c r="C444">
        <v>5360</v>
      </c>
      <c r="D444" t="s">
        <v>537</v>
      </c>
      <c r="E444">
        <v>94112000</v>
      </c>
      <c r="H444" t="s">
        <v>342</v>
      </c>
      <c r="K444" s="3">
        <v>0</v>
      </c>
      <c r="M444" s="3">
        <v>0</v>
      </c>
      <c r="O444" s="3">
        <v>0</v>
      </c>
      <c r="S444" s="3"/>
      <c r="T444" s="3"/>
      <c r="U444" s="3"/>
      <c r="V444" s="3"/>
      <c r="W444" s="3">
        <f t="shared" si="6"/>
        <v>0</v>
      </c>
      <c r="X444" s="619" t="s">
        <v>209</v>
      </c>
      <c r="AA444"/>
    </row>
    <row r="445" spans="3:36">
      <c r="E445" t="s">
        <v>915</v>
      </c>
      <c r="K445" s="3">
        <v>0</v>
      </c>
      <c r="M445" s="3">
        <v>0</v>
      </c>
      <c r="O445" s="3">
        <v>0</v>
      </c>
      <c r="R445" t="s">
        <v>569</v>
      </c>
      <c r="S445" s="3">
        <f>SUM(S441:S444)</f>
        <v>0</v>
      </c>
      <c r="T445" s="3">
        <f>SUM(T441:T444)</f>
        <v>0</v>
      </c>
      <c r="U445" s="3">
        <f>SUM(U441:U444)</f>
        <v>0</v>
      </c>
      <c r="V445" s="3">
        <f>SUM(V441:V444)</f>
        <v>0</v>
      </c>
      <c r="W445" s="3">
        <f t="shared" si="6"/>
        <v>0</v>
      </c>
      <c r="X445" s="44"/>
      <c r="AA445"/>
    </row>
    <row r="446" spans="3:36">
      <c r="C446">
        <v>5360</v>
      </c>
      <c r="D446" t="s">
        <v>537</v>
      </c>
      <c r="E446">
        <v>94113000</v>
      </c>
      <c r="H446" t="s">
        <v>336</v>
      </c>
      <c r="K446" s="3">
        <v>0</v>
      </c>
      <c r="M446" s="3">
        <v>0</v>
      </c>
      <c r="O446" s="3">
        <v>0</v>
      </c>
      <c r="S446" s="3"/>
      <c r="T446" s="3"/>
      <c r="U446" s="3"/>
      <c r="V446" s="3"/>
      <c r="W446" s="3">
        <f t="shared" si="6"/>
        <v>0</v>
      </c>
      <c r="X446" s="44" t="s">
        <v>580</v>
      </c>
      <c r="AA446"/>
    </row>
    <row r="447" spans="3:36">
      <c r="C447">
        <v>5360</v>
      </c>
      <c r="D447" t="s">
        <v>537</v>
      </c>
      <c r="E447">
        <v>94114000</v>
      </c>
      <c r="H447" t="s">
        <v>916</v>
      </c>
      <c r="K447" s="3">
        <v>0</v>
      </c>
      <c r="M447" s="3">
        <v>0</v>
      </c>
      <c r="O447" s="3">
        <v>0</v>
      </c>
      <c r="S447" s="3"/>
      <c r="T447" s="3"/>
      <c r="U447" s="3"/>
      <c r="V447" s="3"/>
      <c r="W447" s="3">
        <f t="shared" si="6"/>
        <v>0</v>
      </c>
      <c r="X447" s="44" t="s">
        <v>917</v>
      </c>
      <c r="AA447"/>
    </row>
    <row r="448" spans="3:36">
      <c r="C448">
        <v>5360</v>
      </c>
      <c r="D448" t="s">
        <v>537</v>
      </c>
      <c r="E448">
        <v>94115000</v>
      </c>
      <c r="H448" t="s">
        <v>343</v>
      </c>
      <c r="K448" s="3">
        <v>0</v>
      </c>
      <c r="M448" s="3">
        <v>0</v>
      </c>
      <c r="O448" s="3">
        <v>0</v>
      </c>
      <c r="S448" s="3"/>
      <c r="T448" s="3"/>
      <c r="U448" s="3"/>
      <c r="V448" s="3"/>
      <c r="W448" s="3">
        <f t="shared" si="6"/>
        <v>0</v>
      </c>
      <c r="X448" s="44" t="s">
        <v>209</v>
      </c>
      <c r="AA448"/>
    </row>
    <row r="449" spans="3:36">
      <c r="C449">
        <v>5360</v>
      </c>
      <c r="D449" t="s">
        <v>537</v>
      </c>
      <c r="E449">
        <v>94200000</v>
      </c>
      <c r="H449" t="s">
        <v>344</v>
      </c>
      <c r="K449" s="3">
        <v>0</v>
      </c>
      <c r="M449" s="3">
        <v>0</v>
      </c>
      <c r="O449" s="3">
        <v>0</v>
      </c>
      <c r="S449" s="3"/>
      <c r="T449" s="3"/>
      <c r="U449" s="3"/>
      <c r="V449" s="3"/>
      <c r="W449" s="3">
        <f t="shared" si="6"/>
        <v>0</v>
      </c>
      <c r="X449" s="619" t="s">
        <v>209</v>
      </c>
      <c r="AA449"/>
    </row>
    <row r="450" spans="3:36">
      <c r="E450" t="s">
        <v>918</v>
      </c>
      <c r="K450" s="3">
        <v>0</v>
      </c>
      <c r="M450" s="3">
        <v>0</v>
      </c>
      <c r="O450" s="3">
        <v>0</v>
      </c>
      <c r="R450" t="s">
        <v>569</v>
      </c>
      <c r="S450" s="3">
        <f>SUM(S446:S449)</f>
        <v>0</v>
      </c>
      <c r="T450" s="3">
        <f>SUM(T446:T449)</f>
        <v>0</v>
      </c>
      <c r="U450" s="3">
        <f>SUM(U446:U449)</f>
        <v>0</v>
      </c>
      <c r="V450" s="3">
        <f>SUM(V446:V449)</f>
        <v>0</v>
      </c>
      <c r="W450" s="3">
        <f t="shared" si="6"/>
        <v>0</v>
      </c>
      <c r="X450" s="44"/>
      <c r="AA450"/>
    </row>
    <row r="451" spans="3:36">
      <c r="C451">
        <v>5360</v>
      </c>
      <c r="D451" t="s">
        <v>537</v>
      </c>
      <c r="E451">
        <v>94091000</v>
      </c>
      <c r="H451" t="s">
        <v>919</v>
      </c>
      <c r="K451" s="3">
        <v>0</v>
      </c>
      <c r="M451" s="3">
        <v>0</v>
      </c>
      <c r="O451" s="3">
        <v>0</v>
      </c>
      <c r="S451" s="3"/>
      <c r="T451" s="3">
        <v>-13372875</v>
      </c>
      <c r="U451" s="3"/>
      <c r="V451" s="3"/>
      <c r="W451" s="3">
        <f t="shared" si="6"/>
        <v>-13372875</v>
      </c>
      <c r="X451" s="619" t="s">
        <v>208</v>
      </c>
    </row>
    <row r="452" spans="3:36">
      <c r="C452">
        <v>5360</v>
      </c>
      <c r="D452" t="s">
        <v>537</v>
      </c>
      <c r="E452">
        <v>94091300</v>
      </c>
      <c r="H452" t="s">
        <v>920</v>
      </c>
      <c r="K452" s="3">
        <v>0</v>
      </c>
      <c r="M452" s="3">
        <v>0</v>
      </c>
      <c r="O452" s="3">
        <v>0</v>
      </c>
      <c r="T452" s="3"/>
      <c r="W452" s="3">
        <f t="shared" si="6"/>
        <v>0</v>
      </c>
      <c r="X452" s="619" t="s">
        <v>208</v>
      </c>
      <c r="AA452"/>
    </row>
    <row r="453" spans="3:36">
      <c r="E453" t="s">
        <v>921</v>
      </c>
      <c r="K453" s="3">
        <v>0</v>
      </c>
      <c r="M453" s="3">
        <v>0</v>
      </c>
      <c r="O453" s="3">
        <v>0</v>
      </c>
      <c r="R453" t="s">
        <v>569</v>
      </c>
      <c r="S453" s="3">
        <f>SUM(S451:S452)</f>
        <v>0</v>
      </c>
      <c r="T453" s="3">
        <f>SUM(T451:T452)</f>
        <v>-13372875</v>
      </c>
      <c r="U453" s="3">
        <f>SUM(U451:U452)</f>
        <v>0</v>
      </c>
      <c r="V453" s="3">
        <f>SUM(V451:V452)</f>
        <v>0</v>
      </c>
      <c r="W453" s="3">
        <f t="shared" si="6"/>
        <v>-13372875</v>
      </c>
      <c r="X453" s="44"/>
      <c r="AA453"/>
    </row>
    <row r="454" spans="3:36">
      <c r="C454">
        <v>5360</v>
      </c>
      <c r="D454" t="s">
        <v>537</v>
      </c>
      <c r="E454">
        <v>94116000</v>
      </c>
      <c r="H454" t="s">
        <v>922</v>
      </c>
      <c r="K454" s="3">
        <v>0</v>
      </c>
      <c r="M454" s="3">
        <v>0</v>
      </c>
      <c r="O454" s="3">
        <v>0</v>
      </c>
      <c r="S454" s="3"/>
      <c r="T454" s="3"/>
      <c r="U454" s="3"/>
      <c r="V454" s="3"/>
      <c r="W454" s="3">
        <f t="shared" si="6"/>
        <v>0</v>
      </c>
      <c r="X454" s="44" t="s">
        <v>208</v>
      </c>
      <c r="AA454"/>
    </row>
    <row r="455" spans="3:36">
      <c r="C455">
        <v>5360</v>
      </c>
      <c r="D455" t="s">
        <v>537</v>
      </c>
      <c r="E455">
        <v>94117000</v>
      </c>
      <c r="H455" t="s">
        <v>923</v>
      </c>
      <c r="K455" s="3">
        <v>0</v>
      </c>
      <c r="M455" s="3">
        <v>0</v>
      </c>
      <c r="O455" s="3">
        <v>0</v>
      </c>
      <c r="S455" s="3"/>
      <c r="T455" s="3"/>
      <c r="U455" s="3"/>
      <c r="V455" s="3"/>
      <c r="W455" s="3">
        <f t="shared" si="6"/>
        <v>0</v>
      </c>
      <c r="X455" s="44" t="s">
        <v>208</v>
      </c>
      <c r="AA455"/>
    </row>
    <row r="456" spans="3:36">
      <c r="C456">
        <v>5360</v>
      </c>
      <c r="D456" t="s">
        <v>537</v>
      </c>
      <c r="E456">
        <v>94118000</v>
      </c>
      <c r="H456" t="s">
        <v>924</v>
      </c>
      <c r="K456" s="3">
        <v>0</v>
      </c>
      <c r="M456" s="3">
        <v>0</v>
      </c>
      <c r="O456" s="3">
        <v>0</v>
      </c>
      <c r="S456" s="3"/>
      <c r="T456" s="3"/>
      <c r="U456" s="3"/>
      <c r="V456" s="3"/>
      <c r="W456" s="3">
        <f t="shared" si="6"/>
        <v>0</v>
      </c>
      <c r="X456" s="44" t="s">
        <v>208</v>
      </c>
      <c r="AA456"/>
    </row>
    <row r="457" spans="3:36">
      <c r="C457">
        <v>5360</v>
      </c>
      <c r="D457" t="s">
        <v>537</v>
      </c>
      <c r="E457">
        <v>94119000</v>
      </c>
      <c r="H457" t="s">
        <v>925</v>
      </c>
      <c r="K457" s="3">
        <v>0</v>
      </c>
      <c r="M457" s="3">
        <v>0</v>
      </c>
      <c r="O457" s="3">
        <v>0</v>
      </c>
      <c r="S457" s="3"/>
      <c r="T457" s="3"/>
      <c r="U457" s="3"/>
      <c r="V457" s="3"/>
      <c r="W457" s="3">
        <f t="shared" ref="W457:W520" si="7">SUM(K457,S457:V457)</f>
        <v>0</v>
      </c>
      <c r="X457" s="619" t="s">
        <v>208</v>
      </c>
      <c r="AA457"/>
    </row>
    <row r="458" spans="3:36">
      <c r="E458" t="s">
        <v>926</v>
      </c>
      <c r="K458" s="3">
        <v>0</v>
      </c>
      <c r="M458" s="3">
        <v>0</v>
      </c>
      <c r="O458" s="3">
        <v>0</v>
      </c>
      <c r="R458" t="s">
        <v>569</v>
      </c>
      <c r="S458" s="3">
        <f>SUM(S454:S457)</f>
        <v>0</v>
      </c>
      <c r="T458" s="3">
        <f>SUM(T454:T457)</f>
        <v>0</v>
      </c>
      <c r="U458" s="3">
        <f>SUM(U454:U457)</f>
        <v>0</v>
      </c>
      <c r="V458" s="3">
        <f>SUM(V454:V457)</f>
        <v>0</v>
      </c>
      <c r="W458" s="3">
        <f t="shared" si="7"/>
        <v>0</v>
      </c>
      <c r="X458" s="619" t="s">
        <v>208</v>
      </c>
      <c r="Y458" t="s">
        <v>927</v>
      </c>
      <c r="AA458"/>
    </row>
    <row r="459" spans="3:36">
      <c r="E459" t="s">
        <v>92</v>
      </c>
      <c r="K459" s="3">
        <v>380870239.94999999</v>
      </c>
      <c r="M459" s="3">
        <v>393879620.55000001</v>
      </c>
      <c r="O459" s="3">
        <v>-13009380.6</v>
      </c>
      <c r="Q459">
        <v>-3.3</v>
      </c>
      <c r="R459" t="s">
        <v>611</v>
      </c>
      <c r="S459" s="3">
        <f>S86+S89+S432+S421+S438+S440+S445+S450+S453+S458</f>
        <v>11626.689999999999</v>
      </c>
      <c r="T459" s="3">
        <f>T86+T89+T432+T421+T438+T440+T445+T450+T453+T458</f>
        <v>6874757</v>
      </c>
      <c r="U459" s="3">
        <f>U86+U89+U432+U421+U438+U440+U445+U450+U453+U458</f>
        <v>0</v>
      </c>
      <c r="V459" s="3">
        <f>V86+V89+V432+V421+V438+V440+V445+V450+V453+V458</f>
        <v>0</v>
      </c>
      <c r="W459" s="3">
        <f t="shared" si="7"/>
        <v>387756623.63999999</v>
      </c>
      <c r="X459" s="619"/>
      <c r="Y459" s="145">
        <f>SUMIF(X:X,"O",W:W)</f>
        <v>6874757</v>
      </c>
      <c r="Z459" t="s">
        <v>928</v>
      </c>
      <c r="AA459"/>
      <c r="AJ459" s="31"/>
    </row>
    <row r="460" spans="3:36">
      <c r="K460" s="3"/>
      <c r="M460" s="3"/>
      <c r="O460" s="3"/>
      <c r="S460" s="3"/>
      <c r="T460" s="3"/>
      <c r="U460" s="3"/>
      <c r="V460" s="3"/>
      <c r="W460" s="3">
        <f t="shared" si="7"/>
        <v>0</v>
      </c>
      <c r="X460" s="619"/>
      <c r="Y460" s="3">
        <f>SUM(Y57:Y459)-W459</f>
        <v>0</v>
      </c>
      <c r="Z460" t="s">
        <v>612</v>
      </c>
      <c r="AA460"/>
    </row>
    <row r="461" spans="3:36">
      <c r="E461" t="s">
        <v>929</v>
      </c>
      <c r="K461" s="3">
        <v>-59257215.18</v>
      </c>
      <c r="M461" s="3">
        <v>-41905854.049999997</v>
      </c>
      <c r="O461" s="3">
        <v>-17351361.129999999</v>
      </c>
      <c r="Q461">
        <v>-41.4</v>
      </c>
      <c r="R461" t="s">
        <v>930</v>
      </c>
      <c r="S461" s="3">
        <f>S459+S56</f>
        <v>217539.84000000003</v>
      </c>
      <c r="T461" s="3">
        <f>T459+T56</f>
        <v>6874757</v>
      </c>
      <c r="U461" s="3">
        <f>U459+U56</f>
        <v>0</v>
      </c>
      <c r="V461" s="3">
        <f>V459+V56</f>
        <v>0</v>
      </c>
      <c r="W461" s="3">
        <f t="shared" si="7"/>
        <v>-52164918.339999996</v>
      </c>
      <c r="X461" s="619"/>
      <c r="AA461"/>
      <c r="AJ461" s="31"/>
    </row>
    <row r="462" spans="3:36">
      <c r="K462" s="3"/>
      <c r="M462" s="3"/>
      <c r="O462" s="3"/>
      <c r="S462" s="3"/>
      <c r="T462" s="3"/>
      <c r="U462" s="3"/>
      <c r="V462" s="3"/>
      <c r="W462" s="3">
        <f t="shared" si="7"/>
        <v>0</v>
      </c>
      <c r="X462" s="44"/>
      <c r="AA462"/>
    </row>
    <row r="463" spans="3:36">
      <c r="C463">
        <v>5360</v>
      </c>
      <c r="E463">
        <v>94191000</v>
      </c>
      <c r="H463" t="s">
        <v>931</v>
      </c>
      <c r="K463" s="3">
        <v>-177271.78</v>
      </c>
      <c r="M463" s="3">
        <v>341555.41</v>
      </c>
      <c r="O463" s="3">
        <v>-518827.19</v>
      </c>
      <c r="Q463">
        <v>-151.9</v>
      </c>
      <c r="S463" s="3"/>
      <c r="T463" s="3"/>
      <c r="U463" s="3"/>
      <c r="V463" s="3"/>
      <c r="W463" s="3">
        <f t="shared" si="7"/>
        <v>-177271.78</v>
      </c>
      <c r="X463" s="619" t="s">
        <v>212</v>
      </c>
      <c r="AA463"/>
      <c r="AJ463" s="31"/>
    </row>
    <row r="464" spans="3:36">
      <c r="E464" t="s">
        <v>932</v>
      </c>
      <c r="K464" s="3">
        <v>-177271.78</v>
      </c>
      <c r="M464" s="3">
        <v>341555.41</v>
      </c>
      <c r="O464" s="3">
        <v>-518827.19</v>
      </c>
      <c r="Q464">
        <v>-151.9</v>
      </c>
      <c r="R464" t="s">
        <v>611</v>
      </c>
      <c r="S464" s="3">
        <f>SUM(S463)</f>
        <v>0</v>
      </c>
      <c r="T464" s="3">
        <f>SUM(T463)</f>
        <v>0</v>
      </c>
      <c r="U464" s="3">
        <f>SUM(U463)</f>
        <v>0</v>
      </c>
      <c r="V464" s="3">
        <f>SUM(V463)</f>
        <v>0</v>
      </c>
      <c r="W464" s="3">
        <f t="shared" si="7"/>
        <v>-177271.78</v>
      </c>
      <c r="X464" s="619"/>
      <c r="AA464"/>
      <c r="AJ464" s="31"/>
    </row>
    <row r="465" spans="3:36">
      <c r="K465" s="3"/>
      <c r="M465" s="3"/>
      <c r="O465" s="3"/>
      <c r="S465" s="3"/>
      <c r="T465" s="3"/>
      <c r="U465" s="3"/>
      <c r="V465" s="3"/>
      <c r="W465" s="3">
        <f t="shared" si="7"/>
        <v>0</v>
      </c>
      <c r="X465" s="44"/>
      <c r="AA465"/>
    </row>
    <row r="466" spans="3:36">
      <c r="C466">
        <v>5360</v>
      </c>
      <c r="D466" t="s">
        <v>537</v>
      </c>
      <c r="E466">
        <v>94181000</v>
      </c>
      <c r="H466" t="s">
        <v>933</v>
      </c>
      <c r="K466" s="3">
        <v>0</v>
      </c>
      <c r="M466" s="3">
        <v>0</v>
      </c>
      <c r="O466" s="3">
        <v>0</v>
      </c>
      <c r="S466" s="3"/>
      <c r="T466" s="3"/>
      <c r="U466" s="3"/>
      <c r="V466" s="3"/>
      <c r="W466" s="3">
        <f t="shared" si="7"/>
        <v>0</v>
      </c>
      <c r="X466" s="619" t="s">
        <v>209</v>
      </c>
      <c r="AA466"/>
    </row>
    <row r="467" spans="3:36">
      <c r="E467" t="s">
        <v>934</v>
      </c>
      <c r="K467" s="3">
        <v>0</v>
      </c>
      <c r="M467" s="3">
        <v>0</v>
      </c>
      <c r="O467" s="3">
        <v>0</v>
      </c>
      <c r="R467" t="s">
        <v>611</v>
      </c>
      <c r="S467" s="3">
        <f>SUM(S466)</f>
        <v>0</v>
      </c>
      <c r="T467" s="3">
        <f>SUM(T466)</f>
        <v>0</v>
      </c>
      <c r="U467" s="3">
        <f>SUM(U466)</f>
        <v>0</v>
      </c>
      <c r="V467" s="3">
        <f>SUM(V466)</f>
        <v>0</v>
      </c>
      <c r="W467" s="3">
        <f t="shared" si="7"/>
        <v>0</v>
      </c>
      <c r="X467" s="619"/>
      <c r="AA467"/>
    </row>
    <row r="468" spans="3:36">
      <c r="K468" s="3"/>
      <c r="M468" s="3"/>
      <c r="O468" s="3"/>
      <c r="S468" s="3"/>
      <c r="T468" s="3"/>
      <c r="U468" s="3"/>
      <c r="V468" s="3"/>
      <c r="W468" s="3">
        <f t="shared" si="7"/>
        <v>0</v>
      </c>
      <c r="X468" s="44"/>
      <c r="AA468"/>
    </row>
    <row r="469" spans="3:36">
      <c r="C469">
        <v>5360</v>
      </c>
      <c r="D469" t="s">
        <v>537</v>
      </c>
      <c r="E469">
        <v>94092000</v>
      </c>
      <c r="H469" t="s">
        <v>935</v>
      </c>
      <c r="K469" s="3">
        <v>0</v>
      </c>
      <c r="M469" s="3">
        <v>0</v>
      </c>
      <c r="O469" s="3">
        <v>0</v>
      </c>
      <c r="S469" s="3"/>
      <c r="T469" s="3"/>
      <c r="U469" s="3"/>
      <c r="V469" s="3"/>
      <c r="W469" s="3">
        <f t="shared" si="7"/>
        <v>0</v>
      </c>
      <c r="X469" s="44" t="s">
        <v>209</v>
      </c>
    </row>
    <row r="470" spans="3:36">
      <c r="C470">
        <v>5360</v>
      </c>
      <c r="D470" t="s">
        <v>537</v>
      </c>
      <c r="E470">
        <v>94092300</v>
      </c>
      <c r="H470" t="s">
        <v>937</v>
      </c>
      <c r="K470" s="3">
        <v>0</v>
      </c>
      <c r="M470" s="3">
        <v>0</v>
      </c>
      <c r="O470" s="3">
        <v>0</v>
      </c>
      <c r="W470" s="3">
        <f t="shared" si="7"/>
        <v>0</v>
      </c>
      <c r="X470" s="44" t="s">
        <v>209</v>
      </c>
      <c r="AA470"/>
    </row>
    <row r="471" spans="3:36">
      <c r="C471">
        <v>5360</v>
      </c>
      <c r="D471" t="s">
        <v>537</v>
      </c>
      <c r="E471">
        <v>94093000</v>
      </c>
      <c r="H471" t="s">
        <v>346</v>
      </c>
      <c r="K471" s="3">
        <v>0</v>
      </c>
      <c r="M471" s="3">
        <v>0</v>
      </c>
      <c r="O471" s="3">
        <v>0</v>
      </c>
      <c r="S471" s="3"/>
      <c r="T471" s="3"/>
      <c r="U471" s="3"/>
      <c r="V471" s="3"/>
      <c r="W471" s="3">
        <f t="shared" si="7"/>
        <v>0</v>
      </c>
      <c r="X471" s="44" t="s">
        <v>209</v>
      </c>
      <c r="AA471"/>
    </row>
    <row r="472" spans="3:36">
      <c r="C472">
        <v>5360</v>
      </c>
      <c r="D472" t="s">
        <v>537</v>
      </c>
      <c r="E472">
        <v>94094000</v>
      </c>
      <c r="H472" t="s">
        <v>628</v>
      </c>
      <c r="K472" s="3">
        <v>0</v>
      </c>
      <c r="M472" s="3">
        <v>0</v>
      </c>
      <c r="O472" s="3">
        <v>0</v>
      </c>
      <c r="S472" s="3"/>
      <c r="T472" s="3"/>
      <c r="U472" s="3"/>
      <c r="V472" s="3"/>
      <c r="W472" s="3">
        <f t="shared" si="7"/>
        <v>0</v>
      </c>
      <c r="X472" s="144" t="s">
        <v>580</v>
      </c>
      <c r="AA472"/>
    </row>
    <row r="473" spans="3:36">
      <c r="E473" t="s">
        <v>938</v>
      </c>
      <c r="K473" s="3">
        <v>0</v>
      </c>
      <c r="M473" s="3">
        <v>0</v>
      </c>
      <c r="O473" s="3">
        <v>0</v>
      </c>
      <c r="R473" t="s">
        <v>658</v>
      </c>
      <c r="S473" s="3">
        <f>SUM(S469:S472)</f>
        <v>0</v>
      </c>
      <c r="T473" s="3">
        <f>SUM(T469:T472)</f>
        <v>0</v>
      </c>
      <c r="U473" s="3">
        <f>SUM(U469:U472)</f>
        <v>0</v>
      </c>
      <c r="V473" s="3">
        <f>SUM(V469:V472)</f>
        <v>0</v>
      </c>
      <c r="W473" s="3">
        <f t="shared" si="7"/>
        <v>0</v>
      </c>
      <c r="X473" s="44"/>
      <c r="AA473"/>
    </row>
    <row r="474" spans="3:36">
      <c r="C474">
        <v>5360</v>
      </c>
      <c r="D474" t="s">
        <v>537</v>
      </c>
      <c r="E474">
        <v>94102000</v>
      </c>
      <c r="H474" t="s">
        <v>341</v>
      </c>
      <c r="K474" s="3">
        <v>0</v>
      </c>
      <c r="M474" s="3">
        <v>0</v>
      </c>
      <c r="O474" s="3">
        <v>0</v>
      </c>
      <c r="S474" s="3"/>
      <c r="T474" s="3"/>
      <c r="U474" s="3"/>
      <c r="V474" s="3"/>
      <c r="W474" s="3">
        <f t="shared" si="7"/>
        <v>0</v>
      </c>
      <c r="X474" s="144" t="s">
        <v>209</v>
      </c>
    </row>
    <row r="475" spans="3:36">
      <c r="E475" t="s">
        <v>939</v>
      </c>
      <c r="K475" s="3">
        <v>0</v>
      </c>
      <c r="M475" s="3">
        <v>0</v>
      </c>
      <c r="O475" s="3">
        <v>0</v>
      </c>
      <c r="R475" t="s">
        <v>658</v>
      </c>
      <c r="S475" s="3">
        <f>SUM(S474)</f>
        <v>0</v>
      </c>
      <c r="T475" s="3">
        <f>SUM(T474)</f>
        <v>0</v>
      </c>
      <c r="U475" s="3">
        <f>SUM(U474)</f>
        <v>0</v>
      </c>
      <c r="V475" s="3">
        <f>SUM(V474)</f>
        <v>0</v>
      </c>
      <c r="W475" s="3">
        <f t="shared" si="7"/>
        <v>0</v>
      </c>
      <c r="X475" s="619"/>
      <c r="AA475"/>
    </row>
    <row r="476" spans="3:36">
      <c r="E476" t="s">
        <v>928</v>
      </c>
      <c r="K476" s="3">
        <v>0</v>
      </c>
      <c r="M476" s="3">
        <v>0</v>
      </c>
      <c r="O476" s="3">
        <v>0</v>
      </c>
      <c r="R476" t="s">
        <v>569</v>
      </c>
      <c r="S476" s="3">
        <f>S473+S475</f>
        <v>0</v>
      </c>
      <c r="T476" s="3">
        <f>T473+T475</f>
        <v>0</v>
      </c>
      <c r="U476" s="3">
        <f>U473+U475</f>
        <v>0</v>
      </c>
      <c r="V476" s="3">
        <f>V473+V475</f>
        <v>0</v>
      </c>
      <c r="W476" s="3">
        <f t="shared" si="7"/>
        <v>0</v>
      </c>
      <c r="X476" s="44"/>
      <c r="AA476"/>
    </row>
    <row r="477" spans="3:36">
      <c r="C477">
        <v>5360</v>
      </c>
      <c r="E477">
        <v>94170000</v>
      </c>
      <c r="H477" t="s">
        <v>329</v>
      </c>
      <c r="K477" s="3">
        <v>-120229.93</v>
      </c>
      <c r="M477" s="3">
        <v>-104975.16</v>
      </c>
      <c r="O477" s="3">
        <v>-15254.77</v>
      </c>
      <c r="Q477">
        <v>-14.5</v>
      </c>
      <c r="S477" s="3"/>
      <c r="T477" s="3"/>
      <c r="U477" s="3"/>
      <c r="V477" s="3"/>
      <c r="W477" s="3">
        <f t="shared" si="7"/>
        <v>-120229.93</v>
      </c>
      <c r="X477" s="44" t="s">
        <v>209</v>
      </c>
      <c r="AA477"/>
      <c r="AJ477" s="31"/>
    </row>
    <row r="478" spans="3:36">
      <c r="C478">
        <v>5360</v>
      </c>
      <c r="E478">
        <v>94171000</v>
      </c>
      <c r="H478" t="s">
        <v>317</v>
      </c>
      <c r="K478" s="3">
        <v>81897</v>
      </c>
      <c r="M478" s="3">
        <v>553290.49</v>
      </c>
      <c r="O478" s="3">
        <v>-471393.49</v>
      </c>
      <c r="Q478">
        <v>-85.2</v>
      </c>
      <c r="S478" s="3"/>
      <c r="T478" s="3"/>
      <c r="U478" s="3"/>
      <c r="V478" s="3"/>
      <c r="W478" s="3">
        <f t="shared" si="7"/>
        <v>81897</v>
      </c>
      <c r="X478" s="144" t="s">
        <v>209</v>
      </c>
      <c r="AA478"/>
      <c r="AJ478" s="31"/>
    </row>
    <row r="479" spans="3:36">
      <c r="E479" t="s">
        <v>940</v>
      </c>
      <c r="K479" s="3">
        <v>-38332.93</v>
      </c>
      <c r="M479" s="3">
        <v>448315.33</v>
      </c>
      <c r="O479" s="3">
        <v>-486648.26</v>
      </c>
      <c r="Q479">
        <v>-108.6</v>
      </c>
      <c r="R479" t="s">
        <v>569</v>
      </c>
      <c r="S479" s="3">
        <f>SUM(S477:S478)</f>
        <v>0</v>
      </c>
      <c r="T479" s="3">
        <f>SUM(T477:T478)</f>
        <v>0</v>
      </c>
      <c r="U479" s="3">
        <f>SUM(U477:U478)</f>
        <v>0</v>
      </c>
      <c r="V479" s="3">
        <f>SUM(V477:V478)</f>
        <v>0</v>
      </c>
      <c r="W479" s="3">
        <f t="shared" si="7"/>
        <v>-38332.93</v>
      </c>
      <c r="X479" s="44"/>
      <c r="AA479"/>
      <c r="AJ479" s="31"/>
    </row>
    <row r="480" spans="3:36">
      <c r="C480">
        <v>5360</v>
      </c>
      <c r="E480">
        <v>94180000</v>
      </c>
      <c r="H480" t="s">
        <v>330</v>
      </c>
      <c r="K480" s="3">
        <v>0</v>
      </c>
      <c r="M480" s="3">
        <v>0</v>
      </c>
      <c r="O480" s="3">
        <v>0</v>
      </c>
      <c r="S480" s="3"/>
      <c r="T480" s="3"/>
      <c r="U480" s="3"/>
      <c r="V480" s="3"/>
      <c r="W480" s="3">
        <f t="shared" si="7"/>
        <v>0</v>
      </c>
      <c r="X480" s="144" t="s">
        <v>209</v>
      </c>
      <c r="AA480"/>
    </row>
    <row r="481" spans="3:36">
      <c r="E481" t="s">
        <v>330</v>
      </c>
      <c r="K481" s="3">
        <v>0</v>
      </c>
      <c r="M481" s="3">
        <v>0</v>
      </c>
      <c r="O481" s="3">
        <v>0</v>
      </c>
      <c r="R481" t="s">
        <v>569</v>
      </c>
      <c r="S481" s="3">
        <f>SUM(S480)</f>
        <v>0</v>
      </c>
      <c r="T481" s="3">
        <f>SUM(T480)</f>
        <v>0</v>
      </c>
      <c r="U481" s="3">
        <f>SUM(U480)</f>
        <v>0</v>
      </c>
      <c r="V481" s="3">
        <f>SUM(V480)</f>
        <v>0</v>
      </c>
      <c r="W481" s="3">
        <f t="shared" si="7"/>
        <v>0</v>
      </c>
      <c r="X481" s="44"/>
      <c r="AA481"/>
    </row>
    <row r="482" spans="3:36">
      <c r="C482">
        <v>5360</v>
      </c>
      <c r="E482">
        <v>94190000</v>
      </c>
      <c r="H482" t="s">
        <v>331</v>
      </c>
      <c r="K482" s="3">
        <v>-464138.85</v>
      </c>
      <c r="M482" s="3">
        <v>-957019.5</v>
      </c>
      <c r="O482" s="3">
        <v>492880.65</v>
      </c>
      <c r="Q482">
        <v>51.5</v>
      </c>
      <c r="S482" s="3"/>
      <c r="T482" s="3"/>
      <c r="U482" s="3"/>
      <c r="V482" s="3"/>
      <c r="W482" s="3">
        <f t="shared" si="7"/>
        <v>-464138.85</v>
      </c>
      <c r="X482" s="144" t="s">
        <v>209</v>
      </c>
      <c r="Y482" s="40" t="s">
        <v>941</v>
      </c>
      <c r="Z482" s="32">
        <f>'94190000'!B6</f>
        <v>-46153.14</v>
      </c>
      <c r="AA482"/>
      <c r="AJ482" s="31"/>
    </row>
    <row r="483" spans="3:36">
      <c r="E483" t="s">
        <v>942</v>
      </c>
      <c r="K483" s="3">
        <v>-464138.85</v>
      </c>
      <c r="M483" s="3">
        <v>-957019.5</v>
      </c>
      <c r="O483" s="3">
        <v>492880.65</v>
      </c>
      <c r="Q483">
        <v>51.5</v>
      </c>
      <c r="R483" t="s">
        <v>569</v>
      </c>
      <c r="S483" s="3">
        <f>SUM(S482)</f>
        <v>0</v>
      </c>
      <c r="T483" s="3">
        <f>SUM(T482)</f>
        <v>0</v>
      </c>
      <c r="U483" s="3">
        <f>SUM(U482)</f>
        <v>0</v>
      </c>
      <c r="V483" s="3">
        <f>SUM(V482)</f>
        <v>0</v>
      </c>
      <c r="W483" s="3">
        <f t="shared" si="7"/>
        <v>-464138.85</v>
      </c>
      <c r="X483" s="44"/>
      <c r="AA483"/>
      <c r="AJ483" s="31"/>
    </row>
    <row r="484" spans="3:36">
      <c r="C484">
        <v>5360</v>
      </c>
      <c r="E484">
        <v>94210000</v>
      </c>
      <c r="H484" t="s">
        <v>320</v>
      </c>
      <c r="K484" s="3">
        <v>-209453.47</v>
      </c>
      <c r="M484" s="3">
        <v>-144469.39000000001</v>
      </c>
      <c r="O484" s="3">
        <v>-64984.08</v>
      </c>
      <c r="Q484">
        <v>-45</v>
      </c>
      <c r="S484" s="3"/>
      <c r="T484" s="3"/>
      <c r="U484" s="3"/>
      <c r="V484" s="3"/>
      <c r="W484" s="3">
        <f t="shared" si="7"/>
        <v>-209453.47</v>
      </c>
      <c r="X484" s="144" t="s">
        <v>209</v>
      </c>
      <c r="AA484"/>
      <c r="AJ484" s="31"/>
    </row>
    <row r="485" spans="3:36">
      <c r="E485" t="s">
        <v>320</v>
      </c>
      <c r="K485" s="3">
        <v>-209453.47</v>
      </c>
      <c r="M485" s="3">
        <v>-144469.39000000001</v>
      </c>
      <c r="O485" s="3">
        <v>-64984.08</v>
      </c>
      <c r="Q485">
        <v>-45</v>
      </c>
      <c r="R485" t="s">
        <v>569</v>
      </c>
      <c r="S485" s="3">
        <f>SUM(S484)</f>
        <v>0</v>
      </c>
      <c r="T485" s="3">
        <f>SUM(T484)</f>
        <v>0</v>
      </c>
      <c r="U485" s="3">
        <f>SUM(U484)</f>
        <v>0</v>
      </c>
      <c r="V485" s="3">
        <f>SUM(V484)</f>
        <v>0</v>
      </c>
      <c r="W485" s="3">
        <f t="shared" si="7"/>
        <v>-209453.47</v>
      </c>
      <c r="X485" s="44"/>
      <c r="AA485"/>
      <c r="AJ485" s="31"/>
    </row>
    <row r="486" spans="3:36">
      <c r="C486">
        <v>5360</v>
      </c>
      <c r="D486" t="s">
        <v>537</v>
      </c>
      <c r="E486">
        <v>94211000</v>
      </c>
      <c r="H486" t="s">
        <v>332</v>
      </c>
      <c r="K486" s="3">
        <v>0</v>
      </c>
      <c r="M486" s="3">
        <v>0</v>
      </c>
      <c r="O486" s="3">
        <v>0</v>
      </c>
      <c r="S486" s="3"/>
      <c r="T486" s="3"/>
      <c r="U486" s="3"/>
      <c r="V486" s="3"/>
      <c r="W486" s="3">
        <f t="shared" si="7"/>
        <v>0</v>
      </c>
      <c r="X486" s="144" t="s">
        <v>209</v>
      </c>
      <c r="AA486"/>
    </row>
    <row r="487" spans="3:36">
      <c r="E487" t="s">
        <v>943</v>
      </c>
      <c r="K487" s="3">
        <v>0</v>
      </c>
      <c r="M487" s="3">
        <v>0</v>
      </c>
      <c r="O487" s="3">
        <v>0</v>
      </c>
      <c r="R487" t="s">
        <v>569</v>
      </c>
      <c r="S487" s="3">
        <f>SUM(S486)</f>
        <v>0</v>
      </c>
      <c r="T487" s="3">
        <f>SUM(T486)</f>
        <v>0</v>
      </c>
      <c r="U487" s="3">
        <f>SUM(U486)</f>
        <v>0</v>
      </c>
      <c r="V487" s="3">
        <f>SUM(V486)</f>
        <v>0</v>
      </c>
      <c r="W487" s="3">
        <f t="shared" si="7"/>
        <v>0</v>
      </c>
      <c r="X487" s="44"/>
      <c r="AA487"/>
    </row>
    <row r="488" spans="3:36">
      <c r="C488">
        <v>5360</v>
      </c>
      <c r="D488" t="s">
        <v>537</v>
      </c>
      <c r="E488">
        <v>94250000</v>
      </c>
      <c r="H488" t="s">
        <v>335</v>
      </c>
      <c r="K488" s="3">
        <v>0</v>
      </c>
      <c r="M488" s="3">
        <v>0</v>
      </c>
      <c r="O488" s="3">
        <v>0</v>
      </c>
      <c r="S488" s="3"/>
      <c r="T488" s="3"/>
      <c r="U488" s="3"/>
      <c r="V488" s="3"/>
      <c r="W488" s="3">
        <f t="shared" si="7"/>
        <v>0</v>
      </c>
      <c r="X488" s="619" t="s">
        <v>209</v>
      </c>
      <c r="AA488"/>
    </row>
    <row r="489" spans="3:36">
      <c r="E489" t="s">
        <v>944</v>
      </c>
      <c r="K489" s="3">
        <v>0</v>
      </c>
      <c r="M489" s="3">
        <v>0</v>
      </c>
      <c r="O489" s="3">
        <v>0</v>
      </c>
      <c r="R489" t="s">
        <v>569</v>
      </c>
      <c r="S489" s="3">
        <f>SUM(S488)</f>
        <v>0</v>
      </c>
      <c r="T489" s="3">
        <f>SUM(T488)</f>
        <v>0</v>
      </c>
      <c r="U489" s="3">
        <f>SUM(U488)</f>
        <v>0</v>
      </c>
      <c r="V489" s="3">
        <f>SUM(V488)</f>
        <v>0</v>
      </c>
      <c r="W489" s="3">
        <f t="shared" si="7"/>
        <v>0</v>
      </c>
      <c r="X489" s="44"/>
      <c r="AA489"/>
    </row>
    <row r="490" spans="3:36">
      <c r="C490">
        <v>5360</v>
      </c>
      <c r="E490">
        <v>94212000</v>
      </c>
      <c r="H490" t="s">
        <v>334</v>
      </c>
      <c r="K490" s="3">
        <v>0</v>
      </c>
      <c r="M490" s="3">
        <v>6051.77</v>
      </c>
      <c r="O490" s="3">
        <v>-6051.77</v>
      </c>
      <c r="Q490">
        <v>-100</v>
      </c>
      <c r="S490" s="3"/>
      <c r="T490" s="3"/>
      <c r="U490" s="3"/>
      <c r="V490" s="3"/>
      <c r="W490" s="3">
        <f t="shared" si="7"/>
        <v>0</v>
      </c>
      <c r="X490" s="144" t="s">
        <v>209</v>
      </c>
      <c r="AA490"/>
    </row>
    <row r="491" spans="3:36">
      <c r="E491" t="s">
        <v>945</v>
      </c>
      <c r="K491" s="3">
        <v>0</v>
      </c>
      <c r="M491" s="3">
        <v>6051.77</v>
      </c>
      <c r="O491" s="3">
        <v>-6051.77</v>
      </c>
      <c r="Q491">
        <v>-100</v>
      </c>
      <c r="R491" t="s">
        <v>658</v>
      </c>
      <c r="S491" s="3">
        <f>SUM(S490)</f>
        <v>0</v>
      </c>
      <c r="T491" s="3">
        <f>SUM(T490)</f>
        <v>0</v>
      </c>
      <c r="U491" s="3">
        <f>SUM(U490)</f>
        <v>0</v>
      </c>
      <c r="V491" s="3">
        <f>SUM(V490)</f>
        <v>0</v>
      </c>
      <c r="W491" s="3">
        <f t="shared" si="7"/>
        <v>0</v>
      </c>
      <c r="X491" s="44"/>
      <c r="AA491"/>
    </row>
    <row r="492" spans="3:36">
      <c r="C492">
        <v>5360</v>
      </c>
      <c r="E492">
        <v>94261000</v>
      </c>
      <c r="H492" t="s">
        <v>310</v>
      </c>
      <c r="K492" s="3">
        <v>279495.69</v>
      </c>
      <c r="M492" s="3">
        <v>778274.35</v>
      </c>
      <c r="O492" s="3">
        <v>-498778.66</v>
      </c>
      <c r="Q492">
        <v>-64.099999999999994</v>
      </c>
      <c r="S492" s="9"/>
      <c r="T492" s="3"/>
      <c r="U492" s="3"/>
      <c r="V492" s="3"/>
      <c r="W492" s="3">
        <f t="shared" si="7"/>
        <v>279495.69</v>
      </c>
      <c r="X492" s="144" t="s">
        <v>209</v>
      </c>
      <c r="AA492"/>
      <c r="AJ492" s="31"/>
    </row>
    <row r="493" spans="3:36">
      <c r="E493" t="s">
        <v>310</v>
      </c>
      <c r="K493" s="3">
        <v>279495.69</v>
      </c>
      <c r="M493" s="3">
        <v>778274.35</v>
      </c>
      <c r="O493" s="3">
        <v>-498778.66</v>
      </c>
      <c r="Q493">
        <v>-64.099999999999994</v>
      </c>
      <c r="R493" t="s">
        <v>658</v>
      </c>
      <c r="S493" s="3">
        <f>SUM(S492)</f>
        <v>0</v>
      </c>
      <c r="T493" s="3">
        <f>SUM(T492)</f>
        <v>0</v>
      </c>
      <c r="U493" s="3">
        <f>SUM(U492)</f>
        <v>0</v>
      </c>
      <c r="V493" s="3">
        <f>SUM(V492)</f>
        <v>0</v>
      </c>
      <c r="W493" s="3">
        <f t="shared" si="7"/>
        <v>279495.69</v>
      </c>
      <c r="X493" s="44"/>
      <c r="AA493"/>
      <c r="AJ493" s="31"/>
    </row>
    <row r="494" spans="3:36">
      <c r="C494">
        <v>5360</v>
      </c>
      <c r="D494" t="s">
        <v>537</v>
      </c>
      <c r="E494">
        <v>94260000</v>
      </c>
      <c r="H494" t="s">
        <v>336</v>
      </c>
      <c r="K494" s="3">
        <v>0</v>
      </c>
      <c r="M494" s="3">
        <v>0</v>
      </c>
      <c r="O494" s="3">
        <v>0</v>
      </c>
      <c r="S494" s="3"/>
      <c r="T494" s="3"/>
      <c r="U494" s="3"/>
      <c r="V494" s="3"/>
      <c r="W494" s="3">
        <f t="shared" si="7"/>
        <v>0</v>
      </c>
      <c r="X494" s="44" t="s">
        <v>209</v>
      </c>
      <c r="AA494"/>
    </row>
    <row r="495" spans="3:36">
      <c r="C495">
        <v>5360</v>
      </c>
      <c r="E495">
        <v>94262000</v>
      </c>
      <c r="H495" t="s">
        <v>337</v>
      </c>
      <c r="K495" s="3">
        <v>581.1</v>
      </c>
      <c r="M495" s="3">
        <v>793.2</v>
      </c>
      <c r="O495" s="3">
        <v>-212.1</v>
      </c>
      <c r="Q495">
        <v>-26.7</v>
      </c>
      <c r="S495" s="3"/>
      <c r="T495" s="3"/>
      <c r="U495" s="3"/>
      <c r="V495" s="3"/>
      <c r="W495" s="3">
        <f t="shared" si="7"/>
        <v>581.1</v>
      </c>
      <c r="X495" s="44" t="s">
        <v>209</v>
      </c>
      <c r="AA495"/>
      <c r="AJ495" s="31"/>
    </row>
    <row r="496" spans="3:36">
      <c r="C496">
        <v>5360</v>
      </c>
      <c r="E496">
        <v>94263000</v>
      </c>
      <c r="H496" t="s">
        <v>312</v>
      </c>
      <c r="K496" s="3">
        <v>486836.53</v>
      </c>
      <c r="M496" s="3">
        <v>160918.82</v>
      </c>
      <c r="O496" s="3">
        <v>325917.71000000002</v>
      </c>
      <c r="Q496">
        <v>202.5</v>
      </c>
      <c r="S496" s="3"/>
      <c r="T496" s="3"/>
      <c r="U496" s="3"/>
      <c r="V496" s="3"/>
      <c r="W496" s="3">
        <f t="shared" si="7"/>
        <v>486836.53</v>
      </c>
      <c r="X496" s="44" t="s">
        <v>209</v>
      </c>
      <c r="AA496"/>
      <c r="AJ496" s="31"/>
    </row>
    <row r="497" spans="3:36">
      <c r="C497">
        <v>5360</v>
      </c>
      <c r="E497">
        <v>94264000</v>
      </c>
      <c r="H497" t="s">
        <v>338</v>
      </c>
      <c r="K497" s="3">
        <v>199485.91</v>
      </c>
      <c r="M497" s="3">
        <v>200341.86</v>
      </c>
      <c r="O497" s="3">
        <v>-855.95</v>
      </c>
      <c r="Q497">
        <v>-0.4</v>
      </c>
      <c r="S497" s="153"/>
      <c r="T497" s="3"/>
      <c r="U497" s="3"/>
      <c r="V497" s="3"/>
      <c r="W497" s="3">
        <f t="shared" si="7"/>
        <v>199485.91</v>
      </c>
      <c r="X497" s="44" t="s">
        <v>209</v>
      </c>
      <c r="AA497"/>
      <c r="AJ497" s="31"/>
    </row>
    <row r="498" spans="3:36">
      <c r="C498" s="326">
        <v>5360</v>
      </c>
      <c r="D498" s="326"/>
      <c r="E498" s="326">
        <v>94265000</v>
      </c>
      <c r="F498" s="326"/>
      <c r="G498" s="326"/>
      <c r="H498" s="326" t="s">
        <v>339</v>
      </c>
      <c r="I498" s="326"/>
      <c r="J498" s="326"/>
      <c r="K498" s="327">
        <v>-1498466.85</v>
      </c>
      <c r="L498" s="326"/>
      <c r="M498" s="327">
        <v>1458273.95</v>
      </c>
      <c r="N498" s="326"/>
      <c r="O498" s="327">
        <v>-2956740.8</v>
      </c>
      <c r="Q498">
        <v>-202.8</v>
      </c>
      <c r="S498" s="9"/>
      <c r="T498" s="3"/>
      <c r="U498" s="3"/>
      <c r="V498" s="3"/>
      <c r="W498" s="3">
        <f t="shared" si="7"/>
        <v>-1498466.85</v>
      </c>
      <c r="X498" s="144" t="s">
        <v>209</v>
      </c>
      <c r="Y498" t="s">
        <v>946</v>
      </c>
      <c r="AA498"/>
      <c r="AJ498" s="31"/>
    </row>
    <row r="499" spans="3:36">
      <c r="E499" t="s">
        <v>322</v>
      </c>
      <c r="K499" s="3">
        <v>-811563.31</v>
      </c>
      <c r="M499" s="3">
        <v>1820327.83</v>
      </c>
      <c r="O499" s="3">
        <v>-2631891.14</v>
      </c>
      <c r="Q499">
        <v>-144.6</v>
      </c>
      <c r="R499" t="s">
        <v>658</v>
      </c>
      <c r="S499" s="3">
        <f>SUM(S494:S498)</f>
        <v>0</v>
      </c>
      <c r="T499" s="3">
        <f>SUM(T494:T498)</f>
        <v>0</v>
      </c>
      <c r="U499" s="3">
        <f>SUM(U494:U498)</f>
        <v>0</v>
      </c>
      <c r="V499" s="3">
        <f>SUM(V494:V498)</f>
        <v>0</v>
      </c>
      <c r="W499" s="3">
        <f t="shared" si="7"/>
        <v>-811563.31</v>
      </c>
      <c r="X499" s="619"/>
      <c r="Y499" s="145">
        <f>SUMIF(X:X,"N",W:W)</f>
        <v>-1243992.8700000001</v>
      </c>
      <c r="Z499" t="s">
        <v>947</v>
      </c>
      <c r="AA499"/>
      <c r="AJ499" s="31"/>
    </row>
    <row r="500" spans="3:36">
      <c r="E500" t="s">
        <v>333</v>
      </c>
      <c r="K500" s="3">
        <v>-532067.62</v>
      </c>
      <c r="M500" s="3">
        <v>2604653.9500000002</v>
      </c>
      <c r="O500" s="3">
        <v>-3136721.57</v>
      </c>
      <c r="Q500">
        <v>-120.4</v>
      </c>
      <c r="R500" t="s">
        <v>569</v>
      </c>
      <c r="S500" s="3">
        <f>S491+S493+S499</f>
        <v>0</v>
      </c>
      <c r="T500" s="3">
        <f>T491+T493+T499</f>
        <v>0</v>
      </c>
      <c r="U500" s="3">
        <f>U491+U493+U499</f>
        <v>0</v>
      </c>
      <c r="V500" s="3">
        <f>V491+V493+V499</f>
        <v>0</v>
      </c>
      <c r="W500" s="3">
        <f t="shared" si="7"/>
        <v>-532067.62</v>
      </c>
      <c r="X500" s="619"/>
      <c r="Y500" s="32"/>
      <c r="AA500"/>
      <c r="AJ500" s="31"/>
    </row>
    <row r="501" spans="3:36">
      <c r="E501" t="s">
        <v>948</v>
      </c>
      <c r="K501" s="3">
        <v>-1243992.8700000001</v>
      </c>
      <c r="M501" s="3">
        <v>1951480.39</v>
      </c>
      <c r="O501" s="3">
        <v>-3195473.26</v>
      </c>
      <c r="Q501">
        <v>-163.69999999999999</v>
      </c>
      <c r="R501" t="s">
        <v>611</v>
      </c>
      <c r="S501" s="3">
        <f>S476+S479+S481+S483+S485+S487+S489+S500</f>
        <v>0</v>
      </c>
      <c r="T501" s="3">
        <f>T476+T479+T481+T483+T485+T487+T489+T500</f>
        <v>0</v>
      </c>
      <c r="U501" s="3">
        <f>U476+U479+U481+U483+U485+U487+U489+U500</f>
        <v>0</v>
      </c>
      <c r="V501" s="3">
        <f>V476+V479+V481+V483+V485+V487+V489+V500</f>
        <v>0</v>
      </c>
      <c r="W501" s="3">
        <f t="shared" si="7"/>
        <v>-1243992.8700000001</v>
      </c>
      <c r="X501" s="619"/>
      <c r="Y501" s="32"/>
      <c r="AA501"/>
      <c r="AJ501" s="31"/>
    </row>
    <row r="502" spans="3:36">
      <c r="K502" s="3"/>
      <c r="M502" s="3"/>
      <c r="O502" s="3"/>
      <c r="S502" s="3"/>
      <c r="T502" s="3"/>
      <c r="U502" s="3"/>
      <c r="V502" s="3"/>
      <c r="W502" s="3">
        <f t="shared" si="7"/>
        <v>0</v>
      </c>
      <c r="X502" s="619"/>
      <c r="Y502" s="32"/>
      <c r="AA502"/>
    </row>
    <row r="503" spans="3:36">
      <c r="E503" t="s">
        <v>949</v>
      </c>
      <c r="K503" s="3">
        <v>-1421264.65</v>
      </c>
      <c r="M503" s="3">
        <v>2293035.7999999998</v>
      </c>
      <c r="O503" s="3">
        <v>-3714300.45</v>
      </c>
      <c r="Q503">
        <v>-162</v>
      </c>
      <c r="R503" t="s">
        <v>930</v>
      </c>
      <c r="S503" s="3">
        <f>S501+S464+S467</f>
        <v>0</v>
      </c>
      <c r="T503" s="3">
        <f>T501+T464+T467</f>
        <v>0</v>
      </c>
      <c r="U503" s="3">
        <f>U501+U464+U467</f>
        <v>0</v>
      </c>
      <c r="V503" s="3">
        <f>V501+V464+V467</f>
        <v>0</v>
      </c>
      <c r="W503" s="3">
        <f t="shared" si="7"/>
        <v>-1421264.65</v>
      </c>
      <c r="X503" s="619"/>
      <c r="Y503" s="32"/>
      <c r="AA503"/>
      <c r="AJ503" s="31"/>
    </row>
    <row r="504" spans="3:36">
      <c r="K504" s="3"/>
      <c r="M504" s="3"/>
      <c r="O504" s="3"/>
      <c r="S504" s="3"/>
      <c r="T504" s="3"/>
      <c r="U504" s="3"/>
      <c r="V504" s="3"/>
      <c r="W504" s="3">
        <f t="shared" si="7"/>
        <v>0</v>
      </c>
      <c r="X504" s="44"/>
      <c r="Y504" s="32"/>
      <c r="AA504"/>
    </row>
    <row r="505" spans="3:36">
      <c r="C505">
        <v>5360</v>
      </c>
      <c r="E505">
        <v>94270000</v>
      </c>
      <c r="H505" t="s">
        <v>950</v>
      </c>
      <c r="K505" s="3">
        <v>1932796.87</v>
      </c>
      <c r="M505" s="3">
        <v>2601359.38</v>
      </c>
      <c r="O505" s="3">
        <v>-668562.51</v>
      </c>
      <c r="Q505">
        <v>-25.7</v>
      </c>
      <c r="S505" s="3"/>
      <c r="T505" s="3"/>
      <c r="U505" s="3"/>
      <c r="V505" s="3"/>
      <c r="W505" s="3">
        <f t="shared" si="7"/>
        <v>1932796.87</v>
      </c>
      <c r="X505" s="619" t="s">
        <v>210</v>
      </c>
      <c r="Y505" s="32"/>
      <c r="AA505"/>
      <c r="AJ505" s="31"/>
    </row>
    <row r="506" spans="3:36">
      <c r="E506" t="s">
        <v>950</v>
      </c>
      <c r="K506" s="3">
        <v>1932796.87</v>
      </c>
      <c r="M506" s="3">
        <v>2601359.38</v>
      </c>
      <c r="O506" s="3">
        <v>-668562.51</v>
      </c>
      <c r="Q506">
        <v>-25.7</v>
      </c>
      <c r="R506" t="s">
        <v>569</v>
      </c>
      <c r="S506" s="3">
        <f>SUM(S505)</f>
        <v>0</v>
      </c>
      <c r="T506" s="3">
        <f>SUM(T505)</f>
        <v>0</v>
      </c>
      <c r="U506" s="3">
        <f>SUM(U505)</f>
        <v>0</v>
      </c>
      <c r="V506" s="3">
        <f>SUM(V505)</f>
        <v>0</v>
      </c>
      <c r="W506" s="3">
        <f t="shared" si="7"/>
        <v>1932796.87</v>
      </c>
      <c r="X506" s="44"/>
      <c r="Y506" s="32"/>
      <c r="AA506"/>
      <c r="AJ506" s="31"/>
    </row>
    <row r="507" spans="3:36">
      <c r="C507">
        <v>5360</v>
      </c>
      <c r="E507">
        <v>94280000</v>
      </c>
      <c r="H507" t="s">
        <v>951</v>
      </c>
      <c r="K507" s="3">
        <v>13543.11</v>
      </c>
      <c r="M507" s="3">
        <v>15891.36</v>
      </c>
      <c r="O507" s="3">
        <v>-2348.25</v>
      </c>
      <c r="Q507">
        <v>-14.8</v>
      </c>
      <c r="S507" s="3"/>
      <c r="T507" s="3"/>
      <c r="U507" s="3"/>
      <c r="V507" s="3"/>
      <c r="W507" s="3">
        <f t="shared" si="7"/>
        <v>13543.11</v>
      </c>
      <c r="X507" s="44" t="s">
        <v>210</v>
      </c>
      <c r="Y507" s="32" t="s">
        <v>952</v>
      </c>
      <c r="AA507"/>
      <c r="AJ507" s="31"/>
    </row>
    <row r="508" spans="3:36">
      <c r="C508">
        <v>5360</v>
      </c>
      <c r="D508" t="s">
        <v>537</v>
      </c>
      <c r="E508">
        <v>94290000</v>
      </c>
      <c r="H508" t="s">
        <v>953</v>
      </c>
      <c r="K508" s="3">
        <v>0</v>
      </c>
      <c r="M508" s="3">
        <v>0</v>
      </c>
      <c r="O508" s="3">
        <v>0</v>
      </c>
      <c r="S508" s="3"/>
      <c r="T508" s="3"/>
      <c r="U508" s="3"/>
      <c r="V508" s="3"/>
      <c r="W508" s="3">
        <f t="shared" si="7"/>
        <v>0</v>
      </c>
      <c r="X508" s="619" t="s">
        <v>211</v>
      </c>
      <c r="Y508" s="145">
        <f>SUMIF(X:X,"P",W:W)</f>
        <v>1946339.9800000002</v>
      </c>
      <c r="Z508" t="s">
        <v>506</v>
      </c>
      <c r="AA508"/>
    </row>
    <row r="509" spans="3:36">
      <c r="E509" t="s">
        <v>954</v>
      </c>
      <c r="K509" s="3">
        <v>13543.11</v>
      </c>
      <c r="M509" s="3">
        <v>15891.36</v>
      </c>
      <c r="O509" s="3">
        <v>-2348.25</v>
      </c>
      <c r="Q509">
        <v>-14.8</v>
      </c>
      <c r="R509" t="s">
        <v>569</v>
      </c>
      <c r="S509" s="3">
        <f>SUM(S507:S508)</f>
        <v>0</v>
      </c>
      <c r="T509" s="3">
        <f>SUM(T507:T508)</f>
        <v>0</v>
      </c>
      <c r="U509" s="3">
        <f>SUM(U507:U508)</f>
        <v>0</v>
      </c>
      <c r="V509" s="3">
        <f>SUM(V507:V508)</f>
        <v>0</v>
      </c>
      <c r="W509" s="3">
        <f t="shared" si="7"/>
        <v>13543.11</v>
      </c>
      <c r="X509" s="44"/>
      <c r="Y509" s="32"/>
      <c r="AA509"/>
      <c r="AJ509" s="31"/>
    </row>
    <row r="510" spans="3:36">
      <c r="C510">
        <v>5360</v>
      </c>
      <c r="D510" t="s">
        <v>537</v>
      </c>
      <c r="E510">
        <v>94281000</v>
      </c>
      <c r="H510" t="s">
        <v>955</v>
      </c>
      <c r="K510" s="3">
        <v>0</v>
      </c>
      <c r="M510" s="3">
        <v>0</v>
      </c>
      <c r="O510" s="3">
        <v>0</v>
      </c>
      <c r="S510" s="3"/>
      <c r="T510" s="3"/>
      <c r="U510" s="3"/>
      <c r="V510" s="3"/>
      <c r="W510" s="3">
        <f t="shared" si="7"/>
        <v>0</v>
      </c>
      <c r="X510" s="44" t="s">
        <v>211</v>
      </c>
      <c r="AA510"/>
    </row>
    <row r="511" spans="3:36">
      <c r="C511">
        <v>5360</v>
      </c>
      <c r="D511" t="s">
        <v>537</v>
      </c>
      <c r="E511">
        <v>94291000</v>
      </c>
      <c r="H511" t="s">
        <v>956</v>
      </c>
      <c r="K511" s="3">
        <v>0</v>
      </c>
      <c r="M511" s="3">
        <v>0</v>
      </c>
      <c r="O511" s="3">
        <v>0</v>
      </c>
      <c r="S511" s="3"/>
      <c r="T511" s="3"/>
      <c r="U511" s="3"/>
      <c r="V511" s="3"/>
      <c r="W511" s="3">
        <f t="shared" si="7"/>
        <v>0</v>
      </c>
      <c r="X511" s="619" t="s">
        <v>211</v>
      </c>
      <c r="AA511"/>
    </row>
    <row r="512" spans="3:36">
      <c r="E512" t="s">
        <v>957</v>
      </c>
      <c r="K512" s="3">
        <v>0</v>
      </c>
      <c r="M512" s="3">
        <v>0</v>
      </c>
      <c r="O512" s="3">
        <v>0</v>
      </c>
      <c r="R512" t="s">
        <v>569</v>
      </c>
      <c r="S512" s="3">
        <f>SUM(S510:S511)</f>
        <v>0</v>
      </c>
      <c r="T512" s="3">
        <f>SUM(T510:T511)</f>
        <v>0</v>
      </c>
      <c r="U512" s="3">
        <f>SUM(U510:U511)</f>
        <v>0</v>
      </c>
      <c r="V512" s="3">
        <f>SUM(V510:V511)</f>
        <v>0</v>
      </c>
      <c r="W512" s="3">
        <f t="shared" si="7"/>
        <v>0</v>
      </c>
      <c r="X512" s="44"/>
      <c r="AA512"/>
    </row>
    <row r="513" spans="3:36">
      <c r="C513">
        <v>5360</v>
      </c>
      <c r="D513" t="s">
        <v>537</v>
      </c>
      <c r="E513">
        <v>94300000</v>
      </c>
      <c r="H513" t="s">
        <v>958</v>
      </c>
      <c r="K513" s="3">
        <v>0</v>
      </c>
      <c r="M513" s="3">
        <v>0</v>
      </c>
      <c r="O513" s="3">
        <v>0</v>
      </c>
      <c r="S513" s="3"/>
      <c r="T513" s="3"/>
      <c r="U513" s="3"/>
      <c r="V513" s="3"/>
      <c r="W513" s="3">
        <f t="shared" si="7"/>
        <v>0</v>
      </c>
      <c r="X513" s="619" t="s">
        <v>211</v>
      </c>
      <c r="AA513"/>
    </row>
    <row r="514" spans="3:36">
      <c r="E514" t="s">
        <v>959</v>
      </c>
      <c r="K514" s="3">
        <v>0</v>
      </c>
      <c r="M514" s="3">
        <v>0</v>
      </c>
      <c r="O514" s="3">
        <v>0</v>
      </c>
      <c r="R514" t="s">
        <v>569</v>
      </c>
      <c r="S514" s="3">
        <f>SUM(S513)</f>
        <v>0</v>
      </c>
      <c r="T514" s="3">
        <f>SUM(T513)</f>
        <v>0</v>
      </c>
      <c r="U514" s="3">
        <f>SUM(U513)</f>
        <v>0</v>
      </c>
      <c r="V514" s="3">
        <f>SUM(V513)</f>
        <v>0</v>
      </c>
      <c r="W514" s="3">
        <f t="shared" si="7"/>
        <v>0</v>
      </c>
      <c r="X514" s="44"/>
      <c r="AA514"/>
    </row>
    <row r="515" spans="3:36">
      <c r="C515">
        <v>5360</v>
      </c>
      <c r="E515">
        <v>94310000</v>
      </c>
      <c r="H515" t="s">
        <v>120</v>
      </c>
      <c r="K515" s="3">
        <v>393934.38</v>
      </c>
      <c r="M515" s="3">
        <v>1229823.96</v>
      </c>
      <c r="O515" s="3">
        <v>-835889.58</v>
      </c>
      <c r="Q515">
        <v>-68</v>
      </c>
      <c r="S515" s="3"/>
      <c r="T515" s="3"/>
      <c r="U515" s="3"/>
      <c r="V515" s="3"/>
      <c r="W515" s="3">
        <f t="shared" si="7"/>
        <v>393934.38</v>
      </c>
      <c r="X515" s="619" t="s">
        <v>211</v>
      </c>
      <c r="Y515" t="s">
        <v>960</v>
      </c>
      <c r="AA515"/>
      <c r="AJ515" s="31"/>
    </row>
    <row r="516" spans="3:36">
      <c r="E516" t="s">
        <v>961</v>
      </c>
      <c r="K516" s="3">
        <v>393934.38</v>
      </c>
      <c r="M516" s="3">
        <v>1229823.96</v>
      </c>
      <c r="O516" s="3">
        <v>-835889.58</v>
      </c>
      <c r="Q516">
        <v>-68</v>
      </c>
      <c r="R516" t="s">
        <v>569</v>
      </c>
      <c r="S516" s="3">
        <f>SUM(S515)</f>
        <v>0</v>
      </c>
      <c r="T516" s="3">
        <f>SUM(T515)</f>
        <v>0</v>
      </c>
      <c r="U516" s="3">
        <f>SUM(U515)</f>
        <v>0</v>
      </c>
      <c r="V516" s="3">
        <f>SUM(V515)</f>
        <v>0</v>
      </c>
      <c r="W516" s="3">
        <f t="shared" si="7"/>
        <v>393934.38</v>
      </c>
      <c r="X516" s="44"/>
      <c r="Y516" s="145">
        <f>SUMIF(X:X,"Q",W:W)</f>
        <v>393934.38</v>
      </c>
      <c r="AA516"/>
      <c r="AJ516" s="31"/>
    </row>
    <row r="517" spans="3:36">
      <c r="C517">
        <v>5360</v>
      </c>
      <c r="E517">
        <v>94320000</v>
      </c>
      <c r="H517" t="s">
        <v>962</v>
      </c>
      <c r="K517" s="3">
        <v>-92910.68</v>
      </c>
      <c r="M517" s="3">
        <v>54233.98</v>
      </c>
      <c r="O517" s="3">
        <v>-147144.66</v>
      </c>
      <c r="Q517">
        <v>-271.3</v>
      </c>
      <c r="S517" s="3"/>
      <c r="T517" s="3"/>
      <c r="U517" s="3"/>
      <c r="V517" s="3"/>
      <c r="W517" s="3">
        <f t="shared" si="7"/>
        <v>-92910.68</v>
      </c>
      <c r="X517" s="619" t="s">
        <v>212</v>
      </c>
      <c r="Y517" s="32" t="s">
        <v>963</v>
      </c>
      <c r="AA517"/>
      <c r="AJ517" s="31"/>
    </row>
    <row r="518" spans="3:36">
      <c r="E518" t="s">
        <v>964</v>
      </c>
      <c r="K518" s="3">
        <v>-92910.68</v>
      </c>
      <c r="M518" s="3">
        <v>54233.98</v>
      </c>
      <c r="O518" s="3">
        <v>-147144.66</v>
      </c>
      <c r="Q518">
        <v>-271.3</v>
      </c>
      <c r="R518" t="s">
        <v>569</v>
      </c>
      <c r="S518" s="3">
        <f>SUM(S517)</f>
        <v>0</v>
      </c>
      <c r="T518" s="3">
        <f>SUM(T517)</f>
        <v>0</v>
      </c>
      <c r="U518" s="3">
        <f>SUM(U517)</f>
        <v>0</v>
      </c>
      <c r="V518" s="3">
        <f>SUM(V517)</f>
        <v>0</v>
      </c>
      <c r="W518" s="3">
        <f t="shared" si="7"/>
        <v>-92910.68</v>
      </c>
      <c r="X518" s="619"/>
      <c r="Y518" s="145">
        <f>SUMIF(X:X,"R",W:W)</f>
        <v>-270182.45999999996</v>
      </c>
      <c r="Z518" t="s">
        <v>122</v>
      </c>
      <c r="AA518"/>
      <c r="AJ518" s="31"/>
    </row>
    <row r="519" spans="3:36">
      <c r="E519" t="s">
        <v>965</v>
      </c>
      <c r="K519" s="3">
        <v>2247363.6800000002</v>
      </c>
      <c r="M519" s="3">
        <v>3901308.68</v>
      </c>
      <c r="O519" s="3">
        <v>-1653945</v>
      </c>
      <c r="Q519">
        <v>-42.4</v>
      </c>
      <c r="R519" t="s">
        <v>611</v>
      </c>
      <c r="S519" s="3">
        <f>S506+S509+S512+S514+S516+S518</f>
        <v>0</v>
      </c>
      <c r="T519" s="3">
        <f>T506+T509+T512+T514+T516+T518</f>
        <v>0</v>
      </c>
      <c r="U519" s="3">
        <f>U506+U509+U512+U514+U516+U518</f>
        <v>0</v>
      </c>
      <c r="V519" s="3">
        <f>V506+V509+V512+V514+V516+V518</f>
        <v>0</v>
      </c>
      <c r="W519" s="3">
        <f t="shared" si="7"/>
        <v>2247363.6800000002</v>
      </c>
      <c r="X519" s="619"/>
      <c r="AA519"/>
      <c r="AJ519" s="31"/>
    </row>
    <row r="520" spans="3:36">
      <c r="K520" s="3"/>
      <c r="M520" s="3"/>
      <c r="O520" s="3"/>
      <c r="S520" s="3"/>
      <c r="T520" s="3"/>
      <c r="U520" s="3"/>
      <c r="V520" s="3"/>
      <c r="W520" s="3">
        <f t="shared" si="7"/>
        <v>0</v>
      </c>
      <c r="X520" s="619"/>
      <c r="AA520"/>
    </row>
    <row r="521" spans="3:36">
      <c r="E521" t="s">
        <v>966</v>
      </c>
      <c r="K521" s="3">
        <v>2247363.6800000002</v>
      </c>
      <c r="M521" s="3">
        <v>3901308.68</v>
      </c>
      <c r="O521" s="3">
        <v>-1653945</v>
      </c>
      <c r="Q521">
        <v>-42.4</v>
      </c>
      <c r="R521" t="s">
        <v>930</v>
      </c>
      <c r="S521" s="3">
        <f>S519</f>
        <v>0</v>
      </c>
      <c r="T521" s="3">
        <f>T519</f>
        <v>0</v>
      </c>
      <c r="U521" s="3">
        <f>U519</f>
        <v>0</v>
      </c>
      <c r="V521" s="3">
        <f>V519</f>
        <v>0</v>
      </c>
      <c r="W521" s="3">
        <f t="shared" ref="W521:W531" si="8">SUM(K521,S521:V521)</f>
        <v>2247363.6800000002</v>
      </c>
      <c r="X521" s="619"/>
      <c r="AA521"/>
      <c r="AJ521" s="31"/>
    </row>
    <row r="522" spans="3:36">
      <c r="K522" s="3"/>
      <c r="M522" s="3"/>
      <c r="O522" s="3"/>
      <c r="S522" s="3"/>
      <c r="T522" s="3"/>
      <c r="U522" s="3"/>
      <c r="V522" s="3"/>
      <c r="W522" s="3">
        <f t="shared" si="8"/>
        <v>0</v>
      </c>
      <c r="X522" s="44"/>
      <c r="AA522"/>
    </row>
    <row r="523" spans="3:36">
      <c r="C523">
        <v>5360</v>
      </c>
      <c r="D523" t="s">
        <v>537</v>
      </c>
      <c r="E523">
        <v>94370000</v>
      </c>
      <c r="H523" t="s">
        <v>967</v>
      </c>
      <c r="K523" s="3">
        <v>0</v>
      </c>
      <c r="M523" s="3">
        <v>0</v>
      </c>
      <c r="O523" s="3">
        <v>0</v>
      </c>
      <c r="S523" s="3"/>
      <c r="T523" s="3"/>
      <c r="U523" s="3"/>
      <c r="V523" s="3"/>
      <c r="W523" s="3">
        <f t="shared" si="8"/>
        <v>0</v>
      </c>
      <c r="X523" s="619" t="s">
        <v>580</v>
      </c>
      <c r="AA523"/>
    </row>
    <row r="524" spans="3:36">
      <c r="E524" t="s">
        <v>125</v>
      </c>
      <c r="K524" s="3">
        <v>0</v>
      </c>
      <c r="M524" s="3">
        <v>0</v>
      </c>
      <c r="O524" s="3">
        <v>0</v>
      </c>
      <c r="R524" t="s">
        <v>930</v>
      </c>
      <c r="S524" s="3">
        <f>SUM(S523)</f>
        <v>0</v>
      </c>
      <c r="T524" s="3">
        <f>SUM(T523)</f>
        <v>0</v>
      </c>
      <c r="U524" s="3">
        <f>SUM(U523)</f>
        <v>0</v>
      </c>
      <c r="V524" s="3">
        <f>SUM(V523)</f>
        <v>0</v>
      </c>
      <c r="W524" s="3">
        <f t="shared" si="8"/>
        <v>0</v>
      </c>
      <c r="X524" s="619"/>
      <c r="AA524"/>
    </row>
    <row r="525" spans="3:36">
      <c r="K525" s="3"/>
      <c r="M525" s="3"/>
      <c r="O525" s="3"/>
      <c r="S525" s="3"/>
      <c r="T525" s="3"/>
      <c r="U525" s="3"/>
      <c r="V525" s="3"/>
      <c r="W525" s="3">
        <f t="shared" si="8"/>
        <v>0</v>
      </c>
      <c r="X525" s="44"/>
      <c r="AA525"/>
    </row>
    <row r="526" spans="3:36">
      <c r="C526">
        <v>5360</v>
      </c>
      <c r="D526" t="s">
        <v>537</v>
      </c>
      <c r="E526">
        <v>94340000</v>
      </c>
      <c r="H526" t="s">
        <v>968</v>
      </c>
      <c r="K526" s="3">
        <v>0</v>
      </c>
      <c r="M526" s="3">
        <v>0</v>
      </c>
      <c r="O526" s="3">
        <v>0</v>
      </c>
      <c r="S526" s="3"/>
      <c r="T526" s="3"/>
      <c r="U526" s="3"/>
      <c r="V526" s="3"/>
      <c r="W526" s="3">
        <f t="shared" si="8"/>
        <v>0</v>
      </c>
      <c r="X526" s="44" t="s">
        <v>580</v>
      </c>
      <c r="AA526"/>
    </row>
    <row r="527" spans="3:36">
      <c r="C527">
        <v>5360</v>
      </c>
      <c r="D527" t="s">
        <v>537</v>
      </c>
      <c r="E527">
        <v>94350000</v>
      </c>
      <c r="H527" t="s">
        <v>127</v>
      </c>
      <c r="K527" s="3">
        <v>0</v>
      </c>
      <c r="M527" s="3">
        <v>0</v>
      </c>
      <c r="O527" s="3">
        <v>0</v>
      </c>
      <c r="S527" s="3"/>
      <c r="T527" s="3"/>
      <c r="U527" s="3"/>
      <c r="V527" s="3"/>
      <c r="W527" s="3">
        <f t="shared" si="8"/>
        <v>0</v>
      </c>
      <c r="X527" s="44" t="s">
        <v>580</v>
      </c>
      <c r="AA527"/>
    </row>
    <row r="528" spans="3:36">
      <c r="C528">
        <v>5360</v>
      </c>
      <c r="D528" t="s">
        <v>537</v>
      </c>
      <c r="E528">
        <v>94390000</v>
      </c>
      <c r="H528" t="s">
        <v>191</v>
      </c>
      <c r="K528" s="3">
        <v>0</v>
      </c>
      <c r="M528" s="3">
        <v>0</v>
      </c>
      <c r="O528" s="3">
        <v>0</v>
      </c>
      <c r="S528" s="3"/>
      <c r="T528" s="3"/>
      <c r="U528" s="3"/>
      <c r="V528" s="3"/>
      <c r="W528" s="3">
        <f t="shared" si="8"/>
        <v>0</v>
      </c>
      <c r="X528" s="619" t="s">
        <v>580</v>
      </c>
      <c r="AA528"/>
    </row>
    <row r="529" spans="1:36">
      <c r="E529" t="s">
        <v>345</v>
      </c>
      <c r="K529" s="3">
        <v>0</v>
      </c>
      <c r="M529" s="3">
        <v>0</v>
      </c>
      <c r="O529" s="3">
        <v>0</v>
      </c>
      <c r="R529" t="s">
        <v>930</v>
      </c>
      <c r="S529" s="3">
        <f>SUM(S526:S528)</f>
        <v>0</v>
      </c>
      <c r="T529" s="3">
        <f>SUM(T526:T528)</f>
        <v>0</v>
      </c>
      <c r="U529" s="3">
        <f>SUM(U526:U528)</f>
        <v>0</v>
      </c>
      <c r="V529" s="3">
        <f>SUM(V526:V528)</f>
        <v>0</v>
      </c>
      <c r="W529" s="3">
        <f t="shared" si="8"/>
        <v>0</v>
      </c>
      <c r="X529" s="619"/>
      <c r="AA529"/>
    </row>
    <row r="530" spans="1:36">
      <c r="K530" s="3"/>
      <c r="M530" s="3"/>
      <c r="O530" s="3"/>
      <c r="S530" s="3"/>
      <c r="T530" s="3"/>
      <c r="U530" s="3"/>
      <c r="V530" s="3"/>
      <c r="W530" s="3">
        <f t="shared" si="8"/>
        <v>0</v>
      </c>
      <c r="AA530"/>
    </row>
    <row r="531" spans="1:36">
      <c r="E531" t="s">
        <v>969</v>
      </c>
      <c r="K531" s="3">
        <v>-58431116.149999999</v>
      </c>
      <c r="M531" s="3">
        <v>-35711509.57</v>
      </c>
      <c r="O531" s="3">
        <v>-22719606.579999998</v>
      </c>
      <c r="Q531">
        <v>-63.6</v>
      </c>
      <c r="R531" t="s">
        <v>970</v>
      </c>
      <c r="S531" s="3">
        <f>S461+S503+S521+S524+S529</f>
        <v>217539.84000000003</v>
      </c>
      <c r="T531" s="3">
        <f>T461+T503+T521+T524+T529</f>
        <v>6874757</v>
      </c>
      <c r="U531" s="3">
        <f>U461+U503+U521+U524+U529</f>
        <v>0</v>
      </c>
      <c r="V531" s="3">
        <f>V461+V503+V521+V524+V529</f>
        <v>0</v>
      </c>
      <c r="W531" s="3">
        <f t="shared" si="8"/>
        <v>-51338819.309999995</v>
      </c>
      <c r="X531" s="44"/>
      <c r="Y531" s="32">
        <f>SUM(Y24:Y530)-W531</f>
        <v>0</v>
      </c>
      <c r="Z531" t="s">
        <v>612</v>
      </c>
      <c r="AA531"/>
      <c r="AJ531" s="31"/>
    </row>
    <row r="532" spans="1:36">
      <c r="A532" s="3"/>
      <c r="B532" s="3"/>
      <c r="C532" s="46"/>
      <c r="D532" s="3"/>
      <c r="E532" s="46"/>
      <c r="F532" s="3"/>
      <c r="G532" s="3"/>
      <c r="H532" s="3"/>
      <c r="I532" s="3"/>
      <c r="J532" s="3"/>
      <c r="K532" s="3"/>
      <c r="L532" s="44"/>
      <c r="M532" s="3"/>
      <c r="N532" s="3"/>
      <c r="O532" s="3"/>
      <c r="P532" s="3"/>
      <c r="Q532" s="3"/>
      <c r="R532" s="3"/>
      <c r="S532" s="3"/>
      <c r="T532" s="3"/>
      <c r="U532" s="3"/>
      <c r="V532" s="3"/>
      <c r="W532" s="3"/>
      <c r="X532" s="44"/>
      <c r="Y532" s="44"/>
      <c r="Z532" s="44"/>
      <c r="AA532" s="154"/>
      <c r="AB532" s="44"/>
      <c r="AC532" s="44"/>
      <c r="AD532" s="44"/>
      <c r="AE532" s="44"/>
      <c r="AF532" s="44"/>
    </row>
    <row r="533" spans="1:36">
      <c r="A533" s="3"/>
      <c r="B533" s="3"/>
      <c r="C533" s="46"/>
      <c r="D533" s="3"/>
      <c r="E533" s="46"/>
      <c r="F533" s="3"/>
      <c r="G533" s="3"/>
      <c r="H533" s="3"/>
      <c r="I533" s="3"/>
      <c r="J533" s="3"/>
      <c r="K533" s="3"/>
      <c r="L533" s="3"/>
      <c r="M533" s="3"/>
      <c r="N533" s="3"/>
      <c r="O533" s="3"/>
      <c r="P533" s="3"/>
      <c r="Q533" s="3"/>
      <c r="R533" s="3"/>
      <c r="S533" s="3"/>
      <c r="T533" s="3"/>
      <c r="U533" s="3"/>
      <c r="V533" s="3"/>
      <c r="W533" s="3"/>
      <c r="X533" s="44"/>
      <c r="Y533" s="44"/>
      <c r="Z533" s="44"/>
      <c r="AA533" s="154"/>
      <c r="AB533" s="44"/>
      <c r="AC533" s="44"/>
      <c r="AD533" s="44"/>
      <c r="AE533" s="44"/>
      <c r="AF533" s="44"/>
    </row>
    <row r="534" spans="1:36">
      <c r="A534" s="3"/>
      <c r="B534" s="3"/>
      <c r="C534" s="46"/>
      <c r="D534" s="3"/>
      <c r="E534" s="46"/>
      <c r="F534" s="3"/>
      <c r="G534" s="3"/>
      <c r="H534" s="3"/>
      <c r="I534" s="3"/>
      <c r="J534" s="3"/>
      <c r="K534" s="3"/>
      <c r="L534" s="3"/>
      <c r="M534" s="3"/>
      <c r="N534" s="3"/>
      <c r="O534" s="3"/>
      <c r="P534" s="3"/>
      <c r="Q534" s="3"/>
      <c r="R534" s="3"/>
      <c r="S534" s="3"/>
      <c r="T534" s="3"/>
      <c r="U534" s="3"/>
      <c r="V534" s="3"/>
      <c r="W534" s="3"/>
      <c r="X534" s="44"/>
      <c r="Y534" s="44"/>
      <c r="Z534" s="44"/>
      <c r="AA534" s="154"/>
      <c r="AB534" s="44"/>
      <c r="AC534" s="44"/>
      <c r="AD534" s="44"/>
      <c r="AE534" s="44"/>
      <c r="AF534" s="44"/>
    </row>
    <row r="535" spans="1:36">
      <c r="A535" s="3"/>
      <c r="B535" s="3"/>
      <c r="C535" s="46"/>
      <c r="D535" s="3"/>
      <c r="E535" s="46"/>
      <c r="F535" s="3"/>
      <c r="G535" s="3"/>
      <c r="H535" s="3"/>
      <c r="I535" s="3"/>
      <c r="J535" s="3"/>
      <c r="K535" s="3"/>
      <c r="L535" s="3"/>
      <c r="M535" s="3"/>
      <c r="N535" s="3"/>
      <c r="O535" s="3"/>
      <c r="P535" s="3"/>
      <c r="Q535" s="3"/>
      <c r="R535" s="3"/>
      <c r="S535" s="3"/>
      <c r="T535" s="3"/>
      <c r="U535" s="3"/>
      <c r="V535" s="3"/>
      <c r="W535" s="3"/>
      <c r="X535" s="44"/>
      <c r="Y535" s="44"/>
      <c r="Z535" s="44"/>
      <c r="AA535" s="154"/>
      <c r="AB535" s="44"/>
      <c r="AC535" s="44"/>
      <c r="AD535" s="44"/>
      <c r="AE535" s="44"/>
      <c r="AF535" s="44"/>
    </row>
    <row r="536" spans="1:36">
      <c r="A536" s="3"/>
      <c r="B536" s="3"/>
      <c r="C536" s="46"/>
      <c r="D536" s="3"/>
      <c r="E536" s="46"/>
      <c r="F536" s="3"/>
      <c r="G536" s="3"/>
      <c r="H536" s="3"/>
      <c r="I536" s="3"/>
      <c r="J536" s="3"/>
      <c r="K536" s="3"/>
      <c r="L536" s="3"/>
      <c r="M536" s="3"/>
      <c r="N536" s="3"/>
      <c r="O536" s="3"/>
      <c r="P536" s="3"/>
      <c r="Q536" s="3"/>
      <c r="R536" s="3"/>
      <c r="S536" s="3"/>
      <c r="T536" s="3"/>
      <c r="U536" s="3"/>
      <c r="V536" s="3"/>
      <c r="W536" s="3"/>
      <c r="X536" s="44"/>
      <c r="Y536" s="44"/>
      <c r="Z536" s="44"/>
      <c r="AA536" s="154"/>
      <c r="AB536" s="44"/>
      <c r="AC536" s="44"/>
      <c r="AD536" s="44"/>
      <c r="AE536" s="44"/>
      <c r="AF536" s="44"/>
    </row>
    <row r="537" spans="1:36">
      <c r="A537" s="3"/>
      <c r="B537" s="3"/>
      <c r="C537" s="46"/>
      <c r="D537" s="3"/>
      <c r="E537" s="46"/>
      <c r="F537" s="3"/>
      <c r="G537" s="3"/>
      <c r="H537" s="3"/>
      <c r="I537" s="3"/>
      <c r="J537" s="3"/>
      <c r="K537" s="3"/>
      <c r="L537" s="3"/>
      <c r="M537" s="3"/>
      <c r="N537" s="3"/>
      <c r="O537" s="3"/>
      <c r="P537" s="3"/>
      <c r="Q537" s="3"/>
      <c r="R537" s="3"/>
      <c r="S537" s="3"/>
      <c r="T537" s="3"/>
      <c r="U537" s="3"/>
      <c r="V537" s="3"/>
      <c r="W537" s="3"/>
      <c r="X537" s="44"/>
      <c r="Y537" s="44"/>
      <c r="Z537" s="44"/>
      <c r="AA537" s="154"/>
      <c r="AB537" s="44"/>
      <c r="AC537" s="44"/>
      <c r="AD537" s="44"/>
      <c r="AE537" s="44"/>
      <c r="AF537" s="44"/>
    </row>
    <row r="538" spans="1:36">
      <c r="A538" s="3"/>
      <c r="B538" s="3"/>
      <c r="C538" s="46"/>
      <c r="D538" s="3"/>
      <c r="E538" s="46"/>
      <c r="F538" s="3"/>
      <c r="G538" s="3"/>
      <c r="H538" s="3"/>
      <c r="I538" s="3"/>
      <c r="J538" s="3"/>
      <c r="K538" s="3"/>
      <c r="L538" s="3"/>
      <c r="M538" s="3"/>
      <c r="N538" s="3"/>
      <c r="O538" s="3"/>
      <c r="P538" s="3"/>
      <c r="Q538" s="3"/>
      <c r="R538" s="3"/>
      <c r="S538" s="3"/>
      <c r="T538" s="3"/>
      <c r="U538" s="3"/>
      <c r="V538" s="3"/>
      <c r="W538" s="3"/>
      <c r="X538" s="44"/>
      <c r="Y538" s="44"/>
      <c r="Z538" s="44"/>
      <c r="AA538" s="154"/>
      <c r="AB538" s="44"/>
      <c r="AC538" s="44"/>
      <c r="AD538" s="44"/>
      <c r="AE538" s="44"/>
      <c r="AF538" s="44"/>
    </row>
    <row r="539" spans="1:36">
      <c r="A539" s="3"/>
      <c r="B539" s="3"/>
      <c r="C539" s="46"/>
      <c r="D539" s="3"/>
      <c r="E539" s="46"/>
      <c r="F539" s="3"/>
      <c r="G539" s="3"/>
      <c r="H539" s="3"/>
      <c r="I539" s="3"/>
      <c r="J539" s="3"/>
      <c r="K539" s="3"/>
      <c r="L539" s="3"/>
      <c r="M539" s="3"/>
      <c r="N539" s="3"/>
      <c r="O539" s="3"/>
      <c r="P539" s="3"/>
      <c r="Q539" s="3"/>
      <c r="R539" s="3"/>
      <c r="S539" s="3"/>
      <c r="T539" s="3"/>
      <c r="U539" s="3"/>
      <c r="V539" s="3"/>
      <c r="W539" s="3"/>
      <c r="X539" s="44"/>
      <c r="Y539" s="44"/>
      <c r="Z539" s="44"/>
      <c r="AA539" s="154"/>
      <c r="AB539" s="44"/>
      <c r="AC539" s="44"/>
      <c r="AD539" s="44"/>
      <c r="AE539" s="44"/>
      <c r="AF539" s="44"/>
    </row>
    <row r="540" spans="1:36">
      <c r="A540" s="3"/>
      <c r="B540" s="3"/>
      <c r="C540" s="46"/>
      <c r="D540" s="3"/>
      <c r="E540" s="46"/>
      <c r="F540" s="3"/>
      <c r="G540" s="3"/>
      <c r="H540" s="3"/>
      <c r="I540" s="3"/>
      <c r="J540" s="3"/>
      <c r="K540" s="3"/>
      <c r="L540" s="3"/>
      <c r="M540" s="3"/>
      <c r="N540" s="3"/>
      <c r="O540" s="3"/>
      <c r="P540" s="3"/>
      <c r="Q540" s="3"/>
      <c r="R540" s="3"/>
      <c r="S540" s="3"/>
      <c r="T540" s="3"/>
      <c r="U540" s="3"/>
      <c r="V540" s="3"/>
      <c r="W540" s="3"/>
      <c r="X540" s="44"/>
      <c r="Y540" s="44"/>
      <c r="Z540" s="44"/>
      <c r="AA540" s="154"/>
      <c r="AB540" s="44"/>
      <c r="AC540" s="44"/>
      <c r="AD540" s="44"/>
      <c r="AE540" s="44"/>
      <c r="AF540" s="44"/>
    </row>
    <row r="541" spans="1:36">
      <c r="A541" s="3"/>
      <c r="B541" s="3"/>
      <c r="C541" s="46"/>
      <c r="D541" s="3"/>
      <c r="E541" s="46"/>
      <c r="F541" s="3"/>
      <c r="G541" s="3"/>
      <c r="H541" s="3"/>
      <c r="I541" s="3"/>
      <c r="J541" s="3"/>
      <c r="K541" s="3"/>
      <c r="L541" s="3"/>
      <c r="M541" s="3"/>
      <c r="N541" s="3"/>
      <c r="O541" s="3"/>
      <c r="P541" s="3"/>
      <c r="Q541" s="3"/>
      <c r="R541" s="3"/>
      <c r="S541" s="3"/>
      <c r="T541" s="3"/>
      <c r="U541" s="3"/>
      <c r="V541" s="3"/>
      <c r="W541" s="3"/>
      <c r="X541" s="44"/>
      <c r="Y541" s="44"/>
      <c r="Z541" s="44"/>
      <c r="AA541" s="154"/>
      <c r="AB541" s="44"/>
      <c r="AC541" s="44"/>
      <c r="AD541" s="44"/>
      <c r="AE541" s="44"/>
      <c r="AF541" s="44"/>
    </row>
    <row r="542" spans="1:36">
      <c r="A542" s="3"/>
      <c r="B542" s="3"/>
      <c r="C542" s="3"/>
      <c r="D542" s="3"/>
      <c r="E542" s="46"/>
      <c r="F542" s="3"/>
      <c r="G542" s="3"/>
      <c r="H542" s="3"/>
      <c r="I542" s="3"/>
      <c r="J542" s="3"/>
      <c r="K542" s="3"/>
      <c r="L542" s="3"/>
      <c r="M542" s="3"/>
      <c r="N542" s="3"/>
      <c r="O542" s="3"/>
      <c r="P542" s="3"/>
      <c r="Q542" s="3"/>
      <c r="R542" s="3"/>
      <c r="S542" s="3"/>
      <c r="T542" s="3"/>
      <c r="U542" s="3"/>
      <c r="V542" s="3"/>
      <c r="W542" s="3"/>
      <c r="X542" s="44"/>
      <c r="Y542" s="44"/>
      <c r="Z542" s="44"/>
      <c r="AA542" s="154"/>
      <c r="AB542" s="44"/>
      <c r="AC542" s="44"/>
      <c r="AD542" s="44"/>
      <c r="AE542" s="44"/>
      <c r="AF542" s="44"/>
    </row>
    <row r="543" spans="1:36">
      <c r="A543" s="3"/>
      <c r="B543" s="3"/>
      <c r="C543" s="3"/>
      <c r="D543" s="3"/>
      <c r="E543" s="46"/>
      <c r="F543" s="3"/>
      <c r="G543" s="3"/>
      <c r="H543" s="3"/>
      <c r="I543" s="3"/>
      <c r="J543" s="3"/>
      <c r="K543" s="3"/>
      <c r="L543" s="3"/>
      <c r="M543" s="3"/>
      <c r="N543" s="3"/>
      <c r="O543" s="3"/>
      <c r="P543" s="3"/>
      <c r="Q543" s="3"/>
      <c r="R543" s="3"/>
      <c r="S543" s="3"/>
      <c r="T543" s="3"/>
      <c r="U543" s="3"/>
      <c r="V543" s="3"/>
      <c r="W543" s="3"/>
      <c r="X543" s="44"/>
      <c r="Y543" s="44"/>
      <c r="Z543" s="44"/>
      <c r="AA543" s="154"/>
      <c r="AB543" s="44"/>
      <c r="AC543" s="44"/>
      <c r="AD543" s="44"/>
      <c r="AE543" s="44"/>
      <c r="AF543" s="44"/>
    </row>
    <row r="544" spans="1:36">
      <c r="A544" s="3"/>
      <c r="B544" s="3"/>
      <c r="C544" s="3"/>
      <c r="D544" s="3"/>
      <c r="E544" s="46"/>
      <c r="F544" s="3"/>
      <c r="G544" s="3"/>
      <c r="H544" s="3"/>
      <c r="I544" s="3"/>
      <c r="J544" s="3"/>
      <c r="K544" s="3"/>
      <c r="L544" s="3"/>
      <c r="M544" s="3"/>
      <c r="N544" s="3"/>
      <c r="O544" s="3"/>
      <c r="P544" s="3"/>
      <c r="Q544" s="3"/>
      <c r="R544" s="3"/>
      <c r="S544" s="3"/>
      <c r="T544" s="3"/>
      <c r="U544" s="3"/>
      <c r="V544" s="3"/>
      <c r="W544" s="3"/>
      <c r="X544" s="44"/>
      <c r="Y544" s="44"/>
      <c r="Z544" s="44"/>
      <c r="AA544" s="154"/>
      <c r="AB544" s="44"/>
      <c r="AC544" s="44"/>
      <c r="AD544" s="44"/>
      <c r="AE544" s="44"/>
      <c r="AF544" s="44"/>
    </row>
    <row r="545" spans="1:32">
      <c r="A545" s="3"/>
      <c r="B545" s="3"/>
      <c r="C545" s="3"/>
      <c r="D545" s="3"/>
      <c r="E545" s="46"/>
      <c r="F545" s="3"/>
      <c r="G545" s="3"/>
      <c r="H545" s="3"/>
      <c r="I545" s="3"/>
      <c r="J545" s="3"/>
      <c r="K545" s="3"/>
      <c r="L545" s="3"/>
      <c r="M545" s="3"/>
      <c r="N545" s="3"/>
      <c r="O545" s="3"/>
      <c r="P545" s="3"/>
      <c r="Q545" s="3"/>
      <c r="R545" s="3"/>
      <c r="S545" s="3"/>
      <c r="T545" s="3"/>
      <c r="U545" s="3"/>
      <c r="V545" s="3"/>
      <c r="W545" s="3"/>
      <c r="X545" s="44"/>
      <c r="Y545" s="44"/>
      <c r="Z545" s="44"/>
      <c r="AA545" s="154"/>
      <c r="AB545" s="44"/>
      <c r="AC545" s="44"/>
      <c r="AD545" s="44"/>
      <c r="AE545" s="44"/>
      <c r="AF545" s="44"/>
    </row>
    <row r="546" spans="1:32">
      <c r="A546" s="3"/>
      <c r="B546" s="3"/>
      <c r="C546" s="3"/>
      <c r="D546" s="3"/>
      <c r="E546" s="46"/>
      <c r="F546" s="3"/>
      <c r="G546" s="3"/>
      <c r="H546" s="3"/>
      <c r="I546" s="3"/>
      <c r="J546" s="3"/>
      <c r="K546" s="3"/>
      <c r="L546" s="3"/>
      <c r="M546" s="3"/>
      <c r="N546" s="3"/>
      <c r="O546" s="3"/>
      <c r="P546" s="3"/>
      <c r="Q546" s="3"/>
      <c r="R546" s="3"/>
      <c r="S546" s="3"/>
      <c r="T546" s="3"/>
      <c r="U546" s="3"/>
      <c r="V546" s="3"/>
      <c r="W546" s="3"/>
      <c r="X546" s="44"/>
      <c r="Y546" s="44"/>
      <c r="Z546" s="44"/>
      <c r="AA546" s="154"/>
      <c r="AB546" s="44"/>
      <c r="AC546" s="44"/>
      <c r="AD546" s="44"/>
      <c r="AE546" s="44"/>
      <c r="AF546" s="44"/>
    </row>
    <row r="547" spans="1:32">
      <c r="A547" s="3"/>
      <c r="B547" s="3"/>
      <c r="C547" s="3"/>
      <c r="D547" s="3"/>
      <c r="E547" s="46"/>
      <c r="F547" s="3"/>
      <c r="G547" s="3"/>
      <c r="H547" s="3"/>
      <c r="I547" s="3"/>
      <c r="J547" s="3"/>
      <c r="K547" s="3"/>
      <c r="L547" s="3"/>
      <c r="M547" s="3"/>
      <c r="N547" s="3"/>
      <c r="O547" s="3"/>
      <c r="P547" s="3"/>
      <c r="Q547" s="3"/>
      <c r="R547" s="3"/>
      <c r="S547" s="3"/>
      <c r="T547" s="3"/>
      <c r="U547" s="3"/>
      <c r="V547" s="3"/>
      <c r="W547" s="3"/>
      <c r="X547" s="44"/>
      <c r="Y547" s="44"/>
      <c r="Z547" s="44"/>
      <c r="AA547" s="154"/>
      <c r="AB547" s="44"/>
      <c r="AC547" s="44"/>
      <c r="AD547" s="44"/>
      <c r="AE547" s="44"/>
      <c r="AF547" s="44"/>
    </row>
    <row r="548" spans="1:32">
      <c r="A548" s="3"/>
      <c r="B548" s="3"/>
      <c r="C548" s="3"/>
      <c r="D548" s="3"/>
      <c r="E548" s="46"/>
      <c r="F548" s="3"/>
      <c r="G548" s="3"/>
      <c r="H548" s="3"/>
      <c r="I548" s="3"/>
      <c r="J548" s="3"/>
      <c r="K548" s="3"/>
      <c r="L548" s="3"/>
      <c r="M548" s="3"/>
      <c r="N548" s="3"/>
      <c r="O548" s="3"/>
      <c r="P548" s="3"/>
      <c r="Q548" s="3"/>
      <c r="R548" s="3"/>
      <c r="S548" s="3"/>
      <c r="T548" s="3"/>
      <c r="U548" s="3"/>
      <c r="V548" s="3"/>
      <c r="W548" s="3"/>
      <c r="X548" s="44"/>
      <c r="Y548" s="44"/>
      <c r="Z548" s="44"/>
      <c r="AA548" s="154"/>
      <c r="AB548" s="44"/>
      <c r="AC548" s="44"/>
      <c r="AD548" s="44"/>
      <c r="AE548" s="44"/>
      <c r="AF548" s="44"/>
    </row>
    <row r="549" spans="1:32">
      <c r="A549" s="3"/>
      <c r="B549" s="3"/>
      <c r="C549" s="3"/>
      <c r="D549" s="3"/>
      <c r="E549" s="46"/>
      <c r="F549" s="3"/>
      <c r="G549" s="3"/>
      <c r="H549" s="3"/>
      <c r="I549" s="3"/>
      <c r="J549" s="3"/>
      <c r="K549" s="3"/>
      <c r="L549" s="3"/>
      <c r="M549" s="3"/>
      <c r="N549" s="3"/>
      <c r="O549" s="3"/>
      <c r="P549" s="3"/>
      <c r="Q549" s="3"/>
      <c r="R549" s="3"/>
      <c r="S549" s="3"/>
      <c r="T549" s="3"/>
      <c r="U549" s="3"/>
      <c r="V549" s="3"/>
      <c r="W549" s="3"/>
      <c r="X549" s="44"/>
      <c r="Y549" s="44"/>
      <c r="Z549" s="44"/>
      <c r="AA549" s="154"/>
      <c r="AB549" s="44"/>
      <c r="AC549" s="44"/>
      <c r="AD549" s="44"/>
      <c r="AE549" s="44"/>
      <c r="AF549" s="44"/>
    </row>
    <row r="550" spans="1:32">
      <c r="A550" s="3"/>
      <c r="B550" s="3"/>
      <c r="C550" s="3"/>
      <c r="D550" s="3"/>
      <c r="E550" s="46"/>
      <c r="F550" s="3"/>
      <c r="G550" s="3"/>
      <c r="H550" s="3"/>
      <c r="I550" s="3"/>
      <c r="J550" s="3"/>
      <c r="K550" s="3"/>
      <c r="L550" s="3"/>
      <c r="M550" s="3"/>
      <c r="N550" s="3"/>
      <c r="O550" s="3"/>
      <c r="P550" s="3"/>
      <c r="Q550" s="3"/>
      <c r="R550" s="3"/>
      <c r="S550" s="3"/>
      <c r="T550" s="3"/>
      <c r="U550" s="3"/>
      <c r="V550" s="3"/>
      <c r="W550" s="3"/>
      <c r="X550" s="44"/>
      <c r="Y550" s="44"/>
      <c r="Z550" s="44"/>
      <c r="AA550" s="154"/>
      <c r="AB550" s="44"/>
      <c r="AC550" s="44"/>
      <c r="AD550" s="44"/>
      <c r="AE550" s="44"/>
      <c r="AF550" s="44"/>
    </row>
    <row r="551" spans="1:32">
      <c r="A551" s="3"/>
      <c r="B551" s="3"/>
      <c r="C551" s="3"/>
      <c r="D551" s="3"/>
      <c r="E551" s="46"/>
      <c r="F551" s="3"/>
      <c r="G551" s="3"/>
      <c r="H551" s="3"/>
      <c r="I551" s="3"/>
      <c r="J551" s="3"/>
      <c r="K551" s="3"/>
      <c r="L551" s="3"/>
      <c r="M551" s="3"/>
      <c r="N551" s="3"/>
      <c r="O551" s="3"/>
      <c r="P551" s="3"/>
      <c r="Q551" s="3"/>
      <c r="R551" s="3"/>
      <c r="S551" s="3"/>
      <c r="T551" s="3"/>
      <c r="U551" s="3"/>
      <c r="V551" s="3"/>
      <c r="W551" s="3"/>
      <c r="X551" s="44"/>
      <c r="Y551" s="44"/>
      <c r="Z551" s="44"/>
      <c r="AA551" s="154"/>
      <c r="AB551" s="44"/>
      <c r="AC551" s="44"/>
      <c r="AD551" s="44"/>
      <c r="AE551" s="44"/>
      <c r="AF551" s="44"/>
    </row>
    <row r="552" spans="1:32">
      <c r="A552" s="3"/>
      <c r="B552" s="3"/>
      <c r="C552" s="3"/>
      <c r="D552" s="3"/>
      <c r="E552" s="46"/>
      <c r="F552" s="3"/>
      <c r="G552" s="3"/>
      <c r="H552" s="3"/>
      <c r="I552" s="3"/>
      <c r="J552" s="3"/>
      <c r="K552" s="3"/>
      <c r="L552" s="3"/>
      <c r="M552" s="3"/>
      <c r="N552" s="3"/>
      <c r="O552" s="3"/>
      <c r="P552" s="3"/>
      <c r="Q552" s="3"/>
      <c r="R552" s="3"/>
      <c r="S552" s="3"/>
      <c r="T552" s="3"/>
      <c r="U552" s="3"/>
      <c r="V552" s="3"/>
      <c r="W552" s="3"/>
      <c r="X552" s="44"/>
      <c r="Y552" s="44"/>
      <c r="Z552" s="44"/>
      <c r="AA552" s="154"/>
      <c r="AB552" s="44"/>
      <c r="AC552" s="44"/>
      <c r="AD552" s="44"/>
      <c r="AE552" s="44"/>
      <c r="AF552" s="44"/>
    </row>
    <row r="553" spans="1:32">
      <c r="A553" s="3"/>
      <c r="B553" s="3"/>
      <c r="C553" s="3"/>
      <c r="D553" s="3"/>
      <c r="E553" s="46"/>
      <c r="F553" s="3"/>
      <c r="G553" s="3"/>
      <c r="H553" s="3"/>
      <c r="I553" s="3"/>
      <c r="J553" s="3"/>
      <c r="K553" s="3"/>
      <c r="L553" s="3"/>
      <c r="M553" s="3"/>
      <c r="N553" s="3"/>
      <c r="O553" s="3"/>
      <c r="P553" s="3"/>
      <c r="Q553" s="3"/>
      <c r="R553" s="3"/>
      <c r="S553" s="3"/>
      <c r="T553" s="3"/>
      <c r="U553" s="3"/>
      <c r="V553" s="3"/>
      <c r="W553" s="3"/>
      <c r="X553" s="44"/>
      <c r="Y553" s="44"/>
      <c r="Z553" s="44"/>
      <c r="AA553" s="154"/>
      <c r="AB553" s="44"/>
      <c r="AC553" s="44"/>
      <c r="AD553" s="44"/>
      <c r="AE553" s="44"/>
      <c r="AF553" s="44"/>
    </row>
    <row r="554" spans="1:32">
      <c r="A554" s="3"/>
      <c r="B554" s="3"/>
      <c r="C554" s="3"/>
      <c r="D554" s="3"/>
      <c r="E554" s="46"/>
      <c r="F554" s="3"/>
      <c r="G554" s="3"/>
      <c r="H554" s="3"/>
      <c r="I554" s="3"/>
      <c r="J554" s="3"/>
      <c r="K554" s="3"/>
      <c r="L554" s="3"/>
      <c r="M554" s="3"/>
      <c r="N554" s="3"/>
      <c r="O554" s="3"/>
      <c r="P554" s="3"/>
      <c r="Q554" s="3"/>
      <c r="R554" s="3"/>
      <c r="S554" s="3"/>
      <c r="T554" s="3"/>
      <c r="U554" s="3"/>
      <c r="V554" s="3"/>
      <c r="W554" s="3"/>
      <c r="X554" s="44"/>
      <c r="Y554" s="44"/>
      <c r="Z554" s="44"/>
      <c r="AA554" s="154"/>
      <c r="AB554" s="44"/>
      <c r="AC554" s="44"/>
      <c r="AD554" s="44"/>
      <c r="AE554" s="44"/>
      <c r="AF554" s="44"/>
    </row>
    <row r="555" spans="1:32">
      <c r="A555" s="3"/>
      <c r="B555" s="3"/>
      <c r="C555" s="3"/>
      <c r="D555" s="3"/>
      <c r="E555" s="46"/>
      <c r="F555" s="3"/>
      <c r="G555" s="3"/>
      <c r="H555" s="3"/>
      <c r="I555" s="3"/>
      <c r="J555" s="3"/>
      <c r="K555" s="3"/>
      <c r="L555" s="3"/>
      <c r="M555" s="3"/>
      <c r="N555" s="3"/>
      <c r="O555" s="3"/>
      <c r="P555" s="3"/>
      <c r="Q555" s="3"/>
      <c r="R555" s="3"/>
      <c r="S555" s="3"/>
      <c r="T555" s="3"/>
      <c r="U555" s="3"/>
      <c r="V555" s="3"/>
      <c r="W555" s="3"/>
      <c r="X555" s="44"/>
      <c r="Y555" s="44"/>
      <c r="Z555" s="44"/>
      <c r="AA555" s="154"/>
      <c r="AB555" s="44"/>
      <c r="AC555" s="44"/>
      <c r="AD555" s="44"/>
      <c r="AE555" s="44"/>
      <c r="AF555" s="44"/>
    </row>
    <row r="556" spans="1:32">
      <c r="A556" s="3"/>
      <c r="B556" s="3"/>
      <c r="C556" s="3"/>
      <c r="D556" s="3"/>
      <c r="E556" s="46"/>
      <c r="F556" s="3"/>
      <c r="G556" s="3"/>
      <c r="H556" s="3"/>
      <c r="I556" s="3"/>
      <c r="J556" s="3"/>
      <c r="K556" s="3"/>
      <c r="L556" s="3"/>
      <c r="M556" s="3"/>
      <c r="N556" s="3"/>
      <c r="O556" s="3"/>
      <c r="P556" s="3"/>
      <c r="Q556" s="3"/>
      <c r="R556" s="3"/>
      <c r="S556" s="3"/>
      <c r="T556" s="3"/>
      <c r="U556" s="3"/>
      <c r="V556" s="3"/>
      <c r="W556" s="3"/>
      <c r="X556" s="44"/>
      <c r="Y556" s="44"/>
      <c r="Z556" s="44"/>
      <c r="AA556" s="154"/>
      <c r="AB556" s="44"/>
      <c r="AC556" s="44"/>
      <c r="AD556" s="44"/>
      <c r="AE556" s="44"/>
      <c r="AF556" s="44"/>
    </row>
    <row r="557" spans="1:32">
      <c r="A557" s="3"/>
      <c r="B557" s="3"/>
      <c r="C557" s="3"/>
      <c r="D557" s="3"/>
      <c r="E557" s="46"/>
      <c r="F557" s="3"/>
      <c r="G557" s="3"/>
      <c r="H557" s="3"/>
      <c r="I557" s="3"/>
      <c r="J557" s="3"/>
      <c r="K557" s="3"/>
      <c r="L557" s="3"/>
      <c r="M557" s="3"/>
      <c r="N557" s="3"/>
      <c r="O557" s="3"/>
      <c r="P557" s="3"/>
      <c r="Q557" s="3"/>
      <c r="R557" s="3"/>
      <c r="S557" s="3"/>
      <c r="T557" s="3"/>
      <c r="U557" s="3"/>
      <c r="V557" s="3"/>
      <c r="W557" s="3"/>
      <c r="X557" s="44"/>
      <c r="Y557" s="44"/>
      <c r="Z557" s="44"/>
      <c r="AA557" s="154"/>
      <c r="AB557" s="44"/>
      <c r="AC557" s="44"/>
      <c r="AD557" s="44"/>
      <c r="AE557" s="44"/>
      <c r="AF557" s="44"/>
    </row>
    <row r="558" spans="1:32">
      <c r="A558" s="3"/>
      <c r="B558" s="3"/>
      <c r="C558" s="3"/>
      <c r="D558" s="3"/>
      <c r="E558" s="46"/>
      <c r="F558" s="3"/>
      <c r="G558" s="3"/>
      <c r="H558" s="3"/>
      <c r="I558" s="3"/>
      <c r="J558" s="3"/>
      <c r="K558" s="3"/>
      <c r="L558" s="3"/>
      <c r="M558" s="3"/>
      <c r="N558" s="3"/>
      <c r="O558" s="3"/>
      <c r="P558" s="3"/>
      <c r="Q558" s="3"/>
      <c r="R558" s="3"/>
      <c r="S558" s="3"/>
      <c r="T558" s="3"/>
      <c r="U558" s="3"/>
      <c r="V558" s="3"/>
      <c r="W558" s="3"/>
      <c r="X558" s="44"/>
      <c r="Y558" s="44"/>
      <c r="Z558" s="44"/>
      <c r="AA558" s="154"/>
      <c r="AB558" s="44"/>
      <c r="AC558" s="44"/>
      <c r="AD558" s="44"/>
      <c r="AE558" s="44"/>
      <c r="AF558" s="44"/>
    </row>
    <row r="559" spans="1:32">
      <c r="A559" s="3"/>
      <c r="B559" s="3"/>
      <c r="C559" s="3"/>
      <c r="D559" s="3"/>
      <c r="E559" s="46"/>
      <c r="F559" s="3"/>
      <c r="G559" s="3"/>
      <c r="H559" s="3"/>
      <c r="I559" s="3"/>
      <c r="J559" s="3"/>
      <c r="K559" s="3"/>
      <c r="L559" s="3"/>
      <c r="M559" s="3"/>
      <c r="N559" s="3"/>
      <c r="O559" s="3"/>
      <c r="P559" s="3"/>
      <c r="Q559" s="3"/>
      <c r="R559" s="3"/>
      <c r="S559" s="3"/>
      <c r="T559" s="3"/>
      <c r="U559" s="3"/>
      <c r="V559" s="3"/>
      <c r="W559" s="3"/>
      <c r="X559" s="44"/>
      <c r="Y559" s="44"/>
      <c r="Z559" s="44"/>
      <c r="AA559" s="154"/>
      <c r="AB559" s="44"/>
      <c r="AC559" s="44"/>
      <c r="AD559" s="44"/>
      <c r="AE559" s="44"/>
      <c r="AF559" s="44"/>
    </row>
    <row r="560" spans="1:32">
      <c r="A560" s="3"/>
      <c r="B560" s="3"/>
      <c r="C560" s="3"/>
      <c r="D560" s="3"/>
      <c r="E560" s="46"/>
      <c r="F560" s="3"/>
      <c r="G560" s="3"/>
      <c r="H560" s="3"/>
      <c r="I560" s="3"/>
      <c r="J560" s="3"/>
      <c r="K560" s="3"/>
      <c r="L560" s="3"/>
      <c r="M560" s="3"/>
      <c r="N560" s="3"/>
      <c r="O560" s="3"/>
      <c r="P560" s="3"/>
      <c r="Q560" s="3"/>
      <c r="R560" s="3"/>
      <c r="S560" s="3"/>
      <c r="T560" s="3"/>
      <c r="U560" s="3"/>
      <c r="V560" s="3"/>
      <c r="W560" s="3"/>
      <c r="X560" s="44"/>
      <c r="Y560" s="44"/>
      <c r="Z560" s="44"/>
      <c r="AA560" s="154"/>
      <c r="AB560" s="44"/>
      <c r="AC560" s="44"/>
      <c r="AD560" s="44"/>
      <c r="AE560" s="44"/>
      <c r="AF560" s="44"/>
    </row>
    <row r="561" spans="1:32">
      <c r="A561" s="3"/>
      <c r="B561" s="3"/>
      <c r="C561" s="3"/>
      <c r="D561" s="3"/>
      <c r="E561" s="46"/>
      <c r="F561" s="3"/>
      <c r="G561" s="3"/>
      <c r="H561" s="3"/>
      <c r="I561" s="3"/>
      <c r="J561" s="3"/>
      <c r="K561" s="3"/>
      <c r="L561" s="3"/>
      <c r="M561" s="3"/>
      <c r="N561" s="3"/>
      <c r="O561" s="3"/>
      <c r="P561" s="3"/>
      <c r="Q561" s="3"/>
      <c r="R561" s="3"/>
      <c r="S561" s="3"/>
      <c r="T561" s="3"/>
      <c r="U561" s="3"/>
      <c r="V561" s="3"/>
      <c r="W561" s="3"/>
      <c r="X561" s="44"/>
      <c r="Y561" s="44"/>
      <c r="Z561" s="44"/>
      <c r="AA561" s="154"/>
      <c r="AB561" s="44"/>
      <c r="AC561" s="44"/>
      <c r="AD561" s="44"/>
      <c r="AE561" s="44"/>
      <c r="AF561" s="44"/>
    </row>
    <row r="562" spans="1:32">
      <c r="A562" s="3"/>
      <c r="B562" s="3"/>
      <c r="C562" s="3"/>
      <c r="D562" s="3"/>
      <c r="E562" s="46"/>
      <c r="F562" s="3"/>
      <c r="G562" s="3"/>
      <c r="H562" s="3"/>
      <c r="I562" s="3"/>
      <c r="J562" s="3"/>
      <c r="K562" s="3"/>
      <c r="L562" s="3"/>
      <c r="M562" s="3"/>
      <c r="N562" s="3"/>
      <c r="O562" s="3"/>
      <c r="P562" s="3"/>
      <c r="Q562" s="3"/>
      <c r="R562" s="3"/>
      <c r="S562" s="3"/>
      <c r="T562" s="3"/>
      <c r="U562" s="3"/>
      <c r="V562" s="3"/>
      <c r="W562" s="3"/>
      <c r="X562" s="44"/>
      <c r="Y562" s="44"/>
      <c r="Z562" s="44"/>
      <c r="AA562" s="154"/>
      <c r="AB562" s="44"/>
      <c r="AC562" s="44"/>
      <c r="AD562" s="44"/>
      <c r="AE562" s="44"/>
      <c r="AF562" s="44"/>
    </row>
    <row r="563" spans="1:32">
      <c r="A563" s="3"/>
      <c r="B563" s="3"/>
      <c r="C563" s="3"/>
      <c r="D563" s="3"/>
      <c r="E563" s="46"/>
      <c r="F563" s="3"/>
      <c r="G563" s="3"/>
      <c r="H563" s="3"/>
      <c r="I563" s="3"/>
      <c r="J563" s="3"/>
      <c r="K563" s="3"/>
      <c r="L563" s="3"/>
      <c r="M563" s="3"/>
      <c r="N563" s="3"/>
      <c r="O563" s="3"/>
      <c r="P563" s="3"/>
      <c r="Q563" s="3"/>
      <c r="R563" s="3"/>
      <c r="S563" s="3"/>
      <c r="T563" s="3"/>
      <c r="U563" s="3"/>
      <c r="V563" s="3"/>
      <c r="W563" s="3"/>
      <c r="X563" s="44"/>
      <c r="Y563" s="44"/>
      <c r="Z563" s="44"/>
      <c r="AA563" s="154"/>
      <c r="AB563" s="44"/>
      <c r="AC563" s="44"/>
      <c r="AD563" s="44"/>
      <c r="AE563" s="44"/>
      <c r="AF563" s="44"/>
    </row>
    <row r="564" spans="1:32">
      <c r="A564" s="3"/>
      <c r="B564" s="3"/>
      <c r="C564" s="3"/>
      <c r="D564" s="3"/>
      <c r="E564" s="46"/>
      <c r="F564" s="3"/>
      <c r="G564" s="3"/>
      <c r="H564" s="3"/>
      <c r="I564" s="3"/>
      <c r="J564" s="3"/>
      <c r="K564" s="3"/>
      <c r="L564" s="3"/>
      <c r="M564" s="3"/>
      <c r="N564" s="3"/>
      <c r="O564" s="3"/>
      <c r="P564" s="3"/>
      <c r="Q564" s="3"/>
      <c r="R564" s="3"/>
      <c r="S564" s="3"/>
      <c r="T564" s="3"/>
      <c r="U564" s="3"/>
      <c r="V564" s="3"/>
      <c r="W564" s="3"/>
      <c r="X564" s="44"/>
      <c r="Y564" s="44"/>
      <c r="Z564" s="44"/>
      <c r="AA564" s="154"/>
      <c r="AB564" s="44"/>
      <c r="AC564" s="44"/>
      <c r="AD564" s="44"/>
      <c r="AE564" s="44"/>
      <c r="AF564" s="44"/>
    </row>
    <row r="565" spans="1:32">
      <c r="A565" s="3"/>
      <c r="B565" s="3"/>
      <c r="C565" s="3"/>
      <c r="D565" s="3"/>
      <c r="E565" s="46"/>
      <c r="F565" s="3"/>
      <c r="G565" s="3"/>
      <c r="H565" s="3"/>
      <c r="I565" s="3"/>
      <c r="J565" s="3"/>
      <c r="K565" s="3"/>
      <c r="L565" s="3"/>
      <c r="M565" s="3"/>
      <c r="N565" s="3"/>
      <c r="O565" s="3"/>
      <c r="P565" s="3"/>
      <c r="Q565" s="3"/>
      <c r="R565" s="3"/>
      <c r="S565" s="3"/>
      <c r="T565" s="3"/>
      <c r="U565" s="3"/>
      <c r="V565" s="3"/>
      <c r="W565" s="3"/>
      <c r="X565" s="44"/>
      <c r="Y565" s="44"/>
      <c r="Z565" s="44"/>
      <c r="AA565" s="154"/>
      <c r="AB565" s="44"/>
      <c r="AC565" s="44"/>
      <c r="AD565" s="44"/>
      <c r="AE565" s="44"/>
      <c r="AF565" s="44"/>
    </row>
    <row r="566" spans="1:32">
      <c r="A566" s="3"/>
      <c r="B566" s="3"/>
      <c r="C566" s="3"/>
      <c r="D566" s="3"/>
      <c r="E566" s="46"/>
      <c r="F566" s="3"/>
      <c r="G566" s="3"/>
      <c r="H566" s="3"/>
      <c r="I566" s="3"/>
      <c r="J566" s="3"/>
      <c r="K566" s="3"/>
      <c r="L566" s="3"/>
      <c r="M566" s="3"/>
      <c r="N566" s="3"/>
      <c r="O566" s="3"/>
      <c r="P566" s="3"/>
      <c r="Q566" s="3"/>
      <c r="R566" s="3"/>
      <c r="S566" s="3"/>
      <c r="T566" s="3"/>
      <c r="U566" s="3"/>
      <c r="V566" s="3"/>
      <c r="W566" s="3"/>
      <c r="X566" s="44"/>
      <c r="Y566" s="44"/>
      <c r="Z566" s="44"/>
      <c r="AA566" s="154"/>
      <c r="AB566" s="44"/>
      <c r="AC566" s="44"/>
      <c r="AD566" s="44"/>
      <c r="AE566" s="44"/>
      <c r="AF566" s="44"/>
    </row>
    <row r="567" spans="1:32">
      <c r="A567" s="3"/>
      <c r="B567" s="3"/>
      <c r="C567" s="3"/>
      <c r="D567" s="3"/>
      <c r="E567" s="46"/>
      <c r="F567" s="3"/>
      <c r="G567" s="3"/>
      <c r="H567" s="3"/>
      <c r="I567" s="3"/>
      <c r="J567" s="3"/>
      <c r="K567" s="3"/>
      <c r="L567" s="3"/>
      <c r="M567" s="3"/>
      <c r="N567" s="3"/>
      <c r="O567" s="3"/>
      <c r="P567" s="3"/>
      <c r="Q567" s="3"/>
      <c r="R567" s="3"/>
      <c r="S567" s="3"/>
      <c r="T567" s="3"/>
      <c r="U567" s="3"/>
      <c r="V567" s="3"/>
      <c r="W567" s="3"/>
      <c r="X567" s="44"/>
      <c r="Y567" s="44"/>
      <c r="Z567" s="44"/>
      <c r="AA567" s="154"/>
      <c r="AB567" s="44"/>
      <c r="AC567" s="44"/>
      <c r="AD567" s="44"/>
      <c r="AE567" s="44"/>
      <c r="AF567" s="44"/>
    </row>
    <row r="568" spans="1:32">
      <c r="A568" s="3"/>
      <c r="B568" s="3"/>
      <c r="C568" s="3"/>
      <c r="D568" s="3"/>
      <c r="E568" s="46"/>
      <c r="F568" s="3"/>
      <c r="G568" s="3"/>
      <c r="H568" s="3"/>
      <c r="I568" s="3"/>
      <c r="J568" s="3"/>
      <c r="K568" s="3"/>
      <c r="L568" s="3"/>
      <c r="M568" s="3"/>
      <c r="N568" s="3"/>
      <c r="O568" s="3"/>
      <c r="P568" s="3"/>
      <c r="Q568" s="3"/>
      <c r="R568" s="3"/>
      <c r="S568" s="3"/>
      <c r="T568" s="3"/>
      <c r="U568" s="3"/>
      <c r="V568" s="3"/>
      <c r="W568" s="3"/>
      <c r="X568" s="44"/>
      <c r="Y568" s="44"/>
      <c r="Z568" s="44"/>
      <c r="AA568" s="154"/>
      <c r="AB568" s="44"/>
      <c r="AC568" s="44"/>
      <c r="AD568" s="44"/>
      <c r="AE568" s="44"/>
      <c r="AF568" s="44"/>
    </row>
    <row r="569" spans="1:32">
      <c r="A569" s="3"/>
      <c r="B569" s="3"/>
      <c r="C569" s="3"/>
      <c r="D569" s="3"/>
      <c r="E569" s="46"/>
      <c r="F569" s="3"/>
      <c r="G569" s="3"/>
      <c r="H569" s="3"/>
      <c r="I569" s="3"/>
      <c r="J569" s="3"/>
      <c r="K569" s="3"/>
      <c r="L569" s="3"/>
      <c r="M569" s="3"/>
      <c r="N569" s="3"/>
      <c r="O569" s="3"/>
      <c r="P569" s="3"/>
      <c r="Q569" s="3"/>
      <c r="R569" s="3"/>
      <c r="S569" s="3"/>
      <c r="T569" s="3"/>
      <c r="U569" s="3"/>
      <c r="V569" s="3"/>
      <c r="W569" s="3"/>
      <c r="X569" s="44"/>
      <c r="Y569" s="44"/>
      <c r="Z569" s="44"/>
      <c r="AA569" s="154"/>
      <c r="AB569" s="44"/>
      <c r="AC569" s="44"/>
      <c r="AD569" s="44"/>
      <c r="AE569" s="44"/>
      <c r="AF569" s="44"/>
    </row>
    <row r="570" spans="1:32">
      <c r="A570" s="3"/>
      <c r="B570" s="3"/>
      <c r="C570" s="3"/>
      <c r="D570" s="3"/>
      <c r="E570" s="46"/>
      <c r="F570" s="3"/>
      <c r="G570" s="3"/>
      <c r="H570" s="3"/>
      <c r="I570" s="3"/>
      <c r="J570" s="3"/>
      <c r="K570" s="3"/>
      <c r="L570" s="3"/>
      <c r="M570" s="3"/>
      <c r="N570" s="3"/>
      <c r="O570" s="3"/>
      <c r="P570" s="3"/>
      <c r="Q570" s="3"/>
      <c r="R570" s="3"/>
      <c r="S570" s="3"/>
      <c r="T570" s="3"/>
      <c r="U570" s="3"/>
      <c r="V570" s="3"/>
      <c r="W570" s="3"/>
      <c r="X570" s="44"/>
      <c r="Y570" s="44"/>
      <c r="Z570" s="44"/>
      <c r="AA570" s="154"/>
      <c r="AB570" s="44"/>
      <c r="AC570" s="44"/>
      <c r="AD570" s="44"/>
      <c r="AE570" s="44"/>
      <c r="AF570" s="44"/>
    </row>
    <row r="571" spans="1:32">
      <c r="A571" s="3"/>
      <c r="B571" s="3"/>
      <c r="C571" s="3"/>
      <c r="D571" s="3"/>
      <c r="E571" s="46"/>
      <c r="F571" s="3"/>
      <c r="G571" s="3"/>
      <c r="H571" s="3"/>
      <c r="I571" s="3"/>
      <c r="J571" s="3"/>
      <c r="K571" s="3"/>
      <c r="L571" s="3"/>
      <c r="M571" s="3"/>
      <c r="N571" s="3"/>
      <c r="O571" s="3"/>
      <c r="P571" s="3"/>
      <c r="Q571" s="3"/>
      <c r="R571" s="3"/>
      <c r="S571" s="3"/>
      <c r="T571" s="3"/>
      <c r="U571" s="3"/>
      <c r="V571" s="3"/>
      <c r="W571" s="3"/>
      <c r="X571" s="44"/>
      <c r="Y571" s="44"/>
      <c r="Z571" s="44"/>
      <c r="AA571" s="154"/>
      <c r="AB571" s="44"/>
      <c r="AC571" s="44"/>
      <c r="AD571" s="44"/>
      <c r="AE571" s="44"/>
      <c r="AF571" s="44"/>
    </row>
    <row r="572" spans="1:32">
      <c r="A572" s="3"/>
      <c r="B572" s="3"/>
      <c r="C572" s="3"/>
      <c r="D572" s="3"/>
      <c r="E572" s="46"/>
      <c r="F572" s="3"/>
      <c r="G572" s="3"/>
      <c r="H572" s="3"/>
      <c r="I572" s="3"/>
      <c r="J572" s="3"/>
      <c r="K572" s="3"/>
      <c r="L572" s="3"/>
      <c r="M572" s="3"/>
      <c r="N572" s="3"/>
      <c r="O572" s="3"/>
      <c r="P572" s="3"/>
      <c r="Q572" s="3"/>
      <c r="R572" s="3"/>
      <c r="S572" s="3"/>
      <c r="T572" s="3"/>
      <c r="U572" s="3"/>
      <c r="V572" s="3"/>
      <c r="W572" s="3"/>
      <c r="X572" s="44"/>
      <c r="Y572" s="44"/>
      <c r="Z572" s="44"/>
      <c r="AA572" s="154"/>
      <c r="AB572" s="44"/>
      <c r="AC572" s="44"/>
      <c r="AD572" s="44"/>
      <c r="AE572" s="44"/>
      <c r="AF572" s="44"/>
    </row>
    <row r="573" spans="1:32">
      <c r="A573" s="3"/>
      <c r="B573" s="3"/>
      <c r="C573" s="3"/>
      <c r="D573" s="3"/>
      <c r="E573" s="46"/>
      <c r="F573" s="3"/>
      <c r="G573" s="3"/>
      <c r="H573" s="3"/>
      <c r="I573" s="3"/>
      <c r="J573" s="3"/>
      <c r="K573" s="3"/>
      <c r="L573" s="3"/>
      <c r="M573" s="3"/>
      <c r="N573" s="3"/>
      <c r="O573" s="3"/>
      <c r="P573" s="3"/>
      <c r="Q573" s="3"/>
      <c r="R573" s="3"/>
      <c r="S573" s="3"/>
      <c r="T573" s="3"/>
      <c r="U573" s="3"/>
      <c r="V573" s="3"/>
      <c r="W573" s="3"/>
      <c r="X573" s="44"/>
      <c r="Y573" s="44"/>
      <c r="Z573" s="44"/>
      <c r="AA573" s="154"/>
      <c r="AB573" s="44"/>
      <c r="AC573" s="44"/>
      <c r="AD573" s="44"/>
      <c r="AE573" s="44"/>
      <c r="AF573" s="44"/>
    </row>
    <row r="574" spans="1:32">
      <c r="A574" s="3"/>
      <c r="B574" s="3"/>
      <c r="C574" s="3"/>
      <c r="D574" s="3"/>
      <c r="E574" s="46"/>
      <c r="F574" s="3"/>
      <c r="G574" s="3"/>
      <c r="H574" s="3"/>
      <c r="I574" s="3"/>
      <c r="J574" s="3"/>
      <c r="K574" s="3"/>
      <c r="L574" s="3"/>
      <c r="M574" s="3"/>
      <c r="N574" s="3"/>
      <c r="O574" s="3"/>
      <c r="P574" s="3"/>
      <c r="Q574" s="3"/>
      <c r="R574" s="3"/>
      <c r="S574" s="3"/>
      <c r="T574" s="3"/>
      <c r="U574" s="3"/>
      <c r="V574" s="3"/>
      <c r="W574" s="3"/>
      <c r="X574" s="44"/>
      <c r="Y574" s="44"/>
      <c r="Z574" s="44"/>
      <c r="AA574" s="154"/>
      <c r="AB574" s="44"/>
      <c r="AC574" s="44"/>
      <c r="AD574" s="44"/>
      <c r="AE574" s="44"/>
      <c r="AF574" s="44"/>
    </row>
    <row r="575" spans="1:32">
      <c r="A575" s="3"/>
      <c r="B575" s="3"/>
      <c r="C575" s="3"/>
      <c r="D575" s="3"/>
      <c r="E575" s="46"/>
      <c r="F575" s="3"/>
      <c r="G575" s="3"/>
      <c r="H575" s="3"/>
      <c r="I575" s="3"/>
      <c r="J575" s="3"/>
      <c r="K575" s="3"/>
      <c r="L575" s="3"/>
      <c r="M575" s="3"/>
      <c r="N575" s="3"/>
      <c r="O575" s="3"/>
      <c r="P575" s="3"/>
      <c r="Q575" s="3"/>
      <c r="R575" s="3"/>
      <c r="S575" s="3"/>
      <c r="T575" s="3"/>
      <c r="U575" s="3"/>
      <c r="V575" s="3"/>
      <c r="W575" s="3"/>
      <c r="X575" s="44"/>
      <c r="Y575" s="44"/>
      <c r="Z575" s="44"/>
      <c r="AA575" s="154"/>
      <c r="AB575" s="44"/>
      <c r="AC575" s="44"/>
      <c r="AD575" s="44"/>
      <c r="AE575" s="44"/>
      <c r="AF575" s="44"/>
    </row>
    <row r="576" spans="1:32">
      <c r="A576" s="3"/>
      <c r="B576" s="3"/>
      <c r="C576" s="3"/>
      <c r="D576" s="3"/>
      <c r="E576" s="46"/>
      <c r="F576" s="3"/>
      <c r="G576" s="3"/>
      <c r="H576" s="3"/>
      <c r="I576" s="3"/>
      <c r="J576" s="3"/>
      <c r="K576" s="3"/>
      <c r="L576" s="3"/>
      <c r="M576" s="3"/>
      <c r="N576" s="3"/>
      <c r="O576" s="3"/>
      <c r="P576" s="3"/>
      <c r="Q576" s="3"/>
      <c r="R576" s="3"/>
      <c r="S576" s="3"/>
      <c r="T576" s="3"/>
      <c r="U576" s="3"/>
      <c r="V576" s="3"/>
      <c r="W576" s="3"/>
      <c r="X576" s="44"/>
      <c r="Y576" s="44"/>
      <c r="Z576" s="44"/>
      <c r="AA576" s="154"/>
      <c r="AB576" s="44"/>
      <c r="AC576" s="44"/>
      <c r="AD576" s="44"/>
      <c r="AE576" s="44"/>
      <c r="AF576" s="44"/>
    </row>
    <row r="577" spans="1:32">
      <c r="A577" s="3"/>
      <c r="B577" s="3"/>
      <c r="C577" s="3"/>
      <c r="D577" s="3"/>
      <c r="E577" s="46"/>
      <c r="F577" s="3"/>
      <c r="G577" s="3"/>
      <c r="H577" s="3"/>
      <c r="I577" s="3"/>
      <c r="J577" s="3"/>
      <c r="K577" s="3"/>
      <c r="L577" s="3"/>
      <c r="M577" s="3"/>
      <c r="N577" s="3"/>
      <c r="O577" s="3"/>
      <c r="P577" s="3"/>
      <c r="Q577" s="3"/>
      <c r="R577" s="3"/>
      <c r="S577" s="3"/>
      <c r="T577" s="3"/>
      <c r="U577" s="3"/>
      <c r="V577" s="3"/>
      <c r="W577" s="3"/>
      <c r="X577" s="44"/>
      <c r="Y577" s="44"/>
      <c r="Z577" s="44"/>
      <c r="AA577" s="154"/>
      <c r="AB577" s="44"/>
      <c r="AC577" s="44"/>
      <c r="AD577" s="44"/>
      <c r="AE577" s="44"/>
      <c r="AF577" s="44"/>
    </row>
    <row r="578" spans="1:32">
      <c r="A578" s="3"/>
      <c r="B578" s="3"/>
      <c r="C578" s="3"/>
      <c r="D578" s="3"/>
      <c r="E578" s="46"/>
      <c r="F578" s="3"/>
      <c r="G578" s="3"/>
      <c r="H578" s="3"/>
      <c r="I578" s="3"/>
      <c r="J578" s="3"/>
      <c r="K578" s="3"/>
      <c r="L578" s="3"/>
      <c r="M578" s="3"/>
      <c r="N578" s="3"/>
      <c r="O578" s="3"/>
      <c r="P578" s="3"/>
      <c r="Q578" s="3"/>
      <c r="R578" s="3"/>
      <c r="S578" s="3"/>
      <c r="T578" s="3"/>
      <c r="U578" s="3"/>
      <c r="V578" s="3"/>
      <c r="W578" s="3"/>
      <c r="X578" s="44"/>
      <c r="Y578" s="44"/>
      <c r="Z578" s="44"/>
      <c r="AA578" s="154"/>
      <c r="AB578" s="44"/>
      <c r="AC578" s="44"/>
      <c r="AD578" s="44"/>
      <c r="AE578" s="44"/>
      <c r="AF578" s="44"/>
    </row>
    <row r="579" spans="1:32">
      <c r="A579" s="3"/>
      <c r="B579" s="3"/>
      <c r="C579" s="3"/>
      <c r="D579" s="3"/>
      <c r="E579" s="44"/>
      <c r="F579" s="3"/>
      <c r="G579" s="3"/>
      <c r="H579" s="3"/>
      <c r="I579" s="3"/>
      <c r="J579" s="3"/>
      <c r="K579" s="3"/>
      <c r="L579" s="3"/>
      <c r="M579" s="3"/>
      <c r="N579" s="3"/>
      <c r="O579" s="3"/>
      <c r="P579" s="3"/>
      <c r="Q579" s="3"/>
      <c r="R579" s="3"/>
      <c r="S579" s="3"/>
      <c r="T579" s="3"/>
      <c r="U579" s="3"/>
      <c r="V579" s="3"/>
      <c r="W579" s="3"/>
      <c r="X579" s="44"/>
      <c r="Y579" s="44"/>
      <c r="Z579" s="44"/>
      <c r="AA579" s="154"/>
      <c r="AB579" s="44"/>
      <c r="AC579" s="44"/>
      <c r="AD579" s="44"/>
      <c r="AE579" s="44"/>
      <c r="AF579" s="44"/>
    </row>
    <row r="580" spans="1:32">
      <c r="A580" s="3"/>
      <c r="B580" s="3"/>
      <c r="C580" s="3"/>
      <c r="D580" s="3"/>
      <c r="E580" s="44"/>
      <c r="F580" s="3"/>
      <c r="G580" s="3"/>
      <c r="H580" s="3"/>
      <c r="I580" s="3"/>
      <c r="J580" s="3"/>
      <c r="K580" s="3"/>
      <c r="L580" s="3"/>
      <c r="M580" s="3"/>
      <c r="N580" s="3"/>
      <c r="O580" s="3"/>
      <c r="P580" s="3"/>
      <c r="Q580" s="3"/>
      <c r="R580" s="3"/>
      <c r="S580" s="3"/>
      <c r="T580" s="3"/>
      <c r="U580" s="3"/>
      <c r="V580" s="3"/>
      <c r="W580" s="3"/>
      <c r="X580" s="44"/>
      <c r="Y580" s="44"/>
      <c r="Z580" s="44"/>
      <c r="AA580" s="154"/>
      <c r="AB580" s="44"/>
      <c r="AC580" s="44"/>
      <c r="AD580" s="44"/>
      <c r="AE580" s="44"/>
      <c r="AF580" s="44"/>
    </row>
    <row r="581" spans="1:32">
      <c r="A581" s="3"/>
      <c r="B581" s="3"/>
      <c r="C581" s="3"/>
      <c r="D581" s="3"/>
      <c r="E581" s="44"/>
      <c r="F581" s="3"/>
      <c r="G581" s="3"/>
      <c r="H581" s="3"/>
      <c r="I581" s="3"/>
      <c r="J581" s="3"/>
      <c r="K581" s="3"/>
      <c r="L581" s="3"/>
      <c r="M581" s="3"/>
      <c r="N581" s="3"/>
      <c r="O581" s="3"/>
      <c r="P581" s="3"/>
      <c r="Q581" s="3"/>
      <c r="R581" s="3"/>
      <c r="S581" s="3"/>
      <c r="T581" s="3"/>
      <c r="U581" s="3"/>
      <c r="V581" s="3"/>
      <c r="W581" s="3"/>
      <c r="X581" s="44"/>
      <c r="Y581" s="44"/>
      <c r="Z581" s="44"/>
      <c r="AA581" s="154"/>
      <c r="AB581" s="44"/>
      <c r="AC581" s="44"/>
      <c r="AD581" s="44"/>
      <c r="AE581" s="44"/>
      <c r="AF581" s="44"/>
    </row>
    <row r="582" spans="1:32">
      <c r="A582" s="3"/>
      <c r="B582" s="3"/>
      <c r="C582" s="3"/>
      <c r="D582" s="3"/>
      <c r="E582" s="44"/>
      <c r="F582" s="3"/>
      <c r="G582" s="3"/>
      <c r="H582" s="3"/>
      <c r="I582" s="3"/>
      <c r="J582" s="3"/>
      <c r="K582" s="3"/>
      <c r="L582" s="3"/>
      <c r="M582" s="3"/>
      <c r="N582" s="3"/>
      <c r="O582" s="3"/>
      <c r="P582" s="3"/>
      <c r="Q582" s="3"/>
      <c r="R582" s="3"/>
      <c r="S582" s="3"/>
      <c r="T582" s="3"/>
      <c r="U582" s="3"/>
      <c r="V582" s="3"/>
      <c r="W582" s="3"/>
      <c r="X582" s="44"/>
      <c r="Y582" s="44"/>
      <c r="Z582" s="44"/>
      <c r="AA582" s="154"/>
      <c r="AB582" s="44"/>
      <c r="AC582" s="44"/>
      <c r="AD582" s="44"/>
      <c r="AE582" s="44"/>
      <c r="AF582" s="44"/>
    </row>
    <row r="583" spans="1:32">
      <c r="A583" s="3"/>
      <c r="B583" s="3"/>
      <c r="C583" s="3"/>
      <c r="D583" s="3"/>
      <c r="E583" s="44"/>
      <c r="F583" s="3"/>
      <c r="G583" s="3"/>
      <c r="H583" s="3"/>
      <c r="I583" s="3"/>
      <c r="J583" s="3"/>
      <c r="K583" s="3"/>
      <c r="L583" s="3"/>
      <c r="M583" s="3"/>
      <c r="N583" s="3"/>
      <c r="O583" s="3"/>
      <c r="P583" s="3"/>
      <c r="Q583" s="3"/>
      <c r="R583" s="3"/>
      <c r="S583" s="3"/>
      <c r="T583" s="3"/>
      <c r="U583" s="3"/>
      <c r="V583" s="3"/>
      <c r="W583" s="3"/>
      <c r="X583" s="44"/>
      <c r="Y583" s="44"/>
      <c r="Z583" s="44"/>
      <c r="AA583" s="154"/>
      <c r="AB583" s="44"/>
      <c r="AC583" s="44"/>
      <c r="AD583" s="44"/>
      <c r="AE583" s="44"/>
      <c r="AF583" s="44"/>
    </row>
    <row r="584" spans="1:32">
      <c r="A584" s="3"/>
      <c r="B584" s="3"/>
      <c r="C584" s="3"/>
      <c r="D584" s="3"/>
      <c r="E584" s="44"/>
      <c r="F584" s="3"/>
      <c r="G584" s="3"/>
      <c r="H584" s="3"/>
      <c r="I584" s="3"/>
      <c r="J584" s="3"/>
      <c r="K584" s="3"/>
      <c r="L584" s="3"/>
      <c r="M584" s="3"/>
      <c r="N584" s="3"/>
      <c r="O584" s="3"/>
      <c r="P584" s="3"/>
      <c r="Q584" s="3"/>
      <c r="R584" s="3"/>
      <c r="S584" s="3"/>
      <c r="T584" s="3"/>
      <c r="U584" s="3"/>
      <c r="V584" s="3"/>
      <c r="W584" s="3"/>
      <c r="X584" s="44"/>
      <c r="Y584" s="44"/>
      <c r="Z584" s="44"/>
      <c r="AA584" s="154"/>
      <c r="AB584" s="44"/>
      <c r="AC584" s="44"/>
      <c r="AD584" s="44"/>
      <c r="AE584" s="44"/>
      <c r="AF584" s="44"/>
    </row>
    <row r="585" spans="1:32">
      <c r="A585" s="3"/>
      <c r="B585" s="3"/>
      <c r="C585" s="3"/>
      <c r="D585" s="3"/>
      <c r="E585" s="44"/>
      <c r="F585" s="3"/>
      <c r="G585" s="3"/>
      <c r="H585" s="3"/>
      <c r="I585" s="3"/>
      <c r="J585" s="3"/>
      <c r="K585" s="3"/>
      <c r="L585" s="3"/>
      <c r="M585" s="3"/>
      <c r="N585" s="3"/>
      <c r="O585" s="3"/>
      <c r="P585" s="3"/>
      <c r="Q585" s="3"/>
      <c r="R585" s="3"/>
      <c r="S585" s="3"/>
      <c r="T585" s="3"/>
      <c r="U585" s="3"/>
      <c r="V585" s="3"/>
      <c r="W585" s="3"/>
      <c r="X585" s="44"/>
      <c r="Y585" s="44"/>
      <c r="Z585" s="44"/>
      <c r="AA585" s="154"/>
      <c r="AB585" s="44"/>
      <c r="AC585" s="44"/>
      <c r="AD585" s="44"/>
      <c r="AE585" s="44"/>
      <c r="AF585" s="44"/>
    </row>
    <row r="586" spans="1:32">
      <c r="A586" s="3"/>
      <c r="B586" s="3"/>
      <c r="C586" s="3"/>
      <c r="D586" s="3"/>
      <c r="E586" s="44"/>
      <c r="F586" s="3"/>
      <c r="G586" s="3"/>
      <c r="H586" s="3"/>
      <c r="I586" s="3"/>
      <c r="J586" s="3"/>
      <c r="K586" s="3"/>
      <c r="L586" s="3"/>
      <c r="M586" s="3"/>
      <c r="N586" s="3"/>
      <c r="O586" s="3"/>
      <c r="P586" s="3"/>
      <c r="Q586" s="3"/>
      <c r="R586" s="3"/>
      <c r="S586" s="3"/>
      <c r="T586" s="3"/>
      <c r="U586" s="3"/>
      <c r="V586" s="3"/>
      <c r="W586" s="3"/>
      <c r="X586" s="44"/>
      <c r="Y586" s="44"/>
      <c r="Z586" s="44"/>
      <c r="AA586" s="154"/>
      <c r="AB586" s="44"/>
      <c r="AC586" s="44"/>
      <c r="AD586" s="44"/>
      <c r="AE586" s="44"/>
      <c r="AF586" s="44"/>
    </row>
    <row r="587" spans="1:32">
      <c r="A587" s="3"/>
      <c r="B587" s="3"/>
      <c r="C587" s="3"/>
      <c r="D587" s="3"/>
      <c r="E587" s="44"/>
      <c r="F587" s="3"/>
      <c r="G587" s="3"/>
      <c r="H587" s="3"/>
      <c r="I587" s="3"/>
      <c r="J587" s="3"/>
      <c r="K587" s="3"/>
      <c r="L587" s="3"/>
      <c r="M587" s="3"/>
      <c r="N587" s="3"/>
      <c r="O587" s="3"/>
      <c r="P587" s="3"/>
      <c r="Q587" s="3"/>
      <c r="R587" s="3"/>
      <c r="S587" s="3"/>
      <c r="T587" s="3"/>
      <c r="U587" s="3"/>
      <c r="V587" s="3"/>
      <c r="W587" s="3"/>
      <c r="X587" s="44"/>
      <c r="Y587" s="44"/>
      <c r="Z587" s="44"/>
      <c r="AA587" s="154"/>
      <c r="AB587" s="44"/>
      <c r="AC587" s="44"/>
      <c r="AD587" s="44"/>
      <c r="AE587" s="44"/>
      <c r="AF587" s="44"/>
    </row>
    <row r="588" spans="1:32">
      <c r="A588" s="3"/>
      <c r="B588" s="3"/>
      <c r="C588" s="3"/>
      <c r="D588" s="3"/>
      <c r="E588" s="44"/>
      <c r="F588" s="3"/>
      <c r="G588" s="3"/>
      <c r="H588" s="3"/>
      <c r="I588" s="3"/>
      <c r="J588" s="3"/>
      <c r="K588" s="3"/>
      <c r="L588" s="3"/>
      <c r="M588" s="3"/>
      <c r="N588" s="3"/>
      <c r="O588" s="3"/>
      <c r="P588" s="3"/>
      <c r="Q588" s="3"/>
      <c r="R588" s="3"/>
      <c r="S588" s="3"/>
      <c r="T588" s="3"/>
      <c r="U588" s="3"/>
      <c r="V588" s="3"/>
      <c r="W588" s="3"/>
      <c r="X588" s="44"/>
      <c r="Y588" s="44"/>
      <c r="Z588" s="44"/>
      <c r="AA588" s="154"/>
      <c r="AB588" s="44"/>
      <c r="AC588" s="44"/>
      <c r="AD588" s="44"/>
      <c r="AE588" s="44"/>
      <c r="AF588" s="44"/>
    </row>
    <row r="589" spans="1:32">
      <c r="A589" s="3"/>
      <c r="B589" s="3"/>
      <c r="C589" s="3"/>
      <c r="D589" s="3"/>
      <c r="E589" s="44"/>
      <c r="F589" s="3"/>
      <c r="G589" s="3"/>
      <c r="H589" s="3"/>
      <c r="I589" s="3"/>
      <c r="J589" s="3"/>
      <c r="K589" s="3"/>
      <c r="L589" s="3"/>
      <c r="M589" s="3"/>
      <c r="N589" s="3"/>
      <c r="O589" s="3"/>
      <c r="P589" s="3"/>
      <c r="Q589" s="3"/>
      <c r="R589" s="3"/>
      <c r="S589" s="3"/>
      <c r="T589" s="3"/>
      <c r="U589" s="3"/>
      <c r="V589" s="3"/>
      <c r="W589" s="3"/>
      <c r="X589" s="44"/>
      <c r="Y589" s="44"/>
      <c r="Z589" s="44"/>
      <c r="AA589" s="154"/>
      <c r="AB589" s="44"/>
      <c r="AC589" s="44"/>
      <c r="AD589" s="44"/>
      <c r="AE589" s="44"/>
      <c r="AF589" s="44"/>
    </row>
    <row r="590" spans="1:32">
      <c r="A590" s="3"/>
      <c r="B590" s="3"/>
      <c r="C590" s="3"/>
      <c r="D590" s="3"/>
      <c r="E590" s="44"/>
      <c r="F590" s="3"/>
      <c r="G590" s="3"/>
      <c r="H590" s="3"/>
      <c r="I590" s="3"/>
      <c r="J590" s="3"/>
      <c r="K590" s="3"/>
      <c r="L590" s="3"/>
      <c r="M590" s="3"/>
      <c r="N590" s="3"/>
      <c r="O590" s="3"/>
      <c r="P590" s="3"/>
      <c r="Q590" s="3"/>
      <c r="R590" s="3"/>
      <c r="S590" s="3"/>
      <c r="T590" s="3"/>
      <c r="U590" s="3"/>
      <c r="V590" s="3"/>
      <c r="W590" s="3"/>
      <c r="X590" s="44"/>
      <c r="Y590" s="44"/>
      <c r="Z590" s="44"/>
      <c r="AA590" s="154"/>
      <c r="AB590" s="44"/>
      <c r="AC590" s="44"/>
      <c r="AD590" s="44"/>
      <c r="AE590" s="44"/>
      <c r="AF590" s="44"/>
    </row>
    <row r="591" spans="1:32">
      <c r="A591" s="3"/>
      <c r="B591" s="3"/>
      <c r="C591" s="3"/>
      <c r="D591" s="3"/>
      <c r="E591" s="44"/>
      <c r="F591" s="3"/>
      <c r="G591" s="3"/>
      <c r="H591" s="3"/>
      <c r="I591" s="3"/>
      <c r="J591" s="3"/>
      <c r="K591" s="3"/>
      <c r="L591" s="3"/>
      <c r="M591" s="3"/>
      <c r="N591" s="3"/>
      <c r="O591" s="3"/>
      <c r="P591" s="3"/>
      <c r="Q591" s="3"/>
      <c r="R591" s="3"/>
      <c r="S591" s="3"/>
      <c r="T591" s="3"/>
      <c r="U591" s="3"/>
      <c r="V591" s="3"/>
      <c r="W591" s="3"/>
      <c r="X591" s="44"/>
      <c r="Y591" s="44"/>
      <c r="Z591" s="44"/>
      <c r="AA591" s="154"/>
      <c r="AB591" s="44"/>
      <c r="AC591" s="44"/>
      <c r="AD591" s="44"/>
      <c r="AE591" s="44"/>
      <c r="AF591" s="44"/>
    </row>
    <row r="592" spans="1:32">
      <c r="A592" s="3"/>
      <c r="B592" s="3"/>
      <c r="C592" s="3"/>
      <c r="D592" s="3"/>
      <c r="E592" s="44"/>
      <c r="F592" s="3"/>
      <c r="G592" s="3"/>
      <c r="H592" s="3"/>
      <c r="I592" s="3"/>
      <c r="J592" s="3"/>
      <c r="K592" s="3"/>
      <c r="L592" s="3"/>
      <c r="M592" s="3"/>
      <c r="N592" s="3"/>
      <c r="O592" s="3"/>
      <c r="P592" s="3"/>
      <c r="Q592" s="3"/>
      <c r="R592" s="3"/>
      <c r="S592" s="3"/>
      <c r="T592" s="3"/>
      <c r="U592" s="3"/>
      <c r="V592" s="3"/>
      <c r="W592" s="3"/>
      <c r="X592" s="44"/>
      <c r="Y592" s="44"/>
      <c r="Z592" s="44"/>
      <c r="AA592" s="154"/>
      <c r="AB592" s="44"/>
      <c r="AC592" s="44"/>
      <c r="AD592" s="44"/>
      <c r="AE592" s="44"/>
      <c r="AF592" s="44"/>
    </row>
    <row r="593" spans="1:32">
      <c r="A593" s="3"/>
      <c r="B593" s="3"/>
      <c r="C593" s="3"/>
      <c r="D593" s="3"/>
      <c r="E593" s="44"/>
      <c r="F593" s="3"/>
      <c r="G593" s="3"/>
      <c r="H593" s="3"/>
      <c r="I593" s="3"/>
      <c r="J593" s="3"/>
      <c r="K593" s="3"/>
      <c r="L593" s="3"/>
      <c r="M593" s="3"/>
      <c r="N593" s="3"/>
      <c r="O593" s="3"/>
      <c r="P593" s="3"/>
      <c r="Q593" s="3"/>
      <c r="R593" s="3"/>
      <c r="S593" s="3"/>
      <c r="T593" s="3"/>
      <c r="U593" s="3"/>
      <c r="V593" s="3"/>
      <c r="W593" s="3"/>
      <c r="X593" s="44"/>
      <c r="Y593" s="44"/>
      <c r="Z593" s="44"/>
      <c r="AA593" s="154"/>
      <c r="AB593" s="44"/>
      <c r="AC593" s="44"/>
      <c r="AD593" s="44"/>
      <c r="AE593" s="44"/>
      <c r="AF593" s="44"/>
    </row>
    <row r="594" spans="1:32">
      <c r="A594" s="3"/>
      <c r="B594" s="3"/>
      <c r="C594" s="3"/>
      <c r="D594" s="3"/>
      <c r="E594" s="44"/>
      <c r="F594" s="3"/>
      <c r="G594" s="3"/>
      <c r="H594" s="3"/>
      <c r="I594" s="3"/>
      <c r="J594" s="3"/>
      <c r="K594" s="3"/>
      <c r="L594" s="3"/>
      <c r="M594" s="3"/>
      <c r="N594" s="3"/>
      <c r="O594" s="3"/>
      <c r="P594" s="3"/>
      <c r="Q594" s="3"/>
      <c r="R594" s="3"/>
      <c r="S594" s="3"/>
      <c r="T594" s="3"/>
      <c r="U594" s="3"/>
      <c r="V594" s="3"/>
      <c r="W594" s="3"/>
      <c r="X594" s="44"/>
      <c r="Y594" s="44"/>
      <c r="Z594" s="44"/>
      <c r="AA594" s="154"/>
      <c r="AB594" s="44"/>
      <c r="AC594" s="44"/>
      <c r="AD594" s="44"/>
      <c r="AE594" s="44"/>
      <c r="AF594" s="44"/>
    </row>
    <row r="595" spans="1:32">
      <c r="A595" s="3"/>
      <c r="B595" s="3"/>
      <c r="C595" s="3"/>
      <c r="D595" s="3"/>
      <c r="E595" s="44"/>
      <c r="F595" s="3"/>
      <c r="G595" s="3"/>
      <c r="H595" s="3"/>
      <c r="I595" s="3"/>
      <c r="J595" s="3"/>
      <c r="K595" s="3"/>
      <c r="L595" s="3"/>
      <c r="M595" s="3"/>
      <c r="N595" s="3"/>
      <c r="O595" s="3"/>
      <c r="P595" s="3"/>
      <c r="Q595" s="3"/>
      <c r="R595" s="3"/>
      <c r="S595" s="3"/>
      <c r="T595" s="3"/>
      <c r="U595" s="3"/>
      <c r="V595" s="3"/>
      <c r="W595" s="3"/>
      <c r="X595" s="44"/>
      <c r="Y595" s="44"/>
      <c r="Z595" s="44"/>
      <c r="AA595" s="154"/>
      <c r="AB595" s="44"/>
      <c r="AC595" s="44"/>
      <c r="AD595" s="44"/>
      <c r="AE595" s="44"/>
      <c r="AF595" s="44"/>
    </row>
    <row r="596" spans="1:32">
      <c r="A596" s="3"/>
      <c r="B596" s="3"/>
      <c r="C596" s="3"/>
      <c r="D596" s="3"/>
      <c r="E596" s="44"/>
      <c r="F596" s="3"/>
      <c r="G596" s="3"/>
      <c r="H596" s="3"/>
      <c r="I596" s="3"/>
      <c r="J596" s="3"/>
      <c r="K596" s="3"/>
      <c r="L596" s="3"/>
      <c r="M596" s="3"/>
      <c r="N596" s="3"/>
      <c r="O596" s="3"/>
      <c r="P596" s="3"/>
      <c r="Q596" s="3"/>
      <c r="R596" s="3"/>
      <c r="S596" s="3"/>
      <c r="T596" s="3"/>
      <c r="U596" s="3"/>
      <c r="V596" s="3"/>
      <c r="W596" s="3"/>
      <c r="X596" s="44"/>
      <c r="Y596" s="44"/>
      <c r="Z596" s="44"/>
      <c r="AA596" s="154"/>
      <c r="AB596" s="44"/>
      <c r="AC596" s="44"/>
      <c r="AD596" s="44"/>
      <c r="AE596" s="44"/>
      <c r="AF596" s="44"/>
    </row>
    <row r="597" spans="1:32">
      <c r="A597" s="3"/>
      <c r="B597" s="3"/>
      <c r="C597" s="3"/>
      <c r="D597" s="3"/>
      <c r="E597" s="44"/>
      <c r="F597" s="3"/>
      <c r="G597" s="3"/>
      <c r="H597" s="3"/>
      <c r="I597" s="3"/>
      <c r="J597" s="3"/>
      <c r="K597" s="3"/>
      <c r="L597" s="3"/>
      <c r="M597" s="3"/>
      <c r="N597" s="3"/>
      <c r="O597" s="3"/>
      <c r="P597" s="3"/>
      <c r="Q597" s="3"/>
      <c r="R597" s="3"/>
      <c r="S597" s="3"/>
      <c r="T597" s="3"/>
      <c r="U597" s="3"/>
      <c r="V597" s="3"/>
      <c r="W597" s="3"/>
      <c r="X597" s="44"/>
      <c r="Y597" s="44"/>
      <c r="Z597" s="44"/>
      <c r="AA597" s="154"/>
      <c r="AB597" s="44"/>
      <c r="AC597" s="44"/>
      <c r="AD597" s="44"/>
      <c r="AE597" s="44"/>
      <c r="AF597" s="44"/>
    </row>
    <row r="598" spans="1:32">
      <c r="A598" s="3"/>
      <c r="B598" s="3"/>
      <c r="C598" s="46"/>
      <c r="D598" s="46"/>
      <c r="E598" s="46"/>
      <c r="F598" s="46"/>
      <c r="G598" s="46"/>
      <c r="H598" s="46"/>
      <c r="I598" s="46"/>
      <c r="J598" s="46"/>
      <c r="K598" s="46"/>
      <c r="L598" s="49"/>
      <c r="M598" s="46"/>
      <c r="N598" s="46"/>
      <c r="O598" s="46"/>
      <c r="P598" s="46"/>
      <c r="Q598" s="46"/>
      <c r="R598" s="46"/>
      <c r="S598" s="3"/>
      <c r="T598" s="3"/>
      <c r="U598" s="3"/>
      <c r="V598" s="3"/>
      <c r="W598" s="3"/>
      <c r="X598" s="44"/>
      <c r="Y598" s="45"/>
      <c r="Z598" s="44"/>
      <c r="AA598" s="154"/>
      <c r="AB598" s="44"/>
      <c r="AC598" s="44"/>
      <c r="AD598" s="44"/>
      <c r="AE598" s="44"/>
      <c r="AF598" s="44"/>
    </row>
    <row r="599" spans="1:32">
      <c r="A599" s="3"/>
      <c r="B599" s="3"/>
      <c r="C599" s="44"/>
      <c r="D599" s="44"/>
      <c r="E599" s="44"/>
      <c r="F599" s="44"/>
      <c r="G599" s="44"/>
      <c r="H599" s="44"/>
      <c r="I599" s="44"/>
      <c r="J599" s="44"/>
      <c r="K599" s="44"/>
      <c r="L599" s="44"/>
      <c r="M599" s="44"/>
      <c r="N599" s="44"/>
      <c r="O599" s="44"/>
      <c r="P599" s="44"/>
      <c r="Q599" s="44"/>
      <c r="R599" s="44"/>
      <c r="S599" s="44"/>
      <c r="T599" s="44"/>
      <c r="U599" s="44"/>
      <c r="V599" s="44"/>
      <c r="W599" s="44"/>
      <c r="X599" s="44"/>
      <c r="Y599" s="45"/>
      <c r="Z599" s="44"/>
      <c r="AA599" s="154"/>
      <c r="AB599" s="44"/>
      <c r="AC599" s="44"/>
      <c r="AD599" s="44"/>
      <c r="AE599" s="44"/>
      <c r="AF599" s="44"/>
    </row>
    <row r="600" spans="1:32">
      <c r="A600" s="3"/>
      <c r="B600" s="3"/>
      <c r="C600" s="46"/>
      <c r="D600" s="46"/>
      <c r="E600" s="46"/>
      <c r="F600" s="46"/>
      <c r="G600" s="46"/>
      <c r="H600" s="44"/>
      <c r="I600" s="46"/>
      <c r="J600" s="36"/>
      <c r="K600" s="46"/>
      <c r="L600" s="3"/>
      <c r="M600" s="46"/>
      <c r="N600" s="46"/>
      <c r="O600" s="46"/>
      <c r="P600" s="46"/>
      <c r="Q600" s="46"/>
      <c r="R600" s="46"/>
      <c r="S600" s="3"/>
      <c r="T600" s="3"/>
      <c r="U600" s="3"/>
      <c r="V600" s="3"/>
      <c r="W600" s="3"/>
      <c r="X600" s="44"/>
      <c r="Y600" s="45"/>
      <c r="Z600" s="44"/>
      <c r="AA600" s="154"/>
      <c r="AB600" s="44"/>
      <c r="AC600" s="44"/>
      <c r="AD600" s="44"/>
      <c r="AE600" s="44"/>
      <c r="AF600" s="44"/>
    </row>
    <row r="601" spans="1:32">
      <c r="A601" s="44"/>
      <c r="B601" s="44"/>
      <c r="C601" s="44"/>
      <c r="D601" s="44"/>
      <c r="E601" s="44"/>
      <c r="F601" s="44"/>
      <c r="G601" s="44"/>
      <c r="H601" s="44"/>
      <c r="I601" s="44"/>
      <c r="J601" s="26"/>
      <c r="K601" s="44"/>
      <c r="L601" s="44"/>
      <c r="M601" s="44"/>
      <c r="N601" s="44"/>
      <c r="O601" s="44"/>
      <c r="P601" s="44"/>
      <c r="Q601" s="44"/>
      <c r="R601" s="44"/>
      <c r="S601" s="44"/>
      <c r="T601" s="44"/>
      <c r="U601" s="44"/>
      <c r="V601" s="44"/>
      <c r="W601" s="44"/>
      <c r="X601" s="44"/>
      <c r="Y601" s="45"/>
      <c r="Z601" s="44"/>
      <c r="AA601" s="154"/>
      <c r="AB601" s="44"/>
      <c r="AC601" s="44"/>
      <c r="AD601" s="44"/>
      <c r="AE601" s="44"/>
      <c r="AF601" s="44"/>
    </row>
    <row r="602" spans="1:32">
      <c r="A602" s="44"/>
      <c r="B602" s="44"/>
      <c r="C602" s="44"/>
      <c r="D602" s="44"/>
      <c r="E602" s="44"/>
      <c r="F602" s="44"/>
      <c r="G602" s="44"/>
      <c r="H602" s="44"/>
      <c r="I602" s="44"/>
      <c r="J602" s="81"/>
      <c r="K602" s="44"/>
      <c r="L602" s="44"/>
      <c r="M602" s="44"/>
      <c r="N602" s="44"/>
      <c r="O602" s="44"/>
      <c r="P602" s="44"/>
      <c r="Q602" s="44"/>
      <c r="R602" s="44"/>
      <c r="S602" s="44"/>
      <c r="T602" s="44"/>
      <c r="U602" s="44"/>
      <c r="V602" s="82"/>
      <c r="W602" s="44"/>
      <c r="X602" s="44"/>
      <c r="Y602" s="45"/>
      <c r="Z602" s="44"/>
      <c r="AA602" s="154"/>
      <c r="AB602" s="44"/>
      <c r="AC602" s="44"/>
      <c r="AD602" s="44"/>
      <c r="AE602" s="44"/>
      <c r="AF602" s="44"/>
    </row>
    <row r="603" spans="1:32">
      <c r="A603" s="44"/>
      <c r="B603" s="44"/>
      <c r="C603" s="44"/>
      <c r="D603" s="44"/>
      <c r="E603" s="44"/>
      <c r="F603" s="44"/>
      <c r="G603" s="44"/>
      <c r="H603" s="44"/>
      <c r="I603" s="44"/>
      <c r="J603" s="81"/>
      <c r="K603" s="44"/>
      <c r="L603" s="44"/>
      <c r="M603" s="44"/>
      <c r="N603" s="44"/>
      <c r="O603" s="44"/>
      <c r="P603" s="44"/>
      <c r="Q603" s="44"/>
      <c r="R603" s="44"/>
      <c r="S603" s="44"/>
      <c r="T603" s="44"/>
      <c r="U603" s="44"/>
      <c r="V603" s="44"/>
      <c r="W603" s="44"/>
      <c r="X603" s="44"/>
      <c r="Y603" s="45"/>
      <c r="Z603" s="44"/>
      <c r="AA603" s="154"/>
      <c r="AB603" s="44"/>
      <c r="AC603" s="44"/>
      <c r="AD603" s="44"/>
      <c r="AE603" s="44"/>
      <c r="AF603" s="44"/>
    </row>
    <row r="604" spans="1:32">
      <c r="A604" s="44"/>
      <c r="B604" s="44"/>
      <c r="C604" s="44"/>
      <c r="D604" s="44"/>
      <c r="E604" s="44"/>
      <c r="F604" s="44"/>
      <c r="G604" s="44"/>
      <c r="H604" s="44"/>
      <c r="I604" s="44"/>
      <c r="J604" s="44"/>
      <c r="K604" s="44"/>
      <c r="L604" s="44"/>
      <c r="M604" s="44"/>
      <c r="N604" s="44"/>
      <c r="O604" s="44"/>
      <c r="P604" s="44"/>
      <c r="Q604" s="44"/>
      <c r="R604" s="44"/>
      <c r="S604" s="44"/>
      <c r="T604" s="44"/>
      <c r="U604" s="44"/>
      <c r="V604" s="44"/>
      <c r="W604" s="83"/>
      <c r="X604" s="44"/>
      <c r="Y604" s="45"/>
      <c r="Z604" s="44"/>
      <c r="AA604" s="154"/>
      <c r="AB604" s="44"/>
      <c r="AC604" s="44"/>
      <c r="AD604" s="44"/>
      <c r="AE604" s="44"/>
      <c r="AF604" s="44"/>
    </row>
    <row r="605" spans="1:32">
      <c r="A605" s="44"/>
      <c r="B605" s="44"/>
      <c r="C605" s="44"/>
      <c r="D605" s="44"/>
      <c r="E605" s="44"/>
      <c r="F605" s="44"/>
      <c r="G605" s="44"/>
      <c r="H605" s="44"/>
      <c r="I605" s="44"/>
      <c r="J605" s="44"/>
      <c r="K605" s="44"/>
      <c r="L605" s="44"/>
      <c r="M605" s="44"/>
      <c r="N605" s="44"/>
      <c r="O605" s="44"/>
      <c r="P605" s="44"/>
      <c r="Q605" s="44"/>
      <c r="R605" s="44"/>
      <c r="S605" s="44"/>
      <c r="T605" s="44"/>
      <c r="U605" s="44"/>
      <c r="V605" s="44"/>
      <c r="W605" s="83"/>
      <c r="X605" s="44"/>
      <c r="Y605" s="45"/>
      <c r="Z605" s="84"/>
      <c r="AA605" s="154"/>
      <c r="AB605" s="44"/>
      <c r="AC605" s="44"/>
      <c r="AD605" s="44"/>
      <c r="AE605" s="44"/>
      <c r="AF605" s="44"/>
    </row>
    <row r="606" spans="1:32">
      <c r="A606" s="44"/>
      <c r="B606" s="44"/>
      <c r="C606" s="44"/>
      <c r="D606" s="44"/>
      <c r="E606" s="44"/>
      <c r="F606" s="44"/>
      <c r="G606" s="44"/>
      <c r="H606" s="44"/>
      <c r="I606" s="44"/>
      <c r="J606" s="44"/>
      <c r="K606" s="44"/>
      <c r="L606" s="44"/>
      <c r="M606" s="44"/>
      <c r="N606" s="44"/>
      <c r="O606" s="44"/>
      <c r="P606" s="44"/>
      <c r="Q606" s="44"/>
      <c r="R606" s="44"/>
      <c r="S606" s="44"/>
      <c r="T606" s="44"/>
      <c r="U606" s="44"/>
      <c r="V606" s="82"/>
      <c r="W606" s="46"/>
      <c r="X606" s="44"/>
      <c r="Y606" s="45"/>
      <c r="Z606" s="44"/>
      <c r="AA606" s="154"/>
      <c r="AB606" s="44"/>
      <c r="AC606" s="44"/>
      <c r="AD606" s="44"/>
      <c r="AE606" s="44"/>
      <c r="AF606" s="44"/>
    </row>
    <row r="607" spans="1:32">
      <c r="A607" s="44"/>
      <c r="B607" s="44"/>
      <c r="C607" s="44"/>
      <c r="D607" s="44"/>
      <c r="E607" s="44"/>
      <c r="F607" s="44"/>
      <c r="G607" s="44"/>
      <c r="H607" s="44"/>
      <c r="I607" s="44"/>
      <c r="J607" s="44"/>
      <c r="K607" s="44"/>
      <c r="L607" s="44"/>
      <c r="M607" s="44"/>
      <c r="N607" s="44"/>
      <c r="O607" s="44"/>
      <c r="P607" s="44"/>
      <c r="Q607" s="44"/>
      <c r="R607" s="44"/>
      <c r="S607" s="44"/>
      <c r="T607" s="44"/>
      <c r="U607" s="44"/>
      <c r="V607" s="44"/>
      <c r="W607" s="44"/>
      <c r="X607" s="44"/>
      <c r="Y607" s="45"/>
      <c r="Z607" s="44"/>
      <c r="AA607" s="154"/>
      <c r="AB607" s="44"/>
      <c r="AC607" s="44"/>
      <c r="AD607" s="44"/>
      <c r="AE607" s="44"/>
      <c r="AF607" s="44"/>
    </row>
    <row r="608" spans="1:32">
      <c r="A608" s="44"/>
      <c r="B608" s="44"/>
      <c r="C608" s="44"/>
      <c r="D608" s="44"/>
      <c r="E608" s="44"/>
      <c r="F608" s="44"/>
      <c r="G608" s="44"/>
      <c r="H608" s="44"/>
      <c r="I608" s="44"/>
      <c r="J608" s="44"/>
      <c r="K608" s="44"/>
      <c r="L608" s="44"/>
      <c r="M608" s="44"/>
      <c r="N608" s="44"/>
      <c r="O608" s="44"/>
      <c r="P608" s="44"/>
      <c r="Q608" s="44"/>
      <c r="R608" s="44"/>
      <c r="S608" s="44"/>
      <c r="T608" s="44"/>
      <c r="U608" s="44"/>
      <c r="V608" s="44"/>
      <c r="W608" s="44"/>
      <c r="X608" s="44"/>
      <c r="Y608" s="45"/>
      <c r="Z608" s="44"/>
      <c r="AA608" s="154"/>
      <c r="AB608" s="44"/>
      <c r="AC608" s="44"/>
      <c r="AD608" s="44"/>
      <c r="AE608" s="44"/>
      <c r="AF608" s="44"/>
    </row>
    <row r="609" spans="1:32">
      <c r="A609" s="44"/>
      <c r="B609" s="44"/>
      <c r="C609" s="44"/>
      <c r="D609" s="44"/>
      <c r="E609" s="44"/>
      <c r="F609" s="44"/>
      <c r="G609" s="44"/>
      <c r="H609" s="44"/>
      <c r="I609" s="44"/>
      <c r="J609" s="44"/>
      <c r="K609" s="44"/>
      <c r="L609" s="44"/>
      <c r="M609" s="44"/>
      <c r="N609" s="44"/>
      <c r="O609" s="44"/>
      <c r="P609" s="44"/>
      <c r="Q609" s="44"/>
      <c r="R609" s="44"/>
      <c r="S609" s="44"/>
      <c r="T609" s="44"/>
      <c r="U609" s="44"/>
      <c r="V609" s="44"/>
      <c r="W609" s="44"/>
      <c r="X609" s="44"/>
      <c r="Y609" s="45"/>
      <c r="Z609" s="44"/>
      <c r="AA609" s="154"/>
      <c r="AB609" s="44"/>
      <c r="AC609" s="44"/>
      <c r="AD609" s="44"/>
      <c r="AE609" s="44"/>
      <c r="AF609" s="44"/>
    </row>
  </sheetData>
  <autoFilter ref="A7:AJ610" xr:uid="{42E59E5C-2AAC-4E95-BFED-EF127056FED2}"/>
  <pageMargins left="0.7" right="0.7" top="0.75" bottom="0.75" header="0.3" footer="0.3"/>
  <pageSetup scale="60" orientation="landscape" horizontalDpi="1200" verticalDpi="1200" r:id="rId1"/>
  <rowBreaks count="1" manualBreakCount="1">
    <brk id="452" max="23" man="1"/>
  </rowBreak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1:AN28"/>
  <sheetViews>
    <sheetView workbookViewId="0"/>
  </sheetViews>
  <sheetFormatPr defaultColWidth="8.85546875" defaultRowHeight="15"/>
  <cols>
    <col min="1" max="1" width="20.140625" style="26" bestFit="1" customWidth="1"/>
    <col min="2" max="2" width="34.140625" style="26" customWidth="1"/>
    <col min="3" max="7" width="14.7109375" style="26" customWidth="1"/>
    <col min="8" max="8" width="11.5703125" style="26" bestFit="1" customWidth="1"/>
    <col min="9" max="16384" width="8.85546875" style="26"/>
  </cols>
  <sheetData>
    <row r="1" spans="1:40">
      <c r="A1" s="685" t="s">
        <v>976</v>
      </c>
      <c r="B1" s="86" t="s">
        <v>977</v>
      </c>
      <c r="C1" s="27"/>
      <c r="D1" s="27"/>
      <c r="E1" s="27"/>
      <c r="F1" s="27"/>
      <c r="G1" s="27"/>
      <c r="H1" s="27"/>
      <c r="I1" s="27"/>
      <c r="J1" s="27"/>
      <c r="K1" s="27"/>
      <c r="L1" s="27"/>
      <c r="M1" s="27"/>
    </row>
    <row r="2" spans="1:40">
      <c r="A2" s="28"/>
      <c r="B2" s="27"/>
      <c r="C2" s="27"/>
      <c r="D2" s="27"/>
      <c r="E2" s="27"/>
      <c r="F2" s="27"/>
      <c r="G2" s="27"/>
      <c r="H2" s="27"/>
      <c r="I2" s="27"/>
      <c r="J2" s="27"/>
      <c r="K2" s="27"/>
      <c r="L2" s="27"/>
      <c r="M2" s="27"/>
    </row>
    <row r="3" spans="1:40">
      <c r="A3" s="302" t="s">
        <v>978</v>
      </c>
      <c r="B3" s="639" t="s">
        <v>979</v>
      </c>
      <c r="C3" s="38"/>
      <c r="D3" s="38"/>
      <c r="E3" s="27"/>
      <c r="F3" s="27"/>
      <c r="G3" s="27"/>
      <c r="H3" s="27"/>
      <c r="I3" s="27"/>
      <c r="J3" s="27"/>
      <c r="K3" s="27"/>
      <c r="L3" s="27"/>
      <c r="M3" s="27"/>
    </row>
    <row r="4" spans="1:40">
      <c r="B4" s="244"/>
      <c r="C4" s="38"/>
      <c r="D4" s="38"/>
      <c r="E4" s="27"/>
      <c r="F4" s="27"/>
      <c r="G4" s="27"/>
      <c r="H4" s="27"/>
      <c r="I4" s="27"/>
      <c r="J4" s="27"/>
      <c r="K4" s="27"/>
      <c r="L4" s="27"/>
      <c r="M4" s="27"/>
    </row>
    <row r="5" spans="1:40">
      <c r="A5" s="201" t="s">
        <v>980</v>
      </c>
      <c r="B5" s="640" t="s">
        <v>981</v>
      </c>
      <c r="C5" s="27"/>
      <c r="D5" s="27"/>
      <c r="E5" s="27"/>
      <c r="F5" s="27"/>
      <c r="G5" s="27"/>
      <c r="H5" s="27"/>
      <c r="I5" s="27"/>
      <c r="J5" s="27"/>
      <c r="K5" s="27"/>
      <c r="L5" s="27"/>
      <c r="M5" s="27"/>
    </row>
    <row r="6" spans="1:40">
      <c r="A6" s="93" t="s">
        <v>982</v>
      </c>
      <c r="B6" s="672">
        <v>13653106.619999999</v>
      </c>
      <c r="C6" s="27">
        <v>13653107</v>
      </c>
      <c r="D6" s="27">
        <f>+B6-C6</f>
        <v>-0.38000000081956387</v>
      </c>
      <c r="E6" s="27"/>
      <c r="F6" s="27"/>
      <c r="G6" s="27"/>
      <c r="H6" s="27"/>
      <c r="I6" s="27"/>
    </row>
    <row r="7" spans="1:40">
      <c r="A7" s="93" t="s">
        <v>983</v>
      </c>
      <c r="B7" s="672">
        <v>5332.27</v>
      </c>
      <c r="C7" s="27">
        <v>5332</v>
      </c>
      <c r="D7" s="27">
        <f>+B7-C7</f>
        <v>0.27000000000043656</v>
      </c>
      <c r="E7" s="27"/>
      <c r="F7" s="27"/>
      <c r="G7" s="27"/>
      <c r="H7" s="27"/>
      <c r="I7" s="27"/>
    </row>
    <row r="8" spans="1:40">
      <c r="A8" s="93" t="s">
        <v>984</v>
      </c>
      <c r="B8" s="672">
        <v>2963727.11</v>
      </c>
      <c r="C8" s="27">
        <f>2963057+1336-665</f>
        <v>2963728</v>
      </c>
      <c r="D8" s="27">
        <f>+B8-C8</f>
        <v>-0.89000000013038516</v>
      </c>
      <c r="E8" s="27"/>
      <c r="F8" s="27"/>
      <c r="G8" s="27"/>
      <c r="H8" s="27"/>
      <c r="I8" s="27"/>
    </row>
    <row r="9" spans="1:40">
      <c r="A9" s="93" t="s">
        <v>985</v>
      </c>
      <c r="B9" s="672">
        <v>36994662.75</v>
      </c>
      <c r="C9" s="26">
        <v>37054878</v>
      </c>
      <c r="D9" s="27">
        <f>+B9-C9</f>
        <v>-60215.25</v>
      </c>
      <c r="E9" s="27"/>
      <c r="F9" s="27"/>
      <c r="G9" s="27"/>
      <c r="H9" s="27"/>
      <c r="I9" s="27"/>
    </row>
    <row r="10" spans="1:40">
      <c r="A10" s="93" t="s">
        <v>232</v>
      </c>
      <c r="B10" s="672">
        <v>11.27</v>
      </c>
      <c r="C10" s="26">
        <v>0</v>
      </c>
      <c r="D10" s="27">
        <f>+B10-C10</f>
        <v>11.27</v>
      </c>
      <c r="E10" s="27"/>
      <c r="F10" s="27"/>
      <c r="G10" s="27"/>
      <c r="H10" s="27"/>
      <c r="I10" s="27"/>
    </row>
    <row r="11" spans="1:40">
      <c r="A11" s="630" t="s">
        <v>986</v>
      </c>
      <c r="B11" s="673">
        <f>SUM(B6:B10)</f>
        <v>53616840.020000003</v>
      </c>
      <c r="C11" s="27"/>
      <c r="D11" s="27"/>
      <c r="E11" s="27"/>
      <c r="F11" s="27"/>
      <c r="G11" s="27"/>
      <c r="H11" s="27"/>
      <c r="I11" s="27"/>
    </row>
    <row r="12" spans="1:40">
      <c r="A12" s="93"/>
      <c r="B12" s="92"/>
      <c r="C12" s="92"/>
      <c r="D12" s="92"/>
      <c r="E12" s="92"/>
      <c r="F12" s="92"/>
      <c r="G12" s="92"/>
      <c r="H12" s="160"/>
      <c r="I12" s="160"/>
      <c r="J12" s="160"/>
      <c r="K12" s="160"/>
      <c r="L12" s="160"/>
      <c r="M12" s="160"/>
      <c r="N12" s="160"/>
      <c r="O12" s="160"/>
      <c r="P12" s="160"/>
      <c r="Q12" s="160"/>
      <c r="R12" s="160"/>
      <c r="S12" s="160"/>
      <c r="T12" s="160"/>
      <c r="U12" s="160"/>
      <c r="V12" s="160"/>
      <c r="W12" s="160"/>
      <c r="X12" s="160"/>
      <c r="Y12" s="160"/>
      <c r="Z12" s="160"/>
      <c r="AA12" s="160"/>
      <c r="AB12" s="160"/>
      <c r="AC12" s="160"/>
      <c r="AD12" s="160"/>
      <c r="AE12" s="160"/>
      <c r="AF12" s="160"/>
      <c r="AG12" s="160"/>
      <c r="AH12" s="160"/>
      <c r="AI12" s="160"/>
      <c r="AJ12" s="160"/>
      <c r="AK12" s="160"/>
      <c r="AL12" s="160"/>
      <c r="AM12" s="160"/>
      <c r="AN12" s="160"/>
    </row>
    <row r="13" spans="1:40">
      <c r="A13" s="93"/>
      <c r="B13" s="92"/>
      <c r="C13" s="92"/>
      <c r="D13" s="92"/>
      <c r="E13" s="92"/>
      <c r="F13" s="92"/>
      <c r="G13" s="92"/>
      <c r="H13" s="27"/>
      <c r="I13" s="27"/>
      <c r="J13" s="27"/>
      <c r="K13" s="27"/>
      <c r="L13" s="27"/>
      <c r="M13" s="27"/>
    </row>
    <row r="14" spans="1:40">
      <c r="A14" s="93"/>
      <c r="B14" s="92"/>
      <c r="C14" s="92"/>
      <c r="D14" s="92"/>
      <c r="E14" s="92"/>
      <c r="F14" s="92"/>
      <c r="G14" s="92"/>
      <c r="H14" s="27"/>
      <c r="I14" s="27"/>
      <c r="J14" s="27"/>
      <c r="K14" s="27"/>
      <c r="L14" s="27"/>
      <c r="M14" s="27"/>
    </row>
    <row r="15" spans="1:40">
      <c r="A15" s="7" t="s">
        <v>987</v>
      </c>
      <c r="B15" s="117" t="e">
        <f>#REF!</f>
        <v>#REF!</v>
      </c>
      <c r="C15" s="92"/>
      <c r="D15" s="92"/>
      <c r="E15" s="92"/>
      <c r="F15" s="92"/>
      <c r="G15" s="92"/>
    </row>
    <row r="16" spans="1:40">
      <c r="A16" s="26" t="s">
        <v>190</v>
      </c>
      <c r="B16" s="117" t="e">
        <f>B11-B15</f>
        <v>#REF!</v>
      </c>
      <c r="C16" s="92"/>
      <c r="D16" s="92"/>
      <c r="E16" s="92"/>
      <c r="F16" s="92"/>
      <c r="G16" s="92"/>
    </row>
    <row r="17" spans="1:7">
      <c r="A17" s="93"/>
      <c r="B17" s="92"/>
      <c r="C17" s="92"/>
      <c r="D17" s="92"/>
      <c r="E17" s="92"/>
      <c r="F17" s="92"/>
      <c r="G17" s="92"/>
    </row>
    <row r="18" spans="1:7">
      <c r="A18" s="93"/>
      <c r="B18" s="92"/>
      <c r="C18" s="92"/>
      <c r="D18" s="92"/>
      <c r="E18" s="92"/>
      <c r="F18" s="92"/>
      <c r="G18" s="92"/>
    </row>
    <row r="19" spans="1:7">
      <c r="A19" s="93"/>
      <c r="B19" s="92">
        <v>-43501636</v>
      </c>
      <c r="C19" s="92"/>
      <c r="D19" s="92"/>
      <c r="E19" s="92"/>
      <c r="F19" s="92"/>
      <c r="G19" s="92"/>
    </row>
    <row r="20" spans="1:7">
      <c r="A20" s="93"/>
      <c r="B20" s="92">
        <v>37054878</v>
      </c>
      <c r="C20" s="92"/>
      <c r="D20" s="92"/>
      <c r="E20" s="92"/>
      <c r="F20" s="92"/>
      <c r="G20" s="92"/>
    </row>
    <row r="21" spans="1:7">
      <c r="B21" s="26">
        <v>-665</v>
      </c>
    </row>
    <row r="22" spans="1:7">
      <c r="B22" s="26">
        <v>1336</v>
      </c>
    </row>
    <row r="23" spans="1:7">
      <c r="B23" s="26">
        <v>2963057</v>
      </c>
    </row>
    <row r="24" spans="1:7">
      <c r="B24" s="26">
        <v>5332</v>
      </c>
    </row>
    <row r="25" spans="1:7" ht="15.75" customHeight="1">
      <c r="B25" s="26">
        <v>13653107</v>
      </c>
    </row>
    <row r="26" spans="1:7">
      <c r="B26" s="92">
        <f>SUM(B20:B25)</f>
        <v>53677045</v>
      </c>
    </row>
    <row r="27" spans="1:7">
      <c r="B27" s="117" t="e">
        <f>+B26-B15</f>
        <v>#REF!</v>
      </c>
    </row>
    <row r="28" spans="1:7">
      <c r="B28" s="92">
        <f>SUM(B19:B25)</f>
        <v>10175409</v>
      </c>
    </row>
  </sheetData>
  <pageMargins left="0.5" right="0.5" top="0.75" bottom="0.75" header="0.3" footer="0.3"/>
  <pageSetup scale="75"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B13"/>
  <sheetViews>
    <sheetView workbookViewId="0"/>
  </sheetViews>
  <sheetFormatPr defaultColWidth="9.140625" defaultRowHeight="15"/>
  <cols>
    <col min="1" max="1" width="20.7109375" style="26" customWidth="1"/>
    <col min="2" max="2" width="27.140625" style="26" customWidth="1"/>
    <col min="3" max="16384" width="9.140625" style="26"/>
  </cols>
  <sheetData>
    <row r="1" spans="1:2">
      <c r="A1" s="39" t="s">
        <v>976</v>
      </c>
      <c r="B1" s="86" t="s">
        <v>988</v>
      </c>
    </row>
    <row r="3" spans="1:2" ht="14.45" customHeight="1">
      <c r="A3" s="7"/>
      <c r="B3" s="638"/>
    </row>
    <row r="4" spans="1:2">
      <c r="A4" s="78"/>
      <c r="B4" s="78"/>
    </row>
    <row r="5" spans="1:2">
      <c r="A5" s="201" t="s">
        <v>989</v>
      </c>
      <c r="B5" s="423" t="s">
        <v>990</v>
      </c>
    </row>
    <row r="6" spans="1:2">
      <c r="A6" s="424" t="s">
        <v>991</v>
      </c>
      <c r="B6" s="67">
        <v>380103.08</v>
      </c>
    </row>
    <row r="7" spans="1:2">
      <c r="A7" s="425" t="s">
        <v>986</v>
      </c>
      <c r="B7" s="674">
        <f>SUM(B6)</f>
        <v>380103.08</v>
      </c>
    </row>
    <row r="11" spans="1:2" ht="15.75" thickBot="1">
      <c r="A11" s="7" t="s">
        <v>987</v>
      </c>
      <c r="B11" s="117" t="e">
        <f>+#REF!</f>
        <v>#REF!</v>
      </c>
    </row>
    <row r="12" spans="1:2" ht="16.5" thickTop="1" thickBot="1">
      <c r="A12" s="26" t="s">
        <v>190</v>
      </c>
      <c r="B12" s="675" t="e">
        <f>B11-B7</f>
        <v>#REF!</v>
      </c>
    </row>
    <row r="13" spans="1:2" ht="15.75" thickTop="1"/>
  </sheetData>
  <pageMargins left="0.5" right="0.5" top="0.75" bottom="0.75" header="0.3" footer="0.3"/>
  <pageSetup scale="93"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9"/>
  <dimension ref="A1:J18"/>
  <sheetViews>
    <sheetView workbookViewId="0"/>
  </sheetViews>
  <sheetFormatPr defaultColWidth="9.140625" defaultRowHeight="15"/>
  <cols>
    <col min="1" max="1" width="27.7109375" style="26" customWidth="1"/>
    <col min="2" max="2" width="19.5703125" style="26" customWidth="1"/>
    <col min="3" max="16384" width="9.140625" style="26"/>
  </cols>
  <sheetData>
    <row r="1" spans="1:10">
      <c r="A1" s="39" t="s">
        <v>976</v>
      </c>
      <c r="B1" s="86" t="s">
        <v>992</v>
      </c>
    </row>
    <row r="3" spans="1:10">
      <c r="A3" s="627" t="s">
        <v>989</v>
      </c>
      <c r="B3" s="627" t="s">
        <v>979</v>
      </c>
      <c r="C3" s="7"/>
      <c r="D3" s="7"/>
      <c r="E3" s="7"/>
      <c r="F3" s="7"/>
      <c r="G3" s="7"/>
      <c r="H3" s="7"/>
      <c r="I3" s="7"/>
      <c r="J3" s="7"/>
    </row>
    <row r="4" spans="1:10">
      <c r="A4" s="628"/>
      <c r="B4" s="93"/>
    </row>
    <row r="5" spans="1:10">
      <c r="A5" s="629" t="s">
        <v>993</v>
      </c>
      <c r="B5" s="630" t="s">
        <v>990</v>
      </c>
    </row>
    <row r="6" spans="1:10">
      <c r="A6" s="631" t="s">
        <v>941</v>
      </c>
      <c r="B6" s="632">
        <v>-46153.14</v>
      </c>
    </row>
    <row r="7" spans="1:10">
      <c r="A7" s="34" t="s">
        <v>994</v>
      </c>
      <c r="B7" s="633">
        <v>-79815.37</v>
      </c>
    </row>
    <row r="8" spans="1:10">
      <c r="A8" s="634" t="s">
        <v>995</v>
      </c>
      <c r="B8" s="633">
        <v>-6180.99</v>
      </c>
    </row>
    <row r="9" spans="1:10">
      <c r="A9" s="635" t="s">
        <v>996</v>
      </c>
      <c r="B9" s="633">
        <v>-410892.93</v>
      </c>
    </row>
    <row r="10" spans="1:10">
      <c r="A10" s="635" t="s">
        <v>997</v>
      </c>
      <c r="B10" s="633">
        <v>-478050.5</v>
      </c>
    </row>
    <row r="11" spans="1:10">
      <c r="A11" s="635" t="s">
        <v>998</v>
      </c>
      <c r="B11" s="633">
        <v>-92651.22</v>
      </c>
    </row>
    <row r="12" spans="1:10">
      <c r="A12" s="635" t="s">
        <v>999</v>
      </c>
      <c r="B12" s="633">
        <v>-134091.12</v>
      </c>
    </row>
    <row r="13" spans="1:10">
      <c r="A13" s="635" t="s">
        <v>1000</v>
      </c>
      <c r="B13" s="633">
        <v>-438796.23</v>
      </c>
    </row>
    <row r="14" spans="1:10">
      <c r="A14" s="636" t="s">
        <v>986</v>
      </c>
      <c r="B14" s="637">
        <f>SUM(B6:B13)</f>
        <v>-1686631.5</v>
      </c>
    </row>
    <row r="15" spans="1:10">
      <c r="A15" s="628"/>
      <c r="B15" s="93"/>
    </row>
    <row r="17" spans="1:2">
      <c r="A17" s="26" t="s">
        <v>987</v>
      </c>
      <c r="B17" s="27" t="e">
        <f>#REF!</f>
        <v>#REF!</v>
      </c>
    </row>
    <row r="18" spans="1:2">
      <c r="A18" s="26" t="s">
        <v>190</v>
      </c>
      <c r="B18" s="92" t="e">
        <f>B14-B17</f>
        <v>#REF!</v>
      </c>
    </row>
  </sheetData>
  <pageMargins left="0.7" right="0.7" top="0.75" bottom="0.75" header="0.3" footer="0.3"/>
  <pageSetup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0">
    <pageSetUpPr fitToPage="1"/>
  </sheetPr>
  <dimension ref="A1:V36"/>
  <sheetViews>
    <sheetView workbookViewId="0"/>
  </sheetViews>
  <sheetFormatPr defaultColWidth="8.85546875" defaultRowHeight="15"/>
  <cols>
    <col min="1" max="1" width="28.5703125" style="26" customWidth="1"/>
    <col min="2" max="2" width="20.85546875" style="26" customWidth="1"/>
    <col min="3" max="3" width="15.42578125" style="26" bestFit="1" customWidth="1"/>
    <col min="4" max="4" width="16.28515625" style="26" bestFit="1" customWidth="1"/>
    <col min="5" max="5" width="17" style="26" bestFit="1" customWidth="1"/>
    <col min="6" max="6" width="15.42578125" style="26" customWidth="1"/>
    <col min="7" max="7" width="14.28515625" style="26" customWidth="1"/>
    <col min="8" max="8" width="14.42578125" style="26" customWidth="1"/>
    <col min="9" max="9" width="15.42578125" style="26" customWidth="1"/>
    <col min="10" max="10" width="13.5703125" style="26" customWidth="1"/>
    <col min="11" max="11" width="14.28515625" style="26" customWidth="1"/>
    <col min="12" max="12" width="13.5703125" style="26" customWidth="1"/>
    <col min="13" max="13" width="13.7109375" style="26" customWidth="1"/>
    <col min="14" max="14" width="14.28515625" style="26" customWidth="1"/>
    <col min="15" max="15" width="15" style="26" customWidth="1"/>
    <col min="16" max="16" width="14" style="26" customWidth="1"/>
    <col min="17" max="17" width="13.42578125" style="26" customWidth="1"/>
    <col min="18" max="18" width="13.7109375" style="26" bestFit="1" customWidth="1"/>
    <col min="19" max="21" width="13.7109375" style="26" customWidth="1"/>
    <col min="22" max="22" width="15.42578125" style="26" bestFit="1" customWidth="1"/>
    <col min="23" max="16384" width="8.85546875" style="26"/>
  </cols>
  <sheetData>
    <row r="1" spans="1:12">
      <c r="A1" s="39" t="s">
        <v>976</v>
      </c>
      <c r="B1" s="86" t="s">
        <v>1001</v>
      </c>
    </row>
    <row r="2" spans="1:12">
      <c r="B2" s="86" t="s">
        <v>1002</v>
      </c>
    </row>
    <row r="3" spans="1:12">
      <c r="B3" s="86" t="s">
        <v>1003</v>
      </c>
    </row>
    <row r="4" spans="1:12">
      <c r="B4" s="86" t="s">
        <v>1004</v>
      </c>
    </row>
    <row r="5" spans="1:12">
      <c r="B5" s="86"/>
    </row>
    <row r="6" spans="1:12">
      <c r="A6" s="214" t="s">
        <v>980</v>
      </c>
      <c r="B6" s="214" t="s">
        <v>990</v>
      </c>
    </row>
    <row r="7" spans="1:12">
      <c r="A7" s="26" t="s">
        <v>1005</v>
      </c>
      <c r="B7" s="92">
        <v>48107.35</v>
      </c>
      <c r="E7" s="7"/>
      <c r="F7" s="7"/>
      <c r="G7" s="7"/>
    </row>
    <row r="8" spans="1:12">
      <c r="A8" s="26" t="s">
        <v>1006</v>
      </c>
      <c r="B8" s="92">
        <v>-705.86</v>
      </c>
      <c r="D8" s="139"/>
      <c r="E8" s="161"/>
      <c r="F8" s="161"/>
      <c r="G8" s="161"/>
      <c r="H8" s="161"/>
      <c r="I8" s="161"/>
      <c r="J8" s="161"/>
      <c r="K8" s="161"/>
      <c r="L8" s="161"/>
    </row>
    <row r="9" spans="1:12">
      <c r="A9" s="26" t="s">
        <v>1007</v>
      </c>
      <c r="B9" s="92">
        <v>60207.73</v>
      </c>
      <c r="E9" s="93"/>
      <c r="F9" s="92"/>
    </row>
    <row r="10" spans="1:12">
      <c r="A10" s="26" t="s">
        <v>995</v>
      </c>
      <c r="B10" s="92">
        <v>-74398.37</v>
      </c>
      <c r="E10" s="93"/>
      <c r="F10" s="92"/>
    </row>
    <row r="11" spans="1:12">
      <c r="A11" s="26" t="s">
        <v>1008</v>
      </c>
      <c r="B11" s="92">
        <v>377144.18</v>
      </c>
      <c r="E11" s="93"/>
      <c r="F11" s="92"/>
    </row>
    <row r="12" spans="1:12">
      <c r="A12" s="26" t="s">
        <v>1009</v>
      </c>
      <c r="B12" s="92">
        <v>1294.46</v>
      </c>
      <c r="E12" s="93"/>
      <c r="F12" s="92"/>
    </row>
    <row r="13" spans="1:12">
      <c r="A13" s="26" t="s">
        <v>1010</v>
      </c>
      <c r="B13" s="92">
        <v>-48815.75</v>
      </c>
      <c r="E13" s="93"/>
      <c r="F13" s="92"/>
    </row>
    <row r="14" spans="1:12">
      <c r="A14" s="26" t="s">
        <v>1011</v>
      </c>
      <c r="B14" s="92">
        <v>66801.279999999999</v>
      </c>
      <c r="E14" s="93"/>
      <c r="F14" s="92"/>
    </row>
    <row r="15" spans="1:12">
      <c r="A15" s="26" t="s">
        <v>999</v>
      </c>
      <c r="B15" s="92">
        <v>-132875.20000000001</v>
      </c>
      <c r="E15" s="93"/>
      <c r="F15" s="92"/>
    </row>
    <row r="16" spans="1:12">
      <c r="A16" s="26" t="s">
        <v>1012</v>
      </c>
      <c r="B16" s="92">
        <v>22156.41</v>
      </c>
      <c r="E16" s="93"/>
      <c r="F16" s="92"/>
    </row>
    <row r="17" spans="1:22">
      <c r="A17" s="26" t="s">
        <v>1013</v>
      </c>
      <c r="B17" s="92">
        <v>1037.83</v>
      </c>
      <c r="D17" s="211"/>
      <c r="F17" s="92"/>
    </row>
    <row r="18" spans="1:22">
      <c r="A18" s="26" t="s">
        <v>1014</v>
      </c>
      <c r="B18" s="92">
        <v>4251.78</v>
      </c>
      <c r="D18" s="212"/>
      <c r="F18" s="92"/>
    </row>
    <row r="19" spans="1:22">
      <c r="A19" s="26" t="s">
        <v>1015</v>
      </c>
      <c r="B19" s="92">
        <v>57975.98</v>
      </c>
      <c r="D19" s="211"/>
      <c r="F19" s="92"/>
    </row>
    <row r="20" spans="1:22">
      <c r="A20" s="215" t="s">
        <v>986</v>
      </c>
      <c r="B20" s="216">
        <f>SUM(B7:B19)</f>
        <v>382181.82</v>
      </c>
      <c r="E20" s="93"/>
      <c r="F20" s="92"/>
    </row>
    <row r="21" spans="1:22">
      <c r="A21" s="93"/>
      <c r="B21" s="92"/>
      <c r="E21" s="85"/>
      <c r="F21" s="87"/>
      <c r="G21" s="7"/>
      <c r="H21" s="7"/>
      <c r="I21" s="7"/>
      <c r="J21" s="7"/>
      <c r="K21" s="7"/>
      <c r="L21" s="7"/>
    </row>
    <row r="22" spans="1:22">
      <c r="A22" s="93"/>
      <c r="B22" s="92"/>
      <c r="E22" s="85"/>
      <c r="F22" s="87"/>
      <c r="G22" s="7"/>
      <c r="H22" s="7"/>
      <c r="I22" s="7"/>
      <c r="J22" s="7"/>
      <c r="K22" s="7"/>
      <c r="L22" s="7"/>
    </row>
    <row r="24" spans="1:22" ht="32.25" customHeight="1">
      <c r="A24" s="192" t="s">
        <v>1016</v>
      </c>
      <c r="B24" s="113">
        <v>1022186</v>
      </c>
      <c r="C24" s="26" t="s">
        <v>1017</v>
      </c>
    </row>
    <row r="25" spans="1:22">
      <c r="A25" s="93" t="s">
        <v>1018</v>
      </c>
      <c r="B25" s="113">
        <f>B20+B24</f>
        <v>1404367.82</v>
      </c>
    </row>
    <row r="26" spans="1:22">
      <c r="A26" s="26" t="s">
        <v>987</v>
      </c>
      <c r="B26" s="113" t="e">
        <f>#REF!</f>
        <v>#REF!</v>
      </c>
    </row>
    <row r="27" spans="1:22" ht="15.75" thickBot="1">
      <c r="A27" s="26" t="s">
        <v>190</v>
      </c>
      <c r="B27" s="620" t="e">
        <f>B25-B26</f>
        <v>#REF!</v>
      </c>
      <c r="C27"/>
      <c r="D27"/>
      <c r="E27"/>
      <c r="F27"/>
      <c r="T27" s="113"/>
    </row>
    <row r="28" spans="1:22" ht="15.75" thickTop="1">
      <c r="Q28" s="730"/>
    </row>
    <row r="30" spans="1:22" ht="25.15" customHeight="1">
      <c r="A30" s="213"/>
      <c r="B30" s="213" t="s">
        <v>1019</v>
      </c>
      <c r="C30" s="213" t="s">
        <v>1020</v>
      </c>
      <c r="D30" s="213" t="s">
        <v>1021</v>
      </c>
      <c r="E30" s="213" t="s">
        <v>1022</v>
      </c>
      <c r="F30" s="207" t="s">
        <v>1023</v>
      </c>
      <c r="G30" s="207" t="s">
        <v>1024</v>
      </c>
      <c r="H30" s="217" t="s">
        <v>1025</v>
      </c>
      <c r="I30" s="217" t="s">
        <v>1026</v>
      </c>
      <c r="J30" s="217" t="s">
        <v>1027</v>
      </c>
      <c r="K30" s="217" t="s">
        <v>1028</v>
      </c>
      <c r="L30" s="207" t="s">
        <v>1029</v>
      </c>
      <c r="M30" s="207" t="s">
        <v>1030</v>
      </c>
      <c r="N30" s="207" t="s">
        <v>1031</v>
      </c>
      <c r="O30" s="207" t="s">
        <v>1032</v>
      </c>
      <c r="P30" s="207" t="s">
        <v>1033</v>
      </c>
      <c r="Q30" s="207" t="s">
        <v>1034</v>
      </c>
      <c r="R30" s="207" t="s">
        <v>1035</v>
      </c>
      <c r="S30" s="207" t="s">
        <v>1036</v>
      </c>
      <c r="T30" s="207" t="s">
        <v>1037</v>
      </c>
      <c r="U30" s="207" t="s">
        <v>1038</v>
      </c>
      <c r="V30" s="207" t="s">
        <v>1039</v>
      </c>
    </row>
    <row r="31" spans="1:22">
      <c r="A31" s="218" t="s">
        <v>1040</v>
      </c>
      <c r="B31" s="218" t="s">
        <v>1041</v>
      </c>
      <c r="C31" s="218" t="s">
        <v>1042</v>
      </c>
      <c r="D31" s="218" t="s">
        <v>266</v>
      </c>
      <c r="E31" s="218" t="s">
        <v>1043</v>
      </c>
      <c r="F31" s="205">
        <v>1856091.28</v>
      </c>
      <c r="G31" s="205">
        <v>1855979.59</v>
      </c>
      <c r="H31" s="219">
        <v>1871292.85</v>
      </c>
      <c r="I31" s="219">
        <v>1871292.85</v>
      </c>
      <c r="J31" s="219">
        <v>1871292.85</v>
      </c>
      <c r="K31" s="219">
        <v>1871292.85</v>
      </c>
      <c r="L31" s="205">
        <v>1871292.85</v>
      </c>
      <c r="M31" s="205">
        <v>1867044.43</v>
      </c>
      <c r="N31" s="205">
        <v>1845534.61</v>
      </c>
      <c r="O31" s="205">
        <v>1823253.01</v>
      </c>
      <c r="P31" s="205">
        <v>1806930.01</v>
      </c>
      <c r="Q31" s="205">
        <v>1785756.51</v>
      </c>
      <c r="R31" s="205">
        <v>1785756.5</v>
      </c>
      <c r="S31" s="205">
        <v>1755111.05</v>
      </c>
      <c r="T31" s="205">
        <v>1755111.1</v>
      </c>
      <c r="U31" s="205">
        <v>1754088.06</v>
      </c>
      <c r="V31" s="220"/>
    </row>
    <row r="32" spans="1:22">
      <c r="E32" s="26" t="s">
        <v>1044</v>
      </c>
      <c r="F32" s="26">
        <v>0.89</v>
      </c>
      <c r="G32" s="26">
        <v>0.89</v>
      </c>
      <c r="L32" s="26">
        <v>1.45</v>
      </c>
      <c r="M32" s="26">
        <v>1.45</v>
      </c>
      <c r="N32" s="26">
        <v>1.45</v>
      </c>
      <c r="O32" s="26">
        <v>1.45</v>
      </c>
      <c r="P32" s="26">
        <v>1.45</v>
      </c>
      <c r="Q32" s="26">
        <v>1.45</v>
      </c>
      <c r="R32" s="26">
        <v>1.45</v>
      </c>
      <c r="S32" s="26">
        <v>1.45</v>
      </c>
      <c r="T32" s="26">
        <v>1.45</v>
      </c>
      <c r="U32" s="26">
        <v>1.45</v>
      </c>
    </row>
    <row r="33" spans="5:22">
      <c r="E33" s="30" t="s">
        <v>1045</v>
      </c>
      <c r="F33" s="113">
        <f>F31*F32/100/12</f>
        <v>1376.6010326666667</v>
      </c>
      <c r="G33" s="113">
        <f t="shared" ref="G33:U33" si="0">G31*G32/100/12</f>
        <v>1376.5181959166666</v>
      </c>
      <c r="H33" s="113"/>
      <c r="I33" s="113"/>
      <c r="J33" s="113"/>
      <c r="K33" s="113"/>
      <c r="L33" s="113">
        <f t="shared" si="0"/>
        <v>2261.1455270833335</v>
      </c>
      <c r="M33" s="113">
        <f t="shared" si="0"/>
        <v>2256.0120195833333</v>
      </c>
      <c r="N33" s="113">
        <f t="shared" si="0"/>
        <v>2230.0209870833332</v>
      </c>
      <c r="O33" s="113">
        <f t="shared" si="0"/>
        <v>2203.0973870833336</v>
      </c>
      <c r="P33" s="113">
        <f t="shared" si="0"/>
        <v>2183.3737620833331</v>
      </c>
      <c r="Q33" s="113">
        <f t="shared" si="0"/>
        <v>2157.78911625</v>
      </c>
      <c r="R33" s="113">
        <f t="shared" si="0"/>
        <v>2157.7891041666667</v>
      </c>
      <c r="S33" s="113">
        <f t="shared" si="0"/>
        <v>2120.7591854166667</v>
      </c>
      <c r="T33" s="113">
        <f t="shared" si="0"/>
        <v>2120.7592458333334</v>
      </c>
      <c r="U33" s="113">
        <f t="shared" si="0"/>
        <v>2119.5230724999997</v>
      </c>
      <c r="V33" s="113">
        <f>SUM(F33:U33)</f>
        <v>24563.38863566667</v>
      </c>
    </row>
    <row r="35" spans="5:22">
      <c r="T35" s="37"/>
    </row>
    <row r="36" spans="5:22">
      <c r="T36" s="37"/>
      <c r="V36" s="113"/>
    </row>
  </sheetData>
  <pageMargins left="0.5" right="0.5" top="0.75" bottom="0.75" header="0.3" footer="0.3"/>
  <pageSetup scale="37" orientation="landscape"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6672A8-E7A6-4882-B9A3-603F4C81D3FF}">
  <sheetPr>
    <pageSetUpPr fitToPage="1"/>
  </sheetPr>
  <dimension ref="A1:V36"/>
  <sheetViews>
    <sheetView workbookViewId="0"/>
  </sheetViews>
  <sheetFormatPr defaultColWidth="8.85546875" defaultRowHeight="15"/>
  <cols>
    <col min="1" max="1" width="28.5703125" style="26" customWidth="1"/>
    <col min="2" max="2" width="20.85546875" style="26" customWidth="1"/>
    <col min="3" max="3" width="15.42578125" style="26" bestFit="1" customWidth="1"/>
    <col min="4" max="4" width="16.28515625" style="26" bestFit="1" customWidth="1"/>
    <col min="5" max="5" width="17" style="26" bestFit="1" customWidth="1"/>
    <col min="6" max="6" width="15.42578125" style="26" customWidth="1"/>
    <col min="7" max="7" width="14.28515625" style="26" customWidth="1"/>
    <col min="8" max="8" width="14.42578125" style="26" customWidth="1"/>
    <col min="9" max="9" width="15.42578125" style="26" customWidth="1"/>
    <col min="10" max="10" width="13.5703125" style="26" customWidth="1"/>
    <col min="11" max="11" width="14.28515625" style="26" customWidth="1"/>
    <col min="12" max="12" width="13.5703125" style="26" customWidth="1"/>
    <col min="13" max="13" width="13.7109375" style="26" customWidth="1"/>
    <col min="14" max="14" width="14.28515625" style="26" customWidth="1"/>
    <col min="15" max="15" width="15" style="26" customWidth="1"/>
    <col min="16" max="16" width="14" style="26" customWidth="1"/>
    <col min="17" max="17" width="13.42578125" style="26" customWidth="1"/>
    <col min="18" max="18" width="13.7109375" style="26" bestFit="1" customWidth="1"/>
    <col min="19" max="21" width="13.7109375" style="26" customWidth="1"/>
    <col min="22" max="22" width="15.42578125" style="26" bestFit="1" customWidth="1"/>
    <col min="23" max="16384" width="8.85546875" style="26"/>
  </cols>
  <sheetData>
    <row r="1" spans="1:12">
      <c r="A1" s="39" t="s">
        <v>976</v>
      </c>
      <c r="B1" s="86" t="s">
        <v>1001</v>
      </c>
    </row>
    <row r="2" spans="1:12">
      <c r="B2" s="86" t="s">
        <v>1002</v>
      </c>
    </row>
    <row r="3" spans="1:12">
      <c r="B3" s="86" t="s">
        <v>1003</v>
      </c>
    </row>
    <row r="4" spans="1:12">
      <c r="B4" s="86" t="s">
        <v>1004</v>
      </c>
    </row>
    <row r="5" spans="1:12">
      <c r="B5" s="86"/>
    </row>
    <row r="6" spans="1:12">
      <c r="A6" s="214" t="s">
        <v>980</v>
      </c>
      <c r="B6" s="214" t="s">
        <v>990</v>
      </c>
    </row>
    <row r="7" spans="1:12">
      <c r="A7" s="26" t="s">
        <v>1005</v>
      </c>
      <c r="B7" s="92">
        <v>48107.35</v>
      </c>
      <c r="E7" s="7"/>
      <c r="F7" s="7"/>
      <c r="G7" s="7"/>
    </row>
    <row r="8" spans="1:12">
      <c r="A8" s="26" t="s">
        <v>1006</v>
      </c>
      <c r="B8" s="92">
        <v>-705.86</v>
      </c>
      <c r="E8" s="23"/>
      <c r="F8" s="23"/>
      <c r="G8" s="23"/>
      <c r="H8" s="23"/>
      <c r="I8" s="23"/>
      <c r="J8" s="23"/>
      <c r="K8" s="23"/>
      <c r="L8" s="23"/>
    </row>
    <row r="9" spans="1:12">
      <c r="A9" s="26" t="s">
        <v>1007</v>
      </c>
      <c r="B9" s="92">
        <v>60207.73</v>
      </c>
      <c r="E9" s="93"/>
      <c r="F9" s="92"/>
    </row>
    <row r="10" spans="1:12">
      <c r="A10" s="26" t="s">
        <v>995</v>
      </c>
      <c r="B10" s="92">
        <v>-74398.37</v>
      </c>
      <c r="E10" s="93"/>
      <c r="F10" s="92"/>
    </row>
    <row r="11" spans="1:12">
      <c r="A11" s="26" t="s">
        <v>1008</v>
      </c>
      <c r="B11" s="92">
        <v>377144.18</v>
      </c>
      <c r="E11" s="93"/>
      <c r="F11" s="92"/>
    </row>
    <row r="12" spans="1:12">
      <c r="A12" s="26" t="s">
        <v>1009</v>
      </c>
      <c r="B12" s="92">
        <v>1294.46</v>
      </c>
      <c r="E12" s="93"/>
      <c r="F12" s="92"/>
    </row>
    <row r="13" spans="1:12">
      <c r="A13" s="26" t="s">
        <v>1010</v>
      </c>
      <c r="B13" s="92">
        <v>-48815.75</v>
      </c>
      <c r="E13" s="93"/>
      <c r="F13" s="92"/>
    </row>
    <row r="14" spans="1:12">
      <c r="A14" s="26" t="s">
        <v>1011</v>
      </c>
      <c r="B14" s="92">
        <v>66801.279999999999</v>
      </c>
      <c r="E14" s="93"/>
      <c r="F14" s="92"/>
    </row>
    <row r="15" spans="1:12">
      <c r="A15" s="26" t="s">
        <v>999</v>
      </c>
      <c r="B15" s="92">
        <v>-132875.20000000001</v>
      </c>
      <c r="E15" s="93"/>
      <c r="F15" s="92"/>
    </row>
    <row r="16" spans="1:12">
      <c r="A16" s="26" t="s">
        <v>1012</v>
      </c>
      <c r="B16" s="92">
        <v>22156.41</v>
      </c>
      <c r="E16" s="93"/>
      <c r="F16" s="92"/>
    </row>
    <row r="17" spans="1:22">
      <c r="A17" s="26" t="s">
        <v>1013</v>
      </c>
      <c r="B17" s="92">
        <v>1037.83</v>
      </c>
      <c r="D17" s="211"/>
      <c r="F17" s="92"/>
    </row>
    <row r="18" spans="1:22">
      <c r="A18" s="26" t="s">
        <v>1014</v>
      </c>
      <c r="B18" s="92">
        <v>4251.78</v>
      </c>
      <c r="D18" s="212"/>
      <c r="F18" s="92"/>
    </row>
    <row r="19" spans="1:22">
      <c r="A19" s="26" t="s">
        <v>1015</v>
      </c>
      <c r="B19" s="92">
        <v>57975.98</v>
      </c>
      <c r="D19" s="211"/>
      <c r="F19" s="92"/>
    </row>
    <row r="20" spans="1:22">
      <c r="A20" s="215" t="s">
        <v>986</v>
      </c>
      <c r="B20" s="216">
        <f>SUM(B7:B19)</f>
        <v>382181.82</v>
      </c>
      <c r="E20" s="93"/>
      <c r="F20" s="92"/>
    </row>
    <row r="21" spans="1:22">
      <c r="A21" s="93"/>
      <c r="B21" s="92"/>
      <c r="E21" s="85"/>
      <c r="F21" s="87"/>
      <c r="G21" s="7"/>
      <c r="H21" s="7"/>
      <c r="I21" s="7"/>
      <c r="J21" s="7"/>
      <c r="K21" s="7"/>
      <c r="L21" s="7"/>
    </row>
    <row r="22" spans="1:22">
      <c r="A22" s="93"/>
      <c r="B22" s="92"/>
      <c r="E22" s="85"/>
      <c r="F22" s="87"/>
      <c r="G22" s="7"/>
      <c r="H22" s="7"/>
      <c r="I22" s="7"/>
      <c r="J22" s="7"/>
      <c r="K22" s="7"/>
      <c r="L22" s="7"/>
    </row>
    <row r="24" spans="1:22" ht="32.25" customHeight="1">
      <c r="A24" s="192" t="s">
        <v>1016</v>
      </c>
      <c r="B24" s="113">
        <v>1022186</v>
      </c>
      <c r="C24" s="26" t="s">
        <v>1017</v>
      </c>
    </row>
    <row r="25" spans="1:22">
      <c r="A25" s="93" t="s">
        <v>1018</v>
      </c>
      <c r="B25" s="113">
        <f>B20+B24</f>
        <v>1404367.82</v>
      </c>
    </row>
    <row r="26" spans="1:22">
      <c r="A26" s="26" t="s">
        <v>987</v>
      </c>
      <c r="B26" s="113" t="e">
        <f>#REF!</f>
        <v>#REF!</v>
      </c>
    </row>
    <row r="27" spans="1:22" ht="15.75" thickBot="1">
      <c r="A27" s="26" t="s">
        <v>190</v>
      </c>
      <c r="B27" s="620" t="e">
        <f>B25-B26</f>
        <v>#REF!</v>
      </c>
      <c r="C27"/>
      <c r="D27"/>
      <c r="E27"/>
      <c r="F27"/>
    </row>
    <row r="28" spans="1:22" ht="15.75" thickTop="1"/>
    <row r="30" spans="1:22" ht="25.15" customHeight="1">
      <c r="A30" s="213"/>
      <c r="B30" s="213" t="s">
        <v>1019</v>
      </c>
      <c r="C30" s="213" t="s">
        <v>1020</v>
      </c>
      <c r="D30" s="213" t="s">
        <v>1021</v>
      </c>
      <c r="E30" s="213" t="s">
        <v>1022</v>
      </c>
      <c r="F30" s="207" t="s">
        <v>1023</v>
      </c>
      <c r="G30" s="207" t="s">
        <v>1024</v>
      </c>
      <c r="H30" s="217" t="s">
        <v>1025</v>
      </c>
      <c r="I30" s="217" t="s">
        <v>1026</v>
      </c>
      <c r="J30" s="217" t="s">
        <v>1027</v>
      </c>
      <c r="K30" s="217" t="s">
        <v>1028</v>
      </c>
      <c r="L30" s="207" t="s">
        <v>1029</v>
      </c>
      <c r="M30" s="207" t="s">
        <v>1030</v>
      </c>
      <c r="N30" s="207" t="s">
        <v>1031</v>
      </c>
      <c r="O30" s="207" t="s">
        <v>1032</v>
      </c>
      <c r="P30" s="207" t="s">
        <v>1033</v>
      </c>
      <c r="Q30" s="207" t="s">
        <v>1034</v>
      </c>
      <c r="R30" s="207" t="s">
        <v>1035</v>
      </c>
      <c r="S30" s="207" t="s">
        <v>1036</v>
      </c>
      <c r="T30" s="207" t="s">
        <v>1037</v>
      </c>
      <c r="U30" s="207" t="s">
        <v>1038</v>
      </c>
      <c r="V30" s="207" t="s">
        <v>1039</v>
      </c>
    </row>
    <row r="31" spans="1:22">
      <c r="A31" s="218" t="s">
        <v>1040</v>
      </c>
      <c r="B31" s="218" t="s">
        <v>1041</v>
      </c>
      <c r="C31" s="218" t="s">
        <v>1042</v>
      </c>
      <c r="D31" s="218" t="s">
        <v>266</v>
      </c>
      <c r="E31" s="218" t="s">
        <v>1043</v>
      </c>
      <c r="F31" s="205">
        <v>1856091.28</v>
      </c>
      <c r="G31" s="205">
        <v>1855979.59</v>
      </c>
      <c r="H31" s="219">
        <v>1871292.85</v>
      </c>
      <c r="I31" s="219">
        <v>1871292.85</v>
      </c>
      <c r="J31" s="219">
        <v>1871292.85</v>
      </c>
      <c r="K31" s="219">
        <v>1871292.85</v>
      </c>
      <c r="L31" s="205">
        <v>1871292.85</v>
      </c>
      <c r="M31" s="205">
        <v>1867044.43</v>
      </c>
      <c r="N31" s="205">
        <v>1845534.61</v>
      </c>
      <c r="O31" s="205">
        <v>1823253.01</v>
      </c>
      <c r="P31" s="205">
        <v>1806930.01</v>
      </c>
      <c r="Q31" s="205">
        <v>1785756.51</v>
      </c>
      <c r="R31" s="205">
        <v>1785756.5</v>
      </c>
      <c r="S31" s="205">
        <v>1755111.05</v>
      </c>
      <c r="T31" s="205">
        <v>1755111.1</v>
      </c>
      <c r="U31" s="205">
        <v>1754088.06</v>
      </c>
      <c r="V31" s="220"/>
    </row>
    <row r="32" spans="1:22">
      <c r="E32" s="26" t="s">
        <v>1044</v>
      </c>
      <c r="F32" s="26">
        <v>0.89</v>
      </c>
      <c r="G32" s="26">
        <v>0.89</v>
      </c>
      <c r="L32" s="26">
        <v>1.45</v>
      </c>
      <c r="M32" s="26">
        <v>1.45</v>
      </c>
      <c r="N32" s="26">
        <v>1.45</v>
      </c>
      <c r="O32" s="26">
        <v>1.45</v>
      </c>
      <c r="P32" s="26">
        <v>1.45</v>
      </c>
      <c r="Q32" s="26">
        <v>1.45</v>
      </c>
      <c r="R32" s="26">
        <v>1.45</v>
      </c>
      <c r="S32" s="26">
        <v>1.45</v>
      </c>
      <c r="T32" s="26">
        <v>1.45</v>
      </c>
      <c r="U32" s="26">
        <v>1.45</v>
      </c>
    </row>
    <row r="33" spans="5:22">
      <c r="E33" s="30" t="s">
        <v>1045</v>
      </c>
      <c r="F33" s="113">
        <f>F31*F32/100/12</f>
        <v>1376.6010326666667</v>
      </c>
      <c r="G33" s="113">
        <f t="shared" ref="G33:U33" si="0">G31*G32/100/12</f>
        <v>1376.5181959166666</v>
      </c>
      <c r="H33" s="113"/>
      <c r="I33" s="113"/>
      <c r="J33" s="113"/>
      <c r="K33" s="113"/>
      <c r="L33" s="113">
        <f t="shared" si="0"/>
        <v>2261.1455270833335</v>
      </c>
      <c r="M33" s="113">
        <f t="shared" si="0"/>
        <v>2256.0120195833333</v>
      </c>
      <c r="N33" s="113">
        <f t="shared" si="0"/>
        <v>2230.0209870833332</v>
      </c>
      <c r="O33" s="113">
        <f t="shared" si="0"/>
        <v>2203.0973870833336</v>
      </c>
      <c r="P33" s="113">
        <f t="shared" si="0"/>
        <v>2183.3737620833331</v>
      </c>
      <c r="Q33" s="113">
        <f t="shared" si="0"/>
        <v>2157.78911625</v>
      </c>
      <c r="R33" s="113">
        <f t="shared" si="0"/>
        <v>2157.7891041666667</v>
      </c>
      <c r="S33" s="113">
        <f t="shared" si="0"/>
        <v>2120.7591854166667</v>
      </c>
      <c r="T33" s="113">
        <f t="shared" si="0"/>
        <v>2120.7592458333334</v>
      </c>
      <c r="U33" s="113">
        <f t="shared" si="0"/>
        <v>2119.5230724999997</v>
      </c>
      <c r="V33" s="113">
        <f>SUM(F33:U33)</f>
        <v>24563.38863566667</v>
      </c>
    </row>
    <row r="35" spans="5:22">
      <c r="F35" s="26">
        <f>+F32/12</f>
        <v>7.4166666666666672E-2</v>
      </c>
    </row>
    <row r="36" spans="5:22">
      <c r="F36" s="26">
        <f>+F31*F35</f>
        <v>137660.10326666667</v>
      </c>
      <c r="V36" s="113"/>
    </row>
  </sheetData>
  <pageMargins left="0.5" right="0.5" top="0.75" bottom="0.75" header="0.3" footer="0.3"/>
  <pageSetup scale="37" orientation="landscape"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6EAFE2-9C35-4CFD-B55E-2C76C5CBF4ED}">
  <dimension ref="A1:H654"/>
  <sheetViews>
    <sheetView workbookViewId="0"/>
  </sheetViews>
  <sheetFormatPr defaultColWidth="9.140625" defaultRowHeight="12.75"/>
  <cols>
    <col min="1" max="1" width="24" style="658" bestFit="1" customWidth="1"/>
    <col min="2" max="2" width="25.140625" style="658" bestFit="1" customWidth="1"/>
    <col min="3" max="3" width="43.85546875" style="658" customWidth="1"/>
    <col min="4" max="4" width="34.7109375" style="658" bestFit="1" customWidth="1"/>
    <col min="5" max="5" width="22" style="658" bestFit="1" customWidth="1"/>
    <col min="6" max="6" width="5.140625" style="658" bestFit="1" customWidth="1"/>
    <col min="7" max="7" width="14.140625" style="658" bestFit="1" customWidth="1"/>
    <col min="8" max="16384" width="9.140625" style="658"/>
  </cols>
  <sheetData>
    <row r="1" spans="1:6" ht="15">
      <c r="A1" s="7" t="s">
        <v>976</v>
      </c>
      <c r="B1" s="686" t="s">
        <v>1046</v>
      </c>
    </row>
    <row r="4" spans="1:6">
      <c r="A4" s="656" t="s">
        <v>989</v>
      </c>
      <c r="B4" s="656" t="s">
        <v>993</v>
      </c>
      <c r="C4" s="656" t="s">
        <v>1047</v>
      </c>
      <c r="D4" s="656" t="s">
        <v>1048</v>
      </c>
      <c r="E4" s="656" t="s">
        <v>990</v>
      </c>
      <c r="F4" s="657"/>
    </row>
    <row r="5" spans="1:6">
      <c r="A5" s="659" t="s">
        <v>1049</v>
      </c>
      <c r="B5" s="657" t="s">
        <v>1050</v>
      </c>
      <c r="C5" s="659" t="s">
        <v>1051</v>
      </c>
      <c r="D5" s="657" t="s">
        <v>1052</v>
      </c>
      <c r="E5" s="660">
        <v>959253.84</v>
      </c>
      <c r="F5" s="657"/>
    </row>
    <row r="6" spans="1:6">
      <c r="A6" s="659"/>
      <c r="B6" s="657"/>
      <c r="C6" s="659" t="s">
        <v>1053</v>
      </c>
      <c r="D6" s="657" t="s">
        <v>1052</v>
      </c>
      <c r="E6" s="660">
        <v>14941831.68</v>
      </c>
      <c r="F6" s="657"/>
    </row>
    <row r="7" spans="1:6">
      <c r="A7" s="659"/>
      <c r="B7" s="657" t="s">
        <v>1054</v>
      </c>
      <c r="C7" s="659" t="s">
        <v>1054</v>
      </c>
      <c r="D7" s="657" t="s">
        <v>1055</v>
      </c>
      <c r="E7" s="660">
        <v>-27.94</v>
      </c>
      <c r="F7" s="657"/>
    </row>
    <row r="8" spans="1:6">
      <c r="A8" s="659"/>
      <c r="B8" s="657"/>
      <c r="C8" s="659" t="s">
        <v>1056</v>
      </c>
      <c r="D8" s="657" t="s">
        <v>1055</v>
      </c>
      <c r="E8" s="660">
        <v>250.43</v>
      </c>
      <c r="F8" s="657"/>
    </row>
    <row r="9" spans="1:6">
      <c r="A9" s="659"/>
      <c r="B9" s="657"/>
      <c r="C9" s="659" t="s">
        <v>1057</v>
      </c>
      <c r="D9" s="657" t="s">
        <v>1058</v>
      </c>
      <c r="E9" s="660">
        <v>-15.62</v>
      </c>
      <c r="F9" s="657"/>
    </row>
    <row r="10" spans="1:6">
      <c r="A10" s="659"/>
      <c r="B10" s="657"/>
      <c r="C10" s="659" t="s">
        <v>1059</v>
      </c>
      <c r="D10" s="657" t="s">
        <v>1055</v>
      </c>
      <c r="E10" s="660">
        <v>-35.71</v>
      </c>
      <c r="F10" s="657"/>
    </row>
    <row r="11" spans="1:6">
      <c r="A11" s="659"/>
      <c r="B11" s="657" t="s">
        <v>941</v>
      </c>
      <c r="C11" s="659" t="s">
        <v>1060</v>
      </c>
      <c r="D11" s="657" t="s">
        <v>1061</v>
      </c>
      <c r="E11" s="660">
        <v>-3999772.91</v>
      </c>
      <c r="F11" s="657"/>
    </row>
    <row r="12" spans="1:6">
      <c r="A12" s="659"/>
      <c r="B12" s="657"/>
      <c r="C12" s="659" t="s">
        <v>1062</v>
      </c>
      <c r="D12" s="657" t="s">
        <v>1061</v>
      </c>
      <c r="E12" s="660">
        <v>-417774.3</v>
      </c>
      <c r="F12" s="657"/>
    </row>
    <row r="13" spans="1:6">
      <c r="A13" s="659"/>
      <c r="B13" s="657"/>
      <c r="C13" s="659" t="s">
        <v>1063</v>
      </c>
      <c r="D13" s="657" t="s">
        <v>1061</v>
      </c>
      <c r="E13" s="660">
        <v>-328568.97000000003</v>
      </c>
      <c r="F13" s="657"/>
    </row>
    <row r="14" spans="1:6">
      <c r="A14" s="659"/>
      <c r="B14" s="657"/>
      <c r="C14" s="659" t="s">
        <v>1064</v>
      </c>
      <c r="D14" s="657" t="s">
        <v>1061</v>
      </c>
      <c r="E14" s="660">
        <v>-131769912.18000001</v>
      </c>
      <c r="F14" s="657"/>
    </row>
    <row r="15" spans="1:6">
      <c r="A15" s="659"/>
      <c r="B15" s="657"/>
      <c r="C15" s="659" t="s">
        <v>1065</v>
      </c>
      <c r="D15" s="657" t="s">
        <v>1061</v>
      </c>
      <c r="E15" s="660">
        <v>-35686615.060000002</v>
      </c>
      <c r="F15" s="657"/>
    </row>
    <row r="16" spans="1:6">
      <c r="A16" s="659"/>
      <c r="B16" s="657"/>
      <c r="C16" s="659" t="s">
        <v>1066</v>
      </c>
      <c r="D16" s="657" t="s">
        <v>1061</v>
      </c>
      <c r="E16" s="660">
        <v>-20082860.73</v>
      </c>
      <c r="F16" s="657"/>
    </row>
    <row r="17" spans="1:8">
      <c r="A17" s="659"/>
      <c r="B17" s="657"/>
      <c r="C17" s="659" t="s">
        <v>1067</v>
      </c>
      <c r="D17" s="657" t="s">
        <v>1061</v>
      </c>
      <c r="E17" s="660">
        <v>-173794.09000000003</v>
      </c>
      <c r="F17" s="657"/>
    </row>
    <row r="18" spans="1:8">
      <c r="A18" s="659"/>
      <c r="B18" s="657"/>
      <c r="C18" s="659" t="s">
        <v>1068</v>
      </c>
      <c r="D18" s="657" t="s">
        <v>1061</v>
      </c>
      <c r="E18" s="660">
        <v>-30762.53</v>
      </c>
      <c r="F18" s="657"/>
    </row>
    <row r="19" spans="1:8">
      <c r="A19" s="659"/>
      <c r="B19" s="657"/>
      <c r="C19" s="659" t="s">
        <v>1069</v>
      </c>
      <c r="D19" s="657" t="s">
        <v>1061</v>
      </c>
      <c r="E19" s="660">
        <v>-27600.999999999993</v>
      </c>
      <c r="F19" s="657"/>
    </row>
    <row r="20" spans="1:8">
      <c r="A20" s="659"/>
      <c r="B20" s="657"/>
      <c r="C20" s="659" t="s">
        <v>1070</v>
      </c>
      <c r="D20" s="657" t="s">
        <v>1061</v>
      </c>
      <c r="E20" s="660">
        <v>-6278883.1399999997</v>
      </c>
      <c r="F20" s="657"/>
    </row>
    <row r="21" spans="1:8">
      <c r="A21" s="659"/>
      <c r="B21" s="657"/>
      <c r="C21" s="659" t="s">
        <v>1071</v>
      </c>
      <c r="D21" s="657" t="s">
        <v>1061</v>
      </c>
      <c r="E21" s="660">
        <v>-3494505.0500000003</v>
      </c>
      <c r="F21" s="657"/>
    </row>
    <row r="22" spans="1:8">
      <c r="A22" s="659"/>
      <c r="B22" s="657"/>
      <c r="C22" s="659" t="s">
        <v>1072</v>
      </c>
      <c r="D22" s="657" t="s">
        <v>1061</v>
      </c>
      <c r="E22" s="660">
        <v>-2187331.48</v>
      </c>
      <c r="F22" s="657"/>
    </row>
    <row r="23" spans="1:8">
      <c r="A23" s="659"/>
      <c r="B23" s="657" t="s">
        <v>1073</v>
      </c>
      <c r="C23" s="659" t="s">
        <v>1074</v>
      </c>
      <c r="D23" s="657" t="s">
        <v>1075</v>
      </c>
      <c r="E23" s="660">
        <v>-53788053.75</v>
      </c>
      <c r="F23" s="657" t="s">
        <v>1076</v>
      </c>
      <c r="G23" s="660">
        <f>+E23*0.97</f>
        <v>-52174412.137499996</v>
      </c>
    </row>
    <row r="24" spans="1:8">
      <c r="A24" s="659"/>
      <c r="B24" s="657"/>
      <c r="C24" s="659"/>
      <c r="D24" s="657" t="s">
        <v>1077</v>
      </c>
      <c r="E24" s="660">
        <v>37329030.75</v>
      </c>
      <c r="F24" s="657" t="s">
        <v>1076</v>
      </c>
      <c r="G24" s="660">
        <f>+E24*0.97</f>
        <v>36209159.827500001</v>
      </c>
    </row>
    <row r="25" spans="1:8" ht="15">
      <c r="A25" s="659" t="s">
        <v>1078</v>
      </c>
      <c r="B25" s="657" t="s">
        <v>1054</v>
      </c>
      <c r="C25" s="659" t="s">
        <v>1056</v>
      </c>
      <c r="D25" s="657" t="s">
        <v>1055</v>
      </c>
      <c r="E25" s="660">
        <v>-51.85</v>
      </c>
      <c r="F25" s="657"/>
      <c r="G25" s="661">
        <f>SUM(G23:G24)</f>
        <v>-15965252.309999995</v>
      </c>
      <c r="H25" s="676" t="s">
        <v>1079</v>
      </c>
    </row>
    <row r="26" spans="1:8">
      <c r="A26" s="659"/>
      <c r="B26" s="657"/>
      <c r="C26" s="659" t="s">
        <v>1057</v>
      </c>
      <c r="D26" s="657" t="s">
        <v>1058</v>
      </c>
      <c r="E26" s="660">
        <v>-5.56</v>
      </c>
      <c r="F26" s="657"/>
    </row>
    <row r="27" spans="1:8">
      <c r="A27" s="659"/>
      <c r="B27" s="657"/>
      <c r="C27" s="659" t="s">
        <v>1059</v>
      </c>
      <c r="D27" s="657" t="s">
        <v>1055</v>
      </c>
      <c r="E27" s="660">
        <v>-26.71</v>
      </c>
      <c r="F27" s="657"/>
    </row>
    <row r="28" spans="1:8">
      <c r="A28" s="659"/>
      <c r="B28" s="657" t="s">
        <v>941</v>
      </c>
      <c r="C28" s="659" t="s">
        <v>1080</v>
      </c>
      <c r="D28" s="657" t="s">
        <v>1061</v>
      </c>
      <c r="E28" s="660">
        <v>-1461486.93</v>
      </c>
      <c r="F28" s="657"/>
    </row>
    <row r="29" spans="1:8">
      <c r="A29" s="659"/>
      <c r="B29" s="657"/>
      <c r="C29" s="659" t="s">
        <v>1081</v>
      </c>
      <c r="D29" s="657" t="s">
        <v>1061</v>
      </c>
      <c r="E29" s="660">
        <v>-103907123.89000003</v>
      </c>
      <c r="F29" s="657"/>
    </row>
    <row r="30" spans="1:8">
      <c r="A30" s="659"/>
      <c r="B30" s="657"/>
      <c r="C30" s="659" t="s">
        <v>1082</v>
      </c>
      <c r="D30" s="657" t="s">
        <v>1061</v>
      </c>
      <c r="E30" s="660">
        <v>-122437.13</v>
      </c>
      <c r="F30" s="657"/>
    </row>
    <row r="31" spans="1:8">
      <c r="A31" s="659"/>
      <c r="B31" s="657"/>
      <c r="C31" s="659" t="s">
        <v>1083</v>
      </c>
      <c r="D31" s="657" t="s">
        <v>1061</v>
      </c>
      <c r="E31" s="660">
        <v>-11233968.16</v>
      </c>
      <c r="F31" s="657"/>
    </row>
    <row r="32" spans="1:8">
      <c r="A32" s="659" t="s">
        <v>1084</v>
      </c>
      <c r="B32" s="657" t="s">
        <v>1054</v>
      </c>
      <c r="C32" s="659" t="s">
        <v>1056</v>
      </c>
      <c r="D32" s="657" t="s">
        <v>1055</v>
      </c>
      <c r="E32" s="660">
        <v>-3.46</v>
      </c>
      <c r="F32" s="657"/>
    </row>
    <row r="33" spans="1:6">
      <c r="A33" s="659"/>
      <c r="B33" s="657"/>
      <c r="C33" s="659" t="s">
        <v>1057</v>
      </c>
      <c r="D33" s="657" t="s">
        <v>1058</v>
      </c>
      <c r="E33" s="660">
        <v>-0.68</v>
      </c>
      <c r="F33" s="657"/>
    </row>
    <row r="34" spans="1:6">
      <c r="A34" s="659"/>
      <c r="B34" s="657"/>
      <c r="C34" s="659" t="s">
        <v>1059</v>
      </c>
      <c r="D34" s="657" t="s">
        <v>1055</v>
      </c>
      <c r="E34" s="660">
        <v>-1.96</v>
      </c>
      <c r="F34" s="657"/>
    </row>
    <row r="35" spans="1:6">
      <c r="A35" s="659"/>
      <c r="B35" s="657" t="s">
        <v>941</v>
      </c>
      <c r="C35" s="659" t="s">
        <v>1085</v>
      </c>
      <c r="D35" s="657" t="s">
        <v>1061</v>
      </c>
      <c r="E35" s="660">
        <v>-196206.01</v>
      </c>
      <c r="F35" s="657"/>
    </row>
    <row r="36" spans="1:6">
      <c r="A36" s="659"/>
      <c r="B36" s="657"/>
      <c r="C36" s="659" t="s">
        <v>1086</v>
      </c>
      <c r="D36" s="657" t="s">
        <v>1061</v>
      </c>
      <c r="E36" s="660">
        <v>-9075778.3500000015</v>
      </c>
      <c r="F36" s="657"/>
    </row>
    <row r="37" spans="1:6">
      <c r="A37" s="659"/>
      <c r="B37" s="657"/>
      <c r="C37" s="659" t="s">
        <v>1087</v>
      </c>
      <c r="D37" s="657" t="s">
        <v>1061</v>
      </c>
      <c r="E37" s="660">
        <v>-11252.13</v>
      </c>
      <c r="F37" s="657"/>
    </row>
    <row r="38" spans="1:6">
      <c r="A38" s="659"/>
      <c r="B38" s="657"/>
      <c r="C38" s="659" t="s">
        <v>1088</v>
      </c>
      <c r="D38" s="657" t="s">
        <v>1061</v>
      </c>
      <c r="E38" s="660">
        <v>-723702.6399999999</v>
      </c>
      <c r="F38" s="657"/>
    </row>
    <row r="39" spans="1:6">
      <c r="A39" s="659" t="s">
        <v>1089</v>
      </c>
      <c r="B39" s="657" t="s">
        <v>1090</v>
      </c>
      <c r="C39" s="659" t="s">
        <v>1091</v>
      </c>
      <c r="D39" s="657" t="s">
        <v>1092</v>
      </c>
      <c r="E39" s="660">
        <v>4893.32</v>
      </c>
      <c r="F39" s="657"/>
    </row>
    <row r="40" spans="1:6">
      <c r="A40" s="659"/>
      <c r="B40" s="657" t="s">
        <v>1093</v>
      </c>
      <c r="C40" s="659" t="s">
        <v>1094</v>
      </c>
      <c r="D40" s="657" t="s">
        <v>1095</v>
      </c>
      <c r="E40" s="660">
        <v>-15533.49</v>
      </c>
      <c r="F40" s="657"/>
    </row>
    <row r="41" spans="1:6">
      <c r="A41" s="659"/>
      <c r="B41" s="657" t="s">
        <v>1096</v>
      </c>
      <c r="C41" s="659" t="s">
        <v>1097</v>
      </c>
      <c r="D41" s="657" t="s">
        <v>1095</v>
      </c>
      <c r="E41" s="660">
        <v>-1041.6400000000001</v>
      </c>
      <c r="F41" s="657"/>
    </row>
    <row r="42" spans="1:6">
      <c r="A42" s="659"/>
      <c r="B42" s="657" t="s">
        <v>1098</v>
      </c>
      <c r="C42" s="659" t="s">
        <v>1099</v>
      </c>
      <c r="D42" s="657" t="s">
        <v>1095</v>
      </c>
      <c r="E42" s="660">
        <v>-9192.09</v>
      </c>
      <c r="F42" s="657"/>
    </row>
    <row r="43" spans="1:6">
      <c r="A43" s="659"/>
      <c r="B43" s="657" t="s">
        <v>994</v>
      </c>
      <c r="C43" s="659" t="s">
        <v>1100</v>
      </c>
      <c r="D43" s="657" t="s">
        <v>1101</v>
      </c>
      <c r="E43" s="660">
        <v>7329999.8300000001</v>
      </c>
      <c r="F43" s="657"/>
    </row>
    <row r="44" spans="1:6">
      <c r="A44" s="659"/>
      <c r="B44" s="657"/>
      <c r="C44" s="659" t="s">
        <v>1102</v>
      </c>
      <c r="D44" s="657" t="s">
        <v>1101</v>
      </c>
      <c r="E44" s="660">
        <v>-485702.76</v>
      </c>
      <c r="F44" s="657"/>
    </row>
    <row r="45" spans="1:6">
      <c r="A45" s="659"/>
      <c r="B45" s="657"/>
      <c r="C45" s="659" t="s">
        <v>1103</v>
      </c>
      <c r="D45" s="657" t="s">
        <v>1101</v>
      </c>
      <c r="E45" s="660">
        <v>485702.76</v>
      </c>
      <c r="F45" s="657"/>
    </row>
    <row r="46" spans="1:6">
      <c r="A46" s="659"/>
      <c r="B46" s="657" t="s">
        <v>995</v>
      </c>
      <c r="C46" s="659" t="s">
        <v>1104</v>
      </c>
      <c r="D46" s="657" t="s">
        <v>1105</v>
      </c>
      <c r="E46" s="660">
        <v>-1117</v>
      </c>
      <c r="F46" s="657"/>
    </row>
    <row r="47" spans="1:6">
      <c r="A47" s="659"/>
      <c r="B47" s="657"/>
      <c r="C47" s="659" t="s">
        <v>1106</v>
      </c>
      <c r="D47" s="657" t="s">
        <v>1105</v>
      </c>
      <c r="E47" s="660">
        <v>-721</v>
      </c>
      <c r="F47" s="657"/>
    </row>
    <row r="48" spans="1:6">
      <c r="A48" s="659"/>
      <c r="B48" s="657"/>
      <c r="C48" s="659" t="s">
        <v>1107</v>
      </c>
      <c r="D48" s="657" t="s">
        <v>1108</v>
      </c>
      <c r="E48" s="660">
        <v>1488122</v>
      </c>
      <c r="F48" s="657"/>
    </row>
    <row r="49" spans="1:6">
      <c r="A49" s="659"/>
      <c r="B49" s="657"/>
      <c r="C49" s="659" t="s">
        <v>1109</v>
      </c>
      <c r="D49" s="657" t="s">
        <v>1108</v>
      </c>
      <c r="E49" s="660">
        <v>371606</v>
      </c>
      <c r="F49" s="657"/>
    </row>
    <row r="50" spans="1:6">
      <c r="A50" s="659"/>
      <c r="B50" s="657"/>
      <c r="C50" s="659" t="s">
        <v>1110</v>
      </c>
      <c r="D50" s="657" t="s">
        <v>1105</v>
      </c>
      <c r="E50" s="660">
        <v>307477</v>
      </c>
      <c r="F50" s="657"/>
    </row>
    <row r="51" spans="1:6">
      <c r="A51" s="659"/>
      <c r="B51" s="657"/>
      <c r="C51" s="659" t="s">
        <v>1111</v>
      </c>
      <c r="D51" s="657" t="s">
        <v>1105</v>
      </c>
      <c r="E51" s="660">
        <v>816548</v>
      </c>
      <c r="F51" s="657"/>
    </row>
    <row r="52" spans="1:6">
      <c r="A52" s="659"/>
      <c r="B52" s="657"/>
      <c r="C52" s="659" t="s">
        <v>1112</v>
      </c>
      <c r="D52" s="657" t="s">
        <v>1105</v>
      </c>
      <c r="E52" s="660">
        <v>14408081</v>
      </c>
      <c r="F52" s="657"/>
    </row>
    <row r="53" spans="1:6">
      <c r="A53" s="659"/>
      <c r="B53" s="657"/>
      <c r="C53" s="659" t="s">
        <v>1113</v>
      </c>
      <c r="D53" s="657" t="s">
        <v>1105</v>
      </c>
      <c r="E53" s="660">
        <v>-5408.08</v>
      </c>
      <c r="F53" s="657"/>
    </row>
    <row r="54" spans="1:6">
      <c r="A54" s="659"/>
      <c r="B54" s="657"/>
      <c r="C54" s="659" t="s">
        <v>1114</v>
      </c>
      <c r="D54" s="657" t="s">
        <v>1105</v>
      </c>
      <c r="E54" s="660">
        <v>7915</v>
      </c>
      <c r="F54" s="657"/>
    </row>
    <row r="55" spans="1:6">
      <c r="A55" s="659"/>
      <c r="B55" s="657" t="s">
        <v>996</v>
      </c>
      <c r="C55" s="659" t="s">
        <v>1115</v>
      </c>
      <c r="D55" s="657" t="s">
        <v>1116</v>
      </c>
      <c r="E55" s="660">
        <v>3698655.5499999993</v>
      </c>
      <c r="F55" s="657"/>
    </row>
    <row r="56" spans="1:6">
      <c r="A56" s="659"/>
      <c r="B56" s="657"/>
      <c r="C56" s="659" t="s">
        <v>1117</v>
      </c>
      <c r="D56" s="657" t="s">
        <v>1118</v>
      </c>
      <c r="E56" s="660">
        <v>-10692974.299999999</v>
      </c>
      <c r="F56" s="657"/>
    </row>
    <row r="57" spans="1:6">
      <c r="A57" s="659"/>
      <c r="B57" s="657"/>
      <c r="C57" s="659" t="s">
        <v>1119</v>
      </c>
      <c r="D57" s="657" t="s">
        <v>1118</v>
      </c>
      <c r="E57" s="660">
        <v>-330712.31000000006</v>
      </c>
      <c r="F57" s="657"/>
    </row>
    <row r="58" spans="1:6">
      <c r="A58" s="659"/>
      <c r="B58" s="657" t="s">
        <v>1008</v>
      </c>
      <c r="C58" s="659" t="s">
        <v>1008</v>
      </c>
      <c r="D58" s="657" t="s">
        <v>1120</v>
      </c>
      <c r="E58" s="660">
        <v>11524568.939999999</v>
      </c>
      <c r="F58" s="657"/>
    </row>
    <row r="59" spans="1:6">
      <c r="A59" s="659"/>
      <c r="B59" s="657"/>
      <c r="C59" s="659" t="s">
        <v>1121</v>
      </c>
      <c r="D59" s="657" t="s">
        <v>1120</v>
      </c>
      <c r="E59" s="660">
        <v>368094.21999999991</v>
      </c>
      <c r="F59" s="657"/>
    </row>
    <row r="60" spans="1:6">
      <c r="A60" s="659"/>
      <c r="B60" s="657" t="s">
        <v>1122</v>
      </c>
      <c r="C60" s="659" t="s">
        <v>1122</v>
      </c>
      <c r="D60" s="657" t="s">
        <v>1123</v>
      </c>
      <c r="E60" s="660">
        <v>2701096.4499999979</v>
      </c>
      <c r="F60" s="657"/>
    </row>
    <row r="61" spans="1:6">
      <c r="A61" s="659"/>
      <c r="B61" s="657"/>
      <c r="C61" s="659"/>
      <c r="D61" s="657" t="s">
        <v>1124</v>
      </c>
      <c r="E61" s="660">
        <v>-6620812.3700000001</v>
      </c>
      <c r="F61" s="657"/>
    </row>
    <row r="62" spans="1:6">
      <c r="A62" s="659"/>
      <c r="B62" s="657"/>
      <c r="C62" s="659"/>
      <c r="D62" s="657" t="s">
        <v>1125</v>
      </c>
      <c r="E62" s="660">
        <v>-3133207.22</v>
      </c>
      <c r="F62" s="657"/>
    </row>
    <row r="63" spans="1:6">
      <c r="A63" s="659"/>
      <c r="B63" s="657"/>
      <c r="C63" s="659"/>
      <c r="D63" s="657" t="s">
        <v>1126</v>
      </c>
      <c r="E63" s="660">
        <v>1889322.61</v>
      </c>
      <c r="F63" s="657"/>
    </row>
    <row r="64" spans="1:6">
      <c r="A64" s="659"/>
      <c r="B64" s="657" t="s">
        <v>1127</v>
      </c>
      <c r="C64" s="659" t="s">
        <v>1128</v>
      </c>
      <c r="D64" s="657" t="s">
        <v>1129</v>
      </c>
      <c r="E64" s="660">
        <v>3606719.04</v>
      </c>
      <c r="F64" s="657"/>
    </row>
    <row r="65" spans="1:6">
      <c r="A65" s="659"/>
      <c r="B65" s="657" t="s">
        <v>1011</v>
      </c>
      <c r="C65" s="659" t="s">
        <v>1130</v>
      </c>
      <c r="D65" s="657" t="s">
        <v>1131</v>
      </c>
      <c r="E65" s="660">
        <v>-619726.89</v>
      </c>
      <c r="F65" s="657"/>
    </row>
    <row r="66" spans="1:6">
      <c r="A66" s="659"/>
      <c r="B66" s="657"/>
      <c r="C66" s="659" t="s">
        <v>1132</v>
      </c>
      <c r="D66" s="657" t="s">
        <v>1131</v>
      </c>
      <c r="E66" s="660">
        <v>-126565.49</v>
      </c>
      <c r="F66" s="657"/>
    </row>
    <row r="67" spans="1:6">
      <c r="A67" s="659"/>
      <c r="B67" s="657"/>
      <c r="C67" s="659" t="s">
        <v>1133</v>
      </c>
      <c r="D67" s="657" t="s">
        <v>1131</v>
      </c>
      <c r="E67" s="660">
        <v>-495021.49</v>
      </c>
      <c r="F67" s="657"/>
    </row>
    <row r="68" spans="1:6">
      <c r="A68" s="659"/>
      <c r="B68" s="657"/>
      <c r="C68" s="659" t="s">
        <v>1134</v>
      </c>
      <c r="D68" s="657" t="s">
        <v>1131</v>
      </c>
      <c r="E68" s="660">
        <v>-891590.57</v>
      </c>
      <c r="F68" s="657"/>
    </row>
    <row r="69" spans="1:6">
      <c r="A69" s="659"/>
      <c r="B69" s="657"/>
      <c r="C69" s="659" t="s">
        <v>1135</v>
      </c>
      <c r="D69" s="657" t="s">
        <v>1131</v>
      </c>
      <c r="E69" s="660">
        <v>-1964108.77</v>
      </c>
      <c r="F69" s="657"/>
    </row>
    <row r="70" spans="1:6">
      <c r="A70" s="659"/>
      <c r="B70" s="657"/>
      <c r="C70" s="659" t="s">
        <v>1136</v>
      </c>
      <c r="D70" s="657" t="s">
        <v>1131</v>
      </c>
      <c r="E70" s="660">
        <v>-143498.79999999999</v>
      </c>
      <c r="F70" s="657"/>
    </row>
    <row r="71" spans="1:6">
      <c r="A71" s="659"/>
      <c r="B71" s="657"/>
      <c r="C71" s="659" t="s">
        <v>1137</v>
      </c>
      <c r="D71" s="657" t="s">
        <v>1131</v>
      </c>
      <c r="E71" s="660">
        <v>-170998.58</v>
      </c>
      <c r="F71" s="657"/>
    </row>
    <row r="72" spans="1:6">
      <c r="A72" s="659"/>
      <c r="B72" s="657"/>
      <c r="C72" s="659" t="s">
        <v>1138</v>
      </c>
      <c r="D72" s="657" t="s">
        <v>1131</v>
      </c>
      <c r="E72" s="660">
        <v>-366500.24</v>
      </c>
      <c r="F72" s="657"/>
    </row>
    <row r="73" spans="1:6">
      <c r="A73" s="659"/>
      <c r="B73" s="657"/>
      <c r="C73" s="659" t="s">
        <v>1139</v>
      </c>
      <c r="D73" s="657" t="s">
        <v>1131</v>
      </c>
      <c r="E73" s="660">
        <v>-297051.38</v>
      </c>
      <c r="F73" s="657"/>
    </row>
    <row r="74" spans="1:6">
      <c r="A74" s="659"/>
      <c r="B74" s="657"/>
      <c r="C74" s="659" t="s">
        <v>1140</v>
      </c>
      <c r="D74" s="657" t="s">
        <v>1131</v>
      </c>
      <c r="E74" s="660">
        <v>-170384.19</v>
      </c>
      <c r="F74" s="657"/>
    </row>
    <row r="75" spans="1:6">
      <c r="A75" s="659"/>
      <c r="B75" s="657"/>
      <c r="C75" s="659" t="s">
        <v>1141</v>
      </c>
      <c r="D75" s="657" t="s">
        <v>1131</v>
      </c>
      <c r="E75" s="660">
        <v>-132090.64000000001</v>
      </c>
      <c r="F75" s="657"/>
    </row>
    <row r="76" spans="1:6">
      <c r="A76" s="659"/>
      <c r="B76" s="657" t="s">
        <v>1000</v>
      </c>
      <c r="C76" s="659" t="s">
        <v>1142</v>
      </c>
      <c r="D76" s="657" t="s">
        <v>1143</v>
      </c>
      <c r="E76" s="660">
        <v>-41311.560000000005</v>
      </c>
      <c r="F76" s="657"/>
    </row>
    <row r="77" spans="1:6">
      <c r="A77" s="659"/>
      <c r="B77" s="657" t="s">
        <v>1144</v>
      </c>
      <c r="C77" s="659" t="s">
        <v>1145</v>
      </c>
      <c r="D77" s="657" t="s">
        <v>1146</v>
      </c>
      <c r="E77" s="660">
        <v>15142.85</v>
      </c>
      <c r="F77" s="657"/>
    </row>
    <row r="78" spans="1:6">
      <c r="A78" s="662" t="s">
        <v>986</v>
      </c>
      <c r="B78" s="662"/>
      <c r="C78" s="662"/>
      <c r="D78" s="662"/>
      <c r="E78" s="663">
        <f>SUM(E5:E77)</f>
        <v>-309459519.50999993</v>
      </c>
      <c r="F78" s="657"/>
    </row>
    <row r="79" spans="1:6">
      <c r="A79" s="657"/>
      <c r="B79" s="657"/>
      <c r="C79" s="657"/>
      <c r="D79" s="657"/>
      <c r="E79" s="660"/>
      <c r="F79" s="657"/>
    </row>
    <row r="80" spans="1:6">
      <c r="A80" s="657"/>
      <c r="B80" s="657"/>
      <c r="C80" s="657"/>
      <c r="D80" s="657"/>
      <c r="E80" s="660"/>
      <c r="F80" s="657"/>
    </row>
    <row r="81" spans="1:6">
      <c r="A81" s="657"/>
      <c r="B81" s="657"/>
      <c r="C81" s="657"/>
      <c r="D81" s="664" t="s">
        <v>1147</v>
      </c>
      <c r="E81" s="660">
        <v>-313491872.50999999</v>
      </c>
      <c r="F81" s="657"/>
    </row>
    <row r="82" spans="1:6">
      <c r="A82" s="657"/>
      <c r="B82" s="657"/>
      <c r="C82" s="657"/>
      <c r="D82" s="664" t="s">
        <v>190</v>
      </c>
      <c r="E82" s="660">
        <f>+E78-E81</f>
        <v>4032353.0000000596</v>
      </c>
      <c r="F82" s="657"/>
    </row>
    <row r="83" spans="1:6">
      <c r="A83" s="657"/>
      <c r="B83" s="657"/>
      <c r="C83" s="665" t="s">
        <v>1148</v>
      </c>
      <c r="D83" s="657" t="s">
        <v>1149</v>
      </c>
      <c r="E83" s="666">
        <v>0</v>
      </c>
      <c r="F83" s="657"/>
    </row>
    <row r="84" spans="1:6">
      <c r="A84" s="657"/>
      <c r="B84" s="657"/>
      <c r="C84" s="657"/>
      <c r="D84" s="657"/>
      <c r="E84" s="667">
        <f>SUM(E82:E83)</f>
        <v>4032353.0000000596</v>
      </c>
      <c r="F84" s="657"/>
    </row>
    <row r="85" spans="1:6">
      <c r="A85" s="657"/>
      <c r="B85" s="657"/>
      <c r="C85" s="657"/>
      <c r="D85" s="657"/>
      <c r="E85" s="657"/>
      <c r="F85" s="657"/>
    </row>
    <row r="86" spans="1:6">
      <c r="A86" s="657"/>
      <c r="B86" s="657"/>
      <c r="C86" s="657"/>
      <c r="D86" s="657"/>
      <c r="E86" s="657"/>
      <c r="F86" s="657"/>
    </row>
    <row r="87" spans="1:6">
      <c r="A87" s="657"/>
      <c r="B87" s="657"/>
      <c r="C87" s="657"/>
      <c r="D87" s="657"/>
      <c r="E87" s="657"/>
      <c r="F87" s="657"/>
    </row>
    <row r="88" spans="1:6">
      <c r="A88" s="657"/>
      <c r="B88" s="657"/>
      <c r="C88" s="657"/>
      <c r="D88" s="657"/>
      <c r="E88" s="657"/>
      <c r="F88" s="657"/>
    </row>
    <row r="89" spans="1:6">
      <c r="A89" s="657"/>
      <c r="B89" s="657"/>
      <c r="C89" s="657"/>
      <c r="D89" s="657"/>
      <c r="E89" s="657"/>
      <c r="F89" s="657"/>
    </row>
    <row r="90" spans="1:6">
      <c r="A90" s="657"/>
      <c r="B90" s="657"/>
      <c r="C90" s="657"/>
      <c r="D90" s="657"/>
      <c r="E90" s="657"/>
      <c r="F90" s="657"/>
    </row>
    <row r="91" spans="1:6">
      <c r="A91" s="657"/>
      <c r="B91" s="657"/>
      <c r="C91" s="657"/>
      <c r="D91" s="657"/>
      <c r="E91" s="657"/>
      <c r="F91" s="657"/>
    </row>
    <row r="92" spans="1:6">
      <c r="A92" s="657"/>
      <c r="B92" s="657"/>
      <c r="C92" s="657"/>
      <c r="D92" s="657"/>
      <c r="E92" s="657"/>
      <c r="F92" s="657"/>
    </row>
    <row r="93" spans="1:6">
      <c r="A93" s="657"/>
      <c r="B93" s="657"/>
      <c r="C93" s="657"/>
      <c r="D93" s="657"/>
      <c r="E93" s="657"/>
      <c r="F93" s="657"/>
    </row>
    <row r="94" spans="1:6">
      <c r="A94" s="657"/>
      <c r="B94" s="657"/>
      <c r="C94" s="657"/>
      <c r="D94" s="657"/>
      <c r="E94" s="657"/>
      <c r="F94" s="657"/>
    </row>
    <row r="95" spans="1:6">
      <c r="A95" s="657"/>
      <c r="B95" s="657"/>
      <c r="C95" s="657"/>
      <c r="D95" s="657"/>
      <c r="E95" s="657"/>
      <c r="F95" s="657"/>
    </row>
    <row r="96" spans="1:6">
      <c r="A96" s="657"/>
      <c r="B96" s="657"/>
      <c r="C96" s="657"/>
      <c r="D96" s="657"/>
      <c r="E96" s="657"/>
      <c r="F96" s="657"/>
    </row>
    <row r="97" spans="1:6">
      <c r="A97" s="657"/>
      <c r="B97" s="657"/>
      <c r="C97" s="657"/>
      <c r="D97" s="657"/>
      <c r="E97" s="657"/>
      <c r="F97" s="657"/>
    </row>
    <row r="98" spans="1:6">
      <c r="A98" s="657"/>
      <c r="B98" s="657"/>
      <c r="C98" s="657"/>
      <c r="D98" s="657"/>
      <c r="E98" s="657"/>
      <c r="F98" s="657"/>
    </row>
    <row r="99" spans="1:6">
      <c r="A99" s="657"/>
      <c r="B99" s="657"/>
      <c r="C99" s="657"/>
      <c r="D99" s="657"/>
      <c r="E99" s="657"/>
      <c r="F99" s="657"/>
    </row>
    <row r="100" spans="1:6">
      <c r="A100" s="657"/>
      <c r="B100" s="657"/>
      <c r="C100" s="657"/>
      <c r="D100" s="657"/>
      <c r="E100" s="657"/>
      <c r="F100" s="657"/>
    </row>
    <row r="101" spans="1:6">
      <c r="A101" s="657"/>
      <c r="B101" s="657"/>
      <c r="C101" s="657"/>
      <c r="D101" s="657"/>
      <c r="E101" s="657"/>
      <c r="F101" s="657"/>
    </row>
    <row r="102" spans="1:6">
      <c r="A102" s="657"/>
      <c r="B102" s="657"/>
      <c r="C102" s="657"/>
      <c r="D102" s="657"/>
      <c r="E102" s="657"/>
      <c r="F102" s="657"/>
    </row>
    <row r="103" spans="1:6">
      <c r="A103" s="657"/>
      <c r="B103" s="657"/>
      <c r="C103" s="657"/>
      <c r="D103" s="657"/>
      <c r="E103" s="657"/>
      <c r="F103" s="657"/>
    </row>
    <row r="104" spans="1:6">
      <c r="A104" s="657"/>
      <c r="B104" s="657"/>
      <c r="C104" s="657"/>
      <c r="D104" s="657"/>
      <c r="E104" s="657"/>
      <c r="F104" s="657"/>
    </row>
    <row r="105" spans="1:6">
      <c r="A105" s="657"/>
      <c r="B105" s="657"/>
      <c r="C105" s="657"/>
      <c r="D105" s="657"/>
      <c r="E105" s="657"/>
      <c r="F105" s="657"/>
    </row>
    <row r="106" spans="1:6">
      <c r="A106" s="657"/>
      <c r="B106" s="657"/>
      <c r="C106" s="657"/>
      <c r="D106" s="657"/>
      <c r="E106" s="657"/>
      <c r="F106" s="657"/>
    </row>
    <row r="107" spans="1:6">
      <c r="A107" s="657"/>
      <c r="B107" s="657"/>
      <c r="C107" s="657"/>
      <c r="D107" s="657"/>
      <c r="E107" s="657"/>
      <c r="F107" s="657"/>
    </row>
    <row r="108" spans="1:6">
      <c r="A108" s="657"/>
      <c r="B108" s="657"/>
      <c r="C108" s="657"/>
      <c r="D108" s="657"/>
      <c r="E108" s="657"/>
      <c r="F108" s="657"/>
    </row>
    <row r="109" spans="1:6">
      <c r="A109" s="657"/>
      <c r="B109" s="657"/>
      <c r="C109" s="657"/>
      <c r="D109" s="657"/>
      <c r="E109" s="657"/>
      <c r="F109" s="657"/>
    </row>
    <row r="110" spans="1:6">
      <c r="A110" s="657"/>
      <c r="B110" s="657"/>
      <c r="C110" s="657"/>
      <c r="D110" s="657"/>
      <c r="E110" s="657"/>
      <c r="F110" s="657"/>
    </row>
    <row r="111" spans="1:6">
      <c r="A111" s="657"/>
      <c r="B111" s="657"/>
      <c r="C111" s="657"/>
      <c r="D111" s="657"/>
      <c r="E111" s="657"/>
      <c r="F111" s="657"/>
    </row>
    <row r="112" spans="1:6">
      <c r="A112" s="657"/>
      <c r="B112" s="657"/>
      <c r="C112" s="657"/>
      <c r="D112" s="657"/>
      <c r="E112" s="657"/>
      <c r="F112" s="657"/>
    </row>
    <row r="113" spans="1:6">
      <c r="A113" s="657"/>
      <c r="B113" s="657"/>
      <c r="C113" s="657"/>
      <c r="D113" s="657"/>
      <c r="E113" s="657"/>
      <c r="F113" s="657"/>
    </row>
    <row r="114" spans="1:6">
      <c r="A114" s="657"/>
      <c r="B114" s="657"/>
      <c r="C114" s="657"/>
      <c r="D114" s="657"/>
      <c r="E114" s="657"/>
      <c r="F114" s="657"/>
    </row>
    <row r="115" spans="1:6">
      <c r="A115" s="657"/>
      <c r="B115" s="657"/>
      <c r="C115" s="657"/>
      <c r="D115" s="657"/>
      <c r="E115" s="657"/>
      <c r="F115" s="657"/>
    </row>
    <row r="116" spans="1:6">
      <c r="A116" s="657"/>
      <c r="B116" s="657"/>
      <c r="C116" s="657"/>
      <c r="D116" s="657"/>
      <c r="E116" s="657"/>
      <c r="F116" s="657"/>
    </row>
    <row r="117" spans="1:6">
      <c r="A117" s="657"/>
      <c r="B117" s="657"/>
      <c r="C117" s="657"/>
      <c r="D117" s="657"/>
      <c r="E117" s="657"/>
      <c r="F117" s="657"/>
    </row>
    <row r="118" spans="1:6">
      <c r="A118" s="657"/>
      <c r="B118" s="657"/>
      <c r="C118" s="657"/>
      <c r="D118" s="657"/>
      <c r="E118" s="657"/>
      <c r="F118" s="657"/>
    </row>
    <row r="119" spans="1:6">
      <c r="A119" s="657"/>
      <c r="B119" s="657"/>
      <c r="C119" s="657"/>
      <c r="D119" s="657"/>
      <c r="E119" s="657"/>
      <c r="F119" s="657"/>
    </row>
    <row r="120" spans="1:6">
      <c r="A120" s="657"/>
      <c r="B120" s="657"/>
      <c r="C120" s="657"/>
      <c r="D120" s="657"/>
      <c r="E120" s="657"/>
      <c r="F120" s="657"/>
    </row>
    <row r="121" spans="1:6">
      <c r="A121" s="657"/>
      <c r="B121" s="657"/>
      <c r="C121" s="657"/>
      <c r="D121" s="657"/>
      <c r="E121" s="657"/>
      <c r="F121" s="657"/>
    </row>
    <row r="122" spans="1:6">
      <c r="A122" s="657"/>
      <c r="B122" s="657"/>
      <c r="C122" s="657"/>
      <c r="D122" s="657"/>
      <c r="E122" s="657"/>
      <c r="F122" s="657"/>
    </row>
    <row r="123" spans="1:6">
      <c r="A123" s="657"/>
      <c r="B123" s="657"/>
      <c r="C123" s="657"/>
      <c r="D123" s="657"/>
      <c r="E123" s="657"/>
      <c r="F123" s="657"/>
    </row>
    <row r="124" spans="1:6">
      <c r="A124" s="657"/>
      <c r="B124" s="657"/>
      <c r="C124" s="657"/>
      <c r="D124" s="657"/>
      <c r="E124" s="657"/>
      <c r="F124" s="657"/>
    </row>
    <row r="125" spans="1:6">
      <c r="A125" s="657"/>
      <c r="B125" s="657"/>
      <c r="C125" s="657"/>
      <c r="D125" s="657"/>
      <c r="E125" s="657"/>
      <c r="F125" s="657"/>
    </row>
    <row r="126" spans="1:6">
      <c r="A126" s="657"/>
      <c r="B126" s="657"/>
      <c r="C126" s="657"/>
      <c r="D126" s="657"/>
      <c r="E126" s="657"/>
      <c r="F126" s="657"/>
    </row>
    <row r="127" spans="1:6">
      <c r="A127" s="657"/>
      <c r="B127" s="657"/>
      <c r="C127" s="657"/>
      <c r="D127" s="657"/>
      <c r="E127" s="657"/>
      <c r="F127" s="657"/>
    </row>
    <row r="128" spans="1:6">
      <c r="A128" s="657"/>
      <c r="B128" s="657"/>
      <c r="C128" s="657"/>
      <c r="D128" s="657"/>
      <c r="E128" s="657"/>
      <c r="F128" s="657"/>
    </row>
    <row r="129" spans="1:6">
      <c r="A129" s="657"/>
      <c r="B129" s="657"/>
      <c r="C129" s="657"/>
      <c r="D129" s="657"/>
      <c r="E129" s="657"/>
      <c r="F129" s="657"/>
    </row>
    <row r="130" spans="1:6">
      <c r="A130" s="657"/>
      <c r="B130" s="657"/>
      <c r="C130" s="657"/>
      <c r="D130" s="657"/>
      <c r="E130" s="657"/>
      <c r="F130" s="657"/>
    </row>
    <row r="131" spans="1:6">
      <c r="A131" s="657"/>
      <c r="B131" s="657"/>
      <c r="C131" s="657"/>
      <c r="D131" s="657"/>
      <c r="E131" s="657"/>
      <c r="F131" s="657"/>
    </row>
    <row r="132" spans="1:6">
      <c r="A132" s="657"/>
      <c r="B132" s="657"/>
      <c r="C132" s="657"/>
      <c r="D132" s="657"/>
      <c r="E132" s="657"/>
      <c r="F132" s="657"/>
    </row>
    <row r="133" spans="1:6">
      <c r="A133" s="657"/>
      <c r="B133" s="657"/>
      <c r="C133" s="657"/>
      <c r="D133" s="657"/>
      <c r="E133" s="657"/>
      <c r="F133" s="657"/>
    </row>
    <row r="134" spans="1:6">
      <c r="A134" s="657"/>
      <c r="B134" s="657"/>
      <c r="C134" s="657"/>
      <c r="D134" s="657"/>
      <c r="E134" s="657"/>
      <c r="F134" s="657"/>
    </row>
    <row r="135" spans="1:6">
      <c r="A135" s="657"/>
      <c r="B135" s="657"/>
      <c r="C135" s="657"/>
      <c r="D135" s="657"/>
      <c r="E135" s="657"/>
      <c r="F135" s="657"/>
    </row>
    <row r="136" spans="1:6">
      <c r="A136" s="657"/>
      <c r="B136" s="657"/>
      <c r="C136" s="657"/>
      <c r="D136" s="657"/>
      <c r="E136" s="657"/>
      <c r="F136" s="657"/>
    </row>
    <row r="137" spans="1:6">
      <c r="A137" s="657"/>
      <c r="B137" s="657"/>
      <c r="C137" s="657"/>
      <c r="D137" s="657"/>
      <c r="E137" s="657"/>
      <c r="F137" s="657"/>
    </row>
    <row r="138" spans="1:6">
      <c r="A138" s="657"/>
      <c r="B138" s="657"/>
      <c r="C138" s="657"/>
      <c r="D138" s="657"/>
      <c r="E138" s="657"/>
      <c r="F138" s="657"/>
    </row>
    <row r="139" spans="1:6">
      <c r="A139" s="657"/>
      <c r="B139" s="657"/>
      <c r="C139" s="657"/>
      <c r="D139" s="657"/>
      <c r="E139" s="657"/>
      <c r="F139" s="657"/>
    </row>
    <row r="140" spans="1:6">
      <c r="A140" s="657"/>
      <c r="B140" s="657"/>
      <c r="C140" s="657"/>
      <c r="D140" s="657"/>
      <c r="E140" s="657"/>
      <c r="F140" s="657"/>
    </row>
    <row r="141" spans="1:6">
      <c r="A141" s="657"/>
      <c r="B141" s="657"/>
      <c r="C141" s="657"/>
      <c r="D141" s="657"/>
      <c r="E141" s="657"/>
      <c r="F141" s="657"/>
    </row>
    <row r="142" spans="1:6">
      <c r="A142" s="657"/>
      <c r="B142" s="657"/>
      <c r="C142" s="657"/>
      <c r="D142" s="657"/>
      <c r="E142" s="657"/>
      <c r="F142" s="657"/>
    </row>
    <row r="143" spans="1:6">
      <c r="A143" s="657"/>
      <c r="B143" s="657"/>
      <c r="C143" s="657"/>
      <c r="D143" s="657"/>
      <c r="E143" s="657"/>
      <c r="F143" s="657"/>
    </row>
    <row r="144" spans="1:6">
      <c r="A144" s="657"/>
      <c r="B144" s="657"/>
      <c r="C144" s="657"/>
      <c r="D144" s="657"/>
      <c r="E144" s="657"/>
      <c r="F144" s="657"/>
    </row>
    <row r="145" spans="1:6">
      <c r="A145" s="657"/>
      <c r="B145" s="657"/>
      <c r="C145" s="657"/>
      <c r="D145" s="657"/>
      <c r="E145" s="657"/>
      <c r="F145" s="657"/>
    </row>
    <row r="146" spans="1:6">
      <c r="A146" s="657"/>
      <c r="B146" s="657"/>
      <c r="C146" s="657"/>
      <c r="D146" s="657"/>
      <c r="E146" s="657"/>
      <c r="F146" s="657"/>
    </row>
    <row r="147" spans="1:6">
      <c r="A147" s="657"/>
      <c r="B147" s="657"/>
      <c r="C147" s="657"/>
      <c r="D147" s="657"/>
      <c r="E147" s="657"/>
      <c r="F147" s="657"/>
    </row>
    <row r="148" spans="1:6">
      <c r="A148" s="657"/>
      <c r="B148" s="657"/>
      <c r="C148" s="657"/>
      <c r="D148" s="657"/>
      <c r="E148" s="657"/>
      <c r="F148" s="657"/>
    </row>
    <row r="149" spans="1:6">
      <c r="A149" s="657"/>
      <c r="B149" s="657"/>
      <c r="C149" s="657"/>
      <c r="D149" s="657"/>
      <c r="E149" s="657"/>
      <c r="F149" s="657"/>
    </row>
    <row r="150" spans="1:6">
      <c r="A150" s="657"/>
      <c r="B150" s="657"/>
      <c r="C150" s="657"/>
      <c r="D150" s="657"/>
      <c r="E150" s="657"/>
      <c r="F150" s="657"/>
    </row>
    <row r="151" spans="1:6">
      <c r="A151" s="657"/>
      <c r="B151" s="657"/>
      <c r="C151" s="657"/>
      <c r="D151" s="657"/>
      <c r="E151" s="657"/>
      <c r="F151" s="657"/>
    </row>
    <row r="152" spans="1:6">
      <c r="A152" s="657"/>
      <c r="B152" s="657"/>
      <c r="C152" s="657"/>
      <c r="D152" s="657"/>
      <c r="E152" s="657"/>
      <c r="F152" s="657"/>
    </row>
    <row r="153" spans="1:6">
      <c r="A153" s="657"/>
      <c r="B153" s="657"/>
      <c r="C153" s="657"/>
      <c r="D153" s="657"/>
      <c r="E153" s="657"/>
      <c r="F153" s="657"/>
    </row>
    <row r="154" spans="1:6">
      <c r="A154" s="657"/>
      <c r="B154" s="657"/>
      <c r="C154" s="657"/>
      <c r="D154" s="657"/>
      <c r="E154" s="657"/>
      <c r="F154" s="657"/>
    </row>
    <row r="155" spans="1:6">
      <c r="A155" s="657"/>
      <c r="B155" s="657"/>
      <c r="C155" s="657"/>
      <c r="D155" s="657"/>
      <c r="E155" s="657"/>
      <c r="F155" s="657"/>
    </row>
    <row r="156" spans="1:6">
      <c r="A156" s="657"/>
      <c r="B156" s="657"/>
      <c r="C156" s="657"/>
      <c r="D156" s="657"/>
      <c r="E156" s="657"/>
      <c r="F156" s="657"/>
    </row>
    <row r="157" spans="1:6">
      <c r="A157" s="657"/>
      <c r="B157" s="657"/>
      <c r="C157" s="657"/>
      <c r="D157" s="657"/>
      <c r="E157" s="657"/>
      <c r="F157" s="657"/>
    </row>
    <row r="158" spans="1:6">
      <c r="A158" s="657"/>
      <c r="B158" s="657"/>
      <c r="C158" s="657"/>
      <c r="D158" s="657"/>
      <c r="E158" s="657"/>
      <c r="F158" s="657"/>
    </row>
    <row r="159" spans="1:6">
      <c r="A159" s="657"/>
      <c r="B159" s="657"/>
      <c r="C159" s="657"/>
      <c r="D159" s="657"/>
      <c r="E159" s="657"/>
      <c r="F159" s="657"/>
    </row>
    <row r="160" spans="1:6">
      <c r="A160" s="657"/>
      <c r="B160" s="657"/>
      <c r="C160" s="657"/>
      <c r="D160" s="657"/>
      <c r="E160" s="657"/>
      <c r="F160" s="657"/>
    </row>
    <row r="161" spans="1:6">
      <c r="A161" s="657"/>
      <c r="B161" s="657"/>
      <c r="C161" s="657"/>
      <c r="D161" s="657"/>
      <c r="E161" s="657"/>
      <c r="F161" s="657"/>
    </row>
    <row r="162" spans="1:6">
      <c r="A162" s="657"/>
      <c r="B162" s="657"/>
      <c r="C162" s="657"/>
      <c r="D162" s="657"/>
      <c r="E162" s="657"/>
      <c r="F162" s="657"/>
    </row>
    <row r="163" spans="1:6">
      <c r="A163" s="657"/>
      <c r="B163" s="657"/>
      <c r="C163" s="657"/>
      <c r="D163" s="657"/>
      <c r="E163" s="657"/>
      <c r="F163" s="657"/>
    </row>
    <row r="164" spans="1:6">
      <c r="A164" s="657"/>
      <c r="B164" s="657"/>
      <c r="C164" s="657"/>
      <c r="D164" s="657"/>
      <c r="E164" s="657"/>
      <c r="F164" s="657"/>
    </row>
    <row r="165" spans="1:6">
      <c r="A165" s="657"/>
      <c r="B165" s="657"/>
      <c r="C165" s="657"/>
      <c r="D165" s="657"/>
      <c r="E165" s="657"/>
      <c r="F165" s="657"/>
    </row>
    <row r="166" spans="1:6">
      <c r="A166" s="657"/>
      <c r="B166" s="657"/>
      <c r="C166" s="657"/>
      <c r="D166" s="657"/>
      <c r="E166" s="657"/>
      <c r="F166" s="657"/>
    </row>
    <row r="167" spans="1:6">
      <c r="A167" s="657"/>
      <c r="B167" s="657"/>
      <c r="C167" s="657"/>
      <c r="D167" s="657"/>
      <c r="E167" s="657"/>
      <c r="F167" s="657"/>
    </row>
    <row r="168" spans="1:6">
      <c r="A168" s="657"/>
      <c r="B168" s="657"/>
      <c r="C168" s="657"/>
      <c r="D168" s="657"/>
      <c r="E168" s="657"/>
      <c r="F168" s="657"/>
    </row>
    <row r="169" spans="1:6">
      <c r="A169" s="657"/>
      <c r="B169" s="657"/>
      <c r="C169" s="657"/>
      <c r="D169" s="657"/>
      <c r="E169" s="657"/>
      <c r="F169" s="657"/>
    </row>
    <row r="170" spans="1:6">
      <c r="A170" s="657"/>
      <c r="B170" s="657"/>
      <c r="C170" s="657"/>
      <c r="D170" s="657"/>
      <c r="E170" s="657"/>
      <c r="F170" s="657"/>
    </row>
    <row r="171" spans="1:6">
      <c r="A171" s="657"/>
      <c r="B171" s="657"/>
      <c r="C171" s="657"/>
      <c r="D171" s="657"/>
      <c r="E171" s="657"/>
      <c r="F171" s="657"/>
    </row>
    <row r="172" spans="1:6">
      <c r="A172" s="657"/>
      <c r="B172" s="657"/>
      <c r="C172" s="657"/>
      <c r="D172" s="657"/>
      <c r="E172" s="657"/>
      <c r="F172" s="657"/>
    </row>
    <row r="173" spans="1:6">
      <c r="A173" s="657"/>
      <c r="B173" s="657"/>
      <c r="C173" s="657"/>
      <c r="D173" s="657"/>
      <c r="E173" s="657"/>
      <c r="F173" s="657"/>
    </row>
    <row r="174" spans="1:6">
      <c r="A174" s="657"/>
      <c r="B174" s="657"/>
      <c r="C174" s="657"/>
      <c r="D174" s="657"/>
      <c r="E174" s="657"/>
      <c r="F174" s="657"/>
    </row>
    <row r="175" spans="1:6">
      <c r="A175" s="657"/>
      <c r="B175" s="657"/>
      <c r="C175" s="657"/>
      <c r="D175" s="657"/>
      <c r="E175" s="657"/>
      <c r="F175" s="657"/>
    </row>
    <row r="176" spans="1:6">
      <c r="A176" s="657"/>
      <c r="B176" s="657"/>
      <c r="C176" s="657"/>
      <c r="D176" s="657"/>
      <c r="E176" s="657"/>
      <c r="F176" s="657"/>
    </row>
    <row r="177" spans="1:6">
      <c r="A177" s="657"/>
      <c r="B177" s="657"/>
      <c r="C177" s="657"/>
      <c r="D177" s="657"/>
      <c r="E177" s="657"/>
      <c r="F177" s="657"/>
    </row>
    <row r="178" spans="1:6">
      <c r="A178" s="657"/>
      <c r="B178" s="657"/>
      <c r="C178" s="657"/>
      <c r="D178" s="657"/>
      <c r="E178" s="657"/>
      <c r="F178" s="657"/>
    </row>
    <row r="179" spans="1:6">
      <c r="A179" s="657"/>
      <c r="B179" s="657"/>
      <c r="C179" s="657"/>
      <c r="D179" s="657"/>
      <c r="E179" s="657"/>
      <c r="F179" s="657"/>
    </row>
    <row r="180" spans="1:6">
      <c r="A180" s="657"/>
      <c r="B180" s="657"/>
      <c r="C180" s="657"/>
      <c r="D180" s="657"/>
      <c r="E180" s="657"/>
      <c r="F180" s="657"/>
    </row>
    <row r="181" spans="1:6">
      <c r="A181" s="657"/>
      <c r="B181" s="657"/>
      <c r="C181" s="657"/>
      <c r="D181" s="657"/>
      <c r="E181" s="657"/>
      <c r="F181" s="657"/>
    </row>
    <row r="182" spans="1:6">
      <c r="A182" s="657"/>
      <c r="B182" s="657"/>
      <c r="C182" s="657"/>
      <c r="D182" s="657"/>
      <c r="E182" s="657"/>
      <c r="F182" s="657"/>
    </row>
    <row r="183" spans="1:6">
      <c r="A183" s="657"/>
      <c r="B183" s="657"/>
      <c r="C183" s="657"/>
      <c r="D183" s="657"/>
      <c r="E183" s="657"/>
      <c r="F183" s="657"/>
    </row>
    <row r="184" spans="1:6">
      <c r="A184" s="657"/>
      <c r="B184" s="657"/>
      <c r="C184" s="657"/>
      <c r="D184" s="657"/>
      <c r="E184" s="657"/>
      <c r="F184" s="657"/>
    </row>
    <row r="185" spans="1:6">
      <c r="A185" s="657"/>
      <c r="B185" s="657"/>
      <c r="C185" s="657"/>
      <c r="D185" s="657"/>
      <c r="E185" s="657"/>
      <c r="F185" s="657"/>
    </row>
    <row r="186" spans="1:6">
      <c r="A186" s="657"/>
      <c r="B186" s="657"/>
      <c r="C186" s="657"/>
      <c r="D186" s="657"/>
      <c r="E186" s="657"/>
      <c r="F186" s="657"/>
    </row>
    <row r="187" spans="1:6">
      <c r="A187" s="657"/>
      <c r="B187" s="657"/>
      <c r="C187" s="657"/>
      <c r="D187" s="657"/>
      <c r="E187" s="657"/>
      <c r="F187" s="657"/>
    </row>
    <row r="188" spans="1:6">
      <c r="A188" s="657"/>
      <c r="B188" s="657"/>
      <c r="C188" s="657"/>
      <c r="D188" s="657"/>
      <c r="E188" s="657"/>
      <c r="F188" s="657"/>
    </row>
    <row r="189" spans="1:6">
      <c r="A189" s="657"/>
      <c r="B189" s="657"/>
      <c r="C189" s="657"/>
      <c r="D189" s="657"/>
      <c r="E189" s="657"/>
      <c r="F189" s="657"/>
    </row>
    <row r="190" spans="1:6">
      <c r="A190" s="657"/>
      <c r="B190" s="657"/>
      <c r="C190" s="657"/>
      <c r="D190" s="657"/>
      <c r="E190" s="657"/>
      <c r="F190" s="657"/>
    </row>
    <row r="191" spans="1:6">
      <c r="A191" s="657"/>
      <c r="B191" s="657"/>
      <c r="C191" s="657"/>
      <c r="D191" s="657"/>
      <c r="E191" s="657"/>
      <c r="F191" s="657"/>
    </row>
    <row r="192" spans="1:6">
      <c r="A192" s="657"/>
      <c r="B192" s="657"/>
      <c r="C192" s="657"/>
      <c r="D192" s="657"/>
      <c r="E192" s="657"/>
      <c r="F192" s="657"/>
    </row>
    <row r="193" spans="1:6">
      <c r="A193" s="657"/>
      <c r="B193" s="657"/>
      <c r="C193" s="657"/>
      <c r="D193" s="657"/>
      <c r="E193" s="657"/>
      <c r="F193" s="657"/>
    </row>
    <row r="194" spans="1:6">
      <c r="A194" s="657"/>
      <c r="B194" s="657"/>
      <c r="C194" s="657"/>
      <c r="D194" s="657"/>
      <c r="E194" s="657"/>
      <c r="F194" s="657"/>
    </row>
    <row r="195" spans="1:6">
      <c r="A195" s="657"/>
      <c r="B195" s="657"/>
      <c r="C195" s="657"/>
      <c r="D195" s="657"/>
      <c r="E195" s="657"/>
      <c r="F195" s="657"/>
    </row>
    <row r="196" spans="1:6">
      <c r="A196" s="657"/>
      <c r="B196" s="657"/>
      <c r="C196" s="657"/>
      <c r="D196" s="657"/>
      <c r="E196" s="657"/>
      <c r="F196" s="657"/>
    </row>
    <row r="197" spans="1:6">
      <c r="A197" s="657"/>
      <c r="B197" s="657"/>
      <c r="C197" s="657"/>
      <c r="D197" s="657"/>
      <c r="E197" s="657"/>
      <c r="F197" s="657"/>
    </row>
    <row r="198" spans="1:6">
      <c r="A198" s="657"/>
      <c r="B198" s="657"/>
      <c r="C198" s="657"/>
      <c r="D198" s="657"/>
      <c r="E198" s="657"/>
      <c r="F198" s="657"/>
    </row>
    <row r="199" spans="1:6">
      <c r="A199" s="657"/>
      <c r="B199" s="657"/>
      <c r="C199" s="657"/>
      <c r="D199" s="657"/>
      <c r="E199" s="657"/>
      <c r="F199" s="657"/>
    </row>
    <row r="200" spans="1:6">
      <c r="A200" s="657"/>
      <c r="B200" s="657"/>
      <c r="C200" s="657"/>
      <c r="D200" s="657"/>
      <c r="E200" s="657"/>
      <c r="F200" s="657"/>
    </row>
    <row r="201" spans="1:6">
      <c r="A201" s="657"/>
      <c r="B201" s="657"/>
      <c r="C201" s="657"/>
      <c r="D201" s="657"/>
      <c r="E201" s="657"/>
      <c r="F201" s="657"/>
    </row>
    <row r="202" spans="1:6">
      <c r="A202" s="657"/>
      <c r="B202" s="657"/>
      <c r="C202" s="657"/>
      <c r="D202" s="657"/>
      <c r="E202" s="657"/>
      <c r="F202" s="657"/>
    </row>
    <row r="203" spans="1:6">
      <c r="A203" s="657"/>
      <c r="B203" s="657"/>
      <c r="C203" s="657"/>
      <c r="D203" s="657"/>
      <c r="E203" s="657"/>
      <c r="F203" s="657"/>
    </row>
    <row r="204" spans="1:6">
      <c r="A204" s="657"/>
      <c r="B204" s="657"/>
      <c r="C204" s="657"/>
      <c r="D204" s="657"/>
      <c r="E204" s="657"/>
      <c r="F204" s="657"/>
    </row>
    <row r="205" spans="1:6">
      <c r="A205" s="657"/>
      <c r="B205" s="657"/>
      <c r="C205" s="657"/>
      <c r="D205" s="657"/>
      <c r="E205" s="657"/>
      <c r="F205" s="657"/>
    </row>
    <row r="206" spans="1:6">
      <c r="A206" s="657"/>
      <c r="B206" s="657"/>
      <c r="C206" s="657"/>
      <c r="D206" s="657"/>
      <c r="E206" s="657"/>
      <c r="F206" s="657"/>
    </row>
    <row r="207" spans="1:6">
      <c r="A207" s="657"/>
      <c r="B207" s="657"/>
      <c r="C207" s="657"/>
      <c r="D207" s="657"/>
      <c r="E207" s="657"/>
      <c r="F207" s="657"/>
    </row>
    <row r="208" spans="1:6">
      <c r="A208" s="657"/>
      <c r="B208" s="657"/>
      <c r="C208" s="657"/>
      <c r="D208" s="657"/>
      <c r="E208" s="657"/>
      <c r="F208" s="657"/>
    </row>
    <row r="209" spans="1:6">
      <c r="A209" s="657"/>
      <c r="B209" s="657"/>
      <c r="C209" s="657"/>
      <c r="D209" s="657"/>
      <c r="E209" s="657"/>
      <c r="F209" s="657"/>
    </row>
    <row r="210" spans="1:6">
      <c r="A210" s="657"/>
      <c r="B210" s="657"/>
      <c r="C210" s="657"/>
      <c r="D210" s="657"/>
      <c r="E210" s="657"/>
      <c r="F210" s="657"/>
    </row>
    <row r="211" spans="1:6">
      <c r="A211" s="657"/>
      <c r="B211" s="657"/>
      <c r="C211" s="657"/>
      <c r="D211" s="657"/>
      <c r="E211" s="657"/>
      <c r="F211" s="657"/>
    </row>
    <row r="212" spans="1:6">
      <c r="A212" s="657"/>
      <c r="B212" s="657"/>
      <c r="C212" s="657"/>
      <c r="D212" s="657"/>
      <c r="E212" s="657"/>
      <c r="F212" s="657"/>
    </row>
    <row r="213" spans="1:6">
      <c r="A213" s="657"/>
      <c r="B213" s="657"/>
      <c r="C213" s="657"/>
      <c r="D213" s="657"/>
      <c r="E213" s="657"/>
      <c r="F213" s="657"/>
    </row>
    <row r="214" spans="1:6">
      <c r="A214" s="657"/>
      <c r="B214" s="657"/>
      <c r="C214" s="657"/>
      <c r="D214" s="657"/>
      <c r="E214" s="657"/>
      <c r="F214" s="657"/>
    </row>
    <row r="215" spans="1:6">
      <c r="A215" s="657"/>
      <c r="B215" s="657"/>
      <c r="C215" s="657"/>
      <c r="D215" s="657"/>
      <c r="E215" s="657"/>
      <c r="F215" s="657"/>
    </row>
    <row r="216" spans="1:6">
      <c r="A216" s="657"/>
      <c r="B216" s="657"/>
      <c r="C216" s="657"/>
      <c r="D216" s="657"/>
      <c r="E216" s="657"/>
      <c r="F216" s="657"/>
    </row>
    <row r="217" spans="1:6">
      <c r="A217" s="657"/>
      <c r="B217" s="657"/>
      <c r="C217" s="657"/>
      <c r="D217" s="657"/>
      <c r="E217" s="657"/>
      <c r="F217" s="657"/>
    </row>
    <row r="218" spans="1:6">
      <c r="A218" s="657"/>
      <c r="B218" s="657"/>
      <c r="C218" s="657"/>
      <c r="D218" s="657"/>
      <c r="E218" s="657"/>
      <c r="F218" s="657"/>
    </row>
    <row r="219" spans="1:6">
      <c r="A219" s="657"/>
      <c r="B219" s="657"/>
      <c r="C219" s="657"/>
      <c r="D219" s="657"/>
      <c r="E219" s="657"/>
      <c r="F219" s="657"/>
    </row>
    <row r="220" spans="1:6">
      <c r="A220" s="657"/>
      <c r="B220" s="657"/>
      <c r="C220" s="657"/>
      <c r="D220" s="657"/>
      <c r="E220" s="657"/>
      <c r="F220" s="657"/>
    </row>
    <row r="221" spans="1:6">
      <c r="A221" s="657"/>
      <c r="B221" s="657"/>
      <c r="C221" s="657"/>
      <c r="D221" s="657"/>
      <c r="E221" s="657"/>
      <c r="F221" s="657"/>
    </row>
    <row r="222" spans="1:6">
      <c r="A222" s="657"/>
      <c r="B222" s="657"/>
      <c r="C222" s="657"/>
      <c r="D222" s="657"/>
      <c r="E222" s="657"/>
      <c r="F222" s="657"/>
    </row>
    <row r="223" spans="1:6">
      <c r="A223" s="657"/>
      <c r="B223" s="657"/>
      <c r="C223" s="657"/>
      <c r="D223" s="657"/>
      <c r="E223" s="657"/>
      <c r="F223" s="657"/>
    </row>
    <row r="224" spans="1:6">
      <c r="A224" s="657"/>
      <c r="B224" s="657"/>
      <c r="C224" s="657"/>
      <c r="D224" s="657"/>
      <c r="E224" s="657"/>
      <c r="F224" s="657"/>
    </row>
    <row r="225" spans="1:6">
      <c r="A225" s="657"/>
      <c r="B225" s="657"/>
      <c r="C225" s="657"/>
      <c r="D225" s="657"/>
      <c r="E225" s="657"/>
      <c r="F225" s="657"/>
    </row>
    <row r="226" spans="1:6">
      <c r="A226" s="657"/>
      <c r="B226" s="657"/>
      <c r="C226" s="657"/>
      <c r="D226" s="657"/>
      <c r="E226" s="657"/>
      <c r="F226" s="657"/>
    </row>
    <row r="227" spans="1:6">
      <c r="A227" s="657"/>
      <c r="B227" s="657"/>
      <c r="C227" s="657"/>
      <c r="D227" s="657"/>
      <c r="E227" s="657"/>
      <c r="F227" s="657"/>
    </row>
    <row r="228" spans="1:6">
      <c r="A228" s="657"/>
      <c r="B228" s="657"/>
      <c r="C228" s="657"/>
      <c r="D228" s="657"/>
      <c r="E228" s="657"/>
      <c r="F228" s="657"/>
    </row>
    <row r="229" spans="1:6">
      <c r="A229" s="657"/>
      <c r="B229" s="657"/>
      <c r="C229" s="657"/>
      <c r="D229" s="657"/>
      <c r="E229" s="657"/>
      <c r="F229" s="657"/>
    </row>
    <row r="230" spans="1:6">
      <c r="A230" s="657"/>
      <c r="B230" s="657"/>
      <c r="C230" s="657"/>
      <c r="D230" s="657"/>
      <c r="E230" s="657"/>
      <c r="F230" s="657"/>
    </row>
    <row r="231" spans="1:6">
      <c r="A231" s="657"/>
      <c r="B231" s="657"/>
      <c r="C231" s="657"/>
      <c r="D231" s="657"/>
      <c r="E231" s="657"/>
      <c r="F231" s="657"/>
    </row>
    <row r="232" spans="1:6">
      <c r="A232" s="657"/>
      <c r="B232" s="657"/>
      <c r="C232" s="657"/>
      <c r="D232" s="657"/>
      <c r="E232" s="657"/>
      <c r="F232" s="657"/>
    </row>
    <row r="233" spans="1:6">
      <c r="A233" s="657"/>
      <c r="B233" s="657"/>
      <c r="C233" s="657"/>
      <c r="D233" s="657"/>
      <c r="E233" s="657"/>
      <c r="F233" s="657"/>
    </row>
    <row r="234" spans="1:6">
      <c r="A234" s="657"/>
      <c r="B234" s="657"/>
      <c r="C234" s="657"/>
      <c r="D234" s="657"/>
      <c r="E234" s="657"/>
      <c r="F234" s="657"/>
    </row>
    <row r="235" spans="1:6">
      <c r="A235" s="657"/>
      <c r="B235" s="657"/>
      <c r="C235" s="657"/>
      <c r="D235" s="657"/>
      <c r="E235" s="657"/>
      <c r="F235" s="657"/>
    </row>
    <row r="236" spans="1:6">
      <c r="A236" s="657"/>
      <c r="B236" s="657"/>
      <c r="C236" s="657"/>
      <c r="D236" s="657"/>
      <c r="E236" s="657"/>
      <c r="F236" s="657"/>
    </row>
    <row r="237" spans="1:6">
      <c r="A237" s="657"/>
      <c r="B237" s="657"/>
      <c r="C237" s="657"/>
      <c r="D237" s="657"/>
      <c r="E237" s="657"/>
      <c r="F237" s="657"/>
    </row>
    <row r="238" spans="1:6">
      <c r="A238" s="657"/>
      <c r="B238" s="657"/>
      <c r="C238" s="657"/>
      <c r="D238" s="657"/>
      <c r="E238" s="657"/>
      <c r="F238" s="657"/>
    </row>
    <row r="239" spans="1:6">
      <c r="A239" s="657"/>
      <c r="B239" s="657"/>
      <c r="C239" s="657"/>
      <c r="D239" s="657"/>
      <c r="E239" s="657"/>
      <c r="F239" s="657"/>
    </row>
    <row r="240" spans="1:6">
      <c r="A240" s="657"/>
      <c r="B240" s="657"/>
      <c r="C240" s="657"/>
      <c r="D240" s="657"/>
      <c r="E240" s="657"/>
      <c r="F240" s="657"/>
    </row>
    <row r="241" spans="1:6">
      <c r="A241" s="657"/>
      <c r="B241" s="657"/>
      <c r="C241" s="657"/>
      <c r="D241" s="657"/>
      <c r="E241" s="657"/>
      <c r="F241" s="657"/>
    </row>
    <row r="242" spans="1:6">
      <c r="A242" s="657"/>
      <c r="B242" s="657"/>
      <c r="C242" s="657"/>
      <c r="D242" s="657"/>
      <c r="E242" s="657"/>
      <c r="F242" s="657"/>
    </row>
    <row r="243" spans="1:6">
      <c r="A243" s="657"/>
      <c r="B243" s="657"/>
      <c r="C243" s="657"/>
      <c r="D243" s="657"/>
      <c r="E243" s="657"/>
      <c r="F243" s="657"/>
    </row>
    <row r="244" spans="1:6">
      <c r="A244" s="657"/>
      <c r="B244" s="657"/>
      <c r="C244" s="657"/>
      <c r="D244" s="657"/>
      <c r="E244" s="657"/>
      <c r="F244" s="657"/>
    </row>
    <row r="245" spans="1:6">
      <c r="A245" s="657"/>
      <c r="B245" s="657"/>
      <c r="C245" s="657"/>
      <c r="D245" s="657"/>
      <c r="E245" s="657"/>
      <c r="F245" s="657"/>
    </row>
    <row r="246" spans="1:6">
      <c r="A246" s="657"/>
      <c r="B246" s="657"/>
      <c r="C246" s="657"/>
      <c r="D246" s="657"/>
      <c r="E246" s="657"/>
      <c r="F246" s="657"/>
    </row>
    <row r="247" spans="1:6">
      <c r="A247" s="657"/>
      <c r="B247" s="657"/>
      <c r="C247" s="657"/>
      <c r="D247" s="657"/>
      <c r="E247" s="657"/>
      <c r="F247" s="657"/>
    </row>
    <row r="248" spans="1:6">
      <c r="A248" s="657"/>
      <c r="B248" s="657"/>
      <c r="C248" s="657"/>
      <c r="D248" s="657"/>
      <c r="E248" s="657"/>
      <c r="F248" s="657"/>
    </row>
    <row r="249" spans="1:6">
      <c r="A249" s="657"/>
      <c r="B249" s="657"/>
      <c r="C249" s="657"/>
      <c r="D249" s="657"/>
      <c r="E249" s="657"/>
      <c r="F249" s="657"/>
    </row>
    <row r="250" spans="1:6">
      <c r="A250" s="657"/>
      <c r="B250" s="657"/>
      <c r="C250" s="657"/>
      <c r="D250" s="657"/>
      <c r="E250" s="657"/>
      <c r="F250" s="657"/>
    </row>
    <row r="251" spans="1:6">
      <c r="A251" s="657"/>
      <c r="B251" s="657"/>
      <c r="C251" s="657"/>
      <c r="D251" s="657"/>
      <c r="E251" s="657"/>
      <c r="F251" s="657"/>
    </row>
    <row r="252" spans="1:6">
      <c r="A252" s="657"/>
      <c r="B252" s="657"/>
      <c r="C252" s="657"/>
      <c r="D252" s="657"/>
      <c r="E252" s="657"/>
      <c r="F252" s="657"/>
    </row>
    <row r="253" spans="1:6">
      <c r="A253" s="657"/>
      <c r="B253" s="657"/>
      <c r="C253" s="657"/>
      <c r="D253" s="657"/>
      <c r="E253" s="657"/>
      <c r="F253" s="657"/>
    </row>
    <row r="254" spans="1:6">
      <c r="A254" s="657"/>
      <c r="B254" s="657"/>
      <c r="C254" s="657"/>
      <c r="D254" s="657"/>
      <c r="E254" s="657"/>
      <c r="F254" s="657"/>
    </row>
    <row r="255" spans="1:6">
      <c r="A255" s="657"/>
      <c r="B255" s="657"/>
      <c r="C255" s="657"/>
      <c r="D255" s="657"/>
      <c r="E255" s="657"/>
      <c r="F255" s="657"/>
    </row>
    <row r="256" spans="1:6">
      <c r="A256" s="657"/>
      <c r="B256" s="657"/>
      <c r="C256" s="657"/>
      <c r="D256" s="657"/>
      <c r="E256" s="657"/>
      <c r="F256" s="657"/>
    </row>
    <row r="257" spans="1:6">
      <c r="A257" s="657"/>
      <c r="B257" s="657"/>
      <c r="C257" s="657"/>
      <c r="D257" s="657"/>
      <c r="E257" s="657"/>
      <c r="F257" s="657"/>
    </row>
    <row r="258" spans="1:6">
      <c r="A258" s="657"/>
      <c r="B258" s="657"/>
      <c r="C258" s="657"/>
      <c r="D258" s="657"/>
      <c r="E258" s="657"/>
      <c r="F258" s="657"/>
    </row>
    <row r="259" spans="1:6">
      <c r="A259" s="657"/>
      <c r="B259" s="657"/>
      <c r="C259" s="657"/>
      <c r="D259" s="657"/>
      <c r="E259" s="657"/>
      <c r="F259" s="657"/>
    </row>
    <row r="260" spans="1:6">
      <c r="A260" s="657"/>
      <c r="B260" s="657"/>
      <c r="C260" s="657"/>
      <c r="D260" s="657"/>
      <c r="E260" s="657"/>
      <c r="F260" s="657"/>
    </row>
    <row r="261" spans="1:6">
      <c r="A261" s="657"/>
      <c r="B261" s="657"/>
      <c r="C261" s="657"/>
      <c r="D261" s="657"/>
      <c r="E261" s="657"/>
      <c r="F261" s="657"/>
    </row>
    <row r="262" spans="1:6">
      <c r="A262" s="657"/>
      <c r="B262" s="657"/>
      <c r="C262" s="657"/>
      <c r="D262" s="657"/>
      <c r="E262" s="657"/>
      <c r="F262" s="657"/>
    </row>
    <row r="263" spans="1:6">
      <c r="A263" s="657"/>
      <c r="B263" s="657"/>
      <c r="C263" s="657"/>
      <c r="D263" s="657"/>
      <c r="E263" s="657"/>
      <c r="F263" s="657"/>
    </row>
    <row r="264" spans="1:6">
      <c r="A264" s="657"/>
      <c r="B264" s="657"/>
      <c r="C264" s="657"/>
      <c r="D264" s="657"/>
      <c r="E264" s="657"/>
      <c r="F264" s="657"/>
    </row>
    <row r="265" spans="1:6">
      <c r="A265" s="657"/>
      <c r="B265" s="657"/>
      <c r="C265" s="657"/>
      <c r="D265" s="657"/>
      <c r="E265" s="657"/>
      <c r="F265" s="657"/>
    </row>
    <row r="266" spans="1:6">
      <c r="A266" s="657"/>
      <c r="B266" s="657"/>
      <c r="C266" s="657"/>
      <c r="D266" s="657"/>
      <c r="E266" s="657"/>
      <c r="F266" s="657"/>
    </row>
    <row r="267" spans="1:6">
      <c r="A267" s="657"/>
      <c r="B267" s="657"/>
      <c r="C267" s="657"/>
      <c r="D267" s="657"/>
      <c r="E267" s="657"/>
      <c r="F267" s="657"/>
    </row>
    <row r="268" spans="1:6">
      <c r="A268" s="657"/>
      <c r="B268" s="657"/>
      <c r="C268" s="657"/>
      <c r="D268" s="657"/>
      <c r="E268" s="657"/>
      <c r="F268" s="657"/>
    </row>
    <row r="269" spans="1:6">
      <c r="A269" s="657"/>
      <c r="B269" s="657"/>
      <c r="C269" s="657"/>
      <c r="D269" s="657"/>
      <c r="E269" s="657"/>
      <c r="F269" s="657"/>
    </row>
    <row r="270" spans="1:6">
      <c r="A270" s="657"/>
      <c r="B270" s="657"/>
      <c r="C270" s="657"/>
      <c r="D270" s="657"/>
      <c r="E270" s="657"/>
      <c r="F270" s="657"/>
    </row>
    <row r="271" spans="1:6">
      <c r="A271" s="657"/>
      <c r="B271" s="657"/>
      <c r="C271" s="657"/>
      <c r="D271" s="657"/>
      <c r="E271" s="657"/>
      <c r="F271" s="657"/>
    </row>
    <row r="272" spans="1:6">
      <c r="A272" s="657"/>
      <c r="B272" s="657"/>
      <c r="C272" s="657"/>
      <c r="D272" s="657"/>
      <c r="E272" s="657"/>
      <c r="F272" s="657"/>
    </row>
    <row r="273" spans="1:6">
      <c r="A273" s="657"/>
      <c r="B273" s="657"/>
      <c r="C273" s="657"/>
      <c r="D273" s="657"/>
      <c r="E273" s="657"/>
      <c r="F273" s="657"/>
    </row>
    <row r="274" spans="1:6">
      <c r="A274" s="657"/>
      <c r="B274" s="657"/>
      <c r="C274" s="657"/>
      <c r="D274" s="657"/>
      <c r="E274" s="657"/>
      <c r="F274" s="657"/>
    </row>
    <row r="275" spans="1:6">
      <c r="A275" s="657"/>
      <c r="B275" s="657"/>
      <c r="C275" s="657"/>
      <c r="D275" s="657"/>
      <c r="E275" s="657"/>
      <c r="F275" s="657"/>
    </row>
    <row r="276" spans="1:6">
      <c r="A276" s="657"/>
      <c r="B276" s="657"/>
      <c r="C276" s="657"/>
      <c r="D276" s="657"/>
      <c r="E276" s="657"/>
      <c r="F276" s="657"/>
    </row>
    <row r="277" spans="1:6">
      <c r="A277" s="657"/>
      <c r="B277" s="657"/>
      <c r="C277" s="657"/>
      <c r="D277" s="657"/>
      <c r="E277" s="657"/>
      <c r="F277" s="657"/>
    </row>
    <row r="278" spans="1:6">
      <c r="A278" s="657"/>
      <c r="B278" s="657"/>
      <c r="C278" s="657"/>
      <c r="D278" s="657"/>
      <c r="E278" s="657"/>
      <c r="F278" s="657"/>
    </row>
    <row r="279" spans="1:6">
      <c r="A279" s="657"/>
      <c r="B279" s="657"/>
      <c r="C279" s="657"/>
      <c r="D279" s="657"/>
      <c r="E279" s="657"/>
      <c r="F279" s="657"/>
    </row>
    <row r="280" spans="1:6">
      <c r="A280" s="657"/>
      <c r="B280" s="657"/>
      <c r="C280" s="657"/>
      <c r="D280" s="657"/>
      <c r="E280" s="657"/>
      <c r="F280" s="657"/>
    </row>
    <row r="281" spans="1:6">
      <c r="A281" s="657"/>
      <c r="B281" s="657"/>
      <c r="C281" s="657"/>
      <c r="D281" s="657"/>
      <c r="E281" s="657"/>
      <c r="F281" s="657"/>
    </row>
    <row r="282" spans="1:6">
      <c r="A282" s="657"/>
      <c r="B282" s="657"/>
      <c r="C282" s="657"/>
      <c r="D282" s="657"/>
      <c r="E282" s="657"/>
      <c r="F282" s="657"/>
    </row>
    <row r="283" spans="1:6">
      <c r="A283" s="657"/>
      <c r="B283" s="657"/>
      <c r="C283" s="657"/>
      <c r="D283" s="657"/>
      <c r="E283" s="657"/>
      <c r="F283" s="657"/>
    </row>
    <row r="284" spans="1:6">
      <c r="A284" s="657"/>
      <c r="B284" s="657"/>
      <c r="C284" s="657"/>
      <c r="D284" s="657"/>
      <c r="E284" s="657"/>
      <c r="F284" s="657"/>
    </row>
    <row r="285" spans="1:6">
      <c r="A285" s="657"/>
      <c r="B285" s="657"/>
      <c r="C285" s="657"/>
      <c r="D285" s="657"/>
      <c r="E285" s="657"/>
      <c r="F285" s="657"/>
    </row>
    <row r="286" spans="1:6">
      <c r="A286" s="657"/>
      <c r="B286" s="657"/>
      <c r="C286" s="657"/>
      <c r="D286" s="657"/>
      <c r="E286" s="657"/>
      <c r="F286" s="657"/>
    </row>
    <row r="287" spans="1:6">
      <c r="A287" s="657"/>
      <c r="B287" s="657"/>
      <c r="C287" s="657"/>
      <c r="D287" s="657"/>
      <c r="E287" s="657"/>
      <c r="F287" s="657"/>
    </row>
    <row r="288" spans="1:6">
      <c r="A288" s="657"/>
      <c r="B288" s="657"/>
      <c r="C288" s="657"/>
      <c r="D288" s="657"/>
      <c r="E288" s="657"/>
      <c r="F288" s="657"/>
    </row>
    <row r="289" spans="1:6">
      <c r="A289" s="657"/>
      <c r="B289" s="657"/>
      <c r="C289" s="657"/>
      <c r="D289" s="657"/>
      <c r="E289" s="657"/>
      <c r="F289" s="657"/>
    </row>
    <row r="290" spans="1:6">
      <c r="A290" s="657"/>
      <c r="B290" s="657"/>
      <c r="C290" s="657"/>
      <c r="D290" s="657"/>
      <c r="E290" s="657"/>
      <c r="F290" s="657"/>
    </row>
    <row r="291" spans="1:6">
      <c r="A291" s="657"/>
      <c r="B291" s="657"/>
      <c r="C291" s="657"/>
      <c r="D291" s="657"/>
      <c r="E291" s="657"/>
      <c r="F291" s="657"/>
    </row>
    <row r="292" spans="1:6">
      <c r="A292" s="657"/>
      <c r="B292" s="657"/>
      <c r="C292" s="657"/>
      <c r="D292" s="657"/>
      <c r="E292" s="657"/>
      <c r="F292" s="657"/>
    </row>
    <row r="293" spans="1:6">
      <c r="A293" s="657"/>
      <c r="B293" s="657"/>
      <c r="C293" s="657"/>
      <c r="D293" s="657"/>
      <c r="E293" s="657"/>
      <c r="F293" s="657"/>
    </row>
    <row r="294" spans="1:6">
      <c r="A294" s="657"/>
      <c r="B294" s="657"/>
      <c r="C294" s="657"/>
      <c r="D294" s="657"/>
      <c r="E294" s="657"/>
      <c r="F294" s="657"/>
    </row>
    <row r="295" spans="1:6">
      <c r="A295" s="657"/>
      <c r="B295" s="657"/>
      <c r="C295" s="657"/>
      <c r="D295" s="657"/>
      <c r="E295" s="657"/>
      <c r="F295" s="657"/>
    </row>
    <row r="296" spans="1:6">
      <c r="A296" s="657"/>
      <c r="B296" s="657"/>
      <c r="C296" s="657"/>
      <c r="D296" s="657"/>
      <c r="E296" s="657"/>
      <c r="F296" s="657"/>
    </row>
    <row r="297" spans="1:6">
      <c r="A297" s="657"/>
      <c r="B297" s="657"/>
      <c r="C297" s="657"/>
      <c r="D297" s="657"/>
      <c r="E297" s="657"/>
      <c r="F297" s="657"/>
    </row>
    <row r="298" spans="1:6">
      <c r="A298" s="657"/>
      <c r="B298" s="657"/>
      <c r="C298" s="657"/>
      <c r="D298" s="657"/>
      <c r="E298" s="657"/>
      <c r="F298" s="657"/>
    </row>
    <row r="299" spans="1:6">
      <c r="A299" s="657"/>
      <c r="B299" s="657"/>
      <c r="C299" s="657"/>
      <c r="D299" s="657"/>
      <c r="E299" s="657"/>
      <c r="F299" s="657"/>
    </row>
    <row r="300" spans="1:6">
      <c r="A300" s="657"/>
      <c r="B300" s="657"/>
      <c r="C300" s="657"/>
      <c r="D300" s="657"/>
      <c r="E300" s="657"/>
      <c r="F300" s="657"/>
    </row>
    <row r="301" spans="1:6">
      <c r="A301" s="657"/>
      <c r="B301" s="657"/>
      <c r="C301" s="657"/>
      <c r="D301" s="657"/>
      <c r="E301" s="657"/>
      <c r="F301" s="657"/>
    </row>
    <row r="302" spans="1:6">
      <c r="A302" s="657"/>
      <c r="B302" s="657"/>
      <c r="C302" s="657"/>
      <c r="D302" s="657"/>
      <c r="E302" s="657"/>
      <c r="F302" s="657"/>
    </row>
    <row r="303" spans="1:6">
      <c r="A303" s="657"/>
      <c r="B303" s="657"/>
      <c r="C303" s="657"/>
      <c r="D303" s="657"/>
      <c r="E303" s="657"/>
      <c r="F303" s="657"/>
    </row>
    <row r="304" spans="1:6">
      <c r="A304" s="657"/>
      <c r="B304" s="657"/>
      <c r="C304" s="657"/>
      <c r="D304" s="657"/>
      <c r="E304" s="657"/>
      <c r="F304" s="657"/>
    </row>
    <row r="305" spans="1:6">
      <c r="A305" s="657"/>
      <c r="B305" s="657"/>
      <c r="C305" s="657"/>
      <c r="D305" s="657"/>
      <c r="E305" s="657"/>
      <c r="F305" s="657"/>
    </row>
    <row r="306" spans="1:6">
      <c r="A306" s="657"/>
      <c r="B306" s="657"/>
      <c r="C306" s="657"/>
      <c r="D306" s="657"/>
      <c r="E306" s="657"/>
      <c r="F306" s="657"/>
    </row>
    <row r="307" spans="1:6">
      <c r="A307" s="657"/>
      <c r="B307" s="657"/>
      <c r="C307" s="657"/>
      <c r="D307" s="657"/>
      <c r="E307" s="657"/>
      <c r="F307" s="657"/>
    </row>
    <row r="308" spans="1:6">
      <c r="A308" s="657"/>
      <c r="B308" s="657"/>
      <c r="C308" s="657"/>
      <c r="D308" s="657"/>
      <c r="E308" s="657"/>
      <c r="F308" s="657"/>
    </row>
    <row r="309" spans="1:6">
      <c r="A309" s="657"/>
      <c r="B309" s="657"/>
      <c r="C309" s="657"/>
      <c r="D309" s="657"/>
      <c r="E309" s="657"/>
      <c r="F309" s="657"/>
    </row>
    <row r="310" spans="1:6">
      <c r="A310" s="657"/>
      <c r="B310" s="657"/>
      <c r="C310" s="657"/>
      <c r="D310" s="657"/>
      <c r="E310" s="657"/>
      <c r="F310" s="657"/>
    </row>
    <row r="311" spans="1:6">
      <c r="A311" s="657"/>
      <c r="B311" s="657"/>
      <c r="C311" s="657"/>
      <c r="D311" s="657"/>
      <c r="E311" s="657"/>
      <c r="F311" s="657"/>
    </row>
    <row r="312" spans="1:6">
      <c r="A312" s="657"/>
      <c r="B312" s="657"/>
      <c r="C312" s="657"/>
      <c r="D312" s="657"/>
      <c r="E312" s="657"/>
      <c r="F312" s="657"/>
    </row>
    <row r="313" spans="1:6">
      <c r="A313" s="657"/>
      <c r="B313" s="657"/>
      <c r="C313" s="657"/>
      <c r="D313" s="657"/>
      <c r="E313" s="657"/>
      <c r="F313" s="657"/>
    </row>
    <row r="314" spans="1:6">
      <c r="A314" s="657"/>
      <c r="B314" s="657"/>
      <c r="C314" s="657"/>
      <c r="D314" s="657"/>
      <c r="E314" s="657"/>
      <c r="F314" s="657"/>
    </row>
    <row r="315" spans="1:6">
      <c r="A315" s="657"/>
      <c r="B315" s="657"/>
      <c r="C315" s="657"/>
      <c r="D315" s="657"/>
      <c r="E315" s="657"/>
      <c r="F315" s="657"/>
    </row>
    <row r="316" spans="1:6">
      <c r="A316" s="657"/>
      <c r="B316" s="657"/>
      <c r="C316" s="657"/>
      <c r="D316" s="657"/>
      <c r="E316" s="657"/>
      <c r="F316" s="657"/>
    </row>
    <row r="317" spans="1:6">
      <c r="A317" s="657"/>
      <c r="B317" s="657"/>
      <c r="C317" s="657"/>
      <c r="D317" s="657"/>
      <c r="E317" s="657"/>
      <c r="F317" s="657"/>
    </row>
    <row r="318" spans="1:6">
      <c r="A318" s="657"/>
      <c r="B318" s="657"/>
      <c r="C318" s="657"/>
      <c r="D318" s="657"/>
      <c r="E318" s="657"/>
      <c r="F318" s="657"/>
    </row>
    <row r="319" spans="1:6">
      <c r="A319" s="657"/>
      <c r="B319" s="657"/>
      <c r="C319" s="657"/>
      <c r="D319" s="657"/>
      <c r="E319" s="657"/>
      <c r="F319" s="657"/>
    </row>
    <row r="320" spans="1:6">
      <c r="A320" s="657"/>
      <c r="B320" s="657"/>
      <c r="C320" s="657"/>
      <c r="D320" s="657"/>
      <c r="E320" s="657"/>
      <c r="F320" s="657"/>
    </row>
    <row r="321" spans="1:6">
      <c r="A321" s="657"/>
      <c r="B321" s="657"/>
      <c r="C321" s="657"/>
      <c r="D321" s="657"/>
      <c r="E321" s="657"/>
      <c r="F321" s="657"/>
    </row>
    <row r="322" spans="1:6">
      <c r="A322" s="657"/>
      <c r="B322" s="657"/>
      <c r="C322" s="657"/>
      <c r="D322" s="657"/>
      <c r="E322" s="657"/>
      <c r="F322" s="657"/>
    </row>
    <row r="323" spans="1:6">
      <c r="A323" s="657"/>
      <c r="B323" s="657"/>
      <c r="C323" s="657"/>
      <c r="D323" s="657"/>
      <c r="E323" s="657"/>
      <c r="F323" s="657"/>
    </row>
    <row r="324" spans="1:6">
      <c r="A324" s="657"/>
      <c r="B324" s="657"/>
      <c r="C324" s="657"/>
      <c r="D324" s="657"/>
      <c r="E324" s="657"/>
      <c r="F324" s="657"/>
    </row>
    <row r="325" spans="1:6">
      <c r="A325" s="657"/>
      <c r="B325" s="657"/>
      <c r="C325" s="657"/>
      <c r="D325" s="657"/>
      <c r="E325" s="657"/>
      <c r="F325" s="657"/>
    </row>
    <row r="326" spans="1:6">
      <c r="A326" s="657"/>
      <c r="B326" s="657"/>
      <c r="C326" s="657"/>
      <c r="D326" s="657"/>
      <c r="E326" s="657"/>
      <c r="F326" s="657"/>
    </row>
    <row r="327" spans="1:6">
      <c r="A327" s="657"/>
      <c r="B327" s="657"/>
      <c r="C327" s="657"/>
      <c r="D327" s="657"/>
      <c r="E327" s="657"/>
      <c r="F327" s="657"/>
    </row>
    <row r="328" spans="1:6">
      <c r="A328" s="657"/>
      <c r="B328" s="657"/>
      <c r="C328" s="657"/>
      <c r="D328" s="657"/>
      <c r="E328" s="657"/>
      <c r="F328" s="657"/>
    </row>
    <row r="329" spans="1:6">
      <c r="A329" s="657"/>
      <c r="B329" s="657"/>
      <c r="C329" s="657"/>
      <c r="D329" s="657"/>
      <c r="E329" s="657"/>
      <c r="F329" s="657"/>
    </row>
    <row r="330" spans="1:6">
      <c r="A330" s="657"/>
      <c r="B330" s="657"/>
      <c r="C330" s="657"/>
      <c r="D330" s="657"/>
      <c r="E330" s="657"/>
      <c r="F330" s="657"/>
    </row>
    <row r="331" spans="1:6">
      <c r="A331" s="657"/>
      <c r="B331" s="657"/>
      <c r="C331" s="657"/>
      <c r="D331" s="657"/>
      <c r="E331" s="657"/>
      <c r="F331" s="657"/>
    </row>
    <row r="332" spans="1:6">
      <c r="A332" s="657"/>
      <c r="B332" s="657"/>
      <c r="C332" s="657"/>
      <c r="D332" s="657"/>
      <c r="E332" s="657"/>
      <c r="F332" s="657"/>
    </row>
    <row r="333" spans="1:6">
      <c r="A333" s="657"/>
      <c r="B333" s="657"/>
      <c r="C333" s="657"/>
      <c r="D333" s="657"/>
      <c r="E333" s="657"/>
      <c r="F333" s="657"/>
    </row>
    <row r="334" spans="1:6">
      <c r="A334" s="657"/>
      <c r="B334" s="657"/>
      <c r="C334" s="657"/>
      <c r="D334" s="657"/>
      <c r="E334" s="657"/>
      <c r="F334" s="657"/>
    </row>
    <row r="335" spans="1:6">
      <c r="A335" s="657"/>
      <c r="B335" s="657"/>
      <c r="C335" s="657"/>
      <c r="D335" s="657"/>
      <c r="E335" s="657"/>
      <c r="F335" s="657"/>
    </row>
    <row r="336" spans="1:6">
      <c r="A336" s="657"/>
      <c r="B336" s="657"/>
      <c r="C336" s="657"/>
      <c r="D336" s="657"/>
      <c r="E336" s="657"/>
      <c r="F336" s="657"/>
    </row>
    <row r="337" spans="1:6">
      <c r="A337" s="657"/>
      <c r="B337" s="657"/>
      <c r="C337" s="657"/>
      <c r="D337" s="657"/>
      <c r="E337" s="657"/>
      <c r="F337" s="657"/>
    </row>
    <row r="338" spans="1:6">
      <c r="A338" s="657"/>
      <c r="B338" s="657"/>
      <c r="C338" s="657"/>
      <c r="D338" s="657"/>
      <c r="E338" s="657"/>
      <c r="F338" s="657"/>
    </row>
    <row r="339" spans="1:6">
      <c r="A339" s="657"/>
      <c r="B339" s="657"/>
      <c r="C339" s="657"/>
      <c r="D339" s="657"/>
      <c r="E339" s="657"/>
      <c r="F339" s="657"/>
    </row>
    <row r="340" spans="1:6">
      <c r="A340" s="657"/>
      <c r="B340" s="657"/>
      <c r="C340" s="657"/>
      <c r="D340" s="657"/>
      <c r="E340" s="657"/>
      <c r="F340" s="657"/>
    </row>
    <row r="341" spans="1:6">
      <c r="A341" s="657"/>
      <c r="B341" s="657"/>
      <c r="C341" s="657"/>
      <c r="D341" s="657"/>
      <c r="E341" s="657"/>
      <c r="F341" s="657"/>
    </row>
    <row r="342" spans="1:6">
      <c r="A342" s="657"/>
      <c r="B342" s="657"/>
      <c r="C342" s="657"/>
      <c r="D342" s="657"/>
      <c r="E342" s="657"/>
      <c r="F342" s="657"/>
    </row>
    <row r="343" spans="1:6">
      <c r="A343" s="657"/>
      <c r="B343" s="657"/>
      <c r="C343" s="657"/>
      <c r="D343" s="657"/>
      <c r="E343" s="657"/>
      <c r="F343" s="657"/>
    </row>
    <row r="344" spans="1:6">
      <c r="A344" s="657"/>
      <c r="B344" s="657"/>
      <c r="C344" s="657"/>
      <c r="D344" s="657"/>
      <c r="E344" s="657"/>
      <c r="F344" s="657"/>
    </row>
    <row r="345" spans="1:6">
      <c r="A345" s="657"/>
      <c r="B345" s="657"/>
      <c r="C345" s="657"/>
      <c r="D345" s="657"/>
      <c r="E345" s="657"/>
      <c r="F345" s="657"/>
    </row>
    <row r="346" spans="1:6">
      <c r="A346" s="657"/>
      <c r="B346" s="657"/>
      <c r="C346" s="657"/>
      <c r="D346" s="657"/>
      <c r="E346" s="657"/>
      <c r="F346" s="657"/>
    </row>
    <row r="347" spans="1:6">
      <c r="A347" s="657"/>
      <c r="B347" s="657"/>
      <c r="C347" s="657"/>
      <c r="D347" s="657"/>
      <c r="E347" s="657"/>
      <c r="F347" s="657"/>
    </row>
    <row r="348" spans="1:6">
      <c r="A348" s="657"/>
      <c r="B348" s="657"/>
      <c r="C348" s="657"/>
      <c r="D348" s="657"/>
      <c r="E348" s="657"/>
      <c r="F348" s="657"/>
    </row>
    <row r="349" spans="1:6">
      <c r="A349" s="657"/>
      <c r="B349" s="657"/>
      <c r="C349" s="657"/>
      <c r="D349" s="657"/>
      <c r="E349" s="657"/>
      <c r="F349" s="657"/>
    </row>
    <row r="350" spans="1:6">
      <c r="A350" s="657"/>
      <c r="B350" s="657"/>
      <c r="C350" s="657"/>
      <c r="D350" s="657"/>
      <c r="E350" s="657"/>
      <c r="F350" s="657"/>
    </row>
    <row r="351" spans="1:6">
      <c r="A351" s="657"/>
      <c r="B351" s="657"/>
      <c r="C351" s="657"/>
      <c r="D351" s="657"/>
      <c r="E351" s="657"/>
      <c r="F351" s="657"/>
    </row>
    <row r="352" spans="1:6">
      <c r="A352" s="657"/>
      <c r="B352" s="657"/>
      <c r="C352" s="657"/>
      <c r="D352" s="657"/>
      <c r="E352" s="657"/>
      <c r="F352" s="657"/>
    </row>
    <row r="353" spans="1:6">
      <c r="A353" s="657"/>
      <c r="B353" s="657"/>
      <c r="C353" s="657"/>
      <c r="D353" s="657"/>
      <c r="E353" s="657"/>
      <c r="F353" s="657"/>
    </row>
    <row r="354" spans="1:6">
      <c r="A354" s="657"/>
      <c r="B354" s="657"/>
      <c r="C354" s="657"/>
      <c r="D354" s="657"/>
      <c r="E354" s="657"/>
      <c r="F354" s="657"/>
    </row>
    <row r="355" spans="1:6">
      <c r="A355" s="657"/>
      <c r="B355" s="657"/>
      <c r="C355" s="657"/>
      <c r="D355" s="657"/>
      <c r="E355" s="657"/>
      <c r="F355" s="657"/>
    </row>
    <row r="356" spans="1:6">
      <c r="A356" s="657"/>
      <c r="B356" s="657"/>
      <c r="C356" s="657"/>
      <c r="D356" s="657"/>
      <c r="E356" s="657"/>
      <c r="F356" s="657"/>
    </row>
    <row r="357" spans="1:6">
      <c r="A357" s="657"/>
      <c r="B357" s="657"/>
      <c r="C357" s="657"/>
      <c r="D357" s="657"/>
      <c r="E357" s="657"/>
      <c r="F357" s="657"/>
    </row>
    <row r="358" spans="1:6">
      <c r="A358" s="657"/>
      <c r="B358" s="657"/>
      <c r="C358" s="657"/>
      <c r="D358" s="657"/>
      <c r="E358" s="657"/>
      <c r="F358" s="657"/>
    </row>
    <row r="359" spans="1:6">
      <c r="A359" s="657"/>
      <c r="B359" s="657"/>
      <c r="C359" s="657"/>
      <c r="D359" s="657"/>
      <c r="E359" s="657"/>
      <c r="F359" s="657"/>
    </row>
    <row r="360" spans="1:6">
      <c r="A360" s="657"/>
      <c r="B360" s="657"/>
      <c r="C360" s="657"/>
      <c r="D360" s="657"/>
      <c r="E360" s="657"/>
      <c r="F360" s="657"/>
    </row>
    <row r="361" spans="1:6">
      <c r="A361" s="657"/>
      <c r="B361" s="657"/>
      <c r="C361" s="657"/>
      <c r="D361" s="657"/>
      <c r="E361" s="657"/>
      <c r="F361" s="657"/>
    </row>
    <row r="362" spans="1:6">
      <c r="A362" s="657"/>
      <c r="B362" s="657"/>
      <c r="C362" s="657"/>
      <c r="D362" s="657"/>
      <c r="E362" s="657"/>
      <c r="F362" s="657"/>
    </row>
    <row r="363" spans="1:6">
      <c r="A363" s="657"/>
      <c r="B363" s="657"/>
      <c r="C363" s="657"/>
      <c r="D363" s="657"/>
      <c r="E363" s="657"/>
      <c r="F363" s="657"/>
    </row>
    <row r="364" spans="1:6">
      <c r="A364" s="657"/>
      <c r="B364" s="657"/>
      <c r="C364" s="657"/>
      <c r="D364" s="657"/>
      <c r="E364" s="657"/>
      <c r="F364" s="657"/>
    </row>
    <row r="365" spans="1:6">
      <c r="A365" s="657"/>
      <c r="B365" s="657"/>
      <c r="C365" s="657"/>
      <c r="D365" s="657"/>
      <c r="E365" s="657"/>
      <c r="F365" s="657"/>
    </row>
    <row r="366" spans="1:6">
      <c r="A366" s="657"/>
      <c r="B366" s="657"/>
      <c r="C366" s="657"/>
      <c r="D366" s="657"/>
      <c r="E366" s="657"/>
      <c r="F366" s="657"/>
    </row>
    <row r="367" spans="1:6">
      <c r="A367" s="657"/>
      <c r="B367" s="657"/>
      <c r="C367" s="657"/>
      <c r="D367" s="657"/>
      <c r="E367" s="657"/>
      <c r="F367" s="657"/>
    </row>
    <row r="368" spans="1:6">
      <c r="A368" s="657"/>
      <c r="B368" s="657"/>
      <c r="C368" s="657"/>
      <c r="D368" s="657"/>
      <c r="E368" s="657"/>
      <c r="F368" s="657"/>
    </row>
    <row r="369" spans="1:6">
      <c r="A369" s="657"/>
      <c r="B369" s="657"/>
      <c r="C369" s="657"/>
      <c r="D369" s="657"/>
      <c r="E369" s="657"/>
      <c r="F369" s="657"/>
    </row>
    <row r="370" spans="1:6">
      <c r="A370" s="657"/>
      <c r="B370" s="657"/>
      <c r="C370" s="657"/>
      <c r="D370" s="657"/>
      <c r="E370" s="657"/>
      <c r="F370" s="657"/>
    </row>
    <row r="371" spans="1:6">
      <c r="A371" s="657"/>
      <c r="B371" s="657"/>
      <c r="C371" s="657"/>
      <c r="D371" s="657"/>
      <c r="E371" s="657"/>
      <c r="F371" s="657"/>
    </row>
    <row r="372" spans="1:6">
      <c r="A372" s="657"/>
      <c r="B372" s="657"/>
      <c r="C372" s="657"/>
      <c r="D372" s="657"/>
      <c r="E372" s="657"/>
      <c r="F372" s="657"/>
    </row>
    <row r="373" spans="1:6">
      <c r="A373" s="657"/>
      <c r="B373" s="657"/>
      <c r="C373" s="657"/>
      <c r="D373" s="657"/>
      <c r="E373" s="657"/>
      <c r="F373" s="657"/>
    </row>
    <row r="374" spans="1:6">
      <c r="A374" s="657"/>
      <c r="B374" s="657"/>
      <c r="C374" s="657"/>
      <c r="D374" s="657"/>
      <c r="E374" s="657"/>
      <c r="F374" s="657"/>
    </row>
    <row r="375" spans="1:6">
      <c r="A375" s="657"/>
      <c r="B375" s="657"/>
      <c r="C375" s="657"/>
      <c r="D375" s="657"/>
      <c r="E375" s="657"/>
      <c r="F375" s="657"/>
    </row>
    <row r="376" spans="1:6">
      <c r="A376" s="657"/>
      <c r="B376" s="657"/>
      <c r="C376" s="657"/>
      <c r="D376" s="657"/>
      <c r="E376" s="657"/>
      <c r="F376" s="657"/>
    </row>
    <row r="377" spans="1:6">
      <c r="A377" s="657"/>
      <c r="B377" s="657"/>
      <c r="C377" s="657"/>
      <c r="D377" s="657"/>
      <c r="E377" s="657"/>
      <c r="F377" s="657"/>
    </row>
    <row r="378" spans="1:6">
      <c r="A378" s="657"/>
      <c r="B378" s="657"/>
      <c r="C378" s="657"/>
      <c r="D378" s="657"/>
      <c r="E378" s="657"/>
      <c r="F378" s="657"/>
    </row>
    <row r="379" spans="1:6">
      <c r="A379" s="657"/>
      <c r="B379" s="657"/>
      <c r="C379" s="657"/>
      <c r="D379" s="657"/>
      <c r="E379" s="657"/>
      <c r="F379" s="657"/>
    </row>
    <row r="380" spans="1:6">
      <c r="A380" s="657"/>
      <c r="B380" s="657"/>
      <c r="C380" s="657"/>
      <c r="D380" s="657"/>
      <c r="E380" s="657"/>
      <c r="F380" s="657"/>
    </row>
    <row r="381" spans="1:6">
      <c r="A381" s="657"/>
      <c r="B381" s="657"/>
      <c r="C381" s="657"/>
      <c r="D381" s="657"/>
      <c r="E381" s="657"/>
      <c r="F381" s="657"/>
    </row>
    <row r="382" spans="1:6">
      <c r="A382" s="657"/>
      <c r="B382" s="657"/>
      <c r="C382" s="657"/>
      <c r="D382" s="657"/>
      <c r="E382" s="657"/>
      <c r="F382" s="657"/>
    </row>
    <row r="383" spans="1:6">
      <c r="A383" s="657"/>
      <c r="B383" s="657"/>
      <c r="C383" s="657"/>
      <c r="D383" s="657"/>
      <c r="E383" s="657"/>
      <c r="F383" s="657"/>
    </row>
    <row r="384" spans="1:6">
      <c r="A384" s="657"/>
      <c r="B384" s="657"/>
      <c r="C384" s="657"/>
      <c r="D384" s="657"/>
      <c r="E384" s="657"/>
      <c r="F384" s="657"/>
    </row>
    <row r="385" spans="1:6">
      <c r="A385" s="657"/>
      <c r="B385" s="657"/>
      <c r="C385" s="657"/>
      <c r="D385" s="657"/>
      <c r="E385" s="657"/>
      <c r="F385" s="657"/>
    </row>
    <row r="386" spans="1:6">
      <c r="A386" s="657"/>
      <c r="B386" s="657"/>
      <c r="C386" s="657"/>
      <c r="D386" s="657"/>
      <c r="E386" s="657"/>
      <c r="F386" s="657"/>
    </row>
    <row r="387" spans="1:6">
      <c r="A387" s="657"/>
      <c r="B387" s="657"/>
      <c r="C387" s="657"/>
      <c r="D387" s="657"/>
      <c r="E387" s="657"/>
      <c r="F387" s="657"/>
    </row>
    <row r="388" spans="1:6">
      <c r="A388" s="657"/>
      <c r="B388" s="657"/>
      <c r="C388" s="657"/>
      <c r="D388" s="657"/>
      <c r="E388" s="657"/>
      <c r="F388" s="657"/>
    </row>
    <row r="389" spans="1:6">
      <c r="A389" s="657"/>
      <c r="B389" s="657"/>
      <c r="C389" s="657"/>
      <c r="D389" s="657"/>
      <c r="E389" s="657"/>
      <c r="F389" s="657"/>
    </row>
    <row r="390" spans="1:6">
      <c r="A390" s="657"/>
      <c r="B390" s="657"/>
      <c r="C390" s="657"/>
      <c r="D390" s="657"/>
      <c r="E390" s="657"/>
      <c r="F390" s="657"/>
    </row>
    <row r="391" spans="1:6">
      <c r="A391" s="657"/>
      <c r="B391" s="657"/>
      <c r="C391" s="657"/>
      <c r="D391" s="657"/>
      <c r="E391" s="657"/>
      <c r="F391" s="657"/>
    </row>
    <row r="392" spans="1:6">
      <c r="A392" s="657"/>
      <c r="B392" s="657"/>
      <c r="C392" s="657"/>
      <c r="D392" s="657"/>
      <c r="E392" s="657"/>
      <c r="F392" s="657"/>
    </row>
    <row r="393" spans="1:6">
      <c r="A393" s="657"/>
      <c r="B393" s="657"/>
      <c r="C393" s="657"/>
      <c r="D393" s="657"/>
      <c r="E393" s="657"/>
      <c r="F393" s="657"/>
    </row>
    <row r="394" spans="1:6">
      <c r="A394" s="657"/>
      <c r="B394" s="657"/>
      <c r="C394" s="657"/>
      <c r="D394" s="657"/>
      <c r="E394" s="657"/>
      <c r="F394" s="657"/>
    </row>
    <row r="395" spans="1:6">
      <c r="A395" s="657"/>
      <c r="B395" s="657"/>
      <c r="C395" s="657"/>
      <c r="D395" s="657"/>
      <c r="E395" s="657"/>
      <c r="F395" s="657"/>
    </row>
    <row r="396" spans="1:6">
      <c r="A396" s="657"/>
      <c r="B396" s="657"/>
      <c r="C396" s="657"/>
      <c r="D396" s="657"/>
      <c r="E396" s="657"/>
      <c r="F396" s="657"/>
    </row>
    <row r="397" spans="1:6">
      <c r="A397" s="657"/>
      <c r="B397" s="657"/>
      <c r="C397" s="657"/>
      <c r="D397" s="657"/>
      <c r="E397" s="657"/>
      <c r="F397" s="657"/>
    </row>
    <row r="398" spans="1:6">
      <c r="A398" s="657"/>
      <c r="B398" s="657"/>
      <c r="C398" s="657"/>
      <c r="D398" s="657"/>
      <c r="E398" s="657"/>
      <c r="F398" s="657"/>
    </row>
    <row r="399" spans="1:6">
      <c r="A399" s="657"/>
      <c r="B399" s="657"/>
      <c r="C399" s="657"/>
      <c r="D399" s="657"/>
      <c r="E399" s="657"/>
      <c r="F399" s="657"/>
    </row>
    <row r="400" spans="1:6">
      <c r="A400" s="657"/>
      <c r="B400" s="657"/>
      <c r="C400" s="657"/>
      <c r="D400" s="657"/>
      <c r="E400" s="657"/>
      <c r="F400" s="657"/>
    </row>
    <row r="401" spans="1:6">
      <c r="A401" s="657"/>
      <c r="B401" s="657"/>
      <c r="C401" s="657"/>
      <c r="D401" s="657"/>
      <c r="E401" s="657"/>
      <c r="F401" s="657"/>
    </row>
    <row r="402" spans="1:6">
      <c r="A402" s="657"/>
      <c r="B402" s="657"/>
      <c r="C402" s="657"/>
      <c r="D402" s="657"/>
      <c r="E402" s="657"/>
      <c r="F402" s="657"/>
    </row>
    <row r="403" spans="1:6">
      <c r="A403" s="657"/>
      <c r="B403" s="657"/>
      <c r="C403" s="657"/>
      <c r="D403" s="657"/>
      <c r="E403" s="657"/>
      <c r="F403" s="657"/>
    </row>
    <row r="404" spans="1:6">
      <c r="A404" s="657"/>
      <c r="B404" s="657"/>
      <c r="C404" s="657"/>
      <c r="D404" s="657"/>
      <c r="E404" s="657"/>
      <c r="F404" s="657"/>
    </row>
    <row r="405" spans="1:6">
      <c r="A405" s="657"/>
      <c r="B405" s="657"/>
      <c r="C405" s="657"/>
      <c r="D405" s="657"/>
      <c r="E405" s="657"/>
      <c r="F405" s="657"/>
    </row>
    <row r="406" spans="1:6">
      <c r="A406" s="657"/>
      <c r="B406" s="657"/>
      <c r="C406" s="657"/>
      <c r="D406" s="657"/>
      <c r="E406" s="657"/>
      <c r="F406" s="657"/>
    </row>
    <row r="407" spans="1:6">
      <c r="A407" s="657"/>
      <c r="B407" s="657"/>
      <c r="C407" s="657"/>
      <c r="D407" s="657"/>
      <c r="E407" s="657"/>
      <c r="F407" s="657"/>
    </row>
    <row r="408" spans="1:6">
      <c r="A408" s="657"/>
      <c r="B408" s="657"/>
      <c r="C408" s="657"/>
      <c r="D408" s="657"/>
      <c r="E408" s="657"/>
      <c r="F408" s="657"/>
    </row>
    <row r="409" spans="1:6">
      <c r="A409" s="657"/>
      <c r="B409" s="657"/>
      <c r="C409" s="657"/>
      <c r="D409" s="657"/>
      <c r="E409" s="657"/>
      <c r="F409" s="657"/>
    </row>
    <row r="410" spans="1:6">
      <c r="A410" s="657"/>
      <c r="B410" s="657"/>
      <c r="C410" s="657"/>
      <c r="D410" s="657"/>
      <c r="E410" s="657"/>
      <c r="F410" s="657"/>
    </row>
    <row r="411" spans="1:6">
      <c r="A411" s="657"/>
      <c r="B411" s="657"/>
      <c r="C411" s="657"/>
      <c r="D411" s="657"/>
      <c r="E411" s="657"/>
      <c r="F411" s="657"/>
    </row>
    <row r="412" spans="1:6">
      <c r="A412" s="657"/>
      <c r="B412" s="657"/>
      <c r="C412" s="657"/>
      <c r="D412" s="657"/>
      <c r="E412" s="657"/>
      <c r="F412" s="657"/>
    </row>
    <row r="413" spans="1:6">
      <c r="A413" s="657"/>
      <c r="B413" s="657"/>
      <c r="C413" s="657"/>
      <c r="D413" s="657"/>
      <c r="E413" s="657"/>
      <c r="F413" s="657"/>
    </row>
    <row r="414" spans="1:6">
      <c r="A414" s="657"/>
      <c r="B414" s="657"/>
      <c r="C414" s="657"/>
      <c r="D414" s="657"/>
      <c r="E414" s="657"/>
      <c r="F414" s="657"/>
    </row>
    <row r="415" spans="1:6">
      <c r="A415" s="657"/>
      <c r="B415" s="657"/>
      <c r="C415" s="657"/>
      <c r="D415" s="657"/>
      <c r="E415" s="657"/>
      <c r="F415" s="657"/>
    </row>
    <row r="416" spans="1:6">
      <c r="A416" s="657"/>
      <c r="B416" s="657"/>
      <c r="C416" s="657"/>
      <c r="D416" s="657"/>
      <c r="E416" s="657"/>
      <c r="F416" s="657"/>
    </row>
    <row r="417" spans="1:6">
      <c r="A417" s="657"/>
      <c r="B417" s="657"/>
      <c r="C417" s="657"/>
      <c r="D417" s="657"/>
      <c r="E417" s="657"/>
      <c r="F417" s="657"/>
    </row>
    <row r="418" spans="1:6">
      <c r="A418" s="657"/>
      <c r="B418" s="657"/>
      <c r="C418" s="657"/>
      <c r="D418" s="657"/>
      <c r="E418" s="657"/>
      <c r="F418" s="657"/>
    </row>
    <row r="419" spans="1:6">
      <c r="A419" s="657"/>
      <c r="B419" s="657"/>
      <c r="C419" s="657"/>
      <c r="D419" s="657"/>
      <c r="E419" s="657"/>
      <c r="F419" s="657"/>
    </row>
    <row r="420" spans="1:6">
      <c r="A420" s="657"/>
      <c r="B420" s="657"/>
      <c r="C420" s="657"/>
      <c r="D420" s="657"/>
      <c r="E420" s="657"/>
      <c r="F420" s="657"/>
    </row>
    <row r="421" spans="1:6">
      <c r="A421" s="657"/>
      <c r="B421" s="657"/>
      <c r="C421" s="657"/>
      <c r="D421" s="657"/>
      <c r="E421" s="657"/>
      <c r="F421" s="657"/>
    </row>
    <row r="422" spans="1:6">
      <c r="A422" s="657"/>
      <c r="B422" s="657"/>
      <c r="C422" s="657"/>
      <c r="D422" s="657"/>
      <c r="E422" s="657"/>
      <c r="F422" s="657"/>
    </row>
    <row r="423" spans="1:6">
      <c r="A423" s="657"/>
      <c r="B423" s="657"/>
      <c r="C423" s="657"/>
      <c r="D423" s="657"/>
      <c r="E423" s="657"/>
      <c r="F423" s="657"/>
    </row>
    <row r="424" spans="1:6">
      <c r="A424" s="657"/>
      <c r="B424" s="657"/>
      <c r="C424" s="657"/>
      <c r="D424" s="657"/>
      <c r="E424" s="657"/>
      <c r="F424" s="657"/>
    </row>
    <row r="425" spans="1:6">
      <c r="A425" s="657"/>
      <c r="B425" s="657"/>
      <c r="C425" s="657"/>
      <c r="D425" s="657"/>
      <c r="E425" s="657"/>
      <c r="F425" s="657"/>
    </row>
    <row r="426" spans="1:6">
      <c r="A426" s="657"/>
      <c r="B426" s="657"/>
      <c r="C426" s="657"/>
      <c r="D426" s="657"/>
      <c r="E426" s="657"/>
      <c r="F426" s="657"/>
    </row>
    <row r="427" spans="1:6">
      <c r="A427" s="657"/>
      <c r="B427" s="657"/>
      <c r="C427" s="657"/>
      <c r="D427" s="657"/>
      <c r="E427" s="657"/>
      <c r="F427" s="657"/>
    </row>
    <row r="428" spans="1:6">
      <c r="A428" s="657"/>
      <c r="B428" s="657"/>
      <c r="C428" s="657"/>
      <c r="D428" s="657"/>
      <c r="E428" s="657"/>
      <c r="F428" s="657"/>
    </row>
    <row r="429" spans="1:6">
      <c r="A429" s="657"/>
      <c r="B429" s="657"/>
      <c r="C429" s="657"/>
      <c r="D429" s="657"/>
      <c r="E429" s="657"/>
      <c r="F429" s="657"/>
    </row>
    <row r="430" spans="1:6">
      <c r="A430" s="657"/>
      <c r="B430" s="657"/>
      <c r="C430" s="657"/>
      <c r="D430" s="657"/>
      <c r="E430" s="657"/>
      <c r="F430" s="657"/>
    </row>
    <row r="431" spans="1:6">
      <c r="A431" s="657"/>
      <c r="B431" s="657"/>
      <c r="C431" s="657"/>
      <c r="D431" s="657"/>
      <c r="E431" s="657"/>
      <c r="F431" s="657"/>
    </row>
    <row r="432" spans="1:6">
      <c r="A432" s="657"/>
      <c r="B432" s="657"/>
      <c r="C432" s="657"/>
      <c r="D432" s="657"/>
      <c r="E432" s="657"/>
      <c r="F432" s="657"/>
    </row>
    <row r="433" spans="1:6">
      <c r="A433" s="657"/>
      <c r="B433" s="657"/>
      <c r="C433" s="657"/>
      <c r="D433" s="657"/>
      <c r="E433" s="657"/>
      <c r="F433" s="657"/>
    </row>
    <row r="434" spans="1:6">
      <c r="A434" s="657"/>
      <c r="B434" s="657"/>
      <c r="C434" s="657"/>
      <c r="D434" s="657"/>
      <c r="E434" s="657"/>
      <c r="F434" s="657"/>
    </row>
    <row r="435" spans="1:6">
      <c r="A435" s="657"/>
      <c r="B435" s="657"/>
      <c r="C435" s="657"/>
      <c r="D435" s="657"/>
      <c r="E435" s="657"/>
      <c r="F435" s="657"/>
    </row>
    <row r="436" spans="1:6">
      <c r="A436" s="657"/>
      <c r="B436" s="657"/>
      <c r="C436" s="657"/>
      <c r="D436" s="657"/>
      <c r="E436" s="657"/>
      <c r="F436" s="657"/>
    </row>
    <row r="437" spans="1:6">
      <c r="A437" s="657"/>
      <c r="B437" s="657"/>
      <c r="C437" s="657"/>
      <c r="D437" s="657"/>
      <c r="E437" s="657"/>
      <c r="F437" s="657"/>
    </row>
    <row r="438" spans="1:6">
      <c r="A438" s="657"/>
      <c r="B438" s="657"/>
      <c r="C438" s="657"/>
      <c r="D438" s="657"/>
      <c r="E438" s="657"/>
      <c r="F438" s="657"/>
    </row>
    <row r="439" spans="1:6">
      <c r="A439" s="657"/>
      <c r="B439" s="657"/>
      <c r="C439" s="657"/>
      <c r="D439" s="657"/>
      <c r="E439" s="657"/>
      <c r="F439" s="657"/>
    </row>
    <row r="440" spans="1:6">
      <c r="A440" s="657"/>
      <c r="B440" s="657"/>
      <c r="C440" s="657"/>
      <c r="D440" s="657"/>
      <c r="E440" s="657"/>
      <c r="F440" s="657"/>
    </row>
    <row r="441" spans="1:6">
      <c r="A441" s="657"/>
      <c r="B441" s="657"/>
      <c r="C441" s="657"/>
      <c r="D441" s="657"/>
      <c r="E441" s="657"/>
      <c r="F441" s="657"/>
    </row>
    <row r="442" spans="1:6">
      <c r="A442" s="657"/>
      <c r="B442" s="657"/>
      <c r="C442" s="657"/>
      <c r="D442" s="657"/>
      <c r="E442" s="657"/>
      <c r="F442" s="657"/>
    </row>
    <row r="443" spans="1:6">
      <c r="A443" s="657"/>
      <c r="B443" s="657"/>
      <c r="C443" s="657"/>
      <c r="D443" s="657"/>
      <c r="E443" s="657"/>
      <c r="F443" s="657"/>
    </row>
    <row r="444" spans="1:6">
      <c r="A444" s="657"/>
      <c r="B444" s="657"/>
      <c r="C444" s="657"/>
      <c r="D444" s="657"/>
      <c r="E444" s="657"/>
      <c r="F444" s="657"/>
    </row>
    <row r="445" spans="1:6">
      <c r="A445" s="657"/>
      <c r="B445" s="657"/>
      <c r="C445" s="657"/>
      <c r="D445" s="657"/>
      <c r="E445" s="657"/>
      <c r="F445" s="657"/>
    </row>
    <row r="446" spans="1:6">
      <c r="A446" s="657"/>
      <c r="B446" s="657"/>
      <c r="C446" s="657"/>
      <c r="D446" s="657"/>
      <c r="E446" s="657"/>
      <c r="F446" s="657"/>
    </row>
    <row r="447" spans="1:6">
      <c r="A447" s="657"/>
      <c r="B447" s="657"/>
      <c r="C447" s="657"/>
      <c r="D447" s="657"/>
      <c r="E447" s="657"/>
      <c r="F447" s="657"/>
    </row>
    <row r="448" spans="1:6">
      <c r="A448" s="657"/>
      <c r="B448" s="657"/>
      <c r="C448" s="657"/>
      <c r="D448" s="657"/>
      <c r="E448" s="657"/>
      <c r="F448" s="657"/>
    </row>
    <row r="449" spans="1:6">
      <c r="A449" s="657"/>
      <c r="B449" s="657"/>
      <c r="C449" s="657"/>
      <c r="D449" s="657"/>
      <c r="E449" s="657"/>
      <c r="F449" s="657"/>
    </row>
    <row r="450" spans="1:6">
      <c r="A450" s="657"/>
      <c r="B450" s="657"/>
      <c r="C450" s="657"/>
      <c r="D450" s="657"/>
      <c r="E450" s="657"/>
      <c r="F450" s="657"/>
    </row>
    <row r="451" spans="1:6">
      <c r="A451" s="657"/>
      <c r="B451" s="657"/>
      <c r="C451" s="657"/>
      <c r="D451" s="657"/>
      <c r="E451" s="657"/>
      <c r="F451" s="657"/>
    </row>
    <row r="452" spans="1:6">
      <c r="A452" s="657"/>
      <c r="B452" s="657"/>
      <c r="C452" s="657"/>
      <c r="D452" s="657"/>
      <c r="E452" s="657"/>
      <c r="F452" s="657"/>
    </row>
    <row r="453" spans="1:6">
      <c r="A453" s="657"/>
      <c r="B453" s="657"/>
      <c r="C453" s="657"/>
      <c r="D453" s="657"/>
      <c r="E453" s="657"/>
      <c r="F453" s="657"/>
    </row>
    <row r="454" spans="1:6">
      <c r="A454" s="657"/>
      <c r="B454" s="657"/>
      <c r="C454" s="657"/>
      <c r="D454" s="657"/>
      <c r="E454" s="657"/>
      <c r="F454" s="657"/>
    </row>
    <row r="455" spans="1:6">
      <c r="A455" s="657"/>
      <c r="B455" s="657"/>
      <c r="C455" s="657"/>
      <c r="D455" s="657"/>
      <c r="E455" s="657"/>
      <c r="F455" s="657"/>
    </row>
    <row r="456" spans="1:6">
      <c r="A456" s="657"/>
      <c r="B456" s="657"/>
      <c r="C456" s="657"/>
      <c r="D456" s="657"/>
      <c r="E456" s="657"/>
      <c r="F456" s="657"/>
    </row>
    <row r="457" spans="1:6">
      <c r="A457" s="657"/>
      <c r="B457" s="657"/>
      <c r="C457" s="657"/>
      <c r="D457" s="657"/>
      <c r="E457" s="657"/>
      <c r="F457" s="657"/>
    </row>
    <row r="458" spans="1:6">
      <c r="A458" s="657"/>
      <c r="B458" s="657"/>
      <c r="C458" s="657"/>
      <c r="D458" s="657"/>
      <c r="E458" s="657"/>
      <c r="F458" s="657"/>
    </row>
    <row r="459" spans="1:6">
      <c r="A459" s="657"/>
      <c r="B459" s="657"/>
      <c r="C459" s="657"/>
      <c r="D459" s="657"/>
      <c r="E459" s="657"/>
      <c r="F459" s="657"/>
    </row>
    <row r="460" spans="1:6">
      <c r="A460" s="657"/>
      <c r="B460" s="657"/>
      <c r="C460" s="657"/>
      <c r="D460" s="657"/>
      <c r="E460" s="657"/>
      <c r="F460" s="657"/>
    </row>
    <row r="461" spans="1:6">
      <c r="A461" s="657"/>
      <c r="B461" s="657"/>
      <c r="C461" s="657"/>
      <c r="D461" s="657"/>
      <c r="E461" s="657"/>
      <c r="F461" s="657"/>
    </row>
    <row r="462" spans="1:6">
      <c r="A462" s="657"/>
      <c r="B462" s="657"/>
      <c r="C462" s="657"/>
      <c r="D462" s="657"/>
      <c r="E462" s="657"/>
      <c r="F462" s="657"/>
    </row>
    <row r="463" spans="1:6">
      <c r="A463" s="657"/>
      <c r="B463" s="657"/>
      <c r="C463" s="657"/>
      <c r="D463" s="657"/>
      <c r="E463" s="657"/>
      <c r="F463" s="657"/>
    </row>
    <row r="464" spans="1:6">
      <c r="A464" s="657"/>
      <c r="B464" s="657"/>
      <c r="C464" s="657"/>
      <c r="D464" s="657"/>
      <c r="E464" s="657"/>
      <c r="F464" s="657"/>
    </row>
    <row r="465" spans="1:6">
      <c r="A465" s="657"/>
      <c r="B465" s="657"/>
      <c r="C465" s="657"/>
      <c r="D465" s="657"/>
      <c r="E465" s="657"/>
      <c r="F465" s="657"/>
    </row>
    <row r="466" spans="1:6">
      <c r="A466" s="657"/>
      <c r="B466" s="657"/>
      <c r="C466" s="657"/>
      <c r="D466" s="657"/>
      <c r="E466" s="657"/>
      <c r="F466" s="657"/>
    </row>
    <row r="467" spans="1:6">
      <c r="A467" s="657"/>
      <c r="B467" s="657"/>
      <c r="C467" s="657"/>
      <c r="D467" s="657"/>
      <c r="E467" s="657"/>
      <c r="F467" s="657"/>
    </row>
    <row r="468" spans="1:6">
      <c r="A468" s="657"/>
      <c r="B468" s="657"/>
      <c r="C468" s="657"/>
      <c r="D468" s="657"/>
      <c r="E468" s="657"/>
      <c r="F468" s="657"/>
    </row>
    <row r="469" spans="1:6">
      <c r="A469" s="657"/>
      <c r="B469" s="657"/>
      <c r="C469" s="657"/>
      <c r="D469" s="657"/>
      <c r="E469" s="657"/>
      <c r="F469" s="657"/>
    </row>
    <row r="470" spans="1:6">
      <c r="A470" s="657"/>
      <c r="B470" s="657"/>
      <c r="C470" s="657"/>
      <c r="D470" s="657"/>
      <c r="E470" s="657"/>
      <c r="F470" s="657"/>
    </row>
    <row r="471" spans="1:6">
      <c r="A471" s="657"/>
      <c r="B471" s="657"/>
      <c r="C471" s="657"/>
      <c r="D471" s="657"/>
      <c r="E471" s="657"/>
      <c r="F471" s="657"/>
    </row>
    <row r="472" spans="1:6">
      <c r="A472" s="657"/>
      <c r="B472" s="657"/>
      <c r="C472" s="657"/>
      <c r="D472" s="657"/>
      <c r="E472" s="657"/>
      <c r="F472" s="657"/>
    </row>
    <row r="473" spans="1:6">
      <c r="A473" s="657"/>
      <c r="B473" s="657"/>
      <c r="C473" s="657"/>
      <c r="D473" s="657"/>
      <c r="E473" s="657"/>
      <c r="F473" s="657"/>
    </row>
    <row r="474" spans="1:6">
      <c r="A474" s="657"/>
      <c r="B474" s="657"/>
      <c r="C474" s="657"/>
      <c r="D474" s="657"/>
      <c r="E474" s="657"/>
      <c r="F474" s="657"/>
    </row>
    <row r="475" spans="1:6">
      <c r="A475" s="657"/>
      <c r="B475" s="657"/>
      <c r="C475" s="657"/>
      <c r="D475" s="657"/>
      <c r="E475" s="657"/>
      <c r="F475" s="657"/>
    </row>
    <row r="476" spans="1:6">
      <c r="A476" s="657"/>
      <c r="B476" s="657"/>
      <c r="C476" s="657"/>
      <c r="D476" s="657"/>
      <c r="E476" s="657"/>
      <c r="F476" s="657"/>
    </row>
    <row r="477" spans="1:6">
      <c r="A477" s="657"/>
      <c r="B477" s="657"/>
      <c r="C477" s="657"/>
      <c r="D477" s="657"/>
      <c r="E477" s="657"/>
      <c r="F477" s="657"/>
    </row>
    <row r="478" spans="1:6">
      <c r="A478" s="657"/>
      <c r="B478" s="657"/>
      <c r="C478" s="657"/>
      <c r="D478" s="657"/>
      <c r="E478" s="657"/>
      <c r="F478" s="657"/>
    </row>
    <row r="479" spans="1:6">
      <c r="A479" s="657"/>
      <c r="B479" s="657"/>
      <c r="C479" s="657"/>
      <c r="D479" s="657"/>
      <c r="E479" s="657"/>
      <c r="F479" s="657"/>
    </row>
    <row r="480" spans="1:6">
      <c r="A480" s="657"/>
      <c r="B480" s="657"/>
      <c r="C480" s="657"/>
      <c r="D480" s="657"/>
      <c r="E480" s="657"/>
      <c r="F480" s="657"/>
    </row>
    <row r="481" spans="1:6">
      <c r="A481" s="657"/>
      <c r="B481" s="657"/>
      <c r="C481" s="657"/>
      <c r="D481" s="657"/>
      <c r="E481" s="657"/>
      <c r="F481" s="657"/>
    </row>
    <row r="482" spans="1:6">
      <c r="A482" s="657"/>
      <c r="B482" s="657"/>
      <c r="C482" s="657"/>
      <c r="D482" s="657"/>
      <c r="E482" s="657"/>
      <c r="F482" s="657"/>
    </row>
    <row r="483" spans="1:6">
      <c r="A483" s="657"/>
      <c r="B483" s="657"/>
      <c r="C483" s="657"/>
      <c r="D483" s="657"/>
      <c r="E483" s="657"/>
      <c r="F483" s="657"/>
    </row>
    <row r="484" spans="1:6">
      <c r="A484" s="657"/>
      <c r="B484" s="657"/>
      <c r="C484" s="657"/>
      <c r="D484" s="657"/>
      <c r="E484" s="657"/>
      <c r="F484" s="657"/>
    </row>
    <row r="485" spans="1:6">
      <c r="A485" s="657"/>
      <c r="B485" s="657"/>
      <c r="C485" s="657"/>
      <c r="D485" s="657"/>
      <c r="E485" s="657"/>
      <c r="F485" s="657"/>
    </row>
    <row r="486" spans="1:6">
      <c r="A486" s="657"/>
      <c r="B486" s="657"/>
      <c r="C486" s="657"/>
      <c r="D486" s="657"/>
      <c r="E486" s="657"/>
      <c r="F486" s="657"/>
    </row>
    <row r="487" spans="1:6">
      <c r="A487" s="657"/>
      <c r="B487" s="657"/>
      <c r="C487" s="657"/>
      <c r="D487" s="657"/>
      <c r="E487" s="657"/>
      <c r="F487" s="657"/>
    </row>
    <row r="488" spans="1:6">
      <c r="A488" s="657"/>
      <c r="B488" s="657"/>
      <c r="C488" s="657"/>
      <c r="D488" s="657"/>
      <c r="E488" s="657"/>
      <c r="F488" s="657"/>
    </row>
    <row r="489" spans="1:6">
      <c r="A489" s="657"/>
      <c r="B489" s="657"/>
      <c r="C489" s="657"/>
      <c r="D489" s="657"/>
      <c r="E489" s="657"/>
      <c r="F489" s="657"/>
    </row>
    <row r="490" spans="1:6">
      <c r="A490" s="657"/>
      <c r="B490" s="657"/>
      <c r="C490" s="657"/>
      <c r="D490" s="657"/>
      <c r="E490" s="657"/>
      <c r="F490" s="657"/>
    </row>
    <row r="491" spans="1:6">
      <c r="A491" s="657"/>
      <c r="B491" s="657"/>
      <c r="C491" s="657"/>
      <c r="D491" s="657"/>
      <c r="E491" s="657"/>
      <c r="F491" s="657"/>
    </row>
    <row r="492" spans="1:6">
      <c r="A492" s="657"/>
      <c r="B492" s="657"/>
      <c r="C492" s="657"/>
      <c r="D492" s="657"/>
      <c r="E492" s="657"/>
      <c r="F492" s="657"/>
    </row>
    <row r="493" spans="1:6">
      <c r="A493" s="657"/>
      <c r="B493" s="657"/>
      <c r="C493" s="657"/>
      <c r="D493" s="657"/>
      <c r="E493" s="657"/>
      <c r="F493" s="657"/>
    </row>
    <row r="494" spans="1:6">
      <c r="A494" s="657"/>
      <c r="B494" s="657"/>
      <c r="C494" s="657"/>
      <c r="D494" s="657"/>
      <c r="E494" s="657"/>
      <c r="F494" s="657"/>
    </row>
    <row r="495" spans="1:6">
      <c r="A495" s="657"/>
      <c r="B495" s="657"/>
      <c r="C495" s="657"/>
      <c r="D495" s="657"/>
      <c r="E495" s="657"/>
      <c r="F495" s="657"/>
    </row>
    <row r="496" spans="1:6">
      <c r="A496" s="657"/>
      <c r="B496" s="657"/>
      <c r="C496" s="657"/>
      <c r="D496" s="657"/>
      <c r="E496" s="657"/>
      <c r="F496" s="657"/>
    </row>
    <row r="497" spans="1:6">
      <c r="A497" s="657"/>
      <c r="B497" s="657"/>
      <c r="C497" s="657"/>
      <c r="D497" s="657"/>
      <c r="E497" s="657"/>
      <c r="F497" s="657"/>
    </row>
    <row r="498" spans="1:6">
      <c r="A498" s="657"/>
      <c r="B498" s="657"/>
      <c r="C498" s="657"/>
      <c r="D498" s="657"/>
      <c r="E498" s="657"/>
      <c r="F498" s="657"/>
    </row>
    <row r="499" spans="1:6">
      <c r="A499" s="657"/>
      <c r="B499" s="657"/>
      <c r="C499" s="657"/>
      <c r="D499" s="657"/>
      <c r="E499" s="657"/>
      <c r="F499" s="657"/>
    </row>
    <row r="500" spans="1:6">
      <c r="A500" s="657"/>
      <c r="B500" s="657"/>
      <c r="C500" s="657"/>
      <c r="D500" s="657"/>
      <c r="E500" s="657"/>
      <c r="F500" s="657"/>
    </row>
    <row r="501" spans="1:6">
      <c r="A501" s="657"/>
      <c r="B501" s="657"/>
      <c r="C501" s="657"/>
      <c r="D501" s="657"/>
      <c r="E501" s="657"/>
      <c r="F501" s="657"/>
    </row>
    <row r="502" spans="1:6">
      <c r="A502" s="657"/>
      <c r="B502" s="657"/>
      <c r="C502" s="657"/>
      <c r="D502" s="657"/>
      <c r="E502" s="657"/>
      <c r="F502" s="657"/>
    </row>
    <row r="503" spans="1:6">
      <c r="A503" s="657"/>
      <c r="B503" s="657"/>
      <c r="C503" s="657"/>
      <c r="D503" s="657"/>
      <c r="E503" s="657"/>
      <c r="F503" s="657"/>
    </row>
    <row r="504" spans="1:6">
      <c r="A504" s="657"/>
      <c r="B504" s="657"/>
      <c r="C504" s="657"/>
      <c r="D504" s="657"/>
      <c r="E504" s="657"/>
      <c r="F504" s="657"/>
    </row>
    <row r="505" spans="1:6">
      <c r="A505" s="657"/>
      <c r="B505" s="657"/>
      <c r="C505" s="657"/>
      <c r="D505" s="657"/>
      <c r="E505" s="657"/>
      <c r="F505" s="657"/>
    </row>
    <row r="506" spans="1:6">
      <c r="A506" s="657"/>
      <c r="B506" s="657"/>
      <c r="C506" s="657"/>
      <c r="D506" s="657"/>
      <c r="E506" s="657"/>
      <c r="F506" s="657"/>
    </row>
    <row r="507" spans="1:6">
      <c r="A507" s="657"/>
      <c r="B507" s="657"/>
      <c r="C507" s="657"/>
      <c r="D507" s="657"/>
      <c r="E507" s="657"/>
      <c r="F507" s="657"/>
    </row>
    <row r="508" spans="1:6">
      <c r="A508" s="657"/>
      <c r="B508" s="657"/>
      <c r="C508" s="657"/>
      <c r="D508" s="657"/>
      <c r="E508" s="657"/>
      <c r="F508" s="657"/>
    </row>
    <row r="509" spans="1:6">
      <c r="A509" s="657"/>
      <c r="B509" s="657"/>
      <c r="C509" s="657"/>
      <c r="D509" s="657"/>
      <c r="E509" s="657"/>
      <c r="F509" s="657"/>
    </row>
    <row r="510" spans="1:6">
      <c r="A510" s="657"/>
      <c r="B510" s="657"/>
      <c r="C510" s="657"/>
      <c r="D510" s="657"/>
      <c r="E510" s="657"/>
      <c r="F510" s="657"/>
    </row>
    <row r="511" spans="1:6">
      <c r="A511" s="657"/>
      <c r="B511" s="657"/>
      <c r="C511" s="657"/>
      <c r="D511" s="657"/>
      <c r="E511" s="657"/>
      <c r="F511" s="657"/>
    </row>
    <row r="512" spans="1:6">
      <c r="A512" s="657"/>
      <c r="B512" s="657"/>
      <c r="C512" s="657"/>
      <c r="D512" s="657"/>
      <c r="E512" s="657"/>
      <c r="F512" s="657"/>
    </row>
    <row r="513" spans="1:6">
      <c r="A513" s="657"/>
      <c r="B513" s="657"/>
      <c r="C513" s="657"/>
      <c r="D513" s="657"/>
      <c r="E513" s="657"/>
      <c r="F513" s="657"/>
    </row>
    <row r="514" spans="1:6">
      <c r="A514" s="657"/>
      <c r="B514" s="657"/>
      <c r="C514" s="657"/>
      <c r="D514" s="657"/>
      <c r="E514" s="657"/>
      <c r="F514" s="657"/>
    </row>
    <row r="515" spans="1:6">
      <c r="A515" s="657"/>
      <c r="B515" s="657"/>
      <c r="C515" s="657"/>
      <c r="D515" s="657"/>
      <c r="E515" s="657"/>
      <c r="F515" s="657"/>
    </row>
    <row r="516" spans="1:6">
      <c r="A516" s="657"/>
      <c r="B516" s="657"/>
      <c r="C516" s="657"/>
      <c r="D516" s="657"/>
      <c r="E516" s="657"/>
      <c r="F516" s="657"/>
    </row>
    <row r="517" spans="1:6">
      <c r="A517" s="657"/>
      <c r="B517" s="657"/>
      <c r="C517" s="657"/>
      <c r="D517" s="657"/>
      <c r="E517" s="657"/>
      <c r="F517" s="657"/>
    </row>
    <row r="518" spans="1:6">
      <c r="A518" s="657"/>
      <c r="B518" s="657"/>
      <c r="C518" s="657"/>
      <c r="D518" s="657"/>
      <c r="E518" s="657"/>
      <c r="F518" s="657"/>
    </row>
    <row r="519" spans="1:6">
      <c r="A519" s="657"/>
      <c r="B519" s="657"/>
      <c r="C519" s="657"/>
      <c r="D519" s="657"/>
      <c r="E519" s="657"/>
      <c r="F519" s="657"/>
    </row>
    <row r="520" spans="1:6">
      <c r="A520" s="657"/>
      <c r="B520" s="657"/>
      <c r="C520" s="657"/>
      <c r="D520" s="657"/>
      <c r="E520" s="657"/>
      <c r="F520" s="657"/>
    </row>
    <row r="521" spans="1:6">
      <c r="A521" s="657"/>
      <c r="B521" s="657"/>
      <c r="C521" s="657"/>
      <c r="D521" s="657"/>
      <c r="E521" s="657"/>
      <c r="F521" s="657"/>
    </row>
    <row r="522" spans="1:6">
      <c r="A522" s="657"/>
      <c r="B522" s="657"/>
      <c r="C522" s="657"/>
      <c r="D522" s="657"/>
      <c r="E522" s="657"/>
      <c r="F522" s="657"/>
    </row>
    <row r="523" spans="1:6">
      <c r="A523" s="657"/>
      <c r="B523" s="657"/>
      <c r="C523" s="657"/>
      <c r="D523" s="657"/>
      <c r="E523" s="657"/>
      <c r="F523" s="657"/>
    </row>
    <row r="524" spans="1:6">
      <c r="A524" s="657"/>
      <c r="B524" s="657"/>
      <c r="C524" s="657"/>
      <c r="D524" s="657"/>
      <c r="E524" s="657"/>
      <c r="F524" s="657"/>
    </row>
    <row r="525" spans="1:6">
      <c r="A525" s="657"/>
      <c r="B525" s="657"/>
      <c r="C525" s="657"/>
      <c r="D525" s="657"/>
      <c r="E525" s="657"/>
      <c r="F525" s="657"/>
    </row>
    <row r="526" spans="1:6">
      <c r="A526" s="657"/>
      <c r="B526" s="657"/>
      <c r="C526" s="657"/>
      <c r="D526" s="657"/>
      <c r="E526" s="657"/>
      <c r="F526" s="657"/>
    </row>
    <row r="527" spans="1:6">
      <c r="A527" s="657"/>
      <c r="B527" s="657"/>
      <c r="C527" s="657"/>
      <c r="D527" s="657"/>
      <c r="E527" s="657"/>
      <c r="F527" s="657"/>
    </row>
    <row r="528" spans="1:6">
      <c r="A528" s="657"/>
      <c r="B528" s="657"/>
      <c r="C528" s="657"/>
      <c r="D528" s="657"/>
      <c r="E528" s="657"/>
      <c r="F528" s="657"/>
    </row>
    <row r="529" spans="1:6">
      <c r="A529" s="657"/>
      <c r="B529" s="657"/>
      <c r="C529" s="657"/>
      <c r="D529" s="657"/>
      <c r="E529" s="657"/>
      <c r="F529" s="657"/>
    </row>
    <row r="530" spans="1:6">
      <c r="A530" s="657"/>
      <c r="B530" s="657"/>
      <c r="C530" s="657"/>
      <c r="D530" s="657"/>
      <c r="E530" s="657"/>
      <c r="F530" s="657"/>
    </row>
    <row r="531" spans="1:6">
      <c r="A531" s="657"/>
      <c r="B531" s="657"/>
      <c r="C531" s="657"/>
      <c r="D531" s="657"/>
      <c r="E531" s="657"/>
      <c r="F531" s="657"/>
    </row>
    <row r="532" spans="1:6">
      <c r="A532" s="657"/>
      <c r="B532" s="657"/>
      <c r="C532" s="657"/>
      <c r="D532" s="657"/>
      <c r="E532" s="657"/>
      <c r="F532" s="657"/>
    </row>
    <row r="533" spans="1:6">
      <c r="A533" s="657"/>
      <c r="B533" s="657"/>
      <c r="C533" s="657"/>
      <c r="D533" s="657"/>
      <c r="E533" s="657"/>
      <c r="F533" s="657"/>
    </row>
    <row r="534" spans="1:6">
      <c r="A534" s="657"/>
      <c r="B534" s="657"/>
      <c r="C534" s="657"/>
      <c r="D534" s="657"/>
      <c r="E534" s="657"/>
      <c r="F534" s="657"/>
    </row>
    <row r="535" spans="1:6">
      <c r="A535" s="657"/>
      <c r="B535" s="657"/>
      <c r="C535" s="657"/>
      <c r="D535" s="657"/>
      <c r="E535" s="657"/>
      <c r="F535" s="657"/>
    </row>
    <row r="536" spans="1:6">
      <c r="A536" s="657"/>
      <c r="B536" s="657"/>
      <c r="C536" s="657"/>
      <c r="D536" s="657"/>
      <c r="E536" s="657"/>
      <c r="F536" s="657"/>
    </row>
    <row r="537" spans="1:6">
      <c r="A537" s="657"/>
      <c r="B537" s="657"/>
      <c r="C537" s="657"/>
      <c r="D537" s="657"/>
      <c r="E537" s="657"/>
      <c r="F537" s="657"/>
    </row>
    <row r="538" spans="1:6">
      <c r="A538" s="657"/>
      <c r="B538" s="657"/>
      <c r="C538" s="657"/>
      <c r="D538" s="657"/>
      <c r="E538" s="657"/>
      <c r="F538" s="657"/>
    </row>
    <row r="539" spans="1:6">
      <c r="A539" s="657"/>
      <c r="B539" s="657"/>
      <c r="C539" s="657"/>
      <c r="D539" s="657"/>
      <c r="E539" s="657"/>
      <c r="F539" s="657"/>
    </row>
    <row r="540" spans="1:6">
      <c r="A540" s="657"/>
      <c r="B540" s="657"/>
      <c r="C540" s="657"/>
      <c r="D540" s="657"/>
      <c r="E540" s="657"/>
      <c r="F540" s="657"/>
    </row>
    <row r="541" spans="1:6">
      <c r="A541" s="657"/>
      <c r="B541" s="657"/>
      <c r="C541" s="657"/>
      <c r="D541" s="657"/>
      <c r="E541" s="657"/>
      <c r="F541" s="657"/>
    </row>
    <row r="542" spans="1:6">
      <c r="A542" s="657"/>
      <c r="B542" s="657"/>
      <c r="C542" s="657"/>
      <c r="D542" s="657"/>
      <c r="E542" s="657"/>
      <c r="F542" s="657"/>
    </row>
    <row r="543" spans="1:6">
      <c r="A543" s="657"/>
      <c r="B543" s="657"/>
      <c r="C543" s="657"/>
      <c r="D543" s="657"/>
      <c r="E543" s="657"/>
      <c r="F543" s="657"/>
    </row>
    <row r="544" spans="1:6">
      <c r="A544" s="657"/>
      <c r="B544" s="657"/>
      <c r="C544" s="657"/>
      <c r="D544" s="657"/>
      <c r="E544" s="657"/>
      <c r="F544" s="657"/>
    </row>
    <row r="545" spans="1:6">
      <c r="A545" s="657"/>
      <c r="B545" s="657"/>
      <c r="C545" s="657"/>
      <c r="D545" s="657"/>
      <c r="E545" s="657"/>
      <c r="F545" s="657"/>
    </row>
    <row r="546" spans="1:6">
      <c r="A546" s="657"/>
      <c r="B546" s="657"/>
      <c r="C546" s="657"/>
      <c r="D546" s="657"/>
      <c r="E546" s="657"/>
      <c r="F546" s="657"/>
    </row>
    <row r="547" spans="1:6">
      <c r="A547" s="657"/>
      <c r="B547" s="657"/>
      <c r="C547" s="657"/>
      <c r="D547" s="657"/>
      <c r="E547" s="657"/>
      <c r="F547" s="657"/>
    </row>
    <row r="548" spans="1:6">
      <c r="A548" s="657"/>
      <c r="B548" s="657"/>
      <c r="C548" s="657"/>
      <c r="D548" s="657"/>
      <c r="E548" s="657"/>
      <c r="F548" s="657"/>
    </row>
    <row r="549" spans="1:6">
      <c r="A549" s="657"/>
      <c r="B549" s="657"/>
      <c r="C549" s="657"/>
      <c r="D549" s="657"/>
      <c r="E549" s="657"/>
      <c r="F549" s="657"/>
    </row>
    <row r="550" spans="1:6">
      <c r="A550" s="657"/>
      <c r="B550" s="657"/>
      <c r="C550" s="657"/>
      <c r="D550" s="657"/>
      <c r="E550" s="657"/>
      <c r="F550" s="657"/>
    </row>
    <row r="551" spans="1:6">
      <c r="A551" s="657"/>
      <c r="B551" s="657"/>
      <c r="C551" s="657"/>
      <c r="D551" s="657"/>
      <c r="E551" s="657"/>
      <c r="F551" s="657"/>
    </row>
    <row r="552" spans="1:6">
      <c r="A552" s="657"/>
      <c r="B552" s="657"/>
      <c r="C552" s="657"/>
      <c r="D552" s="657"/>
      <c r="E552" s="657"/>
      <c r="F552" s="657"/>
    </row>
    <row r="553" spans="1:6">
      <c r="A553" s="657"/>
      <c r="B553" s="657"/>
      <c r="C553" s="657"/>
      <c r="D553" s="657"/>
      <c r="E553" s="657"/>
      <c r="F553" s="657"/>
    </row>
    <row r="554" spans="1:6">
      <c r="A554" s="657"/>
      <c r="B554" s="657"/>
      <c r="C554" s="657"/>
      <c r="D554" s="657"/>
      <c r="E554" s="657"/>
      <c r="F554" s="657"/>
    </row>
    <row r="555" spans="1:6">
      <c r="A555" s="657"/>
      <c r="B555" s="657"/>
      <c r="C555" s="657"/>
      <c r="D555" s="657"/>
      <c r="E555" s="657"/>
      <c r="F555" s="657"/>
    </row>
    <row r="556" spans="1:6">
      <c r="A556" s="657"/>
      <c r="B556" s="657"/>
      <c r="C556" s="657"/>
      <c r="D556" s="657"/>
      <c r="E556" s="657"/>
      <c r="F556" s="657"/>
    </row>
    <row r="557" spans="1:6">
      <c r="A557" s="657"/>
      <c r="B557" s="657"/>
      <c r="C557" s="657"/>
      <c r="D557" s="657"/>
      <c r="E557" s="657"/>
      <c r="F557" s="657"/>
    </row>
    <row r="558" spans="1:6">
      <c r="A558" s="657"/>
      <c r="B558" s="657"/>
      <c r="C558" s="657"/>
      <c r="D558" s="657"/>
      <c r="E558" s="657"/>
      <c r="F558" s="657"/>
    </row>
    <row r="559" spans="1:6">
      <c r="A559" s="657"/>
      <c r="B559" s="657"/>
      <c r="C559" s="657"/>
      <c r="D559" s="657"/>
      <c r="E559" s="657"/>
      <c r="F559" s="657"/>
    </row>
    <row r="560" spans="1:6">
      <c r="A560" s="657"/>
      <c r="B560" s="657"/>
      <c r="C560" s="657"/>
      <c r="D560" s="657"/>
      <c r="E560" s="657"/>
      <c r="F560" s="657"/>
    </row>
    <row r="561" spans="1:6">
      <c r="A561" s="657"/>
      <c r="B561" s="657"/>
      <c r="C561" s="657"/>
      <c r="D561" s="657"/>
      <c r="E561" s="657"/>
      <c r="F561" s="657"/>
    </row>
    <row r="562" spans="1:6">
      <c r="A562" s="657"/>
      <c r="B562" s="657"/>
      <c r="C562" s="657"/>
      <c r="D562" s="657"/>
      <c r="E562" s="657"/>
      <c r="F562" s="657"/>
    </row>
    <row r="563" spans="1:6">
      <c r="A563" s="657"/>
      <c r="B563" s="657"/>
      <c r="C563" s="657"/>
      <c r="D563" s="657"/>
      <c r="E563" s="657"/>
      <c r="F563" s="657"/>
    </row>
    <row r="564" spans="1:6">
      <c r="A564" s="657"/>
      <c r="B564" s="657"/>
      <c r="C564" s="657"/>
      <c r="D564" s="657"/>
      <c r="E564" s="657"/>
      <c r="F564" s="657"/>
    </row>
    <row r="565" spans="1:6">
      <c r="A565" s="657"/>
      <c r="B565" s="657"/>
      <c r="C565" s="657"/>
      <c r="D565" s="657"/>
      <c r="E565" s="657"/>
      <c r="F565" s="657"/>
    </row>
    <row r="566" spans="1:6">
      <c r="A566" s="657"/>
      <c r="B566" s="657"/>
      <c r="C566" s="657"/>
      <c r="D566" s="657"/>
      <c r="E566" s="657"/>
      <c r="F566" s="657"/>
    </row>
    <row r="567" spans="1:6">
      <c r="A567" s="657"/>
      <c r="B567" s="657"/>
      <c r="C567" s="657"/>
      <c r="D567" s="657"/>
      <c r="E567" s="657"/>
      <c r="F567" s="657"/>
    </row>
    <row r="568" spans="1:6">
      <c r="A568" s="657"/>
      <c r="B568" s="657"/>
      <c r="C568" s="657"/>
      <c r="D568" s="657"/>
      <c r="E568" s="657"/>
      <c r="F568" s="657"/>
    </row>
    <row r="569" spans="1:6">
      <c r="A569" s="657"/>
      <c r="B569" s="657"/>
      <c r="C569" s="657"/>
      <c r="D569" s="657"/>
      <c r="E569" s="657"/>
      <c r="F569" s="657"/>
    </row>
    <row r="570" spans="1:6">
      <c r="A570" s="657"/>
      <c r="B570" s="657"/>
      <c r="C570" s="657"/>
      <c r="D570" s="657"/>
      <c r="E570" s="657"/>
      <c r="F570" s="657"/>
    </row>
    <row r="571" spans="1:6">
      <c r="A571" s="657"/>
      <c r="B571" s="657"/>
      <c r="C571" s="657"/>
      <c r="D571" s="657"/>
      <c r="E571" s="657"/>
      <c r="F571" s="657"/>
    </row>
    <row r="572" spans="1:6">
      <c r="A572" s="657"/>
      <c r="B572" s="657"/>
      <c r="C572" s="657"/>
      <c r="D572" s="657"/>
      <c r="E572" s="657"/>
      <c r="F572" s="657"/>
    </row>
    <row r="573" spans="1:6">
      <c r="A573" s="657"/>
      <c r="B573" s="657"/>
      <c r="C573" s="657"/>
      <c r="D573" s="657"/>
      <c r="E573" s="657"/>
      <c r="F573" s="657"/>
    </row>
    <row r="574" spans="1:6">
      <c r="A574" s="657"/>
      <c r="B574" s="657"/>
      <c r="C574" s="657"/>
      <c r="D574" s="657"/>
      <c r="E574" s="657"/>
      <c r="F574" s="657"/>
    </row>
    <row r="575" spans="1:6">
      <c r="A575" s="657"/>
      <c r="B575" s="657"/>
      <c r="C575" s="657"/>
      <c r="D575" s="657"/>
      <c r="E575" s="657"/>
      <c r="F575" s="657"/>
    </row>
    <row r="576" spans="1:6">
      <c r="A576" s="657"/>
      <c r="B576" s="657"/>
      <c r="C576" s="657"/>
      <c r="D576" s="657"/>
      <c r="E576" s="657"/>
      <c r="F576" s="657"/>
    </row>
    <row r="577" spans="1:6">
      <c r="A577" s="657"/>
      <c r="B577" s="657"/>
      <c r="C577" s="657"/>
      <c r="D577" s="657"/>
      <c r="E577" s="657"/>
      <c r="F577" s="657"/>
    </row>
    <row r="578" spans="1:6">
      <c r="A578" s="657"/>
      <c r="B578" s="657"/>
      <c r="C578" s="657"/>
      <c r="D578" s="657"/>
      <c r="E578" s="657"/>
      <c r="F578" s="657"/>
    </row>
    <row r="579" spans="1:6">
      <c r="A579" s="657"/>
      <c r="B579" s="657"/>
      <c r="C579" s="657"/>
      <c r="D579" s="657"/>
      <c r="E579" s="657"/>
      <c r="F579" s="657"/>
    </row>
    <row r="580" spans="1:6">
      <c r="A580" s="657"/>
      <c r="B580" s="657"/>
      <c r="C580" s="657"/>
      <c r="D580" s="657"/>
      <c r="E580" s="657"/>
      <c r="F580" s="657"/>
    </row>
    <row r="581" spans="1:6">
      <c r="A581" s="657"/>
      <c r="B581" s="657"/>
      <c r="C581" s="657"/>
      <c r="D581" s="657"/>
      <c r="E581" s="657"/>
      <c r="F581" s="657"/>
    </row>
    <row r="582" spans="1:6">
      <c r="A582" s="657"/>
      <c r="B582" s="657"/>
      <c r="C582" s="657"/>
      <c r="D582" s="657"/>
      <c r="E582" s="657"/>
      <c r="F582" s="657"/>
    </row>
    <row r="583" spans="1:6">
      <c r="A583" s="657"/>
      <c r="B583" s="657"/>
      <c r="C583" s="657"/>
      <c r="D583" s="657"/>
      <c r="E583" s="657"/>
      <c r="F583" s="657"/>
    </row>
    <row r="584" spans="1:6">
      <c r="A584" s="657"/>
      <c r="B584" s="657"/>
      <c r="C584" s="657"/>
      <c r="D584" s="657"/>
      <c r="E584" s="657"/>
      <c r="F584" s="657"/>
    </row>
    <row r="585" spans="1:6">
      <c r="A585" s="657"/>
      <c r="B585" s="657"/>
      <c r="C585" s="657"/>
      <c r="D585" s="657"/>
      <c r="E585" s="657"/>
      <c r="F585" s="657"/>
    </row>
    <row r="586" spans="1:6">
      <c r="A586" s="657"/>
      <c r="B586" s="657"/>
      <c r="C586" s="657"/>
      <c r="D586" s="657"/>
      <c r="E586" s="657"/>
      <c r="F586" s="657"/>
    </row>
    <row r="587" spans="1:6">
      <c r="A587" s="657"/>
      <c r="B587" s="657"/>
      <c r="C587" s="657"/>
      <c r="D587" s="657"/>
      <c r="E587" s="657"/>
      <c r="F587" s="657"/>
    </row>
    <row r="588" spans="1:6">
      <c r="A588" s="657"/>
      <c r="B588" s="657"/>
      <c r="C588" s="657"/>
      <c r="D588" s="657"/>
      <c r="E588" s="657"/>
      <c r="F588" s="657"/>
    </row>
    <row r="589" spans="1:6">
      <c r="A589" s="657"/>
      <c r="B589" s="657"/>
      <c r="C589" s="657"/>
      <c r="D589" s="657"/>
      <c r="E589" s="657"/>
      <c r="F589" s="657"/>
    </row>
    <row r="590" spans="1:6">
      <c r="A590" s="657"/>
      <c r="B590" s="657"/>
      <c r="C590" s="657"/>
      <c r="D590" s="657"/>
      <c r="E590" s="657"/>
      <c r="F590" s="657"/>
    </row>
    <row r="591" spans="1:6">
      <c r="A591" s="657"/>
      <c r="B591" s="657"/>
      <c r="C591" s="657"/>
      <c r="D591" s="657"/>
      <c r="E591" s="657"/>
      <c r="F591" s="657"/>
    </row>
    <row r="592" spans="1:6">
      <c r="A592" s="657"/>
      <c r="B592" s="657"/>
      <c r="C592" s="657"/>
      <c r="D592" s="657"/>
      <c r="E592" s="657"/>
      <c r="F592" s="657"/>
    </row>
    <row r="593" spans="1:6">
      <c r="A593" s="657"/>
      <c r="B593" s="657"/>
      <c r="C593" s="657"/>
      <c r="D593" s="657"/>
      <c r="E593" s="657"/>
      <c r="F593" s="657"/>
    </row>
    <row r="594" spans="1:6">
      <c r="A594" s="657"/>
      <c r="B594" s="657"/>
      <c r="C594" s="657"/>
      <c r="D594" s="657"/>
      <c r="E594" s="657"/>
      <c r="F594" s="657"/>
    </row>
    <row r="595" spans="1:6">
      <c r="A595" s="657"/>
      <c r="B595" s="657"/>
      <c r="C595" s="657"/>
      <c r="D595" s="657"/>
      <c r="E595" s="657"/>
      <c r="F595" s="657"/>
    </row>
    <row r="596" spans="1:6">
      <c r="A596" s="657"/>
      <c r="B596" s="657"/>
      <c r="C596" s="657"/>
      <c r="D596" s="657"/>
      <c r="E596" s="657"/>
      <c r="F596" s="657"/>
    </row>
    <row r="597" spans="1:6">
      <c r="A597" s="657"/>
      <c r="B597" s="657"/>
      <c r="C597" s="657"/>
      <c r="D597" s="657"/>
      <c r="E597" s="657"/>
      <c r="F597" s="657"/>
    </row>
    <row r="598" spans="1:6">
      <c r="A598" s="657"/>
      <c r="B598" s="657"/>
      <c r="C598" s="657"/>
      <c r="D598" s="657"/>
      <c r="E598" s="657"/>
      <c r="F598" s="657"/>
    </row>
    <row r="599" spans="1:6">
      <c r="A599" s="657"/>
      <c r="B599" s="657"/>
      <c r="C599" s="657"/>
      <c r="D599" s="657"/>
      <c r="E599" s="657"/>
      <c r="F599" s="657"/>
    </row>
    <row r="600" spans="1:6">
      <c r="A600" s="657"/>
      <c r="B600" s="657"/>
      <c r="C600" s="657"/>
      <c r="D600" s="657"/>
      <c r="E600" s="657"/>
      <c r="F600" s="657"/>
    </row>
    <row r="601" spans="1:6">
      <c r="A601" s="657"/>
      <c r="B601" s="657"/>
      <c r="C601" s="657"/>
      <c r="D601" s="657"/>
      <c r="E601" s="657"/>
      <c r="F601" s="657"/>
    </row>
    <row r="602" spans="1:6">
      <c r="A602" s="657"/>
      <c r="B602" s="657"/>
      <c r="C602" s="657"/>
      <c r="D602" s="657"/>
      <c r="E602" s="657"/>
      <c r="F602" s="657"/>
    </row>
    <row r="603" spans="1:6">
      <c r="A603" s="657"/>
      <c r="B603" s="657"/>
      <c r="C603" s="657"/>
      <c r="D603" s="657"/>
      <c r="E603" s="657"/>
      <c r="F603" s="657"/>
    </row>
    <row r="604" spans="1:6">
      <c r="A604" s="657"/>
      <c r="B604" s="657"/>
      <c r="C604" s="657"/>
      <c r="D604" s="657"/>
      <c r="E604" s="657"/>
      <c r="F604" s="657"/>
    </row>
    <row r="605" spans="1:6">
      <c r="A605" s="657"/>
      <c r="B605" s="657"/>
      <c r="C605" s="657"/>
      <c r="D605" s="657"/>
      <c r="E605" s="657"/>
      <c r="F605" s="657"/>
    </row>
    <row r="606" spans="1:6">
      <c r="A606" s="657"/>
      <c r="B606" s="657"/>
      <c r="C606" s="657"/>
      <c r="D606" s="657"/>
      <c r="E606" s="657"/>
      <c r="F606" s="657"/>
    </row>
    <row r="607" spans="1:6">
      <c r="A607" s="657"/>
      <c r="B607" s="657"/>
      <c r="C607" s="657"/>
      <c r="D607" s="657"/>
      <c r="E607" s="657"/>
      <c r="F607" s="657"/>
    </row>
    <row r="608" spans="1:6">
      <c r="A608" s="657"/>
      <c r="B608" s="657"/>
      <c r="C608" s="657"/>
      <c r="D608" s="657"/>
      <c r="E608" s="657"/>
      <c r="F608" s="657"/>
    </row>
    <row r="609" spans="1:6">
      <c r="A609" s="657"/>
      <c r="B609" s="657"/>
      <c r="C609" s="657"/>
      <c r="D609" s="657"/>
      <c r="E609" s="657"/>
      <c r="F609" s="657"/>
    </row>
    <row r="610" spans="1:6">
      <c r="A610" s="657"/>
      <c r="B610" s="657"/>
      <c r="C610" s="657"/>
      <c r="D610" s="657"/>
      <c r="E610" s="657"/>
      <c r="F610" s="657"/>
    </row>
    <row r="611" spans="1:6">
      <c r="A611" s="657"/>
      <c r="B611" s="657"/>
      <c r="C611" s="657"/>
      <c r="D611" s="657"/>
      <c r="E611" s="657"/>
      <c r="F611" s="657"/>
    </row>
    <row r="612" spans="1:6">
      <c r="A612" s="657"/>
      <c r="B612" s="657"/>
      <c r="C612" s="657"/>
      <c r="D612" s="657"/>
      <c r="E612" s="657"/>
      <c r="F612" s="657"/>
    </row>
    <row r="613" spans="1:6">
      <c r="A613" s="657"/>
      <c r="B613" s="657"/>
      <c r="C613" s="657"/>
      <c r="D613" s="657"/>
      <c r="E613" s="657"/>
      <c r="F613" s="657"/>
    </row>
    <row r="614" spans="1:6">
      <c r="A614" s="657"/>
      <c r="B614" s="657"/>
      <c r="C614" s="657"/>
      <c r="D614" s="657"/>
      <c r="E614" s="657"/>
      <c r="F614" s="657"/>
    </row>
    <row r="615" spans="1:6">
      <c r="A615" s="657"/>
      <c r="B615" s="657"/>
      <c r="C615" s="657"/>
      <c r="D615" s="657"/>
      <c r="E615" s="657"/>
      <c r="F615" s="657"/>
    </row>
    <row r="616" spans="1:6">
      <c r="A616" s="657"/>
      <c r="B616" s="657"/>
      <c r="C616" s="657"/>
      <c r="D616" s="657"/>
      <c r="E616" s="657"/>
      <c r="F616" s="657"/>
    </row>
    <row r="617" spans="1:6">
      <c r="A617" s="657"/>
      <c r="B617" s="657"/>
      <c r="C617" s="657"/>
      <c r="D617" s="657"/>
      <c r="E617" s="657"/>
      <c r="F617" s="657"/>
    </row>
    <row r="618" spans="1:6">
      <c r="A618" s="657"/>
      <c r="B618" s="657"/>
      <c r="C618" s="657"/>
      <c r="D618" s="657"/>
      <c r="E618" s="657"/>
      <c r="F618" s="657"/>
    </row>
    <row r="619" spans="1:6">
      <c r="A619" s="657"/>
      <c r="B619" s="657"/>
      <c r="C619" s="657"/>
      <c r="D619" s="657"/>
      <c r="E619" s="657"/>
      <c r="F619" s="657"/>
    </row>
    <row r="620" spans="1:6">
      <c r="A620" s="657"/>
      <c r="B620" s="657"/>
      <c r="C620" s="657"/>
      <c r="D620" s="657"/>
      <c r="E620" s="657"/>
      <c r="F620" s="657"/>
    </row>
    <row r="621" spans="1:6">
      <c r="A621" s="657"/>
      <c r="B621" s="657"/>
      <c r="C621" s="657"/>
      <c r="D621" s="657"/>
      <c r="E621" s="657"/>
      <c r="F621" s="657"/>
    </row>
    <row r="622" spans="1:6">
      <c r="A622" s="657"/>
      <c r="B622" s="657"/>
      <c r="C622" s="657"/>
      <c r="D622" s="657"/>
      <c r="E622" s="657"/>
      <c r="F622" s="657"/>
    </row>
    <row r="623" spans="1:6">
      <c r="A623" s="657"/>
      <c r="B623" s="657"/>
      <c r="C623" s="657"/>
      <c r="D623" s="657"/>
      <c r="E623" s="657"/>
      <c r="F623" s="657"/>
    </row>
    <row r="624" spans="1:6">
      <c r="A624" s="657"/>
      <c r="B624" s="657"/>
      <c r="C624" s="657"/>
      <c r="D624" s="657"/>
      <c r="E624" s="657"/>
      <c r="F624" s="657"/>
    </row>
    <row r="625" spans="1:6">
      <c r="A625" s="657"/>
      <c r="B625" s="657"/>
      <c r="C625" s="657"/>
      <c r="D625" s="657"/>
      <c r="E625" s="657"/>
      <c r="F625" s="657"/>
    </row>
    <row r="626" spans="1:6">
      <c r="A626" s="657"/>
      <c r="B626" s="657"/>
      <c r="C626" s="657"/>
      <c r="D626" s="657"/>
      <c r="E626" s="657"/>
      <c r="F626" s="657"/>
    </row>
    <row r="627" spans="1:6">
      <c r="A627" s="657"/>
      <c r="B627" s="657"/>
      <c r="C627" s="657"/>
      <c r="D627" s="657"/>
      <c r="E627" s="657"/>
      <c r="F627" s="657"/>
    </row>
    <row r="628" spans="1:6">
      <c r="A628" s="657"/>
      <c r="B628" s="657"/>
      <c r="C628" s="657"/>
      <c r="D628" s="657"/>
      <c r="E628" s="657"/>
      <c r="F628" s="657"/>
    </row>
    <row r="629" spans="1:6">
      <c r="A629" s="657"/>
      <c r="B629" s="657"/>
      <c r="C629" s="657"/>
      <c r="D629" s="657"/>
      <c r="E629" s="657"/>
      <c r="F629" s="657"/>
    </row>
    <row r="630" spans="1:6">
      <c r="A630" s="657"/>
      <c r="B630" s="657"/>
      <c r="C630" s="657"/>
      <c r="D630" s="657"/>
      <c r="E630" s="657"/>
      <c r="F630" s="657"/>
    </row>
    <row r="631" spans="1:6">
      <c r="A631" s="657"/>
      <c r="B631" s="657"/>
      <c r="C631" s="657"/>
      <c r="D631" s="657"/>
      <c r="E631" s="657"/>
      <c r="F631" s="657"/>
    </row>
    <row r="632" spans="1:6">
      <c r="A632" s="657"/>
      <c r="B632" s="657"/>
      <c r="C632" s="657"/>
      <c r="D632" s="657"/>
      <c r="E632" s="657"/>
      <c r="F632" s="657"/>
    </row>
    <row r="633" spans="1:6">
      <c r="A633" s="657"/>
      <c r="B633" s="657"/>
      <c r="C633" s="657"/>
      <c r="D633" s="657"/>
      <c r="E633" s="657"/>
      <c r="F633" s="657"/>
    </row>
    <row r="634" spans="1:6">
      <c r="A634" s="657"/>
      <c r="B634" s="657"/>
      <c r="C634" s="657"/>
      <c r="D634" s="657"/>
      <c r="E634" s="657"/>
      <c r="F634" s="657"/>
    </row>
    <row r="635" spans="1:6">
      <c r="A635" s="657"/>
      <c r="B635" s="657"/>
      <c r="C635" s="657"/>
      <c r="D635" s="657"/>
      <c r="E635" s="657"/>
      <c r="F635" s="657"/>
    </row>
    <row r="636" spans="1:6">
      <c r="A636" s="657"/>
      <c r="B636" s="657"/>
      <c r="C636" s="657"/>
      <c r="D636" s="657"/>
      <c r="E636" s="657"/>
      <c r="F636" s="657"/>
    </row>
    <row r="637" spans="1:6">
      <c r="A637" s="657"/>
      <c r="B637" s="657"/>
      <c r="C637" s="657"/>
      <c r="D637" s="657"/>
      <c r="E637" s="657"/>
      <c r="F637" s="657"/>
    </row>
    <row r="638" spans="1:6">
      <c r="A638" s="657"/>
      <c r="B638" s="657"/>
      <c r="C638" s="657"/>
      <c r="D638" s="657"/>
      <c r="E638" s="657"/>
      <c r="F638" s="657"/>
    </row>
    <row r="639" spans="1:6">
      <c r="A639" s="657"/>
      <c r="B639" s="657"/>
      <c r="C639" s="657"/>
      <c r="D639" s="657"/>
      <c r="E639" s="657"/>
      <c r="F639" s="657"/>
    </row>
    <row r="640" spans="1:6">
      <c r="A640" s="657"/>
      <c r="B640" s="657"/>
      <c r="C640" s="657"/>
      <c r="D640" s="657"/>
      <c r="E640" s="657"/>
      <c r="F640" s="657"/>
    </row>
    <row r="641" spans="1:6">
      <c r="A641" s="657"/>
      <c r="B641" s="657"/>
      <c r="C641" s="657"/>
      <c r="D641" s="657"/>
      <c r="E641" s="657"/>
      <c r="F641" s="657"/>
    </row>
    <row r="642" spans="1:6">
      <c r="A642" s="657"/>
      <c r="B642" s="657"/>
      <c r="C642" s="657"/>
      <c r="D642" s="657"/>
      <c r="E642" s="657"/>
      <c r="F642" s="657"/>
    </row>
    <row r="643" spans="1:6">
      <c r="A643" s="657"/>
      <c r="B643" s="657"/>
      <c r="C643" s="657"/>
      <c r="D643" s="657"/>
      <c r="E643" s="657"/>
      <c r="F643" s="657"/>
    </row>
    <row r="644" spans="1:6">
      <c r="A644" s="657"/>
      <c r="B644" s="657"/>
      <c r="C644" s="657"/>
      <c r="D644" s="657"/>
      <c r="E644" s="657"/>
      <c r="F644" s="657"/>
    </row>
    <row r="645" spans="1:6">
      <c r="A645" s="657"/>
      <c r="B645" s="657"/>
      <c r="C645" s="657"/>
      <c r="D645" s="657"/>
      <c r="E645" s="657"/>
      <c r="F645" s="657"/>
    </row>
    <row r="646" spans="1:6">
      <c r="A646" s="657"/>
      <c r="B646" s="657"/>
      <c r="C646" s="657"/>
      <c r="D646" s="657"/>
      <c r="E646" s="657"/>
      <c r="F646" s="657"/>
    </row>
    <row r="647" spans="1:6">
      <c r="A647" s="657"/>
      <c r="B647" s="657"/>
      <c r="C647" s="657"/>
      <c r="D647" s="657"/>
      <c r="E647" s="657"/>
      <c r="F647" s="657"/>
    </row>
    <row r="648" spans="1:6">
      <c r="A648" s="657"/>
      <c r="B648" s="657"/>
      <c r="C648" s="657"/>
      <c r="D648" s="657"/>
      <c r="E648" s="657"/>
      <c r="F648" s="657"/>
    </row>
    <row r="649" spans="1:6">
      <c r="A649" s="657"/>
      <c r="B649" s="657"/>
      <c r="C649" s="657"/>
      <c r="D649" s="657"/>
      <c r="E649" s="657"/>
      <c r="F649" s="657"/>
    </row>
    <row r="650" spans="1:6">
      <c r="A650" s="657"/>
      <c r="B650" s="657"/>
      <c r="C650" s="657"/>
      <c r="D650" s="657"/>
      <c r="E650" s="657"/>
      <c r="F650" s="657"/>
    </row>
    <row r="651" spans="1:6">
      <c r="A651" s="657"/>
      <c r="B651" s="657"/>
      <c r="C651" s="657"/>
      <c r="D651" s="657"/>
      <c r="E651" s="657"/>
      <c r="F651" s="657"/>
    </row>
    <row r="652" spans="1:6">
      <c r="A652" s="657"/>
      <c r="B652" s="657"/>
      <c r="C652" s="657"/>
      <c r="D652" s="657"/>
      <c r="E652" s="657"/>
      <c r="F652" s="657"/>
    </row>
    <row r="653" spans="1:6">
      <c r="A653" s="657"/>
      <c r="B653" s="657"/>
      <c r="C653" s="657"/>
      <c r="D653" s="657"/>
      <c r="E653" s="657"/>
      <c r="F653" s="657"/>
    </row>
    <row r="654" spans="1:6">
      <c r="A654" s="657"/>
      <c r="B654" s="657"/>
      <c r="C654" s="657"/>
      <c r="D654" s="657"/>
      <c r="E654" s="657"/>
      <c r="F654" s="657"/>
    </row>
  </sheetData>
  <pageMargins left="0.7" right="0.7" top="0.75" bottom="0.75" header="0.3" footer="0.3"/>
  <pageSetup orientation="portrait" horizontalDpi="1200" verticalDpi="1200"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21">
    <tabColor rgb="FFFF0000"/>
  </sheetPr>
  <dimension ref="A1:O209"/>
  <sheetViews>
    <sheetView workbookViewId="0"/>
  </sheetViews>
  <sheetFormatPr defaultRowHeight="15"/>
  <cols>
    <col min="1" max="1" width="25.42578125" bestFit="1" customWidth="1"/>
    <col min="2" max="2" width="30.140625" bestFit="1" customWidth="1"/>
    <col min="3" max="3" width="47.5703125" bestFit="1" customWidth="1"/>
    <col min="4" max="4" width="37" bestFit="1" customWidth="1"/>
    <col min="5" max="5" width="24.85546875" bestFit="1" customWidth="1"/>
    <col min="6" max="6" width="15" customWidth="1"/>
    <col min="7" max="7" width="14.85546875" bestFit="1" customWidth="1"/>
    <col min="8" max="8" width="12.42578125" bestFit="1" customWidth="1"/>
    <col min="10" max="10" width="14" bestFit="1" customWidth="1"/>
    <col min="13" max="13" width="13.7109375" bestFit="1" customWidth="1"/>
    <col min="14" max="14" width="9.5703125" bestFit="1" customWidth="1"/>
    <col min="15" max="15" width="29.5703125" bestFit="1" customWidth="1"/>
  </cols>
  <sheetData>
    <row r="1" spans="1:13">
      <c r="A1" s="28" t="s">
        <v>1150</v>
      </c>
      <c r="B1" s="86" t="s">
        <v>1151</v>
      </c>
      <c r="C1" s="28"/>
      <c r="D1" s="28"/>
      <c r="E1" s="28"/>
      <c r="F1" s="28"/>
      <c r="G1" s="28"/>
      <c r="H1" s="28"/>
      <c r="I1" s="28"/>
      <c r="J1" s="28"/>
    </row>
    <row r="2" spans="1:13">
      <c r="A2" s="28"/>
      <c r="B2" s="86" t="s">
        <v>1152</v>
      </c>
      <c r="C2" s="28"/>
      <c r="D2" s="28"/>
      <c r="E2" s="28"/>
      <c r="F2" s="28"/>
      <c r="G2" s="28"/>
      <c r="H2" s="28"/>
      <c r="I2" s="28"/>
      <c r="J2" s="28"/>
    </row>
    <row r="3" spans="1:13">
      <c r="A3" s="28"/>
      <c r="B3" s="27"/>
      <c r="C3" s="27"/>
      <c r="D3" s="27"/>
      <c r="E3" s="27"/>
      <c r="F3" s="27"/>
      <c r="G3" s="27"/>
      <c r="H3" s="27"/>
      <c r="I3" s="27"/>
      <c r="J3" s="27"/>
    </row>
    <row r="4" spans="1:13">
      <c r="A4" s="162" t="s">
        <v>989</v>
      </c>
      <c r="B4" s="162" t="s">
        <v>993</v>
      </c>
      <c r="C4" s="162" t="s">
        <v>1047</v>
      </c>
      <c r="D4" s="162" t="s">
        <v>1048</v>
      </c>
      <c r="E4" s="162" t="s">
        <v>990</v>
      </c>
      <c r="F4" s="142"/>
      <c r="G4" s="143"/>
      <c r="H4" s="143"/>
      <c r="I4" s="143"/>
      <c r="J4" s="143"/>
    </row>
    <row r="5" spans="1:13">
      <c r="A5" s="179" t="s">
        <v>1049</v>
      </c>
      <c r="B5" t="s">
        <v>1054</v>
      </c>
      <c r="C5" s="179" t="s">
        <v>1054</v>
      </c>
      <c r="D5" t="s">
        <v>1153</v>
      </c>
      <c r="E5" s="25">
        <v>-243.8</v>
      </c>
      <c r="F5" s="142"/>
      <c r="G5" s="143"/>
      <c r="H5" s="143"/>
      <c r="I5" s="143"/>
      <c r="J5" s="143"/>
    </row>
    <row r="6" spans="1:13">
      <c r="A6" s="179"/>
      <c r="C6" s="179"/>
      <c r="D6" t="s">
        <v>1154</v>
      </c>
      <c r="E6" s="25">
        <v>-220.75</v>
      </c>
      <c r="G6" s="27"/>
      <c r="H6" s="27"/>
      <c r="I6" s="27"/>
      <c r="J6" s="27"/>
    </row>
    <row r="7" spans="1:13">
      <c r="A7" s="179"/>
      <c r="C7" s="179"/>
      <c r="D7" t="s">
        <v>1155</v>
      </c>
      <c r="E7" s="25">
        <v>-798.03</v>
      </c>
      <c r="F7" s="90"/>
      <c r="G7" s="27"/>
      <c r="H7" s="27"/>
      <c r="I7" s="27"/>
      <c r="J7" s="27"/>
    </row>
    <row r="8" spans="1:13">
      <c r="A8" s="179"/>
      <c r="C8" s="179"/>
      <c r="D8" t="s">
        <v>1156</v>
      </c>
      <c r="E8" s="25">
        <v>-442.71999999999997</v>
      </c>
      <c r="F8" s="27"/>
      <c r="G8" s="27"/>
      <c r="H8" s="27"/>
      <c r="I8" s="27"/>
      <c r="J8" s="27"/>
    </row>
    <row r="9" spans="1:13">
      <c r="A9" s="179"/>
      <c r="B9" t="s">
        <v>941</v>
      </c>
      <c r="C9" s="179" t="s">
        <v>1060</v>
      </c>
      <c r="D9" t="s">
        <v>1061</v>
      </c>
      <c r="E9" s="25">
        <v>-4663140.9700000007</v>
      </c>
      <c r="F9" s="27"/>
      <c r="G9" s="27"/>
      <c r="H9" s="27"/>
      <c r="I9" s="27"/>
      <c r="J9" s="27"/>
    </row>
    <row r="10" spans="1:13">
      <c r="A10" s="179"/>
      <c r="C10" s="179" t="s">
        <v>1062</v>
      </c>
      <c r="D10" t="s">
        <v>1061</v>
      </c>
      <c r="E10" s="25">
        <v>-435985.37999999995</v>
      </c>
      <c r="F10" s="27"/>
      <c r="G10" s="27"/>
      <c r="H10" s="27"/>
      <c r="I10" s="27"/>
      <c r="J10" s="27"/>
    </row>
    <row r="11" spans="1:13">
      <c r="A11" s="179"/>
      <c r="C11" s="179" t="s">
        <v>1063</v>
      </c>
      <c r="D11" t="s">
        <v>1061</v>
      </c>
      <c r="E11" s="25">
        <v>-319714.05999999994</v>
      </c>
      <c r="F11" s="27"/>
      <c r="G11" s="27"/>
      <c r="H11" s="27"/>
      <c r="I11" s="27"/>
      <c r="J11" s="27"/>
    </row>
    <row r="12" spans="1:13">
      <c r="A12" s="179"/>
      <c r="C12" s="179" t="s">
        <v>1064</v>
      </c>
      <c r="D12" t="s">
        <v>1061</v>
      </c>
      <c r="E12" s="25">
        <v>-131611366.06999999</v>
      </c>
      <c r="F12" s="27"/>
      <c r="G12" s="27"/>
      <c r="H12" s="27"/>
      <c r="I12" s="27"/>
      <c r="J12" s="27"/>
    </row>
    <row r="13" spans="1:13">
      <c r="A13" s="179"/>
      <c r="C13" s="179" t="s">
        <v>1065</v>
      </c>
      <c r="D13" t="s">
        <v>1061</v>
      </c>
      <c r="E13" s="25">
        <v>-4734012.0999999996</v>
      </c>
      <c r="F13" s="27"/>
      <c r="G13" s="27"/>
      <c r="H13" s="27"/>
      <c r="I13" s="27"/>
      <c r="J13" s="27"/>
    </row>
    <row r="14" spans="1:13">
      <c r="A14" s="179"/>
      <c r="C14" s="179" t="s">
        <v>1066</v>
      </c>
      <c r="D14" t="s">
        <v>1061</v>
      </c>
      <c r="E14" s="25">
        <v>-16542470.870000001</v>
      </c>
      <c r="F14" s="27"/>
      <c r="G14" s="27"/>
      <c r="H14" s="27"/>
      <c r="I14" s="27"/>
      <c r="J14" s="27"/>
      <c r="L14" s="26"/>
      <c r="M14" s="26"/>
    </row>
    <row r="15" spans="1:13">
      <c r="A15" s="179"/>
      <c r="C15" s="179" t="s">
        <v>1067</v>
      </c>
      <c r="D15" t="s">
        <v>1061</v>
      </c>
      <c r="E15" s="25">
        <v>-114624.93999999999</v>
      </c>
      <c r="F15" s="27"/>
      <c r="G15" s="27"/>
      <c r="H15" s="27"/>
      <c r="I15" s="27"/>
      <c r="J15" s="27"/>
      <c r="L15" s="26"/>
      <c r="M15" s="26"/>
    </row>
    <row r="16" spans="1:13">
      <c r="A16" s="179"/>
      <c r="C16" s="179" t="s">
        <v>1068</v>
      </c>
      <c r="D16" t="s">
        <v>1061</v>
      </c>
      <c r="E16" s="25">
        <v>-20470.82</v>
      </c>
      <c r="F16" s="27"/>
      <c r="G16" s="27"/>
      <c r="H16" s="27"/>
      <c r="I16" s="27"/>
      <c r="J16" s="27"/>
      <c r="L16" s="26"/>
      <c r="M16" s="26"/>
    </row>
    <row r="17" spans="1:13">
      <c r="A17" s="179"/>
      <c r="C17" s="179" t="s">
        <v>1069</v>
      </c>
      <c r="D17" t="s">
        <v>1061</v>
      </c>
      <c r="E17" s="25">
        <v>-16919.030000000002</v>
      </c>
      <c r="F17" s="27"/>
      <c r="G17" s="27"/>
      <c r="H17" s="27"/>
      <c r="I17" s="27"/>
      <c r="J17" s="27"/>
      <c r="L17" s="26"/>
      <c r="M17" s="26"/>
    </row>
    <row r="18" spans="1:13">
      <c r="A18" s="179"/>
      <c r="C18" s="179" t="s">
        <v>1070</v>
      </c>
      <c r="D18" t="s">
        <v>1061</v>
      </c>
      <c r="E18" s="25">
        <v>-6389385.040000001</v>
      </c>
      <c r="F18" s="27"/>
      <c r="G18" s="27"/>
      <c r="H18" s="27"/>
      <c r="I18" s="27"/>
      <c r="J18" s="27"/>
      <c r="L18" s="26"/>
      <c r="M18" s="26"/>
    </row>
    <row r="19" spans="1:13">
      <c r="A19" s="179"/>
      <c r="C19" s="179" t="s">
        <v>1071</v>
      </c>
      <c r="D19" t="s">
        <v>1061</v>
      </c>
      <c r="E19" s="25">
        <v>-241347.69</v>
      </c>
      <c r="F19" s="27"/>
      <c r="G19" s="27"/>
      <c r="H19" s="27"/>
      <c r="I19" s="27"/>
      <c r="J19" s="27"/>
      <c r="L19" s="26"/>
      <c r="M19" s="26"/>
    </row>
    <row r="20" spans="1:13">
      <c r="A20" s="179"/>
      <c r="C20" s="179" t="s">
        <v>1072</v>
      </c>
      <c r="D20" t="s">
        <v>1061</v>
      </c>
      <c r="E20" s="25">
        <v>-1515221.56</v>
      </c>
      <c r="F20" s="27"/>
      <c r="G20" s="27"/>
      <c r="H20" s="27"/>
      <c r="I20" s="27"/>
      <c r="J20" s="27"/>
      <c r="L20" s="26"/>
      <c r="M20" s="26"/>
    </row>
    <row r="21" spans="1:13">
      <c r="A21" s="231"/>
      <c r="B21" s="197" t="s">
        <v>1073</v>
      </c>
      <c r="C21" s="231" t="s">
        <v>1074</v>
      </c>
      <c r="D21" s="197" t="s">
        <v>1075</v>
      </c>
      <c r="E21" s="232">
        <v>31388812</v>
      </c>
      <c r="F21" s="27" t="s">
        <v>1076</v>
      </c>
      <c r="G21" s="27">
        <f>E21*97%</f>
        <v>30447147.640000001</v>
      </c>
      <c r="H21" s="27"/>
      <c r="I21" s="27"/>
      <c r="J21" s="27"/>
      <c r="L21" s="26"/>
      <c r="M21" s="26"/>
    </row>
    <row r="22" spans="1:13">
      <c r="A22" s="231"/>
      <c r="B22" s="197"/>
      <c r="C22" s="231"/>
      <c r="D22" s="197" t="s">
        <v>1157</v>
      </c>
      <c r="E22" s="232">
        <v>0</v>
      </c>
      <c r="F22" s="27" t="s">
        <v>1076</v>
      </c>
      <c r="G22" s="27">
        <f>E22*97%</f>
        <v>0</v>
      </c>
      <c r="H22" s="27"/>
      <c r="I22" s="27"/>
      <c r="J22" s="27"/>
      <c r="L22" s="26"/>
      <c r="M22" s="26"/>
    </row>
    <row r="23" spans="1:13">
      <c r="A23" s="231"/>
      <c r="B23" s="197"/>
      <c r="C23" s="231"/>
      <c r="D23" s="197" t="s">
        <v>1077</v>
      </c>
      <c r="E23" s="232">
        <v>-37019853.640000001</v>
      </c>
      <c r="F23" s="27" t="s">
        <v>1076</v>
      </c>
      <c r="G23" s="27">
        <f>E23*97%</f>
        <v>-35909258.0308</v>
      </c>
      <c r="H23" s="27"/>
      <c r="I23" s="27"/>
      <c r="J23" s="27"/>
      <c r="L23" s="26"/>
      <c r="M23" s="26"/>
    </row>
    <row r="24" spans="1:13">
      <c r="A24" s="179" t="s">
        <v>1078</v>
      </c>
      <c r="B24" t="s">
        <v>1054</v>
      </c>
      <c r="C24" s="179" t="s">
        <v>1054</v>
      </c>
      <c r="D24" t="s">
        <v>1153</v>
      </c>
      <c r="E24" s="25">
        <v>-627.96</v>
      </c>
      <c r="F24" s="27"/>
      <c r="G24" s="27"/>
      <c r="H24" s="27"/>
      <c r="I24" s="27"/>
      <c r="J24" s="27"/>
      <c r="L24" s="26"/>
      <c r="M24" s="26"/>
    </row>
    <row r="25" spans="1:13">
      <c r="A25" s="179"/>
      <c r="C25" s="179"/>
      <c r="D25" t="s">
        <v>1154</v>
      </c>
      <c r="E25" s="25">
        <v>-670.61</v>
      </c>
      <c r="F25" s="27"/>
      <c r="G25" s="27"/>
      <c r="H25" s="27"/>
      <c r="I25" s="27"/>
      <c r="J25" s="27"/>
      <c r="L25" s="26"/>
      <c r="M25" s="26"/>
    </row>
    <row r="26" spans="1:13">
      <c r="A26" s="179"/>
      <c r="C26" s="179"/>
      <c r="D26" t="s">
        <v>1155</v>
      </c>
      <c r="E26" s="25">
        <v>-1921.6299999999999</v>
      </c>
      <c r="F26" s="27"/>
      <c r="G26" s="27"/>
      <c r="H26" s="27"/>
      <c r="I26" s="27"/>
      <c r="J26" s="27"/>
      <c r="L26" s="26"/>
      <c r="M26" s="26"/>
    </row>
    <row r="27" spans="1:13">
      <c r="A27" s="179"/>
      <c r="C27" s="179"/>
      <c r="D27" t="s">
        <v>1156</v>
      </c>
      <c r="E27" s="25">
        <v>-1037.8500000000001</v>
      </c>
      <c r="F27" s="27"/>
      <c r="G27" s="27"/>
      <c r="H27" s="27"/>
      <c r="I27" s="27"/>
      <c r="J27" s="27"/>
      <c r="L27" s="26"/>
      <c r="M27" s="26"/>
    </row>
    <row r="28" spans="1:13">
      <c r="A28" s="179"/>
      <c r="B28" t="s">
        <v>941</v>
      </c>
      <c r="C28" s="179" t="s">
        <v>1080</v>
      </c>
      <c r="D28" t="s">
        <v>1061</v>
      </c>
      <c r="E28" s="25">
        <v>-1545606.84</v>
      </c>
      <c r="F28" s="27"/>
      <c r="G28" s="27"/>
      <c r="H28" s="27"/>
      <c r="I28" s="27"/>
      <c r="J28" s="27"/>
      <c r="L28" s="26"/>
      <c r="M28" s="26"/>
    </row>
    <row r="29" spans="1:13">
      <c r="A29" s="179"/>
      <c r="C29" s="179" t="s">
        <v>1081</v>
      </c>
      <c r="D29" t="s">
        <v>1061</v>
      </c>
      <c r="E29" s="25">
        <v>-90399791.110000014</v>
      </c>
      <c r="F29" s="27"/>
      <c r="G29" s="27"/>
      <c r="H29" s="27"/>
      <c r="I29" s="27"/>
      <c r="J29" s="27"/>
      <c r="L29" s="26"/>
      <c r="M29" s="26"/>
    </row>
    <row r="30" spans="1:13">
      <c r="A30" s="179"/>
      <c r="C30" s="179" t="s">
        <v>1082</v>
      </c>
      <c r="D30" t="s">
        <v>1061</v>
      </c>
      <c r="E30" s="25">
        <v>-81580.000000000015</v>
      </c>
      <c r="F30" s="27"/>
      <c r="G30" s="27"/>
      <c r="H30" s="27"/>
      <c r="I30" s="27"/>
      <c r="J30" s="27"/>
      <c r="L30" s="26"/>
      <c r="M30" s="26"/>
    </row>
    <row r="31" spans="1:13">
      <c r="A31" s="179"/>
      <c r="C31" s="179" t="s">
        <v>1083</v>
      </c>
      <c r="D31" t="s">
        <v>1061</v>
      </c>
      <c r="E31" s="25">
        <v>-8238136.4799999995</v>
      </c>
      <c r="F31" s="27"/>
      <c r="G31" s="27"/>
      <c r="H31" s="27"/>
      <c r="I31" s="27"/>
      <c r="J31" s="27"/>
      <c r="L31" s="26"/>
      <c r="M31" s="26"/>
    </row>
    <row r="32" spans="1:13">
      <c r="A32" s="179" t="s">
        <v>1084</v>
      </c>
      <c r="B32" t="s">
        <v>1054</v>
      </c>
      <c r="C32" s="179" t="s">
        <v>1054</v>
      </c>
      <c r="D32" t="s">
        <v>1153</v>
      </c>
      <c r="E32" s="25">
        <v>-47.019999999999996</v>
      </c>
      <c r="F32" s="27"/>
      <c r="G32" s="27"/>
      <c r="H32" s="27"/>
      <c r="I32" s="27"/>
      <c r="J32" s="27"/>
      <c r="L32" s="26"/>
      <c r="M32" s="26"/>
    </row>
    <row r="33" spans="1:13">
      <c r="A33" s="179"/>
      <c r="C33" s="179"/>
      <c r="D33" t="s">
        <v>1154</v>
      </c>
      <c r="E33" s="25">
        <v>-48.2</v>
      </c>
      <c r="F33" s="27"/>
      <c r="G33" s="27"/>
      <c r="H33" s="27"/>
      <c r="I33" s="27"/>
      <c r="J33" s="27"/>
      <c r="L33" s="26"/>
      <c r="M33" s="26"/>
    </row>
    <row r="34" spans="1:13">
      <c r="A34" s="179"/>
      <c r="C34" s="179"/>
      <c r="D34" t="s">
        <v>1155</v>
      </c>
      <c r="E34" s="25">
        <v>-145.88</v>
      </c>
      <c r="F34" s="27"/>
      <c r="G34" s="27"/>
      <c r="H34" s="27"/>
      <c r="I34" s="27"/>
      <c r="J34" s="27"/>
      <c r="L34" s="26"/>
      <c r="M34" s="26"/>
    </row>
    <row r="35" spans="1:13">
      <c r="A35" s="179"/>
      <c r="C35" s="179"/>
      <c r="D35" t="s">
        <v>1156</v>
      </c>
      <c r="E35" s="25">
        <v>-77</v>
      </c>
      <c r="F35" s="27"/>
      <c r="G35" s="27"/>
      <c r="H35" s="27"/>
      <c r="I35" s="27"/>
      <c r="J35" s="27"/>
      <c r="L35" s="26"/>
      <c r="M35" s="26"/>
    </row>
    <row r="36" spans="1:13">
      <c r="A36" s="179"/>
      <c r="B36" t="s">
        <v>941</v>
      </c>
      <c r="C36" s="179" t="s">
        <v>1085</v>
      </c>
      <c r="D36" t="s">
        <v>1061</v>
      </c>
      <c r="E36" s="25">
        <v>-220632.51</v>
      </c>
      <c r="F36" s="27"/>
      <c r="G36" s="27"/>
      <c r="H36" s="27"/>
      <c r="I36" s="27"/>
      <c r="J36" s="27"/>
      <c r="L36" s="26"/>
      <c r="M36" s="26"/>
    </row>
    <row r="37" spans="1:13">
      <c r="A37" s="179"/>
      <c r="C37" s="179" t="s">
        <v>1086</v>
      </c>
      <c r="D37" t="s">
        <v>1061</v>
      </c>
      <c r="E37" s="25">
        <v>-7586331.4700000007</v>
      </c>
      <c r="F37" s="27"/>
      <c r="G37" s="27"/>
      <c r="H37" s="27"/>
      <c r="I37" s="27"/>
      <c r="J37" s="27"/>
      <c r="L37" s="26"/>
      <c r="M37" s="26"/>
    </row>
    <row r="38" spans="1:13">
      <c r="A38" s="179"/>
      <c r="C38" s="179" t="s">
        <v>1087</v>
      </c>
      <c r="D38" t="s">
        <v>1061</v>
      </c>
      <c r="E38" s="25">
        <v>-7405.6500000000015</v>
      </c>
      <c r="F38" s="27"/>
      <c r="G38" s="27"/>
      <c r="H38" s="27"/>
      <c r="I38" s="27"/>
      <c r="J38" s="27"/>
      <c r="L38" s="26"/>
      <c r="M38" s="26"/>
    </row>
    <row r="39" spans="1:13">
      <c r="A39" s="179"/>
      <c r="C39" s="179" t="s">
        <v>1088</v>
      </c>
      <c r="D39" t="s">
        <v>1061</v>
      </c>
      <c r="E39" s="25">
        <v>-511494.12000000005</v>
      </c>
      <c r="F39" s="27"/>
      <c r="G39" s="27"/>
      <c r="H39" s="27"/>
      <c r="I39" s="27"/>
      <c r="J39" s="27"/>
      <c r="L39" s="26"/>
      <c r="M39" s="26"/>
    </row>
    <row r="40" spans="1:13">
      <c r="A40" s="179" t="s">
        <v>1089</v>
      </c>
      <c r="B40" t="s">
        <v>1158</v>
      </c>
      <c r="C40" s="179" t="s">
        <v>1159</v>
      </c>
      <c r="D40" t="s">
        <v>1160</v>
      </c>
      <c r="E40" s="25">
        <v>1408.04</v>
      </c>
      <c r="F40" s="27"/>
      <c r="G40" s="27"/>
      <c r="H40" s="27"/>
      <c r="I40" s="25"/>
      <c r="J40" s="27"/>
      <c r="L40" s="26"/>
      <c r="M40" s="26"/>
    </row>
    <row r="41" spans="1:13">
      <c r="A41" s="179"/>
      <c r="B41" t="s">
        <v>1161</v>
      </c>
      <c r="C41" s="179" t="s">
        <v>1162</v>
      </c>
      <c r="D41" t="s">
        <v>1163</v>
      </c>
      <c r="E41" s="25">
        <v>-12401.5</v>
      </c>
      <c r="F41" s="27"/>
      <c r="G41" s="27"/>
      <c r="H41" s="27"/>
      <c r="I41" s="27"/>
      <c r="J41" s="27"/>
      <c r="L41" s="26"/>
      <c r="M41" s="26"/>
    </row>
    <row r="42" spans="1:13">
      <c r="A42" s="179"/>
      <c r="B42" t="s">
        <v>1164</v>
      </c>
      <c r="C42" s="179" t="s">
        <v>1165</v>
      </c>
      <c r="D42" t="s">
        <v>1166</v>
      </c>
      <c r="E42" s="25">
        <v>91853</v>
      </c>
      <c r="F42" s="27"/>
      <c r="G42" s="27"/>
      <c r="H42" s="27"/>
      <c r="I42" s="27"/>
      <c r="J42" s="27"/>
      <c r="L42" s="26"/>
      <c r="M42" s="26"/>
    </row>
    <row r="43" spans="1:13">
      <c r="A43" s="229"/>
      <c r="B43" s="230" t="s">
        <v>994</v>
      </c>
      <c r="C43" s="229" t="s">
        <v>1167</v>
      </c>
      <c r="D43" s="230" t="s">
        <v>1101</v>
      </c>
      <c r="E43" s="175">
        <v>-1266564.5899999999</v>
      </c>
      <c r="F43" s="27"/>
      <c r="G43" s="27"/>
      <c r="H43" s="27"/>
      <c r="I43" s="27"/>
      <c r="J43" s="27"/>
      <c r="L43" s="26"/>
      <c r="M43" s="26"/>
    </row>
    <row r="44" spans="1:13">
      <c r="A44" s="229"/>
      <c r="B44" s="230"/>
      <c r="C44" s="229"/>
      <c r="D44" s="230" t="s">
        <v>1168</v>
      </c>
      <c r="E44" s="175">
        <v>-208035.69</v>
      </c>
      <c r="F44" s="27"/>
      <c r="G44" s="27"/>
      <c r="H44" s="27"/>
      <c r="I44" s="27"/>
      <c r="J44" s="27"/>
      <c r="L44" s="26"/>
      <c r="M44" s="26"/>
    </row>
    <row r="45" spans="1:13">
      <c r="A45" s="229"/>
      <c r="B45" s="230"/>
      <c r="C45" s="229"/>
      <c r="D45" s="230" t="s">
        <v>1169</v>
      </c>
      <c r="E45" s="175">
        <v>208035.69</v>
      </c>
      <c r="F45" s="27"/>
      <c r="G45" s="27"/>
      <c r="H45" s="27"/>
      <c r="I45" s="27"/>
      <c r="J45" s="27"/>
      <c r="L45" s="26"/>
      <c r="M45" s="26"/>
    </row>
    <row r="46" spans="1:13">
      <c r="A46" s="179"/>
      <c r="B46" t="s">
        <v>995</v>
      </c>
      <c r="C46" s="179" t="s">
        <v>1170</v>
      </c>
      <c r="D46" t="s">
        <v>1171</v>
      </c>
      <c r="E46" s="25">
        <v>-41255</v>
      </c>
      <c r="F46" s="27"/>
      <c r="G46" s="27"/>
      <c r="H46" s="27"/>
      <c r="I46" s="27"/>
      <c r="J46" s="27"/>
      <c r="L46" s="26"/>
      <c r="M46" s="26"/>
    </row>
    <row r="47" spans="1:13">
      <c r="A47" s="179"/>
      <c r="C47" s="179" t="s">
        <v>1172</v>
      </c>
      <c r="D47" t="s">
        <v>1171</v>
      </c>
      <c r="E47" s="25">
        <v>-6308</v>
      </c>
      <c r="F47" s="27"/>
      <c r="G47" s="27"/>
      <c r="H47" s="27"/>
      <c r="I47" s="27"/>
      <c r="J47" s="27"/>
      <c r="L47" s="26"/>
      <c r="M47" s="26"/>
    </row>
    <row r="48" spans="1:13">
      <c r="A48" s="179"/>
      <c r="C48" s="179" t="s">
        <v>1173</v>
      </c>
      <c r="D48" t="s">
        <v>1171</v>
      </c>
      <c r="E48" s="25">
        <v>49</v>
      </c>
      <c r="F48" s="27"/>
      <c r="G48" s="27"/>
      <c r="H48" s="27"/>
      <c r="I48" s="27"/>
      <c r="J48" s="27"/>
      <c r="L48" s="26"/>
      <c r="M48" s="26"/>
    </row>
    <row r="49" spans="1:13">
      <c r="A49" s="179"/>
      <c r="C49" s="179" t="s">
        <v>1174</v>
      </c>
      <c r="D49" t="s">
        <v>1171</v>
      </c>
      <c r="E49" s="25">
        <v>-114276.07</v>
      </c>
      <c r="F49" s="27"/>
      <c r="G49" s="27"/>
      <c r="H49" s="27"/>
      <c r="I49" s="27"/>
      <c r="J49" s="27"/>
      <c r="L49" s="26"/>
      <c r="M49" s="26"/>
    </row>
    <row r="50" spans="1:13">
      <c r="A50" s="179"/>
      <c r="C50" s="179" t="s">
        <v>1107</v>
      </c>
      <c r="D50" t="s">
        <v>1108</v>
      </c>
      <c r="E50" s="25">
        <v>1881929</v>
      </c>
      <c r="F50" s="27"/>
      <c r="G50" s="27"/>
      <c r="H50" s="27"/>
      <c r="I50" s="27"/>
      <c r="J50" s="27"/>
      <c r="L50" s="26"/>
      <c r="M50" s="26"/>
    </row>
    <row r="51" spans="1:13">
      <c r="A51" s="179"/>
      <c r="C51" s="179" t="s">
        <v>1109</v>
      </c>
      <c r="D51" t="s">
        <v>1108</v>
      </c>
      <c r="E51" s="25">
        <v>357730</v>
      </c>
      <c r="F51" s="27"/>
      <c r="G51" s="27"/>
      <c r="H51" s="27"/>
      <c r="I51" s="27"/>
      <c r="J51" s="27"/>
      <c r="L51" s="26"/>
      <c r="M51" s="26"/>
    </row>
    <row r="52" spans="1:13">
      <c r="A52" s="179"/>
      <c r="C52" s="179" t="s">
        <v>1175</v>
      </c>
      <c r="D52" t="s">
        <v>1105</v>
      </c>
      <c r="E52" s="25">
        <v>-949923.06</v>
      </c>
      <c r="F52" s="27"/>
      <c r="G52" s="27"/>
      <c r="H52" s="27"/>
      <c r="I52" s="27"/>
      <c r="J52" s="27"/>
      <c r="L52" s="26"/>
      <c r="M52" s="26"/>
    </row>
    <row r="53" spans="1:13">
      <c r="A53" s="179"/>
      <c r="C53" s="179" t="s">
        <v>1110</v>
      </c>
      <c r="D53" t="s">
        <v>1105</v>
      </c>
      <c r="E53" s="25">
        <v>233538.16</v>
      </c>
      <c r="F53" s="27"/>
      <c r="G53" s="27"/>
      <c r="H53" s="27"/>
      <c r="I53" s="27"/>
      <c r="J53" s="27"/>
      <c r="L53" s="26"/>
      <c r="M53" s="26"/>
    </row>
    <row r="54" spans="1:13">
      <c r="A54" s="179"/>
      <c r="C54" s="179" t="s">
        <v>1111</v>
      </c>
      <c r="D54" t="s">
        <v>1105</v>
      </c>
      <c r="E54" s="25">
        <v>590229</v>
      </c>
      <c r="F54" s="27"/>
      <c r="G54" s="27"/>
      <c r="H54" s="27"/>
      <c r="I54" s="27"/>
      <c r="J54" s="27"/>
      <c r="L54" s="26"/>
      <c r="M54" s="26"/>
    </row>
    <row r="55" spans="1:13">
      <c r="A55" s="179"/>
      <c r="C55" s="179" t="s">
        <v>1112</v>
      </c>
      <c r="D55" t="s">
        <v>1105</v>
      </c>
      <c r="E55" s="25">
        <v>882405</v>
      </c>
      <c r="F55" s="27"/>
      <c r="G55" s="27"/>
      <c r="H55" s="27"/>
      <c r="I55" s="27"/>
      <c r="J55" s="27"/>
      <c r="L55" s="26"/>
      <c r="M55" s="26"/>
    </row>
    <row r="56" spans="1:13">
      <c r="A56" s="179"/>
      <c r="C56" s="179" t="s">
        <v>1176</v>
      </c>
      <c r="D56" t="s">
        <v>1105</v>
      </c>
      <c r="E56" s="25">
        <v>23.67</v>
      </c>
      <c r="F56" s="27"/>
      <c r="G56" s="27"/>
      <c r="H56" s="27"/>
      <c r="I56" s="27"/>
      <c r="J56" s="27"/>
      <c r="L56" s="26"/>
      <c r="M56" s="26"/>
    </row>
    <row r="57" spans="1:13">
      <c r="A57" s="179"/>
      <c r="B57" t="s">
        <v>996</v>
      </c>
      <c r="C57" s="231" t="s">
        <v>1177</v>
      </c>
      <c r="D57" s="197" t="s">
        <v>1116</v>
      </c>
      <c r="E57" s="232">
        <v>-539338.61</v>
      </c>
      <c r="F57" s="27"/>
      <c r="G57" s="27"/>
      <c r="H57" s="27"/>
      <c r="I57" s="27"/>
      <c r="J57" s="27"/>
      <c r="L57" s="26"/>
      <c r="M57" s="26"/>
    </row>
    <row r="58" spans="1:13">
      <c r="A58" s="179"/>
      <c r="C58" s="231"/>
      <c r="D58" s="197" t="s">
        <v>1178</v>
      </c>
      <c r="E58" s="232">
        <v>-825116.6</v>
      </c>
      <c r="F58" s="27"/>
      <c r="G58" s="27"/>
      <c r="H58" s="27"/>
      <c r="I58" s="27"/>
      <c r="J58" s="27"/>
      <c r="L58" s="26"/>
      <c r="M58" s="26"/>
    </row>
    <row r="59" spans="1:13">
      <c r="A59" s="179"/>
      <c r="C59" s="231"/>
      <c r="D59" s="197" t="s">
        <v>1179</v>
      </c>
      <c r="E59" s="232">
        <v>56927.239999999991</v>
      </c>
      <c r="F59" s="27"/>
      <c r="G59" s="27"/>
      <c r="H59" s="27"/>
      <c r="I59" s="27"/>
      <c r="J59" s="27"/>
      <c r="L59" s="26"/>
      <c r="M59" s="26"/>
    </row>
    <row r="60" spans="1:13">
      <c r="A60" s="179"/>
      <c r="C60" s="231" t="s">
        <v>1180</v>
      </c>
      <c r="D60" s="197" t="s">
        <v>1179</v>
      </c>
      <c r="E60" s="232">
        <v>384094.68</v>
      </c>
      <c r="F60" s="27"/>
      <c r="G60" s="27"/>
      <c r="H60" s="27"/>
      <c r="I60" s="27"/>
      <c r="J60" s="27"/>
      <c r="L60" s="26"/>
      <c r="M60" s="26"/>
    </row>
    <row r="61" spans="1:13">
      <c r="A61" s="179"/>
      <c r="C61" s="231" t="s">
        <v>1181</v>
      </c>
      <c r="D61" s="197" t="s">
        <v>1178</v>
      </c>
      <c r="E61" s="232">
        <v>-13230.66</v>
      </c>
      <c r="F61" s="27"/>
      <c r="G61" s="27"/>
      <c r="H61" s="27"/>
      <c r="I61" s="27"/>
      <c r="J61" s="27"/>
      <c r="L61" s="26"/>
      <c r="M61" s="26"/>
    </row>
    <row r="62" spans="1:13">
      <c r="A62" s="179"/>
      <c r="C62" s="231"/>
      <c r="D62" s="197" t="s">
        <v>1179</v>
      </c>
      <c r="E62" s="232">
        <v>13230.66</v>
      </c>
      <c r="F62" s="27"/>
      <c r="G62" s="27"/>
      <c r="H62" s="27"/>
      <c r="I62" s="27"/>
      <c r="J62" s="27"/>
      <c r="L62" s="26"/>
      <c r="M62" s="26"/>
    </row>
    <row r="63" spans="1:13">
      <c r="A63" s="179"/>
      <c r="C63" s="179" t="s">
        <v>1117</v>
      </c>
      <c r="D63" t="s">
        <v>1118</v>
      </c>
      <c r="E63" s="25">
        <v>-11752988.880000001</v>
      </c>
      <c r="F63" s="27"/>
      <c r="G63" s="27"/>
      <c r="H63" s="27"/>
      <c r="I63" s="27"/>
      <c r="J63" s="27"/>
      <c r="L63" s="26"/>
      <c r="M63" s="26"/>
    </row>
    <row r="64" spans="1:13">
      <c r="A64" s="179"/>
      <c r="C64" s="179" t="s">
        <v>1119</v>
      </c>
      <c r="D64" t="s">
        <v>1118</v>
      </c>
      <c r="E64" s="25">
        <v>-363496.47</v>
      </c>
      <c r="F64" s="27"/>
      <c r="G64" s="27"/>
      <c r="H64" s="27"/>
      <c r="I64" s="27"/>
      <c r="J64" s="27"/>
      <c r="L64" s="26"/>
      <c r="M64" s="26"/>
    </row>
    <row r="65" spans="1:13">
      <c r="A65" s="179"/>
      <c r="B65" t="s">
        <v>1182</v>
      </c>
      <c r="C65" s="179" t="s">
        <v>1183</v>
      </c>
      <c r="D65" t="s">
        <v>1184</v>
      </c>
      <c r="E65" s="25">
        <v>461331</v>
      </c>
      <c r="F65" s="27"/>
      <c r="G65" s="27"/>
      <c r="H65" s="27"/>
      <c r="I65" s="27"/>
      <c r="J65" s="27"/>
      <c r="L65" s="26"/>
      <c r="M65" s="26"/>
    </row>
    <row r="66" spans="1:13">
      <c r="A66" s="179"/>
      <c r="B66" t="s">
        <v>1008</v>
      </c>
      <c r="C66" s="179" t="s">
        <v>1008</v>
      </c>
      <c r="D66" t="s">
        <v>1120</v>
      </c>
      <c r="E66" s="25">
        <v>7229901.3200000003</v>
      </c>
      <c r="F66" s="27"/>
      <c r="G66" s="27"/>
      <c r="H66" s="27"/>
      <c r="I66" s="27"/>
      <c r="J66" s="27"/>
      <c r="L66" s="26"/>
      <c r="M66" s="26"/>
    </row>
    <row r="67" spans="1:13">
      <c r="A67" s="179"/>
      <c r="C67" s="179" t="s">
        <v>1121</v>
      </c>
      <c r="D67" t="s">
        <v>1120</v>
      </c>
      <c r="E67" s="25">
        <v>147231.46</v>
      </c>
      <c r="F67" s="27"/>
      <c r="G67" s="27"/>
      <c r="H67" s="27"/>
      <c r="I67" s="27"/>
      <c r="J67" s="27"/>
      <c r="L67" s="26"/>
      <c r="M67" s="26"/>
    </row>
    <row r="68" spans="1:13">
      <c r="A68" s="179"/>
      <c r="B68" t="s">
        <v>1185</v>
      </c>
      <c r="C68" s="179" t="s">
        <v>1186</v>
      </c>
      <c r="D68" t="s">
        <v>1187</v>
      </c>
      <c r="E68" s="25">
        <v>-146501.13</v>
      </c>
      <c r="F68" s="27"/>
      <c r="G68" s="27"/>
      <c r="H68" s="27"/>
      <c r="I68" s="27"/>
      <c r="J68" s="27"/>
      <c r="L68" s="26"/>
      <c r="M68" s="26"/>
    </row>
    <row r="69" spans="1:13">
      <c r="A69" s="179"/>
      <c r="C69" s="179" t="s">
        <v>1188</v>
      </c>
      <c r="D69" t="s">
        <v>1187</v>
      </c>
      <c r="E69" s="25">
        <v>-4883371.01</v>
      </c>
      <c r="F69" s="27"/>
      <c r="G69" s="27"/>
      <c r="H69" s="27"/>
      <c r="I69" s="27"/>
      <c r="J69" s="27"/>
      <c r="L69" s="26"/>
      <c r="M69" s="26"/>
    </row>
    <row r="70" spans="1:13">
      <c r="A70" s="179"/>
      <c r="C70" s="179" t="s">
        <v>1189</v>
      </c>
      <c r="D70" t="s">
        <v>1187</v>
      </c>
      <c r="E70" s="25">
        <v>98118.21</v>
      </c>
      <c r="F70" s="27"/>
      <c r="G70" s="27"/>
      <c r="H70" s="27"/>
      <c r="I70" s="27"/>
      <c r="J70" s="27"/>
      <c r="L70" s="26"/>
      <c r="M70" s="26"/>
    </row>
    <row r="71" spans="1:13">
      <c r="A71" s="179"/>
      <c r="B71" t="s">
        <v>1122</v>
      </c>
      <c r="C71" s="179" t="s">
        <v>1122</v>
      </c>
      <c r="D71" t="s">
        <v>1123</v>
      </c>
      <c r="E71" s="25">
        <v>10740196.440000001</v>
      </c>
      <c r="F71" s="27"/>
      <c r="G71" s="27"/>
      <c r="H71" s="27"/>
      <c r="I71" s="27"/>
      <c r="J71" s="27"/>
      <c r="L71" s="26"/>
      <c r="M71" s="26"/>
    </row>
    <row r="72" spans="1:13">
      <c r="A72" s="179"/>
      <c r="B72" t="s">
        <v>1190</v>
      </c>
      <c r="C72" s="179" t="s">
        <v>1191</v>
      </c>
      <c r="D72" t="s">
        <v>1192</v>
      </c>
      <c r="E72" s="25">
        <v>249299.37</v>
      </c>
      <c r="L72" s="26"/>
      <c r="M72" s="26"/>
    </row>
    <row r="73" spans="1:13">
      <c r="A73" s="179"/>
      <c r="C73" s="179" t="s">
        <v>1193</v>
      </c>
      <c r="D73" t="s">
        <v>1194</v>
      </c>
      <c r="E73" s="25">
        <v>197252.6</v>
      </c>
      <c r="L73" s="26"/>
      <c r="M73" s="26"/>
    </row>
    <row r="74" spans="1:13">
      <c r="A74" s="179"/>
      <c r="C74" s="179" t="s">
        <v>1195</v>
      </c>
      <c r="D74" t="s">
        <v>1192</v>
      </c>
      <c r="E74" s="25">
        <v>249299.37</v>
      </c>
      <c r="L74" s="26"/>
      <c r="M74" s="26"/>
    </row>
    <row r="75" spans="1:13">
      <c r="A75" s="179"/>
      <c r="C75" s="179" t="s">
        <v>1196</v>
      </c>
      <c r="D75" t="s">
        <v>1194</v>
      </c>
      <c r="E75" s="25">
        <v>197252.6</v>
      </c>
      <c r="L75" s="26"/>
      <c r="M75" s="26"/>
    </row>
    <row r="76" spans="1:13">
      <c r="A76" s="179"/>
      <c r="B76" t="s">
        <v>1011</v>
      </c>
      <c r="C76" s="179" t="s">
        <v>1197</v>
      </c>
      <c r="D76" t="s">
        <v>1131</v>
      </c>
      <c r="E76" s="25">
        <v>-249299.37</v>
      </c>
      <c r="L76" s="26"/>
      <c r="M76" s="26"/>
    </row>
    <row r="77" spans="1:13">
      <c r="A77" s="179"/>
      <c r="C77" s="179" t="s">
        <v>1198</v>
      </c>
      <c r="D77" t="s">
        <v>1131</v>
      </c>
      <c r="E77" s="25">
        <v>45749.77</v>
      </c>
      <c r="L77" s="26"/>
      <c r="M77" s="26"/>
    </row>
    <row r="78" spans="1:13">
      <c r="A78" s="179"/>
      <c r="C78" s="179" t="s">
        <v>1199</v>
      </c>
      <c r="D78" t="s">
        <v>1131</v>
      </c>
      <c r="E78" s="25">
        <v>828.47</v>
      </c>
      <c r="L78" s="26"/>
      <c r="M78" s="26"/>
    </row>
    <row r="79" spans="1:13">
      <c r="A79" s="179"/>
      <c r="C79" s="179" t="s">
        <v>1200</v>
      </c>
      <c r="D79" t="s">
        <v>1131</v>
      </c>
      <c r="E79" s="25">
        <v>-340597.33</v>
      </c>
      <c r="L79" s="26"/>
      <c r="M79" s="26"/>
    </row>
    <row r="80" spans="1:13">
      <c r="A80" s="179"/>
      <c r="C80" s="179" t="s">
        <v>1201</v>
      </c>
      <c r="D80" t="s">
        <v>1131</v>
      </c>
      <c r="E80" s="25">
        <v>-414044.04</v>
      </c>
      <c r="L80" s="26"/>
      <c r="M80" s="26"/>
    </row>
    <row r="81" spans="1:13">
      <c r="A81" s="179"/>
      <c r="C81" s="179" t="s">
        <v>1202</v>
      </c>
      <c r="D81" t="s">
        <v>1131</v>
      </c>
      <c r="E81" s="25">
        <v>47925.35</v>
      </c>
      <c r="L81" s="26"/>
      <c r="M81" s="26"/>
    </row>
    <row r="82" spans="1:13">
      <c r="A82" s="179"/>
      <c r="C82" s="179" t="s">
        <v>1203</v>
      </c>
      <c r="D82" t="s">
        <v>1131</v>
      </c>
      <c r="E82" s="25">
        <v>-317008.62</v>
      </c>
      <c r="L82" s="26"/>
      <c r="M82" s="26"/>
    </row>
    <row r="83" spans="1:13">
      <c r="A83" s="179"/>
      <c r="C83" s="179" t="s">
        <v>1204</v>
      </c>
      <c r="D83" t="s">
        <v>1131</v>
      </c>
      <c r="E83" s="25">
        <v>-122735.94</v>
      </c>
      <c r="L83" s="26"/>
      <c r="M83" s="26"/>
    </row>
    <row r="84" spans="1:13">
      <c r="A84" s="179"/>
      <c r="C84" s="179" t="s">
        <v>1205</v>
      </c>
      <c r="D84" t="s">
        <v>1131</v>
      </c>
      <c r="E84" s="25">
        <v>-13625.24</v>
      </c>
      <c r="L84" s="26"/>
      <c r="M84" s="26"/>
    </row>
    <row r="85" spans="1:13">
      <c r="A85" s="179"/>
      <c r="C85" s="179" t="s">
        <v>1206</v>
      </c>
      <c r="D85" t="s">
        <v>1131</v>
      </c>
      <c r="E85" s="25">
        <v>89710.8</v>
      </c>
      <c r="G85" s="32"/>
      <c r="L85" s="26"/>
      <c r="M85" s="26"/>
    </row>
    <row r="86" spans="1:13">
      <c r="A86" s="179"/>
      <c r="C86" s="179" t="s">
        <v>1207</v>
      </c>
      <c r="D86" t="s">
        <v>1131</v>
      </c>
      <c r="E86" s="25">
        <v>62429.48</v>
      </c>
      <c r="L86" s="26"/>
      <c r="M86" s="26"/>
    </row>
    <row r="87" spans="1:13">
      <c r="A87" s="179"/>
      <c r="C87" s="179" t="s">
        <v>1208</v>
      </c>
      <c r="D87" t="s">
        <v>1131</v>
      </c>
      <c r="E87" s="25">
        <v>43069.71</v>
      </c>
      <c r="L87" s="26"/>
      <c r="M87" s="26"/>
    </row>
    <row r="88" spans="1:13">
      <c r="A88" s="179"/>
      <c r="B88" t="s">
        <v>1000</v>
      </c>
      <c r="C88" s="179" t="s">
        <v>1142</v>
      </c>
      <c r="D88" t="s">
        <v>1143</v>
      </c>
      <c r="E88" s="25">
        <v>-147002.38</v>
      </c>
      <c r="L88" s="26"/>
      <c r="M88" s="26"/>
    </row>
    <row r="89" spans="1:13">
      <c r="A89" s="209"/>
      <c r="B89" s="209"/>
      <c r="C89" s="209"/>
      <c r="D89" s="209"/>
      <c r="E89" s="210">
        <v>-278999030.89999986</v>
      </c>
      <c r="L89" s="26"/>
      <c r="M89" s="26"/>
    </row>
    <row r="90" spans="1:13">
      <c r="E90" s="159"/>
      <c r="L90" s="26"/>
      <c r="M90" s="26"/>
    </row>
    <row r="91" spans="1:13">
      <c r="E91" s="159"/>
      <c r="L91" s="26"/>
      <c r="M91" s="26"/>
    </row>
    <row r="92" spans="1:13">
      <c r="E92" s="159"/>
      <c r="L92" s="26"/>
      <c r="M92" s="26"/>
    </row>
    <row r="93" spans="1:13">
      <c r="D93" s="40" t="s">
        <v>1147</v>
      </c>
      <c r="E93" s="101">
        <f>'RIGASD PJ1 FERC IS CY20'!W19</f>
        <v>-278918731.87</v>
      </c>
      <c r="L93" s="26"/>
      <c r="M93" s="26"/>
    </row>
    <row r="94" spans="1:13">
      <c r="D94" s="40" t="s">
        <v>190</v>
      </c>
      <c r="E94" s="25">
        <f>E89-E93</f>
        <v>-80299.02999985218</v>
      </c>
      <c r="L94" s="26"/>
      <c r="M94" s="26"/>
    </row>
    <row r="95" spans="1:13">
      <c r="C95" s="5" t="s">
        <v>1148</v>
      </c>
      <c r="D95" t="s">
        <v>1149</v>
      </c>
      <c r="E95" s="221">
        <v>80299.03</v>
      </c>
      <c r="L95" s="26"/>
      <c r="M95" s="26"/>
    </row>
    <row r="96" spans="1:13">
      <c r="B96" s="27"/>
      <c r="C96" s="32"/>
      <c r="E96" s="25">
        <f>SUM(E94:E95)</f>
        <v>1.4781835488975048E-7</v>
      </c>
      <c r="L96" s="26"/>
      <c r="M96" s="26"/>
    </row>
    <row r="97" spans="1:15">
      <c r="B97" s="27"/>
      <c r="C97" s="32"/>
      <c r="L97" s="26"/>
      <c r="M97" s="26"/>
    </row>
    <row r="98" spans="1:15" ht="60">
      <c r="A98" s="222" t="s">
        <v>1209</v>
      </c>
      <c r="B98" s="222" t="s">
        <v>1210</v>
      </c>
      <c r="C98" s="222" t="s">
        <v>1211</v>
      </c>
      <c r="D98" s="222" t="s">
        <v>1212</v>
      </c>
      <c r="E98" s="222" t="s">
        <v>1213</v>
      </c>
      <c r="F98" s="222" t="s">
        <v>1214</v>
      </c>
      <c r="G98" s="222" t="s">
        <v>1215</v>
      </c>
      <c r="H98" s="222" t="s">
        <v>978</v>
      </c>
      <c r="I98" s="222" t="s">
        <v>1216</v>
      </c>
      <c r="J98" s="222" t="s">
        <v>1217</v>
      </c>
      <c r="K98" s="222" t="s">
        <v>1218</v>
      </c>
      <c r="L98" s="222" t="s">
        <v>1219</v>
      </c>
      <c r="M98" s="222" t="s">
        <v>1220</v>
      </c>
      <c r="N98" s="222" t="s">
        <v>1221</v>
      </c>
    </row>
    <row r="99" spans="1:15" ht="24">
      <c r="A99" s="223" t="s">
        <v>1222</v>
      </c>
      <c r="B99" s="223" t="s">
        <v>1223</v>
      </c>
      <c r="C99" s="223" t="s">
        <v>1224</v>
      </c>
      <c r="D99" s="223" t="s">
        <v>1225</v>
      </c>
      <c r="E99" s="223" t="s">
        <v>1226</v>
      </c>
      <c r="F99" s="223" t="s">
        <v>1227</v>
      </c>
      <c r="G99" s="226" t="s">
        <v>1228</v>
      </c>
      <c r="H99" s="223" t="s">
        <v>1229</v>
      </c>
      <c r="I99" s="223"/>
      <c r="J99" s="224"/>
      <c r="K99" s="224"/>
      <c r="L99" s="224" t="s">
        <v>1149</v>
      </c>
      <c r="M99" s="227" t="s">
        <v>1230</v>
      </c>
      <c r="N99" s="225">
        <v>80299.03</v>
      </c>
      <c r="O99" s="228" t="s">
        <v>1231</v>
      </c>
    </row>
    <row r="100" spans="1:15">
      <c r="L100" s="26"/>
      <c r="M100" s="26"/>
    </row>
    <row r="101" spans="1:15">
      <c r="L101" s="26"/>
      <c r="M101" s="26"/>
    </row>
    <row r="102" spans="1:15">
      <c r="L102" s="26"/>
      <c r="M102" s="26"/>
    </row>
    <row r="103" spans="1:15">
      <c r="L103" s="26"/>
      <c r="M103" s="26"/>
    </row>
    <row r="104" spans="1:15">
      <c r="L104" s="26"/>
      <c r="M104" s="26"/>
    </row>
    <row r="105" spans="1:15">
      <c r="L105" s="26"/>
      <c r="M105" s="26"/>
    </row>
    <row r="106" spans="1:15">
      <c r="L106" s="26"/>
      <c r="M106" s="26"/>
    </row>
    <row r="107" spans="1:15">
      <c r="L107" s="26"/>
      <c r="M107" s="26"/>
    </row>
    <row r="108" spans="1:15">
      <c r="L108" s="26"/>
      <c r="M108" s="26"/>
    </row>
    <row r="109" spans="1:15">
      <c r="J109" s="171"/>
      <c r="L109" s="26"/>
      <c r="M109" s="26"/>
    </row>
    <row r="110" spans="1:15">
      <c r="J110" s="159"/>
      <c r="L110" s="26"/>
      <c r="M110" s="26"/>
    </row>
    <row r="111" spans="1:15">
      <c r="J111" s="171"/>
      <c r="L111" s="26"/>
      <c r="M111" s="26"/>
    </row>
    <row r="112" spans="1:15">
      <c r="L112" s="26"/>
      <c r="M112" s="26"/>
    </row>
    <row r="113" spans="12:13">
      <c r="L113" s="26"/>
      <c r="M113" s="26"/>
    </row>
    <row r="114" spans="12:13">
      <c r="L114" s="26"/>
      <c r="M114" s="26"/>
    </row>
    <row r="115" spans="12:13">
      <c r="L115" s="26"/>
      <c r="M115" s="26"/>
    </row>
    <row r="116" spans="12:13">
      <c r="L116" s="26"/>
      <c r="M116" s="26"/>
    </row>
    <row r="117" spans="12:13">
      <c r="L117" s="26"/>
      <c r="M117" s="26"/>
    </row>
    <row r="118" spans="12:13">
      <c r="L118" s="26"/>
      <c r="M118" s="26"/>
    </row>
    <row r="119" spans="12:13">
      <c r="L119" s="26"/>
      <c r="M119" s="26"/>
    </row>
    <row r="120" spans="12:13">
      <c r="L120" s="26"/>
      <c r="M120" s="26"/>
    </row>
    <row r="121" spans="12:13">
      <c r="L121" s="26"/>
      <c r="M121" s="26"/>
    </row>
    <row r="122" spans="12:13">
      <c r="L122" s="26"/>
      <c r="M122" s="26"/>
    </row>
    <row r="123" spans="12:13">
      <c r="L123" s="26"/>
      <c r="M123" s="26"/>
    </row>
    <row r="124" spans="12:13">
      <c r="L124" s="26"/>
      <c r="M124" s="26"/>
    </row>
    <row r="125" spans="12:13">
      <c r="L125" s="26"/>
      <c r="M125" s="26"/>
    </row>
    <row r="126" spans="12:13">
      <c r="L126" s="26"/>
      <c r="M126" s="26"/>
    </row>
    <row r="127" spans="12:13">
      <c r="L127" s="26"/>
      <c r="M127" s="26"/>
    </row>
    <row r="128" spans="12:13">
      <c r="L128" s="26"/>
      <c r="M128" s="26"/>
    </row>
    <row r="129" spans="12:13">
      <c r="L129" s="26"/>
      <c r="M129" s="26"/>
    </row>
    <row r="130" spans="12:13">
      <c r="L130" s="26"/>
      <c r="M130" s="26"/>
    </row>
    <row r="131" spans="12:13">
      <c r="L131" s="26"/>
      <c r="M131" s="26"/>
    </row>
    <row r="132" spans="12:13">
      <c r="L132" s="26"/>
      <c r="M132" s="26"/>
    </row>
    <row r="133" spans="12:13">
      <c r="L133" s="26"/>
      <c r="M133" s="26"/>
    </row>
    <row r="134" spans="12:13">
      <c r="L134" s="26"/>
      <c r="M134" s="26"/>
    </row>
    <row r="135" spans="12:13">
      <c r="L135" s="26"/>
      <c r="M135" s="26"/>
    </row>
    <row r="136" spans="12:13">
      <c r="L136" s="26"/>
      <c r="M136" s="26"/>
    </row>
    <row r="137" spans="12:13">
      <c r="L137" s="26"/>
      <c r="M137" s="26"/>
    </row>
    <row r="138" spans="12:13">
      <c r="L138" s="26"/>
      <c r="M138" s="26"/>
    </row>
    <row r="139" spans="12:13">
      <c r="L139" s="26"/>
      <c r="M139" s="26"/>
    </row>
    <row r="140" spans="12:13">
      <c r="L140" s="26"/>
      <c r="M140" s="26"/>
    </row>
    <row r="141" spans="12:13">
      <c r="L141" s="26"/>
      <c r="M141" s="26"/>
    </row>
    <row r="142" spans="12:13">
      <c r="L142" s="26"/>
      <c r="M142" s="26"/>
    </row>
    <row r="143" spans="12:13">
      <c r="L143" s="26"/>
      <c r="M143" s="26"/>
    </row>
    <row r="144" spans="12:13">
      <c r="L144" s="26"/>
      <c r="M144" s="26"/>
    </row>
    <row r="145" spans="12:13">
      <c r="L145" s="26"/>
      <c r="M145" s="26"/>
    </row>
    <row r="146" spans="12:13">
      <c r="L146" s="26"/>
      <c r="M146" s="26"/>
    </row>
    <row r="147" spans="12:13">
      <c r="L147" s="26"/>
      <c r="M147" s="26"/>
    </row>
    <row r="148" spans="12:13">
      <c r="L148" s="26"/>
      <c r="M148" s="26"/>
    </row>
    <row r="149" spans="12:13">
      <c r="L149" s="26"/>
      <c r="M149" s="26"/>
    </row>
    <row r="150" spans="12:13">
      <c r="L150" s="26"/>
      <c r="M150" s="26"/>
    </row>
    <row r="151" spans="12:13">
      <c r="L151" s="26"/>
      <c r="M151" s="26"/>
    </row>
    <row r="152" spans="12:13">
      <c r="L152" s="26"/>
      <c r="M152" s="26"/>
    </row>
    <row r="153" spans="12:13">
      <c r="L153" s="26"/>
      <c r="M153" s="26"/>
    </row>
    <row r="154" spans="12:13">
      <c r="L154" s="26"/>
      <c r="M154" s="26"/>
    </row>
    <row r="155" spans="12:13">
      <c r="L155" s="26"/>
      <c r="M155" s="26"/>
    </row>
    <row r="156" spans="12:13">
      <c r="L156" s="26"/>
      <c r="M156" s="26"/>
    </row>
    <row r="157" spans="12:13">
      <c r="L157" s="26"/>
      <c r="M157" s="26"/>
    </row>
    <row r="158" spans="12:13">
      <c r="L158" s="26"/>
      <c r="M158" s="26"/>
    </row>
    <row r="159" spans="12:13">
      <c r="L159" s="26"/>
      <c r="M159" s="26"/>
    </row>
    <row r="160" spans="12:13">
      <c r="L160" s="26"/>
      <c r="M160" s="26"/>
    </row>
    <row r="161" spans="12:13">
      <c r="L161" s="26"/>
      <c r="M161" s="26"/>
    </row>
    <row r="162" spans="12:13">
      <c r="L162" s="26"/>
      <c r="M162" s="26"/>
    </row>
    <row r="163" spans="12:13">
      <c r="L163" s="26"/>
      <c r="M163" s="26"/>
    </row>
    <row r="164" spans="12:13">
      <c r="L164" s="26"/>
      <c r="M164" s="26"/>
    </row>
    <row r="165" spans="12:13">
      <c r="L165" s="26"/>
      <c r="M165" s="26"/>
    </row>
    <row r="166" spans="12:13">
      <c r="L166" s="26"/>
      <c r="M166" s="26"/>
    </row>
    <row r="167" spans="12:13">
      <c r="L167" s="26"/>
      <c r="M167" s="26"/>
    </row>
    <row r="168" spans="12:13">
      <c r="L168" s="26"/>
      <c r="M168" s="26"/>
    </row>
    <row r="169" spans="12:13">
      <c r="L169" s="26"/>
      <c r="M169" s="26"/>
    </row>
    <row r="170" spans="12:13">
      <c r="L170" s="26"/>
      <c r="M170" s="26"/>
    </row>
    <row r="171" spans="12:13">
      <c r="L171" s="26"/>
      <c r="M171" s="26"/>
    </row>
    <row r="172" spans="12:13">
      <c r="L172" s="26"/>
      <c r="M172" s="26"/>
    </row>
    <row r="173" spans="12:13">
      <c r="L173" s="26"/>
      <c r="M173" s="26"/>
    </row>
    <row r="174" spans="12:13">
      <c r="L174" s="26"/>
      <c r="M174" s="26"/>
    </row>
    <row r="175" spans="12:13">
      <c r="L175" s="26"/>
      <c r="M175" s="26"/>
    </row>
    <row r="176" spans="12:13">
      <c r="L176" s="26"/>
      <c r="M176" s="26"/>
    </row>
    <row r="177" spans="12:13">
      <c r="L177" s="26"/>
      <c r="M177" s="26"/>
    </row>
    <row r="178" spans="12:13">
      <c r="L178" s="26"/>
      <c r="M178" s="26"/>
    </row>
    <row r="179" spans="12:13">
      <c r="L179" s="26"/>
      <c r="M179" s="26"/>
    </row>
    <row r="180" spans="12:13">
      <c r="L180" s="26"/>
      <c r="M180" s="26"/>
    </row>
    <row r="181" spans="12:13">
      <c r="L181" s="26"/>
      <c r="M181" s="26"/>
    </row>
    <row r="182" spans="12:13">
      <c r="L182" s="26"/>
      <c r="M182" s="26"/>
    </row>
    <row r="183" spans="12:13">
      <c r="L183" s="26"/>
      <c r="M183" s="26"/>
    </row>
    <row r="184" spans="12:13">
      <c r="L184" s="26"/>
      <c r="M184" s="26"/>
    </row>
    <row r="185" spans="12:13">
      <c r="L185" s="26"/>
      <c r="M185" s="26"/>
    </row>
    <row r="186" spans="12:13">
      <c r="L186" s="26"/>
      <c r="M186" s="26"/>
    </row>
    <row r="187" spans="12:13">
      <c r="L187" s="26"/>
      <c r="M187" s="26"/>
    </row>
    <row r="188" spans="12:13">
      <c r="L188" s="26"/>
      <c r="M188" s="26"/>
    </row>
    <row r="189" spans="12:13">
      <c r="L189" s="26"/>
      <c r="M189" s="26"/>
    </row>
    <row r="190" spans="12:13">
      <c r="L190" s="26"/>
      <c r="M190" s="26"/>
    </row>
    <row r="191" spans="12:13">
      <c r="L191" s="26"/>
      <c r="M191" s="26"/>
    </row>
    <row r="192" spans="12:13">
      <c r="L192" s="26"/>
      <c r="M192" s="26"/>
    </row>
    <row r="193" spans="12:13">
      <c r="L193" s="26"/>
      <c r="M193" s="26"/>
    </row>
    <row r="194" spans="12:13">
      <c r="L194" s="26"/>
      <c r="M194" s="26"/>
    </row>
    <row r="195" spans="12:13">
      <c r="L195" s="26"/>
      <c r="M195" s="26"/>
    </row>
    <row r="196" spans="12:13">
      <c r="L196" s="26"/>
      <c r="M196" s="26"/>
    </row>
    <row r="197" spans="12:13">
      <c r="L197" s="26"/>
      <c r="M197" s="26"/>
    </row>
    <row r="198" spans="12:13">
      <c r="L198" s="26"/>
      <c r="M198" s="26"/>
    </row>
    <row r="199" spans="12:13">
      <c r="L199" s="26"/>
      <c r="M199" s="26"/>
    </row>
    <row r="200" spans="12:13">
      <c r="L200" s="26"/>
      <c r="M200" s="26"/>
    </row>
    <row r="201" spans="12:13">
      <c r="L201" s="26"/>
      <c r="M201" s="26"/>
    </row>
    <row r="202" spans="12:13">
      <c r="L202" s="26"/>
      <c r="M202" s="26"/>
    </row>
    <row r="203" spans="12:13">
      <c r="L203" s="26"/>
      <c r="M203" s="26"/>
    </row>
    <row r="204" spans="12:13">
      <c r="L204" s="26"/>
      <c r="M204" s="26"/>
    </row>
    <row r="205" spans="12:13">
      <c r="L205" s="26"/>
      <c r="M205" s="26"/>
    </row>
    <row r="206" spans="12:13">
      <c r="L206" s="26"/>
      <c r="M206" s="26"/>
    </row>
    <row r="207" spans="12:13">
      <c r="L207" s="26"/>
      <c r="M207" s="26"/>
    </row>
    <row r="208" spans="12:13">
      <c r="L208" s="26"/>
      <c r="M208" s="26"/>
    </row>
    <row r="209" spans="12:13">
      <c r="L209" s="26"/>
      <c r="M209" s="26"/>
    </row>
  </sheetData>
  <pageMargins left="0.7" right="0.7" top="0.75" bottom="0.75" header="0.3" footer="0.3"/>
  <pageSetup scale="40" orientation="landscape"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9A6D9E-7E45-4735-B3C0-1F867867CD60}">
  <sheetPr>
    <tabColor rgb="FFFF0000"/>
  </sheetPr>
  <dimension ref="A1:H73"/>
  <sheetViews>
    <sheetView workbookViewId="0"/>
  </sheetViews>
  <sheetFormatPr defaultColWidth="9.140625" defaultRowHeight="15"/>
  <cols>
    <col min="1" max="1" width="16.140625" style="679" bestFit="1" customWidth="1"/>
    <col min="2" max="2" width="22" style="679" bestFit="1" customWidth="1"/>
    <col min="3" max="3" width="28.7109375" style="679" bestFit="1" customWidth="1"/>
    <col min="4" max="4" width="29" style="679" bestFit="1" customWidth="1"/>
    <col min="5" max="5" width="34.7109375" style="679" bestFit="1" customWidth="1"/>
    <col min="6" max="6" width="22.140625" style="679" bestFit="1" customWidth="1"/>
    <col min="7" max="7" width="14.28515625" style="679" bestFit="1" customWidth="1"/>
    <col min="8" max="16384" width="9.140625" style="679"/>
  </cols>
  <sheetData>
    <row r="1" spans="1:6">
      <c r="A1" s="7" t="s">
        <v>976</v>
      </c>
      <c r="B1" s="686" t="s">
        <v>1232</v>
      </c>
    </row>
    <row r="2" spans="1:6">
      <c r="A2" s="7"/>
      <c r="B2" s="671"/>
    </row>
    <row r="4" spans="1:6">
      <c r="A4" s="680" t="s">
        <v>1233</v>
      </c>
      <c r="B4" s="680" t="s">
        <v>989</v>
      </c>
      <c r="C4" s="680" t="s">
        <v>993</v>
      </c>
      <c r="D4" s="680" t="s">
        <v>1047</v>
      </c>
      <c r="E4" s="680" t="s">
        <v>1048</v>
      </c>
      <c r="F4" s="680" t="s">
        <v>990</v>
      </c>
    </row>
    <row r="5" spans="1:6">
      <c r="A5" s="681" t="s">
        <v>1234</v>
      </c>
      <c r="B5" s="681" t="s">
        <v>1235</v>
      </c>
      <c r="C5" s="679" t="s">
        <v>1050</v>
      </c>
      <c r="D5" s="681" t="s">
        <v>1236</v>
      </c>
      <c r="E5" s="679" t="s">
        <v>1052</v>
      </c>
      <c r="F5" s="682">
        <v>194931</v>
      </c>
    </row>
    <row r="6" spans="1:6">
      <c r="A6" s="681"/>
      <c r="B6" s="681"/>
      <c r="C6" s="679" t="s">
        <v>941</v>
      </c>
      <c r="D6" s="681" t="s">
        <v>1237</v>
      </c>
      <c r="E6" s="679" t="s">
        <v>1061</v>
      </c>
      <c r="F6" s="682">
        <v>-87625.18</v>
      </c>
    </row>
    <row r="7" spans="1:6">
      <c r="A7" s="681"/>
      <c r="B7" s="681"/>
      <c r="D7" s="681" t="s">
        <v>1238</v>
      </c>
      <c r="E7" s="679" t="s">
        <v>1061</v>
      </c>
      <c r="F7" s="682">
        <v>-62895.600000000006</v>
      </c>
    </row>
    <row r="8" spans="1:6">
      <c r="A8" s="681"/>
      <c r="B8" s="681"/>
      <c r="D8" s="681" t="s">
        <v>1239</v>
      </c>
      <c r="E8" s="679" t="s">
        <v>1061</v>
      </c>
      <c r="F8" s="682">
        <v>-62390.67</v>
      </c>
    </row>
    <row r="9" spans="1:6">
      <c r="A9" s="681"/>
      <c r="B9" s="681"/>
      <c r="D9" s="681" t="s">
        <v>1240</v>
      </c>
      <c r="E9" s="679" t="s">
        <v>1061</v>
      </c>
      <c r="F9" s="682">
        <v>-40523.19</v>
      </c>
    </row>
    <row r="10" spans="1:6">
      <c r="A10" s="681"/>
      <c r="B10" s="681"/>
      <c r="D10" s="681" t="s">
        <v>1241</v>
      </c>
      <c r="E10" s="679" t="s">
        <v>1061</v>
      </c>
      <c r="F10" s="682">
        <v>-1724162.6199999999</v>
      </c>
    </row>
    <row r="11" spans="1:6">
      <c r="A11" s="681"/>
      <c r="B11" s="681"/>
      <c r="D11" s="681" t="s">
        <v>1242</v>
      </c>
      <c r="E11" s="679" t="s">
        <v>1061</v>
      </c>
      <c r="F11" s="682">
        <v>-487470.07000000007</v>
      </c>
    </row>
    <row r="12" spans="1:6">
      <c r="A12" s="681"/>
      <c r="B12" s="681"/>
      <c r="D12" s="681" t="s">
        <v>1243</v>
      </c>
      <c r="E12" s="679" t="s">
        <v>1061</v>
      </c>
      <c r="F12" s="682">
        <v>-860666.78999999992</v>
      </c>
    </row>
    <row r="13" spans="1:6">
      <c r="A13" s="681"/>
      <c r="B13" s="681"/>
      <c r="D13" s="681" t="s">
        <v>1244</v>
      </c>
      <c r="E13" s="679" t="s">
        <v>1061</v>
      </c>
      <c r="F13" s="682">
        <v>-412564.87999999995</v>
      </c>
    </row>
    <row r="14" spans="1:6">
      <c r="A14" s="681"/>
      <c r="B14" s="681"/>
      <c r="D14" s="681" t="s">
        <v>1245</v>
      </c>
      <c r="E14" s="679" t="s">
        <v>1061</v>
      </c>
      <c r="F14" s="682">
        <v>-6009533.6500000004</v>
      </c>
    </row>
    <row r="15" spans="1:6">
      <c r="A15" s="681"/>
      <c r="B15" s="681"/>
      <c r="D15" s="681" t="s">
        <v>1246</v>
      </c>
      <c r="E15" s="679" t="s">
        <v>1061</v>
      </c>
      <c r="F15" s="682">
        <v>-1823540.52</v>
      </c>
    </row>
    <row r="16" spans="1:6">
      <c r="A16" s="681"/>
      <c r="B16" s="681"/>
      <c r="D16" s="681" t="s">
        <v>1247</v>
      </c>
      <c r="E16" s="679" t="s">
        <v>1061</v>
      </c>
      <c r="F16" s="682">
        <v>-2892528.43</v>
      </c>
    </row>
    <row r="17" spans="1:6">
      <c r="A17" s="681"/>
      <c r="B17" s="681"/>
      <c r="D17" s="681" t="s">
        <v>1248</v>
      </c>
      <c r="E17" s="679" t="s">
        <v>1061</v>
      </c>
      <c r="F17" s="682">
        <v>-1348969.81</v>
      </c>
    </row>
    <row r="18" spans="1:6">
      <c r="A18" s="681"/>
      <c r="B18" s="681"/>
      <c r="D18" s="681" t="s">
        <v>1249</v>
      </c>
      <c r="E18" s="679" t="s">
        <v>1061</v>
      </c>
      <c r="F18" s="682">
        <v>-2375621.7299999995</v>
      </c>
    </row>
    <row r="19" spans="1:6">
      <c r="A19" s="681"/>
      <c r="B19" s="681"/>
      <c r="D19" s="681" t="s">
        <v>1250</v>
      </c>
      <c r="E19" s="679" t="s">
        <v>1061</v>
      </c>
      <c r="F19" s="682">
        <v>-863505.47</v>
      </c>
    </row>
    <row r="20" spans="1:6">
      <c r="A20" s="681"/>
      <c r="B20" s="681"/>
      <c r="D20" s="681" t="s">
        <v>1251</v>
      </c>
      <c r="E20" s="679" t="s">
        <v>1061</v>
      </c>
      <c r="F20" s="682">
        <v>-1087125.2899999998</v>
      </c>
    </row>
    <row r="21" spans="1:6">
      <c r="A21" s="681"/>
      <c r="B21" s="681"/>
      <c r="D21" s="681" t="s">
        <v>1252</v>
      </c>
      <c r="E21" s="679" t="s">
        <v>1061</v>
      </c>
      <c r="F21" s="682">
        <v>-613438.46</v>
      </c>
    </row>
    <row r="22" spans="1:6">
      <c r="A22" s="681"/>
      <c r="B22" s="681"/>
      <c r="D22" s="681" t="s">
        <v>1253</v>
      </c>
      <c r="E22" s="679" t="s">
        <v>1061</v>
      </c>
      <c r="F22" s="682">
        <v>-4180630.89</v>
      </c>
    </row>
    <row r="23" spans="1:6">
      <c r="A23" s="681"/>
      <c r="B23" s="681"/>
      <c r="D23" s="681" t="s">
        <v>1254</v>
      </c>
      <c r="E23" s="679" t="s">
        <v>1061</v>
      </c>
      <c r="F23" s="682">
        <v>-1678355.2699999998</v>
      </c>
    </row>
    <row r="24" spans="1:6">
      <c r="A24" s="681"/>
      <c r="B24" s="681"/>
      <c r="D24" s="681" t="s">
        <v>1255</v>
      </c>
      <c r="E24" s="679" t="s">
        <v>1061</v>
      </c>
      <c r="F24" s="682">
        <v>-2005906.5999999999</v>
      </c>
    </row>
    <row r="25" spans="1:6">
      <c r="A25" s="681"/>
      <c r="B25" s="681"/>
      <c r="D25" s="681" t="s">
        <v>1256</v>
      </c>
      <c r="E25" s="679" t="s">
        <v>1061</v>
      </c>
      <c r="F25" s="682">
        <v>-1084825.4300000002</v>
      </c>
    </row>
    <row r="26" spans="1:6">
      <c r="A26" s="681"/>
      <c r="B26" s="681"/>
      <c r="D26" s="681" t="s">
        <v>1257</v>
      </c>
      <c r="E26" s="679" t="s">
        <v>1061</v>
      </c>
      <c r="F26" s="682">
        <v>-706251.41999999993</v>
      </c>
    </row>
    <row r="27" spans="1:6">
      <c r="A27" s="681"/>
      <c r="B27" s="681"/>
      <c r="D27" s="681" t="s">
        <v>1258</v>
      </c>
      <c r="E27" s="679" t="s">
        <v>1061</v>
      </c>
      <c r="F27" s="682">
        <v>-1012453.3900000001</v>
      </c>
    </row>
    <row r="28" spans="1:6">
      <c r="A28" s="681"/>
      <c r="B28" s="681"/>
      <c r="D28" s="681" t="s">
        <v>1259</v>
      </c>
      <c r="E28" s="679" t="s">
        <v>1061</v>
      </c>
      <c r="F28" s="682">
        <v>-1119704.02</v>
      </c>
    </row>
    <row r="29" spans="1:6">
      <c r="A29" s="681"/>
      <c r="B29" s="681"/>
      <c r="D29" s="681" t="s">
        <v>1260</v>
      </c>
      <c r="E29" s="679" t="s">
        <v>1061</v>
      </c>
      <c r="F29" s="682">
        <v>-834623.05999999994</v>
      </c>
    </row>
    <row r="30" spans="1:6">
      <c r="A30" s="681"/>
      <c r="B30" s="681"/>
      <c r="D30" s="681" t="s">
        <v>1261</v>
      </c>
      <c r="E30" s="679" t="s">
        <v>1061</v>
      </c>
      <c r="F30" s="682">
        <v>-74285.069999999992</v>
      </c>
    </row>
    <row r="31" spans="1:6">
      <c r="A31" s="681"/>
      <c r="B31" s="681"/>
      <c r="D31" s="681" t="s">
        <v>1262</v>
      </c>
      <c r="E31" s="679" t="s">
        <v>1061</v>
      </c>
      <c r="F31" s="682">
        <v>-107376.95999999999</v>
      </c>
    </row>
    <row r="32" spans="1:6">
      <c r="A32" s="681"/>
      <c r="B32" s="681"/>
      <c r="D32" s="681" t="s">
        <v>1263</v>
      </c>
      <c r="E32" s="679" t="s">
        <v>1061</v>
      </c>
      <c r="F32" s="682">
        <v>-111304.56</v>
      </c>
    </row>
    <row r="33" spans="1:6">
      <c r="A33" s="681"/>
      <c r="B33" s="681"/>
      <c r="D33" s="681" t="s">
        <v>1264</v>
      </c>
      <c r="E33" s="679" t="s">
        <v>1061</v>
      </c>
      <c r="F33" s="682">
        <v>-71885.25</v>
      </c>
    </row>
    <row r="34" spans="1:6">
      <c r="A34" s="681"/>
      <c r="B34" s="681"/>
      <c r="D34" s="681" t="s">
        <v>1265</v>
      </c>
      <c r="E34" s="679" t="s">
        <v>1061</v>
      </c>
      <c r="F34" s="682">
        <v>4059012.09</v>
      </c>
    </row>
    <row r="35" spans="1:6">
      <c r="A35" s="681"/>
      <c r="B35" s="681"/>
      <c r="D35" s="681" t="s">
        <v>1266</v>
      </c>
      <c r="E35" s="679" t="s">
        <v>1061</v>
      </c>
      <c r="F35" s="682">
        <v>-2718587.0700000003</v>
      </c>
    </row>
    <row r="36" spans="1:6">
      <c r="A36" s="681"/>
      <c r="B36" s="681"/>
      <c r="D36" s="681" t="s">
        <v>1267</v>
      </c>
      <c r="E36" s="679" t="s">
        <v>1061</v>
      </c>
      <c r="F36" s="682">
        <v>-763939.87000000011</v>
      </c>
    </row>
    <row r="37" spans="1:6">
      <c r="A37" s="681"/>
      <c r="B37" s="681"/>
      <c r="D37" s="681" t="s">
        <v>1268</v>
      </c>
      <c r="E37" s="679" t="s">
        <v>1061</v>
      </c>
      <c r="F37" s="682">
        <v>-382999.95</v>
      </c>
    </row>
    <row r="38" spans="1:6">
      <c r="A38" s="681"/>
      <c r="B38" s="681"/>
      <c r="D38" s="681" t="s">
        <v>1269</v>
      </c>
      <c r="E38" s="679" t="s">
        <v>1061</v>
      </c>
      <c r="F38" s="682">
        <v>-556203.45000000007</v>
      </c>
    </row>
    <row r="39" spans="1:6">
      <c r="A39" s="681"/>
      <c r="B39" s="681"/>
      <c r="D39" s="681" t="s">
        <v>1270</v>
      </c>
      <c r="E39" s="679" t="s">
        <v>1061</v>
      </c>
      <c r="F39" s="682">
        <v>-303077.09000000003</v>
      </c>
    </row>
    <row r="40" spans="1:6">
      <c r="A40" s="681"/>
      <c r="B40" s="681"/>
      <c r="D40" s="681" t="s">
        <v>1271</v>
      </c>
      <c r="E40" s="679" t="s">
        <v>1061</v>
      </c>
      <c r="F40" s="682">
        <v>-1200755.93</v>
      </c>
    </row>
    <row r="41" spans="1:6">
      <c r="A41" s="681"/>
      <c r="B41" s="681"/>
      <c r="D41" s="681" t="s">
        <v>1272</v>
      </c>
      <c r="E41" s="679" t="s">
        <v>1061</v>
      </c>
      <c r="F41" s="682">
        <v>-593388.34</v>
      </c>
    </row>
    <row r="42" spans="1:6">
      <c r="A42" s="681"/>
      <c r="B42" s="681"/>
      <c r="D42" s="681" t="s">
        <v>1273</v>
      </c>
      <c r="E42" s="679" t="s">
        <v>1061</v>
      </c>
      <c r="F42" s="682">
        <v>-870607.03999999992</v>
      </c>
    </row>
    <row r="43" spans="1:6">
      <c r="A43" s="681"/>
      <c r="B43" s="681"/>
      <c r="D43" s="681" t="s">
        <v>1274</v>
      </c>
      <c r="E43" s="679" t="s">
        <v>1061</v>
      </c>
      <c r="F43" s="682">
        <v>-465590.45999999996</v>
      </c>
    </row>
    <row r="44" spans="1:6">
      <c r="A44" s="681"/>
      <c r="B44" s="681"/>
      <c r="D44" s="681" t="s">
        <v>1275</v>
      </c>
      <c r="E44" s="679" t="s">
        <v>1061</v>
      </c>
      <c r="F44" s="682">
        <v>-2989431.51</v>
      </c>
    </row>
    <row r="45" spans="1:6">
      <c r="A45" s="681"/>
      <c r="B45" s="681"/>
      <c r="D45" s="681" t="s">
        <v>1276</v>
      </c>
      <c r="E45" s="679" t="s">
        <v>1061</v>
      </c>
      <c r="F45" s="682">
        <v>-4655331.6100000003</v>
      </c>
    </row>
    <row r="46" spans="1:6">
      <c r="A46" s="681"/>
      <c r="B46" s="681"/>
      <c r="D46" s="681" t="s">
        <v>1277</v>
      </c>
      <c r="E46" s="679" t="s">
        <v>1061</v>
      </c>
      <c r="F46" s="682">
        <v>-6062133.3300000001</v>
      </c>
    </row>
    <row r="47" spans="1:6">
      <c r="A47" s="681"/>
      <c r="B47" s="681"/>
      <c r="D47" s="681" t="s">
        <v>1278</v>
      </c>
      <c r="E47" s="679" t="s">
        <v>1061</v>
      </c>
      <c r="F47" s="682">
        <v>-3666947.92</v>
      </c>
    </row>
    <row r="48" spans="1:6">
      <c r="A48" s="681"/>
      <c r="B48" s="681"/>
      <c r="D48" s="681" t="s">
        <v>1279</v>
      </c>
      <c r="E48" s="679" t="s">
        <v>1061</v>
      </c>
      <c r="F48" s="682">
        <v>-321739.43999999994</v>
      </c>
    </row>
    <row r="49" spans="1:8">
      <c r="A49" s="681"/>
      <c r="B49" s="681"/>
      <c r="D49" s="681" t="s">
        <v>1280</v>
      </c>
      <c r="E49" s="679" t="s">
        <v>1061</v>
      </c>
      <c r="F49" s="682">
        <v>-281185.38</v>
      </c>
    </row>
    <row r="50" spans="1:8">
      <c r="A50" s="681"/>
      <c r="B50" s="681"/>
      <c r="D50" s="681" t="s">
        <v>1281</v>
      </c>
      <c r="E50" s="679" t="s">
        <v>1061</v>
      </c>
      <c r="F50" s="682">
        <v>-888089.72000000009</v>
      </c>
    </row>
    <row r="51" spans="1:8">
      <c r="A51" s="681"/>
      <c r="B51" s="681"/>
      <c r="D51" s="681" t="s">
        <v>1282</v>
      </c>
      <c r="E51" s="679" t="s">
        <v>1061</v>
      </c>
      <c r="F51" s="682">
        <v>-972459.42</v>
      </c>
    </row>
    <row r="52" spans="1:8">
      <c r="A52" s="681"/>
      <c r="B52" s="681"/>
      <c r="C52" s="679" t="s">
        <v>1283</v>
      </c>
      <c r="D52" s="681" t="s">
        <v>1284</v>
      </c>
      <c r="E52" s="679" t="s">
        <v>1285</v>
      </c>
      <c r="F52" s="682">
        <v>-58419.549999999988</v>
      </c>
    </row>
    <row r="53" spans="1:8">
      <c r="A53" s="681"/>
      <c r="B53" s="681"/>
      <c r="D53" s="681" t="s">
        <v>1286</v>
      </c>
      <c r="E53" s="679" t="s">
        <v>1285</v>
      </c>
      <c r="F53" s="682">
        <v>-94461.920000000013</v>
      </c>
    </row>
    <row r="54" spans="1:8">
      <c r="A54" s="681"/>
      <c r="B54" s="681"/>
      <c r="D54" s="681" t="s">
        <v>1287</v>
      </c>
      <c r="E54" s="679" t="s">
        <v>1285</v>
      </c>
      <c r="F54" s="682">
        <v>-851086.97999999975</v>
      </c>
    </row>
    <row r="55" spans="1:8">
      <c r="A55" s="681"/>
      <c r="B55" s="681"/>
      <c r="D55" s="681" t="s">
        <v>1288</v>
      </c>
      <c r="E55" s="679" t="s">
        <v>1285</v>
      </c>
      <c r="F55" s="682">
        <v>-18940.810000000056</v>
      </c>
    </row>
    <row r="56" spans="1:8">
      <c r="A56" s="681"/>
      <c r="B56" s="681"/>
      <c r="D56" s="681" t="s">
        <v>1289</v>
      </c>
      <c r="E56" s="679" t="s">
        <v>1285</v>
      </c>
      <c r="F56" s="682">
        <v>-170737.79999999996</v>
      </c>
    </row>
    <row r="57" spans="1:8">
      <c r="A57" s="681"/>
      <c r="B57" s="681"/>
      <c r="D57" s="681" t="s">
        <v>1290</v>
      </c>
      <c r="E57" s="679" t="s">
        <v>1285</v>
      </c>
      <c r="F57" s="682">
        <v>-619.95999999999185</v>
      </c>
    </row>
    <row r="58" spans="1:8">
      <c r="A58" s="681"/>
      <c r="B58" s="681"/>
      <c r="D58" s="681" t="s">
        <v>1291</v>
      </c>
      <c r="E58" s="679" t="s">
        <v>1285</v>
      </c>
      <c r="F58" s="682">
        <v>7765.1900000000023</v>
      </c>
    </row>
    <row r="59" spans="1:8">
      <c r="A59" s="681"/>
      <c r="B59" s="681"/>
      <c r="D59" s="681" t="s">
        <v>1292</v>
      </c>
      <c r="E59" s="679" t="s">
        <v>1285</v>
      </c>
      <c r="F59" s="682">
        <v>-6173.3500000000276</v>
      </c>
    </row>
    <row r="60" spans="1:8">
      <c r="A60" s="681"/>
      <c r="B60" s="681"/>
      <c r="D60" s="681" t="s">
        <v>1293</v>
      </c>
      <c r="E60" s="679" t="s">
        <v>1285</v>
      </c>
      <c r="F60" s="682">
        <v>-22070.010000000038</v>
      </c>
      <c r="G60" s="682">
        <f>SUM(F52:F60)</f>
        <v>-1214745.19</v>
      </c>
      <c r="H60" s="676" t="s">
        <v>1294</v>
      </c>
    </row>
    <row r="61" spans="1:8">
      <c r="A61" s="681" t="s">
        <v>1295</v>
      </c>
      <c r="B61" s="681" t="s">
        <v>1296</v>
      </c>
      <c r="C61" s="679" t="s">
        <v>941</v>
      </c>
      <c r="D61" s="681" t="s">
        <v>1297</v>
      </c>
      <c r="E61" s="679" t="s">
        <v>1061</v>
      </c>
      <c r="F61" s="682">
        <v>-806540.60000000009</v>
      </c>
    </row>
    <row r="62" spans="1:8">
      <c r="A62" s="681" t="s">
        <v>1298</v>
      </c>
      <c r="B62" s="681" t="s">
        <v>1299</v>
      </c>
      <c r="C62" s="679" t="s">
        <v>941</v>
      </c>
      <c r="D62" s="681" t="s">
        <v>1300</v>
      </c>
      <c r="E62" s="679" t="s">
        <v>1061</v>
      </c>
      <c r="F62" s="682">
        <v>-32784.28</v>
      </c>
    </row>
    <row r="63" spans="1:8">
      <c r="A63" s="681"/>
      <c r="B63" s="681"/>
      <c r="D63" s="681" t="s">
        <v>1301</v>
      </c>
      <c r="E63" s="679" t="s">
        <v>1061</v>
      </c>
      <c r="F63" s="682">
        <v>-103841.38</v>
      </c>
    </row>
    <row r="64" spans="1:8">
      <c r="A64" s="681"/>
      <c r="B64" s="681"/>
      <c r="D64" s="681" t="s">
        <v>1302</v>
      </c>
      <c r="E64" s="679" t="s">
        <v>1061</v>
      </c>
      <c r="F64" s="682">
        <v>-367717.33</v>
      </c>
    </row>
    <row r="65" spans="1:6">
      <c r="A65" s="681"/>
      <c r="B65" s="681"/>
      <c r="D65" s="681" t="s">
        <v>1303</v>
      </c>
      <c r="E65" s="679" t="s">
        <v>1061</v>
      </c>
      <c r="F65" s="682">
        <v>-131807.07999999999</v>
      </c>
    </row>
    <row r="66" spans="1:6">
      <c r="A66" s="681"/>
      <c r="B66" s="681"/>
      <c r="D66" s="681" t="s">
        <v>1304</v>
      </c>
      <c r="E66" s="679" t="s">
        <v>1061</v>
      </c>
      <c r="F66" s="682">
        <v>-266711.23</v>
      </c>
    </row>
    <row r="67" spans="1:6">
      <c r="A67" s="681"/>
      <c r="B67" s="681"/>
      <c r="D67" s="681" t="s">
        <v>1305</v>
      </c>
      <c r="E67" s="679" t="s">
        <v>1061</v>
      </c>
      <c r="F67" s="682">
        <v>-104151.15</v>
      </c>
    </row>
    <row r="68" spans="1:6">
      <c r="A68" s="681"/>
      <c r="B68" s="681"/>
      <c r="D68" s="681" t="s">
        <v>1306</v>
      </c>
      <c r="E68" s="679" t="s">
        <v>1061</v>
      </c>
      <c r="F68" s="682">
        <v>-11285.510000000002</v>
      </c>
    </row>
    <row r="69" spans="1:6">
      <c r="A69" s="681"/>
      <c r="B69" s="681"/>
      <c r="D69" s="681" t="s">
        <v>1307</v>
      </c>
      <c r="E69" s="679" t="s">
        <v>1061</v>
      </c>
      <c r="F69" s="682">
        <v>-38755.649999999994</v>
      </c>
    </row>
    <row r="70" spans="1:6">
      <c r="A70" s="681"/>
      <c r="B70" s="681"/>
      <c r="D70" s="681" t="s">
        <v>1308</v>
      </c>
      <c r="E70" s="679" t="s">
        <v>1061</v>
      </c>
      <c r="F70" s="682">
        <v>-82829.429999999993</v>
      </c>
    </row>
    <row r="71" spans="1:6">
      <c r="A71" s="681"/>
      <c r="B71" s="681"/>
      <c r="D71" s="681" t="s">
        <v>1309</v>
      </c>
      <c r="E71" s="679" t="s">
        <v>1061</v>
      </c>
      <c r="F71" s="682">
        <v>-271917.52</v>
      </c>
    </row>
    <row r="72" spans="1:6">
      <c r="A72" s="681"/>
      <c r="B72" s="681"/>
      <c r="D72" s="681" t="s">
        <v>1310</v>
      </c>
      <c r="E72" s="679" t="s">
        <v>1061</v>
      </c>
      <c r="F72" s="682">
        <v>-49965.599999999999</v>
      </c>
    </row>
    <row r="73" spans="1:6">
      <c r="A73" s="683" t="s">
        <v>986</v>
      </c>
      <c r="B73" s="683"/>
      <c r="C73" s="683"/>
      <c r="D73" s="683"/>
      <c r="E73" s="683"/>
      <c r="F73" s="684">
        <v>-60661740.670000002</v>
      </c>
    </row>
  </sheetData>
  <pageMargins left="0.7" right="0.7" top="0.75" bottom="0.75" header="0.3" footer="0.3"/>
  <pageSetup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M204"/>
  <sheetViews>
    <sheetView topLeftCell="A6" workbookViewId="0"/>
  </sheetViews>
  <sheetFormatPr defaultRowHeight="15" outlineLevelRow="1"/>
  <cols>
    <col min="1" max="1" width="3.7109375" customWidth="1"/>
    <col min="2" max="2" width="47.7109375" customWidth="1"/>
    <col min="3" max="3" width="22.7109375" customWidth="1"/>
    <col min="5" max="5" width="27.140625" bestFit="1" customWidth="1"/>
    <col min="6" max="6" width="16.42578125" bestFit="1" customWidth="1"/>
    <col min="7" max="7" width="10.28515625" customWidth="1"/>
  </cols>
  <sheetData>
    <row r="1" spans="1:13" hidden="1" outlineLevel="1">
      <c r="D1" s="2" t="str">
        <f>Contents!$B1</f>
        <v>The Narragansett Electric Company</v>
      </c>
    </row>
    <row r="2" spans="1:13" hidden="1" outlineLevel="1">
      <c r="D2" s="2" t="str">
        <f>Contents!$B2</f>
        <v>d/b/a National Grid</v>
      </c>
    </row>
    <row r="3" spans="1:13" hidden="1" outlineLevel="1">
      <c r="D3" s="2" t="str">
        <f>Contents!$B3</f>
        <v>RIPUC Docket No. 4770</v>
      </c>
    </row>
    <row r="4" spans="1:13" hidden="1" outlineLevel="1">
      <c r="D4" s="2" t="str">
        <f>Contents!$B4</f>
        <v>Gas Earnings Sharing Mechanism</v>
      </c>
    </row>
    <row r="5" spans="1:13" hidden="1" outlineLevel="1">
      <c r="D5" s="2"/>
    </row>
    <row r="6" spans="1:13" collapsed="1">
      <c r="A6" s="26"/>
      <c r="B6" s="26"/>
      <c r="D6" s="2" t="str">
        <f>Contents!$B6</f>
        <v>The Narragansett Electric Company</v>
      </c>
    </row>
    <row r="7" spans="1:13">
      <c r="A7" s="26"/>
      <c r="B7" s="26"/>
      <c r="D7" s="2" t="str">
        <f>Contents!$B7</f>
        <v>d/b/a Rhode Island Energy</v>
      </c>
    </row>
    <row r="8" spans="1:13">
      <c r="A8" s="26"/>
      <c r="B8" s="26"/>
      <c r="D8" s="2" t="str">
        <f>Contents!$B8</f>
        <v>RIPUC Docket No. 4770</v>
      </c>
    </row>
    <row r="9" spans="1:13">
      <c r="A9" s="26"/>
      <c r="B9" s="26"/>
      <c r="D9" s="2" t="str">
        <f>Contents!$B9</f>
        <v>CY 2025 Gas Earnings Report</v>
      </c>
    </row>
    <row r="10" spans="1:13">
      <c r="A10" s="26"/>
      <c r="B10" s="26"/>
      <c r="D10" s="2" t="str">
        <f>Contents!$B10</f>
        <v>Schedule NECO-1</v>
      </c>
    </row>
    <row r="11" spans="1:13">
      <c r="A11" s="26"/>
      <c r="B11" s="26"/>
      <c r="D11" s="2" t="str">
        <f>Contents!$B11</f>
        <v>June 15, 2026</v>
      </c>
    </row>
    <row r="12" spans="1:13">
      <c r="A12" s="26"/>
      <c r="B12" s="26"/>
      <c r="D12" s="2" t="str">
        <f>VLOOKUP($A$15,Index!A:C,3,FALSE)</f>
        <v>Page 1 of 15</v>
      </c>
    </row>
    <row r="13" spans="1:13">
      <c r="A13" s="26"/>
      <c r="B13" s="26"/>
      <c r="D13" s="2"/>
      <c r="L13" s="26"/>
      <c r="M13" s="26"/>
    </row>
    <row r="14" spans="1:13">
      <c r="A14" s="797" t="str">
        <f>Contents!A13</f>
        <v>Rhode Island Energy - RI Gas</v>
      </c>
      <c r="B14" s="797"/>
      <c r="C14" s="797"/>
      <c r="L14" s="26"/>
      <c r="M14" s="26"/>
    </row>
    <row r="15" spans="1:13">
      <c r="A15" s="797" t="str">
        <f>Index!A22</f>
        <v>Gas Earnings Sharing Mechanism</v>
      </c>
      <c r="B15" s="797"/>
      <c r="C15" s="797"/>
      <c r="L15" s="26"/>
      <c r="M15" s="26"/>
    </row>
    <row r="16" spans="1:13">
      <c r="A16" s="797" t="str">
        <f>Contents!A15</f>
        <v>For the Twelve Months ended December 31, 2025</v>
      </c>
      <c r="B16" s="797"/>
      <c r="C16" s="797"/>
      <c r="L16" s="26"/>
      <c r="M16" s="26"/>
    </row>
    <row r="17" spans="1:13">
      <c r="A17" s="797"/>
      <c r="B17" s="797"/>
      <c r="C17" s="797"/>
      <c r="L17" s="26"/>
      <c r="M17" s="26"/>
    </row>
    <row r="18" spans="1:13">
      <c r="A18" s="26"/>
      <c r="B18" s="26"/>
      <c r="C18" s="36"/>
      <c r="D18" s="107"/>
      <c r="L18" s="26"/>
      <c r="M18" s="26"/>
    </row>
    <row r="19" spans="1:13" outlineLevel="1">
      <c r="A19" s="26"/>
      <c r="B19" s="26" t="s">
        <v>22</v>
      </c>
      <c r="C19" s="27">
        <f>'Rate Base'!M47</f>
        <v>1857819011.0243611</v>
      </c>
      <c r="L19" s="26"/>
      <c r="M19" s="26"/>
    </row>
    <row r="20" spans="1:13" outlineLevel="1">
      <c r="A20" s="26"/>
      <c r="B20" s="26"/>
      <c r="C20" s="26"/>
      <c r="L20" s="26"/>
      <c r="M20" s="26"/>
    </row>
    <row r="21" spans="1:13" outlineLevel="1">
      <c r="A21" s="26"/>
      <c r="B21" s="26" t="s">
        <v>46</v>
      </c>
      <c r="C21" s="37">
        <f>'Cap Int Pref'!D33</f>
        <v>0.50949999999999995</v>
      </c>
      <c r="L21" s="26"/>
      <c r="M21" s="26"/>
    </row>
    <row r="22" spans="1:13" outlineLevel="1">
      <c r="A22" s="26"/>
      <c r="B22" s="26" t="s">
        <v>47</v>
      </c>
      <c r="C22" s="37">
        <f>'Cap Int Pref'!D31</f>
        <v>0.48349999999999999</v>
      </c>
      <c r="L22" s="26"/>
      <c r="M22" s="26"/>
    </row>
    <row r="23" spans="1:13" outlineLevel="1">
      <c r="A23" s="26"/>
      <c r="B23" s="26" t="s">
        <v>48</v>
      </c>
      <c r="C23" s="37">
        <f>'Cap Int Pref'!D30</f>
        <v>6.0000000000000001E-3</v>
      </c>
      <c r="L23" s="26"/>
      <c r="M23" s="26"/>
    </row>
    <row r="24" spans="1:13" outlineLevel="1">
      <c r="A24" s="26"/>
      <c r="B24" s="26" t="s">
        <v>49</v>
      </c>
      <c r="C24" s="37">
        <f>'Cap Int Pref'!D32</f>
        <v>1E-3</v>
      </c>
      <c r="L24" s="26"/>
      <c r="M24" s="26"/>
    </row>
    <row r="25" spans="1:13" outlineLevel="1">
      <c r="A25" s="26"/>
      <c r="B25" s="26"/>
      <c r="C25" s="26"/>
      <c r="L25" s="26"/>
      <c r="M25" s="26"/>
    </row>
    <row r="26" spans="1:13" outlineLevel="1">
      <c r="A26" s="26"/>
      <c r="B26" s="26" t="s">
        <v>46</v>
      </c>
      <c r="C26" s="27">
        <f>C21*C19</f>
        <v>946558786.11691189</v>
      </c>
      <c r="L26" s="26"/>
      <c r="M26" s="26"/>
    </row>
    <row r="27" spans="1:13" outlineLevel="1">
      <c r="A27" s="26"/>
      <c r="B27" s="26" t="s">
        <v>50</v>
      </c>
      <c r="C27" s="27">
        <f>C19*(C22+C23)</f>
        <v>909402405.89642477</v>
      </c>
      <c r="L27" s="26"/>
      <c r="M27" s="26"/>
    </row>
    <row r="28" spans="1:13" outlineLevel="1">
      <c r="A28" s="26"/>
      <c r="B28" s="26" t="s">
        <v>49</v>
      </c>
      <c r="C28" s="120">
        <f>C19*C24</f>
        <v>1857819.0110243612</v>
      </c>
      <c r="L28" s="26"/>
      <c r="M28" s="26"/>
    </row>
    <row r="29" spans="1:13" outlineLevel="1">
      <c r="A29" s="26"/>
      <c r="B29" s="26" t="s">
        <v>51</v>
      </c>
      <c r="C29" s="27">
        <f>SUM(C26:C28)</f>
        <v>1857819011.0243611</v>
      </c>
      <c r="L29" s="26"/>
      <c r="M29" s="26"/>
    </row>
    <row r="30" spans="1:13" outlineLevel="1">
      <c r="A30" s="26"/>
      <c r="B30" s="26"/>
      <c r="C30" s="26"/>
      <c r="L30" s="26"/>
      <c r="M30" s="26"/>
    </row>
    <row r="31" spans="1:13" outlineLevel="1">
      <c r="A31" s="26"/>
      <c r="B31" s="26"/>
      <c r="C31" s="26"/>
      <c r="L31" s="26"/>
      <c r="M31" s="26"/>
    </row>
    <row r="32" spans="1:13" outlineLevel="1">
      <c r="A32" s="26"/>
      <c r="B32" s="26"/>
      <c r="C32" s="26"/>
      <c r="L32" s="26"/>
      <c r="M32" s="26"/>
    </row>
    <row r="33" spans="1:13">
      <c r="A33" s="26"/>
      <c r="B33" s="26"/>
      <c r="C33" s="26"/>
      <c r="L33" s="26"/>
      <c r="M33" s="26"/>
    </row>
    <row r="34" spans="1:13">
      <c r="A34" s="36">
        <v>1</v>
      </c>
      <c r="B34" s="26" t="s">
        <v>52</v>
      </c>
      <c r="C34" s="27">
        <f>+C19</f>
        <v>1857819011.0243611</v>
      </c>
      <c r="E34" s="3"/>
      <c r="F34" s="32"/>
      <c r="L34" s="26"/>
      <c r="M34" s="26"/>
    </row>
    <row r="35" spans="1:13">
      <c r="A35" s="36">
        <f>A34+1</f>
        <v>2</v>
      </c>
      <c r="B35" s="26" t="s">
        <v>53</v>
      </c>
      <c r="C35" s="37">
        <f>C21</f>
        <v>0.50949999999999995</v>
      </c>
      <c r="F35" s="32"/>
      <c r="L35" s="26"/>
      <c r="M35" s="26"/>
    </row>
    <row r="36" spans="1:13">
      <c r="A36" s="36">
        <f t="shared" ref="A36:A60" si="0">A35+1</f>
        <v>3</v>
      </c>
      <c r="B36" s="26" t="s">
        <v>54</v>
      </c>
      <c r="C36" s="606">
        <f>C34*C35</f>
        <v>946558786.11691189</v>
      </c>
      <c r="F36" s="32"/>
      <c r="L36" s="26"/>
      <c r="M36" s="26"/>
    </row>
    <row r="37" spans="1:13">
      <c r="A37" s="36">
        <f t="shared" si="0"/>
        <v>4</v>
      </c>
      <c r="B37" s="26"/>
      <c r="C37" s="27"/>
      <c r="F37" s="32"/>
      <c r="L37" s="26"/>
      <c r="M37" s="26"/>
    </row>
    <row r="38" spans="1:13">
      <c r="A38" s="36">
        <f t="shared" si="0"/>
        <v>5</v>
      </c>
      <c r="B38" s="26" t="s">
        <v>55</v>
      </c>
      <c r="C38" s="27">
        <f>C47+C45</f>
        <v>50970775.876879945</v>
      </c>
      <c r="F38" s="32"/>
      <c r="L38" s="26"/>
      <c r="M38" s="26"/>
    </row>
    <row r="39" spans="1:13">
      <c r="A39" s="36">
        <f t="shared" si="0"/>
        <v>6</v>
      </c>
      <c r="B39" s="26" t="s">
        <v>56</v>
      </c>
      <c r="C39" s="37">
        <f>ROUND(C38/C36,4)</f>
        <v>5.3800000000000001E-2</v>
      </c>
      <c r="F39" s="32"/>
      <c r="L39" s="26"/>
      <c r="M39" s="26"/>
    </row>
    <row r="40" spans="1:13">
      <c r="A40" s="36">
        <f t="shared" si="0"/>
        <v>7</v>
      </c>
      <c r="B40" s="26"/>
      <c r="C40" s="37"/>
      <c r="F40" s="32"/>
      <c r="L40" s="26"/>
      <c r="M40" s="26"/>
    </row>
    <row r="41" spans="1:13">
      <c r="A41" s="36">
        <f t="shared" si="0"/>
        <v>8</v>
      </c>
      <c r="B41" s="26" t="s">
        <v>57</v>
      </c>
      <c r="C41" s="27"/>
      <c r="F41" s="32"/>
      <c r="L41" s="26"/>
      <c r="M41" s="26"/>
    </row>
    <row r="42" spans="1:13">
      <c r="A42" s="36">
        <f t="shared" si="0"/>
        <v>9</v>
      </c>
      <c r="B42" s="119" t="s">
        <v>58</v>
      </c>
      <c r="C42" s="42">
        <v>118775.62</v>
      </c>
      <c r="D42" s="37"/>
      <c r="F42" s="32"/>
      <c r="G42" s="626"/>
      <c r="L42" s="26"/>
      <c r="M42" s="26"/>
    </row>
    <row r="43" spans="1:13">
      <c r="A43" s="36">
        <f t="shared" si="0"/>
        <v>10</v>
      </c>
      <c r="B43" s="119" t="s">
        <v>59</v>
      </c>
      <c r="C43" s="42">
        <v>2058762.8399999999</v>
      </c>
      <c r="D43" s="37"/>
      <c r="F43" s="32"/>
      <c r="G43" s="626"/>
      <c r="L43" s="26"/>
      <c r="M43" s="26"/>
    </row>
    <row r="44" spans="1:13">
      <c r="A44" s="36">
        <f t="shared" si="0"/>
        <v>11</v>
      </c>
      <c r="B44" s="119" t="s">
        <v>60</v>
      </c>
      <c r="C44" s="793">
        <v>18399</v>
      </c>
      <c r="D44" s="37"/>
      <c r="F44" s="32"/>
      <c r="G44" s="626"/>
      <c r="L44" s="26"/>
      <c r="M44" s="26"/>
    </row>
    <row r="45" spans="1:13" s="151" customFormat="1" ht="15.75">
      <c r="A45" s="36">
        <f t="shared" si="0"/>
        <v>12</v>
      </c>
      <c r="B45" s="26"/>
      <c r="C45" s="27">
        <f>SUM(C42:C44)</f>
        <v>2195937.46</v>
      </c>
      <c r="E45" s="189"/>
      <c r="F45" s="152"/>
      <c r="L45" s="26"/>
      <c r="M45" s="26"/>
    </row>
    <row r="46" spans="1:13">
      <c r="A46" s="36">
        <f t="shared" si="0"/>
        <v>13</v>
      </c>
      <c r="B46" s="26"/>
      <c r="C46" s="26"/>
      <c r="E46" s="21"/>
      <c r="L46" s="26"/>
      <c r="M46" s="26"/>
    </row>
    <row r="47" spans="1:13">
      <c r="A47" s="36">
        <f t="shared" si="0"/>
        <v>14</v>
      </c>
      <c r="B47" s="26" t="s">
        <v>61</v>
      </c>
      <c r="C47" s="27">
        <f>+'Income Statement'!K64</f>
        <v>48774838.416879945</v>
      </c>
      <c r="E47" s="21"/>
      <c r="F47" s="32"/>
      <c r="L47" s="26"/>
      <c r="M47" s="26"/>
    </row>
    <row r="48" spans="1:13">
      <c r="A48" s="36">
        <f t="shared" si="0"/>
        <v>15</v>
      </c>
      <c r="B48" s="26" t="s">
        <v>62</v>
      </c>
      <c r="C48" s="607">
        <f>ROUND(C47/C36,4)</f>
        <v>5.1499999999999997E-2</v>
      </c>
      <c r="E48" s="172"/>
      <c r="F48" s="191"/>
      <c r="L48" s="26"/>
      <c r="M48" s="26"/>
    </row>
    <row r="49" spans="1:13">
      <c r="A49" s="36">
        <f t="shared" si="0"/>
        <v>16</v>
      </c>
      <c r="B49" s="26"/>
      <c r="C49" s="26"/>
      <c r="E49" s="21"/>
      <c r="L49" s="26"/>
      <c r="M49" s="26"/>
    </row>
    <row r="50" spans="1:13">
      <c r="A50" s="36">
        <f t="shared" si="0"/>
        <v>17</v>
      </c>
      <c r="B50" s="29" t="s">
        <v>63</v>
      </c>
      <c r="C50" s="37">
        <f>ROUND(IF(C48&gt;0.10275, 0.10275-0.09275,IF(C48&lt;0.09275,0,+C48-0.09275)),4)</f>
        <v>0</v>
      </c>
      <c r="L50" s="26"/>
      <c r="M50" s="26"/>
    </row>
    <row r="51" spans="1:13">
      <c r="A51" s="36">
        <f t="shared" si="0"/>
        <v>18</v>
      </c>
      <c r="B51" s="26" t="s">
        <v>64</v>
      </c>
      <c r="C51" s="27">
        <f>C36*C50</f>
        <v>0</v>
      </c>
      <c r="E51" s="3"/>
      <c r="L51" s="26"/>
      <c r="M51" s="26"/>
    </row>
    <row r="52" spans="1:13">
      <c r="A52" s="36">
        <f t="shared" si="0"/>
        <v>19</v>
      </c>
      <c r="B52" s="26" t="s">
        <v>65</v>
      </c>
      <c r="C52" s="606">
        <f>C51*0.5</f>
        <v>0</v>
      </c>
      <c r="E52" s="21"/>
      <c r="L52" s="26"/>
      <c r="M52" s="26"/>
    </row>
    <row r="53" spans="1:13">
      <c r="A53" s="36">
        <f t="shared" si="0"/>
        <v>20</v>
      </c>
      <c r="B53" s="26"/>
      <c r="C53" s="26"/>
      <c r="E53" s="21"/>
      <c r="L53" s="26"/>
      <c r="M53" s="26"/>
    </row>
    <row r="54" spans="1:13">
      <c r="A54" s="36">
        <f t="shared" si="0"/>
        <v>21</v>
      </c>
      <c r="B54" s="26" t="s">
        <v>66</v>
      </c>
      <c r="C54" s="37">
        <f>ROUND(IF(C48&gt;0.10275,C48-0.10275,0),4)</f>
        <v>0</v>
      </c>
      <c r="E54" s="21"/>
      <c r="L54" s="26"/>
      <c r="M54" s="26"/>
    </row>
    <row r="55" spans="1:13">
      <c r="A55" s="36">
        <f t="shared" si="0"/>
        <v>22</v>
      </c>
      <c r="B55" s="26" t="s">
        <v>64</v>
      </c>
      <c r="C55" s="27">
        <f>C54*C36</f>
        <v>0</v>
      </c>
      <c r="L55" s="26"/>
      <c r="M55" s="26"/>
    </row>
    <row r="56" spans="1:13">
      <c r="A56" s="36">
        <f t="shared" si="0"/>
        <v>23</v>
      </c>
      <c r="B56" s="26" t="s">
        <v>67</v>
      </c>
      <c r="C56" s="606">
        <f>C55*0.75</f>
        <v>0</v>
      </c>
      <c r="E56" s="21"/>
      <c r="L56" s="26"/>
      <c r="M56" s="26"/>
    </row>
    <row r="57" spans="1:13">
      <c r="A57" s="36">
        <f t="shared" si="0"/>
        <v>24</v>
      </c>
      <c r="B57" s="26"/>
      <c r="C57" s="26"/>
      <c r="E57" s="21"/>
      <c r="L57" s="26"/>
      <c r="M57" s="26"/>
    </row>
    <row r="58" spans="1:13" ht="15.75" thickBot="1">
      <c r="A58" s="36">
        <f t="shared" si="0"/>
        <v>25</v>
      </c>
      <c r="B58" s="26" t="s">
        <v>68</v>
      </c>
      <c r="C58" s="331">
        <f>C52+C56</f>
        <v>0</v>
      </c>
      <c r="E58" s="21"/>
      <c r="L58" s="26"/>
      <c r="M58" s="26"/>
    </row>
    <row r="59" spans="1:13" ht="15.75" thickTop="1">
      <c r="A59" s="36">
        <f t="shared" si="0"/>
        <v>26</v>
      </c>
      <c r="B59" s="26"/>
      <c r="C59" s="26"/>
      <c r="L59" s="26"/>
      <c r="M59" s="26"/>
    </row>
    <row r="60" spans="1:13" ht="15.75" thickBot="1">
      <c r="A60" s="36">
        <f t="shared" si="0"/>
        <v>27</v>
      </c>
      <c r="B60" s="26" t="s">
        <v>69</v>
      </c>
      <c r="C60" s="331">
        <f>C58/0.79</f>
        <v>0</v>
      </c>
      <c r="L60" s="26"/>
      <c r="M60" s="26"/>
    </row>
    <row r="61" spans="1:13" ht="15.75" thickTop="1">
      <c r="A61" s="36"/>
      <c r="B61" s="26"/>
      <c r="C61" s="26"/>
      <c r="L61" s="26"/>
      <c r="M61" s="26"/>
    </row>
    <row r="62" spans="1:13">
      <c r="A62" s="36"/>
      <c r="B62" s="26"/>
      <c r="C62" s="26"/>
      <c r="L62" s="26"/>
      <c r="M62" s="26"/>
    </row>
    <row r="63" spans="1:13">
      <c r="A63" s="26" t="s">
        <v>70</v>
      </c>
      <c r="C63" s="26"/>
      <c r="L63" s="26"/>
      <c r="M63" s="26"/>
    </row>
    <row r="64" spans="1:13">
      <c r="A64" s="36">
        <v>1</v>
      </c>
      <c r="B64" s="26" t="str">
        <f>CONCATENATE("From ",'Rate Base'!$M$12," line ",'Rate Base'!A47, 'Rate Base'!M21)</f>
        <v>From Page 5 of 15 line 24(f)</v>
      </c>
      <c r="C64" s="26"/>
      <c r="L64" s="26"/>
      <c r="M64" s="26"/>
    </row>
    <row r="65" spans="1:13">
      <c r="A65" s="36">
        <v>2</v>
      </c>
      <c r="B65" s="26" t="str">
        <f>CONCATENATE("From ",'Cap Int Pref'!$E$12," line ",'Cap Int Pref'!A33, 'Cap Int Pref'!D22)</f>
        <v>From Page 4 of 15 line 10(a)</v>
      </c>
      <c r="C65" s="37"/>
      <c r="L65" s="26"/>
      <c r="M65" s="26"/>
    </row>
    <row r="66" spans="1:13">
      <c r="A66" s="36">
        <v>3</v>
      </c>
      <c r="B66" s="26" t="str">
        <f>CONCATENATE("Line ",A34," times line ",A35)</f>
        <v>Line 1 times line 2</v>
      </c>
      <c r="C66" s="37"/>
      <c r="L66" s="26"/>
      <c r="M66" s="26"/>
    </row>
    <row r="67" spans="1:13">
      <c r="A67" s="36">
        <v>5</v>
      </c>
      <c r="B67" s="26" t="str">
        <f>CONCATENATE("Line ",A45," plus line ",A47)</f>
        <v>Line 12 plus line 14</v>
      </c>
      <c r="C67" s="37"/>
      <c r="L67" s="26"/>
      <c r="M67" s="26"/>
    </row>
    <row r="68" spans="1:13">
      <c r="A68" s="36">
        <v>6</v>
      </c>
      <c r="B68" s="26" t="str">
        <f>CONCATENATE("Line ",A38," divided by line ",A36)</f>
        <v>Line 5 divided by line 3</v>
      </c>
      <c r="C68" s="37"/>
      <c r="L68" s="26"/>
      <c r="M68" s="26"/>
    </row>
    <row r="69" spans="1:13">
      <c r="A69" s="36">
        <v>9</v>
      </c>
      <c r="B69" s="26" t="s">
        <v>6197</v>
      </c>
      <c r="C69" s="37"/>
      <c r="L69" s="26"/>
      <c r="M69" s="26"/>
    </row>
    <row r="70" spans="1:13">
      <c r="A70" s="36">
        <v>10</v>
      </c>
      <c r="B70" s="26" t="s">
        <v>6198</v>
      </c>
      <c r="C70" s="37"/>
      <c r="L70" s="26"/>
      <c r="M70" s="26"/>
    </row>
    <row r="71" spans="1:13">
      <c r="A71" s="36">
        <v>11</v>
      </c>
      <c r="B71" s="26" t="s">
        <v>6199</v>
      </c>
      <c r="C71" s="37"/>
      <c r="L71" s="26"/>
      <c r="M71" s="26"/>
    </row>
    <row r="72" spans="1:13">
      <c r="A72" s="36">
        <v>14</v>
      </c>
      <c r="B72" s="26" t="str">
        <f>CONCATENATE("From ",'Income Statement'!$K$12," line ",'Income Statement'!A64)</f>
        <v>From Page 2 of 15 line 44</v>
      </c>
      <c r="C72" s="26"/>
      <c r="L72" s="26"/>
      <c r="M72" s="26"/>
    </row>
    <row r="73" spans="1:13">
      <c r="A73" s="36">
        <v>15</v>
      </c>
      <c r="B73" s="26" t="str">
        <f>CONCATENATE("Line ",A47," divided by line ",A36)</f>
        <v>Line 14 divided by line 3</v>
      </c>
      <c r="C73" s="26"/>
      <c r="L73" s="26"/>
      <c r="M73" s="26"/>
    </row>
    <row r="74" spans="1:13">
      <c r="A74" s="36">
        <v>17</v>
      </c>
      <c r="B74" s="26" t="s">
        <v>6201</v>
      </c>
      <c r="C74" s="26"/>
      <c r="L74" s="26"/>
      <c r="M74" s="26"/>
    </row>
    <row r="75" spans="1:13">
      <c r="A75" s="36">
        <v>18</v>
      </c>
      <c r="B75" s="26" t="str">
        <f>CONCATENATE("Line ",A36," times line ",A50)</f>
        <v>Line 3 times line 17</v>
      </c>
      <c r="C75" s="26"/>
      <c r="L75" s="26"/>
      <c r="M75" s="26"/>
    </row>
    <row r="76" spans="1:13">
      <c r="A76" s="36">
        <v>19</v>
      </c>
      <c r="B76" s="26" t="str">
        <f>CONCATENATE("Line ",A51," times 50%")</f>
        <v>Line 18 times 50%</v>
      </c>
      <c r="C76" s="26"/>
      <c r="L76" s="26"/>
      <c r="M76" s="26"/>
    </row>
    <row r="77" spans="1:13">
      <c r="A77" s="36">
        <v>21</v>
      </c>
      <c r="B77" s="26" t="s">
        <v>6200</v>
      </c>
      <c r="C77" s="26"/>
      <c r="L77" s="26"/>
      <c r="M77" s="26"/>
    </row>
    <row r="78" spans="1:13">
      <c r="A78" s="36">
        <v>22</v>
      </c>
      <c r="B78" s="26" t="str">
        <f>CONCATENATE("Line ",A36," times line ",A54)</f>
        <v>Line 3 times line 21</v>
      </c>
      <c r="C78" s="26"/>
      <c r="L78" s="26"/>
      <c r="M78" s="26"/>
    </row>
    <row r="79" spans="1:13">
      <c r="A79" s="36">
        <v>23</v>
      </c>
      <c r="B79" s="26" t="str">
        <f>CONCATENATE("Line ",A55," times 75%")</f>
        <v>Line 22 times 75%</v>
      </c>
      <c r="C79" s="26"/>
      <c r="L79" s="26"/>
      <c r="M79" s="26"/>
    </row>
    <row r="80" spans="1:13">
      <c r="A80" s="36">
        <v>25</v>
      </c>
      <c r="B80" s="26" t="str">
        <f>CONCATENATE("Line ",A52," plus line ",A56)</f>
        <v>Line 19 plus line 23</v>
      </c>
      <c r="C80" s="26"/>
      <c r="L80" s="26"/>
      <c r="M80" s="26"/>
    </row>
    <row r="81" spans="1:13">
      <c r="A81" s="36">
        <v>27</v>
      </c>
      <c r="B81" s="26" t="s">
        <v>71</v>
      </c>
      <c r="C81" s="26"/>
      <c r="L81" s="26"/>
      <c r="M81" s="26"/>
    </row>
    <row r="82" spans="1:13">
      <c r="L82" s="26"/>
      <c r="M82" s="26"/>
    </row>
    <row r="83" spans="1:13">
      <c r="L83" s="26"/>
      <c r="M83" s="26"/>
    </row>
    <row r="84" spans="1:13">
      <c r="L84" s="26"/>
      <c r="M84" s="26"/>
    </row>
    <row r="85" spans="1:13">
      <c r="L85" s="26"/>
      <c r="M85" s="26"/>
    </row>
    <row r="86" spans="1:13">
      <c r="L86" s="26"/>
      <c r="M86" s="26"/>
    </row>
    <row r="87" spans="1:13">
      <c r="L87" s="26"/>
      <c r="M87" s="26"/>
    </row>
    <row r="88" spans="1:13">
      <c r="L88" s="26"/>
      <c r="M88" s="26"/>
    </row>
    <row r="89" spans="1:13">
      <c r="L89" s="26"/>
      <c r="M89" s="26"/>
    </row>
    <row r="90" spans="1:13">
      <c r="L90" s="26"/>
      <c r="M90" s="26"/>
    </row>
    <row r="91" spans="1:13">
      <c r="L91" s="26"/>
      <c r="M91" s="26"/>
    </row>
    <row r="92" spans="1:13">
      <c r="L92" s="26"/>
      <c r="M92" s="26"/>
    </row>
    <row r="93" spans="1:13">
      <c r="L93" s="26"/>
      <c r="M93" s="26"/>
    </row>
    <row r="94" spans="1:13">
      <c r="L94" s="26"/>
      <c r="M94" s="26"/>
    </row>
    <row r="95" spans="1:13">
      <c r="L95" s="26"/>
      <c r="M95" s="26"/>
    </row>
    <row r="96" spans="1:13">
      <c r="L96" s="26"/>
      <c r="M96" s="26"/>
    </row>
    <row r="97" spans="12:13">
      <c r="L97" s="26"/>
      <c r="M97" s="26"/>
    </row>
    <row r="98" spans="12:13">
      <c r="L98" s="26"/>
      <c r="M98" s="26"/>
    </row>
    <row r="99" spans="12:13">
      <c r="L99" s="26"/>
      <c r="M99" s="26"/>
    </row>
    <row r="100" spans="12:13">
      <c r="L100" s="26"/>
      <c r="M100" s="26"/>
    </row>
    <row r="101" spans="12:13">
      <c r="L101" s="26"/>
      <c r="M101" s="26"/>
    </row>
    <row r="102" spans="12:13">
      <c r="L102" s="26"/>
      <c r="M102" s="26"/>
    </row>
    <row r="103" spans="12:13">
      <c r="L103" s="26"/>
      <c r="M103" s="26"/>
    </row>
    <row r="104" spans="12:13">
      <c r="L104" s="26"/>
      <c r="M104" s="26"/>
    </row>
    <row r="105" spans="12:13">
      <c r="L105" s="26"/>
      <c r="M105" s="26"/>
    </row>
    <row r="106" spans="12:13">
      <c r="L106" s="26"/>
      <c r="M106" s="26"/>
    </row>
    <row r="107" spans="12:13">
      <c r="L107" s="26"/>
      <c r="M107" s="26"/>
    </row>
    <row r="108" spans="12:13">
      <c r="L108" s="26"/>
      <c r="M108" s="26"/>
    </row>
    <row r="109" spans="12:13">
      <c r="L109" s="26"/>
      <c r="M109" s="26"/>
    </row>
    <row r="110" spans="12:13">
      <c r="L110" s="26"/>
      <c r="M110" s="26"/>
    </row>
    <row r="111" spans="12:13">
      <c r="L111" s="26"/>
      <c r="M111" s="26"/>
    </row>
    <row r="112" spans="12:13">
      <c r="L112" s="26"/>
      <c r="M112" s="26"/>
    </row>
    <row r="113" spans="12:13">
      <c r="L113" s="26"/>
      <c r="M113" s="26"/>
    </row>
    <row r="114" spans="12:13">
      <c r="L114" s="26"/>
      <c r="M114" s="26"/>
    </row>
    <row r="115" spans="12:13">
      <c r="L115" s="26"/>
      <c r="M115" s="26"/>
    </row>
    <row r="116" spans="12:13">
      <c r="L116" s="26"/>
      <c r="M116" s="26"/>
    </row>
    <row r="117" spans="12:13">
      <c r="L117" s="26"/>
      <c r="M117" s="26"/>
    </row>
    <row r="118" spans="12:13">
      <c r="L118" s="26"/>
      <c r="M118" s="26"/>
    </row>
    <row r="119" spans="12:13">
      <c r="L119" s="26"/>
      <c r="M119" s="26"/>
    </row>
    <row r="120" spans="12:13">
      <c r="L120" s="26"/>
      <c r="M120" s="26"/>
    </row>
    <row r="121" spans="12:13">
      <c r="L121" s="26"/>
      <c r="M121" s="26"/>
    </row>
    <row r="122" spans="12:13">
      <c r="L122" s="26"/>
      <c r="M122" s="26"/>
    </row>
    <row r="123" spans="12:13">
      <c r="L123" s="26"/>
      <c r="M123" s="26"/>
    </row>
    <row r="124" spans="12:13">
      <c r="L124" s="26"/>
      <c r="M124" s="26"/>
    </row>
    <row r="125" spans="12:13">
      <c r="L125" s="26"/>
      <c r="M125" s="26"/>
    </row>
    <row r="126" spans="12:13">
      <c r="L126" s="26"/>
      <c r="M126" s="26"/>
    </row>
    <row r="127" spans="12:13">
      <c r="L127" s="26"/>
      <c r="M127" s="26"/>
    </row>
    <row r="128" spans="12:13">
      <c r="L128" s="26"/>
      <c r="M128" s="26"/>
    </row>
    <row r="129" spans="12:13">
      <c r="L129" s="26"/>
      <c r="M129" s="26"/>
    </row>
    <row r="130" spans="12:13">
      <c r="L130" s="26"/>
      <c r="M130" s="26"/>
    </row>
    <row r="131" spans="12:13">
      <c r="L131" s="26"/>
      <c r="M131" s="26"/>
    </row>
    <row r="132" spans="12:13">
      <c r="L132" s="26"/>
      <c r="M132" s="26"/>
    </row>
    <row r="133" spans="12:13">
      <c r="L133" s="26"/>
      <c r="M133" s="26"/>
    </row>
    <row r="134" spans="12:13">
      <c r="L134" s="26"/>
      <c r="M134" s="26"/>
    </row>
    <row r="135" spans="12:13">
      <c r="L135" s="26"/>
      <c r="M135" s="26"/>
    </row>
    <row r="136" spans="12:13">
      <c r="L136" s="26"/>
      <c r="M136" s="26"/>
    </row>
    <row r="137" spans="12:13">
      <c r="L137" s="26"/>
      <c r="M137" s="26"/>
    </row>
    <row r="138" spans="12:13">
      <c r="L138" s="26"/>
      <c r="M138" s="26"/>
    </row>
    <row r="139" spans="12:13">
      <c r="L139" s="26"/>
      <c r="M139" s="26"/>
    </row>
    <row r="140" spans="12:13">
      <c r="L140" s="26"/>
      <c r="M140" s="26"/>
    </row>
    <row r="141" spans="12:13">
      <c r="L141" s="26"/>
      <c r="M141" s="26"/>
    </row>
    <row r="142" spans="12:13">
      <c r="L142" s="26"/>
      <c r="M142" s="26"/>
    </row>
    <row r="143" spans="12:13">
      <c r="L143" s="26"/>
      <c r="M143" s="26"/>
    </row>
    <row r="144" spans="12:13">
      <c r="L144" s="26"/>
      <c r="M144" s="26"/>
    </row>
    <row r="145" spans="12:13">
      <c r="L145" s="26"/>
      <c r="M145" s="26"/>
    </row>
    <row r="146" spans="12:13">
      <c r="L146" s="26"/>
      <c r="M146" s="26"/>
    </row>
    <row r="147" spans="12:13">
      <c r="L147" s="26"/>
      <c r="M147" s="26"/>
    </row>
    <row r="148" spans="12:13">
      <c r="L148" s="26"/>
      <c r="M148" s="26"/>
    </row>
    <row r="149" spans="12:13">
      <c r="L149" s="26"/>
      <c r="M149" s="26"/>
    </row>
    <row r="150" spans="12:13">
      <c r="L150" s="26"/>
      <c r="M150" s="26"/>
    </row>
    <row r="151" spans="12:13">
      <c r="L151" s="26"/>
      <c r="M151" s="26"/>
    </row>
    <row r="152" spans="12:13">
      <c r="L152" s="26"/>
      <c r="M152" s="26"/>
    </row>
    <row r="153" spans="12:13">
      <c r="L153" s="26"/>
      <c r="M153" s="26"/>
    </row>
    <row r="154" spans="12:13">
      <c r="L154" s="26"/>
      <c r="M154" s="26"/>
    </row>
    <row r="155" spans="12:13">
      <c r="L155" s="26"/>
      <c r="M155" s="26"/>
    </row>
    <row r="156" spans="12:13">
      <c r="L156" s="26"/>
      <c r="M156" s="26"/>
    </row>
    <row r="157" spans="12:13">
      <c r="L157" s="26"/>
      <c r="M157" s="26"/>
    </row>
    <row r="158" spans="12:13">
      <c r="L158" s="26"/>
      <c r="M158" s="26"/>
    </row>
    <row r="159" spans="12:13">
      <c r="L159" s="26"/>
      <c r="M159" s="26"/>
    </row>
    <row r="160" spans="12:13">
      <c r="L160" s="26"/>
      <c r="M160" s="26"/>
    </row>
    <row r="161" spans="12:13">
      <c r="L161" s="26"/>
      <c r="M161" s="26"/>
    </row>
    <row r="162" spans="12:13">
      <c r="L162" s="26"/>
      <c r="M162" s="26"/>
    </row>
    <row r="163" spans="12:13">
      <c r="L163" s="26"/>
      <c r="M163" s="26"/>
    </row>
    <row r="164" spans="12:13">
      <c r="L164" s="26"/>
      <c r="M164" s="26"/>
    </row>
    <row r="165" spans="12:13">
      <c r="L165" s="26"/>
      <c r="M165" s="26"/>
    </row>
    <row r="166" spans="12:13">
      <c r="L166" s="26"/>
      <c r="M166" s="26"/>
    </row>
    <row r="167" spans="12:13">
      <c r="L167" s="26"/>
      <c r="M167" s="26"/>
    </row>
    <row r="168" spans="12:13">
      <c r="L168" s="26"/>
      <c r="M168" s="26"/>
    </row>
    <row r="169" spans="12:13">
      <c r="L169" s="26"/>
      <c r="M169" s="26"/>
    </row>
    <row r="170" spans="12:13">
      <c r="L170" s="26"/>
      <c r="M170" s="26"/>
    </row>
    <row r="171" spans="12:13">
      <c r="L171" s="26"/>
      <c r="M171" s="26"/>
    </row>
    <row r="172" spans="12:13">
      <c r="L172" s="26"/>
      <c r="M172" s="26"/>
    </row>
    <row r="173" spans="12:13">
      <c r="L173" s="26"/>
      <c r="M173" s="26"/>
    </row>
    <row r="174" spans="12:13">
      <c r="L174" s="26"/>
      <c r="M174" s="26"/>
    </row>
    <row r="175" spans="12:13">
      <c r="L175" s="26"/>
      <c r="M175" s="26"/>
    </row>
    <row r="176" spans="12:13">
      <c r="L176" s="26"/>
      <c r="M176" s="26"/>
    </row>
    <row r="177" spans="12:13">
      <c r="L177" s="26"/>
      <c r="M177" s="26"/>
    </row>
    <row r="178" spans="12:13">
      <c r="L178" s="26"/>
      <c r="M178" s="26"/>
    </row>
    <row r="179" spans="12:13">
      <c r="L179" s="26"/>
      <c r="M179" s="26"/>
    </row>
    <row r="180" spans="12:13">
      <c r="L180" s="26"/>
      <c r="M180" s="26"/>
    </row>
    <row r="181" spans="12:13">
      <c r="L181" s="26"/>
      <c r="M181" s="26"/>
    </row>
    <row r="182" spans="12:13">
      <c r="L182" s="26"/>
      <c r="M182" s="26"/>
    </row>
    <row r="183" spans="12:13">
      <c r="L183" s="26"/>
      <c r="M183" s="26"/>
    </row>
    <row r="184" spans="12:13">
      <c r="L184" s="26"/>
      <c r="M184" s="26"/>
    </row>
    <row r="185" spans="12:13">
      <c r="L185" s="26"/>
      <c r="M185" s="26"/>
    </row>
    <row r="186" spans="12:13">
      <c r="L186" s="26"/>
      <c r="M186" s="26"/>
    </row>
    <row r="187" spans="12:13">
      <c r="L187" s="26"/>
      <c r="M187" s="26"/>
    </row>
    <row r="188" spans="12:13">
      <c r="L188" s="26"/>
      <c r="M188" s="26"/>
    </row>
    <row r="189" spans="12:13">
      <c r="L189" s="26"/>
      <c r="M189" s="26"/>
    </row>
    <row r="190" spans="12:13">
      <c r="L190" s="26"/>
      <c r="M190" s="26"/>
    </row>
    <row r="191" spans="12:13">
      <c r="L191" s="26"/>
      <c r="M191" s="26"/>
    </row>
    <row r="192" spans="12:13">
      <c r="L192" s="26"/>
      <c r="M192" s="26"/>
    </row>
    <row r="193" spans="12:13">
      <c r="L193" s="26"/>
      <c r="M193" s="26"/>
    </row>
    <row r="194" spans="12:13">
      <c r="L194" s="26"/>
      <c r="M194" s="26"/>
    </row>
    <row r="195" spans="12:13">
      <c r="L195" s="26"/>
      <c r="M195" s="26"/>
    </row>
    <row r="196" spans="12:13">
      <c r="L196" s="26"/>
      <c r="M196" s="26"/>
    </row>
    <row r="197" spans="12:13">
      <c r="L197" s="26"/>
      <c r="M197" s="26"/>
    </row>
    <row r="198" spans="12:13">
      <c r="L198" s="26"/>
      <c r="M198" s="26"/>
    </row>
    <row r="199" spans="12:13">
      <c r="L199" s="26"/>
      <c r="M199" s="26"/>
    </row>
    <row r="200" spans="12:13">
      <c r="L200" s="26"/>
      <c r="M200" s="26"/>
    </row>
    <row r="201" spans="12:13">
      <c r="L201" s="26"/>
      <c r="M201" s="26"/>
    </row>
    <row r="202" spans="12:13">
      <c r="L202" s="26"/>
      <c r="M202" s="26"/>
    </row>
    <row r="203" spans="12:13">
      <c r="L203" s="26"/>
      <c r="M203" s="26"/>
    </row>
    <row r="204" spans="12:13">
      <c r="L204" s="26"/>
      <c r="M204" s="26"/>
    </row>
  </sheetData>
  <mergeCells count="4">
    <mergeCell ref="A14:C14"/>
    <mergeCell ref="A15:C15"/>
    <mergeCell ref="A16:C16"/>
    <mergeCell ref="A17:C17"/>
  </mergeCells>
  <pageMargins left="0.7" right="0.7" top="0.75" bottom="0.75" header="0.3" footer="0.3"/>
  <pageSetup scale="61" orientation="portrait" horizontalDpi="1200" verticalDpi="1200"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2">
    <tabColor rgb="FFFF0000"/>
  </sheetPr>
  <dimension ref="A1:M204"/>
  <sheetViews>
    <sheetView workbookViewId="0"/>
  </sheetViews>
  <sheetFormatPr defaultColWidth="8.85546875" defaultRowHeight="15"/>
  <cols>
    <col min="1" max="1" width="19.28515625" style="125" bestFit="1" customWidth="1"/>
    <col min="2" max="2" width="25.42578125" style="125" bestFit="1" customWidth="1"/>
    <col min="3" max="3" width="30.140625" style="125" bestFit="1" customWidth="1"/>
    <col min="4" max="4" width="32.140625" style="125" bestFit="1" customWidth="1"/>
    <col min="5" max="5" width="37" style="125" bestFit="1" customWidth="1"/>
    <col min="6" max="6" width="24.85546875" style="125" bestFit="1" customWidth="1"/>
    <col min="7" max="7" width="12.28515625" style="125" bestFit="1" customWidth="1"/>
    <col min="8" max="16384" width="8.85546875" style="125"/>
  </cols>
  <sheetData>
    <row r="1" spans="1:13">
      <c r="A1" s="619" t="s">
        <v>1311</v>
      </c>
      <c r="B1" s="86" t="s">
        <v>1312</v>
      </c>
      <c r="C1" s="619"/>
      <c r="D1" s="619"/>
      <c r="E1" s="619"/>
      <c r="F1" s="619"/>
      <c r="G1" s="619"/>
      <c r="H1" s="619"/>
      <c r="I1" s="619"/>
      <c r="J1" s="619"/>
      <c r="K1" s="619"/>
      <c r="L1" s="619"/>
      <c r="M1" s="619"/>
    </row>
    <row r="2" spans="1:13">
      <c r="A2" s="7"/>
      <c r="B2" s="619"/>
      <c r="C2" s="619"/>
      <c r="D2" s="619"/>
      <c r="E2" s="619"/>
      <c r="F2" s="619"/>
      <c r="G2" s="619"/>
      <c r="H2" s="619"/>
      <c r="I2" s="619"/>
      <c r="J2" s="619"/>
      <c r="K2" s="619"/>
      <c r="L2" s="619"/>
      <c r="M2" s="619"/>
    </row>
    <row r="3" spans="1:13">
      <c r="A3"/>
      <c r="B3"/>
      <c r="C3"/>
      <c r="D3"/>
      <c r="E3"/>
      <c r="F3" s="619"/>
      <c r="G3" s="619"/>
      <c r="H3" s="619"/>
      <c r="I3" s="619"/>
      <c r="J3" s="619"/>
      <c r="K3" s="619"/>
      <c r="L3" s="619"/>
      <c r="M3" s="619"/>
    </row>
    <row r="4" spans="1:13">
      <c r="A4" s="162" t="s">
        <v>1233</v>
      </c>
      <c r="B4" s="162" t="s">
        <v>989</v>
      </c>
      <c r="C4" s="162" t="s">
        <v>993</v>
      </c>
      <c r="D4" s="162" t="s">
        <v>1047</v>
      </c>
      <c r="E4" s="162" t="s">
        <v>1048</v>
      </c>
      <c r="F4" s="162" t="s">
        <v>990</v>
      </c>
      <c r="G4" s="619"/>
      <c r="H4" s="619"/>
      <c r="I4" s="619"/>
      <c r="J4" s="619"/>
      <c r="K4" s="619"/>
      <c r="L4" s="619"/>
      <c r="M4" s="619"/>
    </row>
    <row r="5" spans="1:13">
      <c r="A5" s="179" t="s">
        <v>1234</v>
      </c>
      <c r="B5" s="179" t="s">
        <v>1235</v>
      </c>
      <c r="C5" t="s">
        <v>941</v>
      </c>
      <c r="D5" s="179" t="s">
        <v>1313</v>
      </c>
      <c r="E5" t="s">
        <v>1061</v>
      </c>
      <c r="F5" s="25">
        <v>9.990000000000002</v>
      </c>
      <c r="G5" s="619"/>
      <c r="H5" s="619"/>
      <c r="I5" s="619"/>
      <c r="J5" s="619"/>
      <c r="K5" s="619"/>
      <c r="L5" s="619"/>
      <c r="M5" s="619"/>
    </row>
    <row r="6" spans="1:13">
      <c r="A6" s="179"/>
      <c r="B6" s="179"/>
      <c r="C6"/>
      <c r="D6" s="179" t="s">
        <v>1237</v>
      </c>
      <c r="E6" t="s">
        <v>1061</v>
      </c>
      <c r="F6" s="25">
        <v>-80471.01999999999</v>
      </c>
      <c r="G6" s="619"/>
      <c r="H6" s="619"/>
      <c r="I6" s="619"/>
      <c r="J6" s="619"/>
      <c r="K6" s="619"/>
      <c r="L6" s="619"/>
      <c r="M6" s="619"/>
    </row>
    <row r="7" spans="1:13">
      <c r="A7" s="179"/>
      <c r="B7" s="179"/>
      <c r="C7"/>
      <c r="D7" s="179" t="s">
        <v>1238</v>
      </c>
      <c r="E7" t="s">
        <v>1061</v>
      </c>
      <c r="F7" s="25">
        <v>-69930.289999999979</v>
      </c>
      <c r="G7" s="619"/>
      <c r="H7" s="619"/>
      <c r="I7" s="619"/>
      <c r="J7" s="619"/>
      <c r="K7" s="619"/>
      <c r="L7" s="619"/>
      <c r="M7" s="619"/>
    </row>
    <row r="8" spans="1:13">
      <c r="A8" s="179"/>
      <c r="B8" s="179"/>
      <c r="C8"/>
      <c r="D8" s="179" t="s">
        <v>1239</v>
      </c>
      <c r="E8" t="s">
        <v>1061</v>
      </c>
      <c r="F8" s="25">
        <v>-12580.53</v>
      </c>
      <c r="G8" s="619"/>
      <c r="H8" s="619"/>
      <c r="I8" s="619"/>
      <c r="J8" s="619"/>
      <c r="K8" s="619"/>
      <c r="L8" s="619"/>
      <c r="M8" s="619"/>
    </row>
    <row r="9" spans="1:13">
      <c r="A9" s="179"/>
      <c r="B9" s="179"/>
      <c r="C9"/>
      <c r="D9" s="179" t="s">
        <v>1240</v>
      </c>
      <c r="E9" t="s">
        <v>1061</v>
      </c>
      <c r="F9" s="25">
        <v>-37043.539999999994</v>
      </c>
      <c r="G9" s="619"/>
      <c r="H9" s="619"/>
      <c r="I9" s="619"/>
      <c r="J9" s="619"/>
      <c r="K9" s="619"/>
      <c r="L9" s="619"/>
      <c r="M9" s="619"/>
    </row>
    <row r="10" spans="1:13">
      <c r="A10" s="179"/>
      <c r="B10" s="179"/>
      <c r="C10"/>
      <c r="D10" s="179" t="s">
        <v>1241</v>
      </c>
      <c r="E10" t="s">
        <v>1061</v>
      </c>
      <c r="F10" s="25">
        <v>-1759293.99</v>
      </c>
      <c r="G10" s="619"/>
      <c r="H10" s="619"/>
      <c r="I10" s="619"/>
      <c r="J10" s="619"/>
      <c r="K10" s="619"/>
      <c r="L10" s="619"/>
      <c r="M10" s="619"/>
    </row>
    <row r="11" spans="1:13">
      <c r="A11" s="179"/>
      <c r="B11" s="179"/>
      <c r="C11"/>
      <c r="D11" s="179" t="s">
        <v>1242</v>
      </c>
      <c r="E11" t="s">
        <v>1061</v>
      </c>
      <c r="F11" s="25">
        <v>-569563.43999999994</v>
      </c>
      <c r="G11" s="619"/>
      <c r="H11" s="619"/>
      <c r="I11" s="619"/>
      <c r="J11" s="619"/>
      <c r="K11" s="619"/>
      <c r="L11" s="619"/>
      <c r="M11" s="619"/>
    </row>
    <row r="12" spans="1:13">
      <c r="A12" s="179"/>
      <c r="B12" s="179"/>
      <c r="C12"/>
      <c r="D12" s="179" t="s">
        <v>1243</v>
      </c>
      <c r="E12" t="s">
        <v>1061</v>
      </c>
      <c r="F12" s="25">
        <v>-2794.8600000000006</v>
      </c>
      <c r="G12" s="619"/>
      <c r="H12" s="619"/>
      <c r="I12" s="619"/>
      <c r="J12" s="619"/>
      <c r="K12" s="619"/>
      <c r="L12" s="619"/>
      <c r="M12" s="619"/>
    </row>
    <row r="13" spans="1:13">
      <c r="A13" s="179"/>
      <c r="B13" s="179"/>
      <c r="C13"/>
      <c r="D13" s="179" t="s">
        <v>1244</v>
      </c>
      <c r="E13" t="s">
        <v>1061</v>
      </c>
      <c r="F13" s="25">
        <v>-351890.17000000004</v>
      </c>
      <c r="G13" s="621"/>
      <c r="H13" s="619"/>
      <c r="I13" s="619"/>
      <c r="J13" s="619"/>
      <c r="K13" s="619"/>
      <c r="L13" s="26"/>
      <c r="M13" s="26"/>
    </row>
    <row r="14" spans="1:13">
      <c r="A14" s="179"/>
      <c r="B14" s="179"/>
      <c r="C14"/>
      <c r="D14" s="179" t="s">
        <v>1245</v>
      </c>
      <c r="E14" t="s">
        <v>1061</v>
      </c>
      <c r="F14" s="25">
        <v>-6201170.3399999999</v>
      </c>
      <c r="G14" s="619"/>
      <c r="H14" s="619"/>
      <c r="I14" s="619"/>
      <c r="J14" s="619"/>
      <c r="K14" s="619"/>
      <c r="L14" s="26"/>
      <c r="M14" s="26"/>
    </row>
    <row r="15" spans="1:13">
      <c r="A15" s="179"/>
      <c r="B15" s="179"/>
      <c r="C15"/>
      <c r="D15" s="179" t="s">
        <v>1246</v>
      </c>
      <c r="E15" t="s">
        <v>1061</v>
      </c>
      <c r="F15" s="25">
        <v>-1966439.7600000002</v>
      </c>
      <c r="G15" s="619"/>
      <c r="H15" s="619"/>
      <c r="I15" s="619"/>
      <c r="J15" s="619"/>
      <c r="K15" s="619"/>
      <c r="L15" s="26"/>
      <c r="M15" s="26"/>
    </row>
    <row r="16" spans="1:13">
      <c r="A16" s="179"/>
      <c r="B16" s="179"/>
      <c r="C16"/>
      <c r="D16" s="179" t="s">
        <v>1247</v>
      </c>
      <c r="E16" t="s">
        <v>1061</v>
      </c>
      <c r="F16" s="25">
        <v>-43429.410000000033</v>
      </c>
      <c r="G16" s="619"/>
      <c r="H16" s="619"/>
      <c r="I16" s="619"/>
      <c r="J16" s="619"/>
      <c r="K16" s="619"/>
      <c r="L16" s="26"/>
      <c r="M16" s="26"/>
    </row>
    <row r="17" spans="1:13">
      <c r="A17" s="179"/>
      <c r="B17" s="179"/>
      <c r="C17"/>
      <c r="D17" s="179" t="s">
        <v>1248</v>
      </c>
      <c r="E17" t="s">
        <v>1061</v>
      </c>
      <c r="F17" s="25">
        <v>-1181820.6199999999</v>
      </c>
      <c r="G17" s="619"/>
      <c r="H17" s="619"/>
      <c r="I17" s="619"/>
      <c r="J17" s="619"/>
      <c r="K17" s="619"/>
      <c r="L17" s="26"/>
      <c r="M17" s="26"/>
    </row>
    <row r="18" spans="1:13">
      <c r="A18" s="179"/>
      <c r="B18" s="179"/>
      <c r="C18"/>
      <c r="D18" s="179" t="s">
        <v>1249</v>
      </c>
      <c r="E18" t="s">
        <v>1061</v>
      </c>
      <c r="F18" s="25">
        <v>-2298806.5999999996</v>
      </c>
      <c r="G18" s="619"/>
      <c r="H18" s="619"/>
      <c r="I18" s="619"/>
      <c r="J18" s="619"/>
      <c r="K18" s="619"/>
      <c r="L18" s="26"/>
      <c r="M18" s="26"/>
    </row>
    <row r="19" spans="1:13">
      <c r="A19" s="179"/>
      <c r="B19" s="179"/>
      <c r="C19"/>
      <c r="D19" s="179" t="s">
        <v>1250</v>
      </c>
      <c r="E19" t="s">
        <v>1061</v>
      </c>
      <c r="F19" s="25">
        <v>-894612.38</v>
      </c>
      <c r="G19" s="619"/>
      <c r="H19" s="619"/>
      <c r="I19" s="619"/>
      <c r="J19" s="619"/>
      <c r="K19" s="619"/>
      <c r="L19" s="26"/>
      <c r="M19" s="26"/>
    </row>
    <row r="20" spans="1:13">
      <c r="A20" s="179"/>
      <c r="B20" s="179"/>
      <c r="C20"/>
      <c r="D20" s="179" t="s">
        <v>1251</v>
      </c>
      <c r="E20" t="s">
        <v>1061</v>
      </c>
      <c r="F20" s="25">
        <v>-277958.95</v>
      </c>
      <c r="G20" s="619"/>
      <c r="H20" s="619"/>
      <c r="I20" s="619"/>
      <c r="J20" s="619"/>
      <c r="K20" s="619"/>
      <c r="L20" s="26"/>
      <c r="M20" s="26"/>
    </row>
    <row r="21" spans="1:13">
      <c r="A21" s="179"/>
      <c r="B21" s="179"/>
      <c r="C21"/>
      <c r="D21" s="179" t="s">
        <v>1252</v>
      </c>
      <c r="E21" t="s">
        <v>1061</v>
      </c>
      <c r="F21" s="25">
        <v>-511393.7099999999</v>
      </c>
      <c r="G21" s="619"/>
      <c r="H21" s="619"/>
      <c r="I21" s="619"/>
      <c r="J21" s="619"/>
      <c r="K21" s="619"/>
      <c r="L21" s="26"/>
      <c r="M21" s="26"/>
    </row>
    <row r="22" spans="1:13">
      <c r="A22" s="179"/>
      <c r="B22" s="179"/>
      <c r="C22"/>
      <c r="D22" s="179" t="s">
        <v>1253</v>
      </c>
      <c r="E22" t="s">
        <v>1061</v>
      </c>
      <c r="F22" s="25">
        <v>-3933290.19</v>
      </c>
      <c r="G22" s="619"/>
      <c r="H22" s="619"/>
      <c r="I22" s="619"/>
      <c r="J22" s="619"/>
      <c r="K22" s="619"/>
      <c r="L22" s="26"/>
      <c r="M22" s="26"/>
    </row>
    <row r="23" spans="1:13">
      <c r="A23" s="179"/>
      <c r="B23" s="179"/>
      <c r="C23"/>
      <c r="D23" s="179" t="s">
        <v>1254</v>
      </c>
      <c r="E23" t="s">
        <v>1061</v>
      </c>
      <c r="F23" s="25">
        <v>-1632439.89</v>
      </c>
      <c r="G23" s="619"/>
      <c r="H23" s="619"/>
      <c r="I23" s="619"/>
      <c r="J23" s="619"/>
      <c r="K23" s="619"/>
      <c r="L23" s="26"/>
      <c r="M23" s="26"/>
    </row>
    <row r="24" spans="1:13">
      <c r="A24" s="179"/>
      <c r="B24" s="179"/>
      <c r="C24"/>
      <c r="D24" s="179" t="s">
        <v>1255</v>
      </c>
      <c r="E24" t="s">
        <v>1061</v>
      </c>
      <c r="F24" s="25">
        <v>-483441.19</v>
      </c>
      <c r="G24" s="619"/>
      <c r="H24" s="619"/>
      <c r="I24" s="619"/>
      <c r="J24" s="619"/>
      <c r="K24" s="619"/>
      <c r="L24" s="26"/>
      <c r="M24" s="26"/>
    </row>
    <row r="25" spans="1:13">
      <c r="A25" s="179"/>
      <c r="B25" s="179"/>
      <c r="C25"/>
      <c r="D25" s="179" t="s">
        <v>1256</v>
      </c>
      <c r="E25" t="s">
        <v>1061</v>
      </c>
      <c r="F25" s="25">
        <v>-877190.68000000017</v>
      </c>
      <c r="G25" s="619"/>
      <c r="H25" s="619"/>
      <c r="I25" s="619"/>
      <c r="J25" s="619"/>
      <c r="K25" s="619"/>
      <c r="L25" s="26"/>
      <c r="M25" s="26"/>
    </row>
    <row r="26" spans="1:13">
      <c r="A26" s="179"/>
      <c r="B26" s="179"/>
      <c r="C26"/>
      <c r="D26" s="179" t="s">
        <v>1257</v>
      </c>
      <c r="E26" t="s">
        <v>1061</v>
      </c>
      <c r="F26" s="25">
        <v>-663735.07999999996</v>
      </c>
      <c r="G26" s="619"/>
      <c r="H26" s="619"/>
      <c r="I26" s="619"/>
      <c r="J26" s="619"/>
      <c r="K26" s="619"/>
      <c r="L26" s="26"/>
      <c r="M26" s="26"/>
    </row>
    <row r="27" spans="1:13">
      <c r="A27" s="179"/>
      <c r="B27" s="179"/>
      <c r="C27"/>
      <c r="D27" s="179" t="s">
        <v>1258</v>
      </c>
      <c r="E27" t="s">
        <v>1061</v>
      </c>
      <c r="F27" s="25">
        <v>-1016173.9699999999</v>
      </c>
      <c r="G27" s="619"/>
      <c r="H27" s="619"/>
      <c r="I27" s="619"/>
      <c r="J27" s="619"/>
      <c r="K27" s="619"/>
      <c r="L27" s="26"/>
      <c r="M27" s="26"/>
    </row>
    <row r="28" spans="1:13">
      <c r="A28" s="179"/>
      <c r="B28" s="179"/>
      <c r="C28"/>
      <c r="D28" s="179" t="s">
        <v>1259</v>
      </c>
      <c r="E28" t="s">
        <v>1061</v>
      </c>
      <c r="F28" s="25">
        <v>-221000.19999999998</v>
      </c>
      <c r="G28" s="619"/>
      <c r="H28" s="619"/>
      <c r="I28" s="619"/>
      <c r="J28" s="619"/>
      <c r="K28" s="619"/>
      <c r="L28" s="26"/>
      <c r="M28" s="26"/>
    </row>
    <row r="29" spans="1:13">
      <c r="A29" s="179"/>
      <c r="B29" s="179"/>
      <c r="C29"/>
      <c r="D29" s="179" t="s">
        <v>1260</v>
      </c>
      <c r="E29" t="s">
        <v>1061</v>
      </c>
      <c r="F29" s="25">
        <v>-680027.63999999978</v>
      </c>
      <c r="G29" s="619"/>
      <c r="H29" s="619"/>
      <c r="I29" s="619"/>
      <c r="J29" s="619"/>
      <c r="K29" s="619"/>
      <c r="L29" s="26"/>
      <c r="M29" s="26"/>
    </row>
    <row r="30" spans="1:13">
      <c r="A30" s="179"/>
      <c r="B30" s="179"/>
      <c r="C30"/>
      <c r="D30" s="179" t="s">
        <v>1261</v>
      </c>
      <c r="E30" t="s">
        <v>1061</v>
      </c>
      <c r="F30" s="25">
        <v>-50616.049999999996</v>
      </c>
      <c r="G30" s="619"/>
      <c r="H30" s="619"/>
      <c r="I30" s="619"/>
      <c r="J30" s="619"/>
      <c r="K30" s="619"/>
      <c r="L30" s="26"/>
      <c r="M30" s="26"/>
    </row>
    <row r="31" spans="1:13">
      <c r="A31" s="179"/>
      <c r="B31" s="179"/>
      <c r="C31"/>
      <c r="D31" s="179" t="s">
        <v>1262</v>
      </c>
      <c r="E31" t="s">
        <v>1061</v>
      </c>
      <c r="F31" s="25">
        <v>-80510.36</v>
      </c>
      <c r="G31" s="619"/>
      <c r="H31" s="619"/>
      <c r="I31" s="619"/>
      <c r="J31" s="619"/>
      <c r="K31" s="619"/>
      <c r="L31" s="26"/>
      <c r="M31" s="26"/>
    </row>
    <row r="32" spans="1:13">
      <c r="A32" s="179"/>
      <c r="B32" s="179"/>
      <c r="C32"/>
      <c r="D32" s="179" t="s">
        <v>1263</v>
      </c>
      <c r="E32" t="s">
        <v>1061</v>
      </c>
      <c r="F32" s="25">
        <v>-11427.419999999998</v>
      </c>
      <c r="G32" s="619"/>
      <c r="H32" s="619"/>
      <c r="I32" s="619"/>
      <c r="J32" s="619"/>
      <c r="K32" s="619"/>
      <c r="L32" s="26"/>
      <c r="M32" s="26"/>
    </row>
    <row r="33" spans="1:13">
      <c r="A33" s="179"/>
      <c r="B33" s="179"/>
      <c r="C33"/>
      <c r="D33" s="179" t="s">
        <v>1264</v>
      </c>
      <c r="E33" t="s">
        <v>1061</v>
      </c>
      <c r="F33" s="25">
        <v>-36540.769999999997</v>
      </c>
      <c r="G33" s="619"/>
      <c r="H33" s="619"/>
      <c r="I33" s="619"/>
      <c r="J33" s="619"/>
      <c r="K33" s="619"/>
      <c r="L33" s="26"/>
      <c r="M33" s="26"/>
    </row>
    <row r="34" spans="1:13">
      <c r="A34" s="179"/>
      <c r="B34" s="179"/>
      <c r="C34"/>
      <c r="D34" s="179" t="s">
        <v>1265</v>
      </c>
      <c r="E34" t="s">
        <v>1061</v>
      </c>
      <c r="F34" s="25">
        <v>262569.80999999988</v>
      </c>
      <c r="G34" s="619"/>
      <c r="H34" s="619"/>
      <c r="I34" s="619"/>
      <c r="J34" s="619"/>
      <c r="K34" s="619"/>
      <c r="L34" s="26"/>
      <c r="M34" s="26"/>
    </row>
    <row r="35" spans="1:13">
      <c r="A35" s="179"/>
      <c r="B35" s="179"/>
      <c r="C35"/>
      <c r="D35" s="179" t="s">
        <v>1266</v>
      </c>
      <c r="E35" t="s">
        <v>1061</v>
      </c>
      <c r="F35" s="25">
        <v>-3523688.71</v>
      </c>
      <c r="G35" s="619"/>
      <c r="H35" s="619"/>
      <c r="I35" s="619"/>
      <c r="J35" s="619"/>
      <c r="K35" s="619"/>
      <c r="L35" s="26"/>
      <c r="M35" s="26"/>
    </row>
    <row r="36" spans="1:13">
      <c r="A36" s="179"/>
      <c r="B36" s="179"/>
      <c r="C36"/>
      <c r="D36" s="179" t="s">
        <v>1267</v>
      </c>
      <c r="E36" t="s">
        <v>1061</v>
      </c>
      <c r="F36" s="25">
        <v>-775051.16999999993</v>
      </c>
      <c r="G36" s="619"/>
      <c r="H36" s="619"/>
      <c r="I36" s="619"/>
      <c r="J36" s="619"/>
      <c r="K36" s="619"/>
      <c r="L36" s="26"/>
      <c r="M36" s="26"/>
    </row>
    <row r="37" spans="1:13">
      <c r="A37" s="179"/>
      <c r="B37" s="179"/>
      <c r="C37"/>
      <c r="D37" s="179" t="s">
        <v>1268</v>
      </c>
      <c r="E37" t="s">
        <v>1061</v>
      </c>
      <c r="F37" s="25">
        <v>-402416.61</v>
      </c>
      <c r="G37" s="619"/>
      <c r="H37" s="619"/>
      <c r="I37" s="619"/>
      <c r="J37" s="619"/>
      <c r="K37" s="619"/>
      <c r="L37" s="26"/>
      <c r="M37" s="26"/>
    </row>
    <row r="38" spans="1:13">
      <c r="A38" s="179"/>
      <c r="B38" s="179"/>
      <c r="C38"/>
      <c r="D38" s="179" t="s">
        <v>1269</v>
      </c>
      <c r="E38" t="s">
        <v>1061</v>
      </c>
      <c r="F38" s="25">
        <v>-97718.66</v>
      </c>
      <c r="G38" s="619"/>
      <c r="H38" s="619"/>
      <c r="I38" s="619"/>
      <c r="J38" s="619"/>
      <c r="K38" s="619"/>
      <c r="L38" s="26"/>
      <c r="M38" s="26"/>
    </row>
    <row r="39" spans="1:13">
      <c r="A39" s="179"/>
      <c r="B39" s="179"/>
      <c r="C39"/>
      <c r="D39" s="179" t="s">
        <v>1270</v>
      </c>
      <c r="E39" t="s">
        <v>1061</v>
      </c>
      <c r="F39" s="25">
        <v>-254513.37999999998</v>
      </c>
      <c r="G39" s="619"/>
      <c r="H39" s="619"/>
      <c r="I39" s="619"/>
      <c r="J39" s="619"/>
      <c r="K39" s="619"/>
      <c r="L39" s="26"/>
      <c r="M39" s="26"/>
    </row>
    <row r="40" spans="1:13">
      <c r="A40" s="179"/>
      <c r="B40" s="179"/>
      <c r="C40"/>
      <c r="D40" s="179" t="s">
        <v>1271</v>
      </c>
      <c r="E40" t="s">
        <v>1061</v>
      </c>
      <c r="F40" s="25">
        <v>-1303016.8199999998</v>
      </c>
      <c r="G40" s="621"/>
      <c r="H40" s="619"/>
      <c r="I40" s="619"/>
      <c r="J40" s="619"/>
      <c r="K40" s="619"/>
      <c r="L40" s="26"/>
      <c r="M40" s="26"/>
    </row>
    <row r="41" spans="1:13">
      <c r="A41" s="179"/>
      <c r="B41" s="179"/>
      <c r="C41"/>
      <c r="D41" s="179" t="s">
        <v>1272</v>
      </c>
      <c r="E41" t="s">
        <v>1061</v>
      </c>
      <c r="F41" s="25">
        <v>-672582.28000000014</v>
      </c>
      <c r="G41" s="619"/>
      <c r="H41" s="619"/>
      <c r="I41" s="619"/>
      <c r="J41" s="619"/>
      <c r="K41" s="619"/>
      <c r="L41" s="26"/>
      <c r="M41" s="26"/>
    </row>
    <row r="42" spans="1:13">
      <c r="A42" s="179"/>
      <c r="B42" s="179"/>
      <c r="C42"/>
      <c r="D42" s="179" t="s">
        <v>1273</v>
      </c>
      <c r="E42" t="s">
        <v>1061</v>
      </c>
      <c r="F42" s="25">
        <v>-172852.4</v>
      </c>
      <c r="G42" s="619"/>
      <c r="H42" s="619"/>
      <c r="I42" s="619"/>
      <c r="J42" s="619"/>
      <c r="K42" s="619"/>
      <c r="L42" s="26"/>
      <c r="M42" s="26"/>
    </row>
    <row r="43" spans="1:13">
      <c r="A43" s="179"/>
      <c r="B43" s="179"/>
      <c r="C43"/>
      <c r="D43" s="179" t="s">
        <v>1274</v>
      </c>
      <c r="E43" t="s">
        <v>1061</v>
      </c>
      <c r="F43" s="25">
        <v>-422555.82999999996</v>
      </c>
      <c r="G43" s="619"/>
      <c r="H43" s="619"/>
      <c r="I43" s="619"/>
      <c r="J43" s="619"/>
      <c r="K43" s="619"/>
      <c r="L43" s="26"/>
      <c r="M43" s="26"/>
    </row>
    <row r="44" spans="1:13">
      <c r="A44" s="179"/>
      <c r="B44" s="179"/>
      <c r="C44"/>
      <c r="D44" s="179" t="s">
        <v>1275</v>
      </c>
      <c r="E44" t="s">
        <v>1061</v>
      </c>
      <c r="F44" s="25">
        <v>-2863552.75</v>
      </c>
      <c r="G44" s="619"/>
      <c r="H44" s="619"/>
      <c r="I44" s="619"/>
      <c r="J44" s="619"/>
      <c r="K44" s="619"/>
      <c r="L44" s="26"/>
      <c r="M44" s="26"/>
    </row>
    <row r="45" spans="1:13">
      <c r="A45" s="179"/>
      <c r="B45" s="179"/>
      <c r="C45"/>
      <c r="D45" s="179" t="s">
        <v>1276</v>
      </c>
      <c r="E45" t="s">
        <v>1061</v>
      </c>
      <c r="F45" s="25">
        <v>-4985461.1100000003</v>
      </c>
      <c r="G45" s="619"/>
      <c r="H45" s="619"/>
      <c r="I45" s="619"/>
      <c r="J45" s="619"/>
      <c r="K45" s="619"/>
      <c r="L45" s="26"/>
      <c r="M45" s="26"/>
    </row>
    <row r="46" spans="1:13">
      <c r="A46" s="179"/>
      <c r="B46" s="179"/>
      <c r="C46"/>
      <c r="D46" s="179" t="s">
        <v>1277</v>
      </c>
      <c r="E46" t="s">
        <v>1061</v>
      </c>
      <c r="F46" s="25">
        <v>-1003106.4300000002</v>
      </c>
      <c r="G46" s="619"/>
      <c r="H46" s="619"/>
      <c r="I46" s="619"/>
      <c r="J46" s="619"/>
      <c r="K46" s="619"/>
      <c r="L46" s="26"/>
      <c r="M46" s="26"/>
    </row>
    <row r="47" spans="1:13">
      <c r="A47" s="179"/>
      <c r="B47" s="179"/>
      <c r="C47"/>
      <c r="D47" s="179" t="s">
        <v>1278</v>
      </c>
      <c r="E47" t="s">
        <v>1061</v>
      </c>
      <c r="F47" s="25">
        <v>-2947640.12</v>
      </c>
      <c r="G47" s="619"/>
      <c r="H47" s="619"/>
      <c r="I47" s="619"/>
      <c r="J47" s="619"/>
      <c r="K47" s="619"/>
      <c r="L47" s="26"/>
      <c r="M47" s="26"/>
    </row>
    <row r="48" spans="1:13">
      <c r="A48" s="179"/>
      <c r="B48" s="179"/>
      <c r="C48"/>
      <c r="D48" s="179" t="s">
        <v>1279</v>
      </c>
      <c r="E48" t="s">
        <v>1061</v>
      </c>
      <c r="F48" s="25">
        <v>-327458.42</v>
      </c>
      <c r="G48" s="619"/>
      <c r="H48" s="619"/>
      <c r="I48" s="619"/>
      <c r="J48" s="619"/>
      <c r="K48" s="619"/>
      <c r="L48" s="26"/>
      <c r="M48" s="26"/>
    </row>
    <row r="49" spans="1:13">
      <c r="A49" s="179"/>
      <c r="B49" s="179"/>
      <c r="C49"/>
      <c r="D49" s="179" t="s">
        <v>1280</v>
      </c>
      <c r="E49" t="s">
        <v>1061</v>
      </c>
      <c r="F49" s="25">
        <v>-233067.36</v>
      </c>
      <c r="G49" s="619"/>
      <c r="H49" s="619"/>
      <c r="I49" s="619"/>
      <c r="J49" s="619"/>
      <c r="K49" s="619"/>
      <c r="L49" s="26"/>
      <c r="M49" s="26"/>
    </row>
    <row r="50" spans="1:13">
      <c r="A50" s="179"/>
      <c r="B50" s="179"/>
      <c r="C50"/>
      <c r="D50" s="179" t="s">
        <v>1281</v>
      </c>
      <c r="E50" t="s">
        <v>1061</v>
      </c>
      <c r="F50" s="25">
        <v>-997375.82000000007</v>
      </c>
      <c r="G50" s="619"/>
      <c r="H50" s="619"/>
      <c r="I50" s="619"/>
      <c r="J50" s="619"/>
      <c r="K50" s="619"/>
      <c r="L50" s="26"/>
      <c r="M50" s="26"/>
    </row>
    <row r="51" spans="1:13">
      <c r="A51" s="179"/>
      <c r="B51" s="179"/>
      <c r="C51"/>
      <c r="D51" s="179" t="s">
        <v>1282</v>
      </c>
      <c r="E51" t="s">
        <v>1061</v>
      </c>
      <c r="F51" s="25">
        <v>-841530.15999999992</v>
      </c>
      <c r="G51" s="619"/>
      <c r="H51" s="619"/>
      <c r="I51" s="619"/>
      <c r="J51" s="619"/>
      <c r="K51" s="619"/>
      <c r="L51" s="26"/>
      <c r="M51" s="26"/>
    </row>
    <row r="52" spans="1:13">
      <c r="A52" s="179"/>
      <c r="B52" s="179"/>
      <c r="C52" t="s">
        <v>1283</v>
      </c>
      <c r="D52" s="179" t="s">
        <v>1284</v>
      </c>
      <c r="E52" t="s">
        <v>1314</v>
      </c>
      <c r="F52" s="25">
        <v>283791.95</v>
      </c>
      <c r="G52" s="619"/>
      <c r="H52" s="619"/>
      <c r="I52" s="619"/>
      <c r="J52" s="619"/>
      <c r="K52" s="619"/>
      <c r="L52" s="26"/>
      <c r="M52" s="26"/>
    </row>
    <row r="53" spans="1:13">
      <c r="A53" s="179"/>
      <c r="B53" s="179"/>
      <c r="C53"/>
      <c r="D53" s="179"/>
      <c r="E53" t="s">
        <v>1315</v>
      </c>
      <c r="F53" s="25">
        <v>0</v>
      </c>
      <c r="G53" s="619"/>
      <c r="H53" s="619"/>
      <c r="I53" s="619"/>
      <c r="J53" s="619"/>
      <c r="K53" s="619"/>
      <c r="L53" s="26"/>
      <c r="M53" s="26"/>
    </row>
    <row r="54" spans="1:13">
      <c r="A54" s="179"/>
      <c r="B54" s="179"/>
      <c r="C54"/>
      <c r="D54" s="179"/>
      <c r="E54" t="s">
        <v>1316</v>
      </c>
      <c r="F54" s="25">
        <v>-276041.31000000006</v>
      </c>
      <c r="G54" s="619"/>
      <c r="H54" s="619"/>
      <c r="I54" s="619"/>
      <c r="J54" s="619"/>
      <c r="K54" s="619"/>
      <c r="L54" s="26"/>
      <c r="M54" s="26"/>
    </row>
    <row r="55" spans="1:13">
      <c r="A55" s="179"/>
      <c r="B55" s="179"/>
      <c r="C55"/>
      <c r="D55" s="179" t="s">
        <v>1286</v>
      </c>
      <c r="E55" t="s">
        <v>1314</v>
      </c>
      <c r="F55" s="25">
        <v>148252.93</v>
      </c>
      <c r="G55" s="619"/>
      <c r="H55" s="619"/>
      <c r="I55" s="619"/>
      <c r="J55" s="619"/>
      <c r="K55" s="619"/>
      <c r="L55" s="26"/>
      <c r="M55" s="26"/>
    </row>
    <row r="56" spans="1:13">
      <c r="A56" s="179"/>
      <c r="B56" s="179"/>
      <c r="C56"/>
      <c r="D56" s="179"/>
      <c r="E56" t="s">
        <v>1315</v>
      </c>
      <c r="F56" s="25">
        <v>0</v>
      </c>
      <c r="G56" s="619"/>
      <c r="H56" s="619"/>
      <c r="I56" s="619"/>
      <c r="J56" s="619"/>
      <c r="K56" s="619"/>
      <c r="L56" s="26"/>
      <c r="M56" s="26"/>
    </row>
    <row r="57" spans="1:13">
      <c r="A57" s="179"/>
      <c r="B57" s="179"/>
      <c r="C57"/>
      <c r="D57" s="179"/>
      <c r="E57" t="s">
        <v>1316</v>
      </c>
      <c r="F57" s="25">
        <v>-118474.77999999998</v>
      </c>
      <c r="G57" s="619"/>
      <c r="H57" s="619"/>
      <c r="I57" s="619"/>
      <c r="J57" s="619"/>
      <c r="K57" s="619"/>
      <c r="L57" s="26"/>
      <c r="M57" s="26"/>
    </row>
    <row r="58" spans="1:13">
      <c r="A58" s="179"/>
      <c r="B58" s="179"/>
      <c r="C58"/>
      <c r="D58" s="179" t="s">
        <v>1287</v>
      </c>
      <c r="E58" t="s">
        <v>1314</v>
      </c>
      <c r="F58" s="25">
        <v>834111.93</v>
      </c>
      <c r="G58" s="619"/>
      <c r="H58" s="619"/>
      <c r="I58" s="619"/>
      <c r="J58" s="619"/>
      <c r="K58" s="619"/>
      <c r="L58" s="26"/>
      <c r="M58" s="26"/>
    </row>
    <row r="59" spans="1:13">
      <c r="A59" s="179"/>
      <c r="B59" s="179"/>
      <c r="C59"/>
      <c r="D59" s="179"/>
      <c r="E59" t="s">
        <v>1315</v>
      </c>
      <c r="F59" s="25">
        <v>0</v>
      </c>
      <c r="G59" s="619"/>
      <c r="H59" s="619"/>
      <c r="I59" s="619"/>
      <c r="J59" s="619"/>
      <c r="K59" s="619"/>
      <c r="L59" s="26"/>
      <c r="M59" s="26"/>
    </row>
    <row r="60" spans="1:13">
      <c r="A60" s="179"/>
      <c r="B60" s="179"/>
      <c r="C60"/>
      <c r="D60" s="179"/>
      <c r="E60" t="s">
        <v>1316</v>
      </c>
      <c r="F60" s="25">
        <v>-980702.30999999994</v>
      </c>
      <c r="G60" s="619"/>
      <c r="H60" s="619"/>
      <c r="I60" s="619"/>
      <c r="J60" s="619"/>
      <c r="K60" s="619"/>
      <c r="L60" s="26"/>
      <c r="M60" s="26"/>
    </row>
    <row r="61" spans="1:13">
      <c r="A61" s="179"/>
      <c r="B61" s="179"/>
      <c r="C61"/>
      <c r="D61" s="179" t="s">
        <v>1288</v>
      </c>
      <c r="E61" t="s">
        <v>1314</v>
      </c>
      <c r="F61" s="25">
        <v>427188.36</v>
      </c>
      <c r="G61" s="619"/>
      <c r="H61" s="619"/>
      <c r="I61" s="619"/>
      <c r="J61" s="619"/>
      <c r="K61" s="619"/>
      <c r="L61" s="26"/>
      <c r="M61" s="26"/>
    </row>
    <row r="62" spans="1:13">
      <c r="A62" s="179"/>
      <c r="B62" s="179"/>
      <c r="C62"/>
      <c r="D62" s="179"/>
      <c r="E62" t="s">
        <v>1315</v>
      </c>
      <c r="F62" s="25">
        <v>0</v>
      </c>
      <c r="G62" s="619"/>
      <c r="H62" s="619"/>
      <c r="I62" s="619"/>
      <c r="J62" s="619"/>
      <c r="K62" s="619"/>
      <c r="L62" s="26"/>
      <c r="M62" s="26"/>
    </row>
    <row r="63" spans="1:13">
      <c r="A63" s="179"/>
      <c r="B63" s="179"/>
      <c r="C63"/>
      <c r="D63" s="179"/>
      <c r="E63" t="s">
        <v>1316</v>
      </c>
      <c r="F63" s="25">
        <v>-420410.90999999992</v>
      </c>
      <c r="G63" s="619"/>
      <c r="H63" s="619"/>
      <c r="I63" s="619"/>
      <c r="J63" s="619"/>
      <c r="K63" s="619"/>
      <c r="L63" s="26"/>
      <c r="M63" s="26"/>
    </row>
    <row r="64" spans="1:13">
      <c r="A64" s="179"/>
      <c r="B64" s="179"/>
      <c r="C64"/>
      <c r="D64" s="179" t="s">
        <v>1289</v>
      </c>
      <c r="E64" t="s">
        <v>1314</v>
      </c>
      <c r="F64" s="25">
        <v>246538.53</v>
      </c>
      <c r="G64" s="619"/>
      <c r="H64" s="619"/>
      <c r="I64" s="619"/>
      <c r="J64" s="619"/>
      <c r="K64" s="619"/>
      <c r="L64" s="26"/>
      <c r="M64" s="26"/>
    </row>
    <row r="65" spans="1:13">
      <c r="A65" s="179"/>
      <c r="B65" s="179"/>
      <c r="C65"/>
      <c r="D65" s="179"/>
      <c r="E65" t="s">
        <v>1315</v>
      </c>
      <c r="F65" s="25">
        <v>0</v>
      </c>
      <c r="G65" s="619"/>
      <c r="H65" s="619"/>
      <c r="I65" s="619"/>
      <c r="J65" s="619"/>
      <c r="K65" s="619"/>
      <c r="L65" s="26"/>
      <c r="M65" s="26"/>
    </row>
    <row r="66" spans="1:13">
      <c r="A66" s="179"/>
      <c r="B66" s="179"/>
      <c r="C66"/>
      <c r="D66" s="179"/>
      <c r="E66" t="s">
        <v>1316</v>
      </c>
      <c r="F66" s="25">
        <v>-270762.28000000003</v>
      </c>
      <c r="G66" s="619"/>
      <c r="H66" s="619"/>
      <c r="I66" s="619"/>
      <c r="J66" s="619"/>
      <c r="K66" s="619"/>
      <c r="L66" s="26"/>
      <c r="M66" s="26"/>
    </row>
    <row r="67" spans="1:13">
      <c r="A67" s="179"/>
      <c r="B67" s="179"/>
      <c r="C67"/>
      <c r="D67" s="179" t="s">
        <v>1290</v>
      </c>
      <c r="E67" t="s">
        <v>1314</v>
      </c>
      <c r="F67" s="25">
        <v>26390.58</v>
      </c>
      <c r="G67" s="619"/>
      <c r="H67" s="619"/>
      <c r="I67" s="619"/>
      <c r="J67" s="619"/>
      <c r="K67" s="619"/>
      <c r="L67" s="26"/>
      <c r="M67" s="26"/>
    </row>
    <row r="68" spans="1:13">
      <c r="A68" s="179"/>
      <c r="B68" s="179"/>
      <c r="C68"/>
      <c r="D68" s="179"/>
      <c r="E68" t="s">
        <v>1315</v>
      </c>
      <c r="F68" s="25">
        <v>0</v>
      </c>
      <c r="G68" s="619"/>
      <c r="H68" s="619"/>
      <c r="I68" s="619"/>
      <c r="J68" s="619"/>
      <c r="K68" s="619"/>
      <c r="L68" s="26"/>
      <c r="M68" s="26"/>
    </row>
    <row r="69" spans="1:13">
      <c r="A69" s="179"/>
      <c r="B69" s="179"/>
      <c r="C69"/>
      <c r="D69" s="179"/>
      <c r="E69" t="s">
        <v>1316</v>
      </c>
      <c r="F69" s="25">
        <v>-24603.940000000002</v>
      </c>
      <c r="G69" s="619"/>
      <c r="H69" s="619"/>
      <c r="I69" s="619"/>
      <c r="J69" s="619"/>
      <c r="K69" s="619"/>
      <c r="L69" s="26"/>
      <c r="M69" s="26"/>
    </row>
    <row r="70" spans="1:13">
      <c r="A70" s="179"/>
      <c r="B70" s="179"/>
      <c r="C70"/>
      <c r="D70" s="179" t="s">
        <v>1291</v>
      </c>
      <c r="E70" t="s">
        <v>1314</v>
      </c>
      <c r="F70" s="25">
        <v>23824.03</v>
      </c>
      <c r="G70" s="619"/>
      <c r="H70" s="619"/>
      <c r="I70" s="619"/>
      <c r="J70" s="619"/>
      <c r="K70" s="619"/>
      <c r="L70" s="26"/>
      <c r="M70" s="26"/>
    </row>
    <row r="71" spans="1:13">
      <c r="A71" s="179"/>
      <c r="B71" s="179"/>
      <c r="C71"/>
      <c r="D71" s="179"/>
      <c r="E71" t="s">
        <v>1315</v>
      </c>
      <c r="F71" s="25">
        <v>0</v>
      </c>
      <c r="G71" s="619"/>
      <c r="H71" s="619"/>
      <c r="I71" s="619"/>
      <c r="J71" s="619"/>
      <c r="K71" s="619"/>
      <c r="L71" s="26"/>
      <c r="M71" s="26"/>
    </row>
    <row r="72" spans="1:13">
      <c r="A72" s="179"/>
      <c r="B72" s="179"/>
      <c r="C72"/>
      <c r="D72" s="179"/>
      <c r="E72" t="s">
        <v>1316</v>
      </c>
      <c r="F72" s="25">
        <v>-22778.659999999993</v>
      </c>
      <c r="G72" s="619"/>
      <c r="H72" s="619"/>
      <c r="I72" s="619"/>
      <c r="J72" s="619"/>
      <c r="K72" s="619"/>
      <c r="L72" s="26"/>
      <c r="M72" s="26"/>
    </row>
    <row r="73" spans="1:13">
      <c r="A73" s="179"/>
      <c r="B73" s="179"/>
      <c r="C73"/>
      <c r="D73" s="179" t="s">
        <v>1292</v>
      </c>
      <c r="E73" t="s">
        <v>1314</v>
      </c>
      <c r="F73" s="25">
        <v>55834.73</v>
      </c>
      <c r="G73" s="619"/>
      <c r="H73" s="619"/>
      <c r="I73" s="619"/>
      <c r="J73" s="619"/>
      <c r="K73" s="619"/>
      <c r="L73" s="26"/>
      <c r="M73" s="26"/>
    </row>
    <row r="74" spans="1:13">
      <c r="A74" s="179"/>
      <c r="B74" s="179"/>
      <c r="C74"/>
      <c r="D74" s="179"/>
      <c r="E74" t="s">
        <v>1315</v>
      </c>
      <c r="F74" s="25">
        <v>0</v>
      </c>
      <c r="G74" s="619"/>
      <c r="H74" s="619"/>
      <c r="I74" s="619"/>
      <c r="J74" s="619"/>
      <c r="K74" s="619"/>
      <c r="L74" s="26"/>
      <c r="M74" s="26"/>
    </row>
    <row r="75" spans="1:13">
      <c r="A75" s="179"/>
      <c r="B75" s="179"/>
      <c r="C75"/>
      <c r="D75" s="179"/>
      <c r="E75" t="s">
        <v>1316</v>
      </c>
      <c r="F75" s="25">
        <v>-57737.240000000005</v>
      </c>
      <c r="G75" s="619"/>
      <c r="H75" s="619"/>
      <c r="I75" s="619"/>
      <c r="J75" s="619"/>
      <c r="K75" s="619"/>
      <c r="L75" s="26"/>
      <c r="M75" s="26"/>
    </row>
    <row r="76" spans="1:13">
      <c r="A76" s="179"/>
      <c r="B76" s="179"/>
      <c r="C76"/>
      <c r="D76" s="179" t="s">
        <v>1293</v>
      </c>
      <c r="E76" t="s">
        <v>1314</v>
      </c>
      <c r="F76" s="25">
        <v>124586.23</v>
      </c>
      <c r="G76" s="619"/>
      <c r="H76" s="619"/>
      <c r="I76" s="619"/>
      <c r="J76" s="619"/>
      <c r="K76" s="619"/>
      <c r="L76" s="26"/>
      <c r="M76" s="26"/>
    </row>
    <row r="77" spans="1:13">
      <c r="A77" s="179"/>
      <c r="B77" s="179"/>
      <c r="C77"/>
      <c r="D77" s="179"/>
      <c r="E77" t="s">
        <v>1315</v>
      </c>
      <c r="F77" s="25">
        <v>0</v>
      </c>
      <c r="G77" s="619"/>
      <c r="H77" s="619"/>
      <c r="I77" s="619"/>
      <c r="J77" s="619"/>
      <c r="K77" s="619"/>
      <c r="L77" s="26"/>
      <c r="M77" s="26"/>
    </row>
    <row r="78" spans="1:13">
      <c r="A78" s="180"/>
      <c r="B78" s="179"/>
      <c r="C78"/>
      <c r="D78" s="179"/>
      <c r="E78" t="s">
        <v>1316</v>
      </c>
      <c r="F78" s="25">
        <v>-156737.44</v>
      </c>
      <c r="G78" s="619"/>
      <c r="H78" s="619"/>
      <c r="I78" s="619"/>
      <c r="J78" s="619"/>
      <c r="K78" s="619"/>
      <c r="L78" s="26"/>
      <c r="M78" s="26"/>
    </row>
    <row r="79" spans="1:13">
      <c r="A79" s="180" t="s">
        <v>1295</v>
      </c>
      <c r="B79" s="179" t="s">
        <v>1296</v>
      </c>
      <c r="C79" t="s">
        <v>941</v>
      </c>
      <c r="D79" s="179" t="s">
        <v>1297</v>
      </c>
      <c r="E79" t="s">
        <v>1061</v>
      </c>
      <c r="F79" s="25">
        <v>-385605.3</v>
      </c>
      <c r="G79" s="619"/>
      <c r="H79" s="619"/>
      <c r="I79" s="619"/>
      <c r="J79" s="619"/>
      <c r="K79" s="619"/>
      <c r="L79" s="26"/>
      <c r="M79" s="26"/>
    </row>
    <row r="80" spans="1:13">
      <c r="A80" s="179" t="s">
        <v>1298</v>
      </c>
      <c r="B80" s="179" t="s">
        <v>1299</v>
      </c>
      <c r="C80" t="s">
        <v>941</v>
      </c>
      <c r="D80" s="179" t="s">
        <v>1300</v>
      </c>
      <c r="E80" t="s">
        <v>1061</v>
      </c>
      <c r="F80" s="25">
        <v>-18113.68</v>
      </c>
      <c r="G80" s="619"/>
      <c r="H80" s="619"/>
      <c r="I80" s="619"/>
      <c r="J80" s="619"/>
      <c r="K80" s="619"/>
      <c r="L80" s="26"/>
      <c r="M80" s="26"/>
    </row>
    <row r="81" spans="1:13">
      <c r="A81" s="179"/>
      <c r="B81" s="179"/>
      <c r="C81"/>
      <c r="D81" s="179" t="s">
        <v>1301</v>
      </c>
      <c r="E81" t="s">
        <v>1061</v>
      </c>
      <c r="F81" s="25">
        <v>-81000.669999999984</v>
      </c>
      <c r="G81" s="619"/>
      <c r="H81" s="619"/>
      <c r="I81" s="619"/>
      <c r="J81" s="619"/>
      <c r="K81" s="619"/>
      <c r="L81" s="26"/>
      <c r="M81" s="26"/>
    </row>
    <row r="82" spans="1:13">
      <c r="A82" s="179"/>
      <c r="B82" s="179"/>
      <c r="C82"/>
      <c r="D82" s="179" t="s">
        <v>1302</v>
      </c>
      <c r="E82" t="s">
        <v>1061</v>
      </c>
      <c r="F82" s="25">
        <v>-283918.39</v>
      </c>
      <c r="G82" s="619"/>
      <c r="H82" s="619"/>
      <c r="I82" s="619"/>
      <c r="J82" s="619"/>
      <c r="K82" s="619"/>
      <c r="L82" s="26"/>
      <c r="M82" s="26"/>
    </row>
    <row r="83" spans="1:13">
      <c r="A83" s="179"/>
      <c r="B83" s="179"/>
      <c r="C83"/>
      <c r="D83" s="179" t="s">
        <v>1303</v>
      </c>
      <c r="E83" t="s">
        <v>1061</v>
      </c>
      <c r="F83" s="25">
        <v>-104822.48999999999</v>
      </c>
      <c r="G83" s="619"/>
      <c r="H83" s="619"/>
      <c r="I83" s="619"/>
      <c r="J83" s="619"/>
      <c r="K83" s="619"/>
      <c r="L83" s="26"/>
      <c r="M83" s="26"/>
    </row>
    <row r="84" spans="1:13">
      <c r="A84" s="179"/>
      <c r="B84" s="179"/>
      <c r="C84"/>
      <c r="D84" s="179" t="s">
        <v>1304</v>
      </c>
      <c r="E84" t="s">
        <v>1061</v>
      </c>
      <c r="F84" s="25">
        <v>-205123.57</v>
      </c>
      <c r="G84" s="619"/>
      <c r="H84" s="619"/>
      <c r="I84" s="619"/>
      <c r="J84" s="619"/>
      <c r="K84" s="619"/>
      <c r="L84" s="26"/>
      <c r="M84" s="26"/>
    </row>
    <row r="85" spans="1:13">
      <c r="A85" s="179"/>
      <c r="B85" s="179"/>
      <c r="C85"/>
      <c r="D85" s="179" t="s">
        <v>1305</v>
      </c>
      <c r="E85" t="s">
        <v>1061</v>
      </c>
      <c r="F85" s="25">
        <v>-72313.62</v>
      </c>
      <c r="G85" s="619"/>
      <c r="H85" s="619"/>
      <c r="I85" s="619"/>
      <c r="J85" s="619"/>
      <c r="K85" s="619"/>
      <c r="L85" s="26"/>
      <c r="M85" s="26"/>
    </row>
    <row r="86" spans="1:13">
      <c r="A86" s="179"/>
      <c r="B86" s="179"/>
      <c r="C86"/>
      <c r="D86" s="179" t="s">
        <v>1306</v>
      </c>
      <c r="E86" t="s">
        <v>1061</v>
      </c>
      <c r="F86" s="25">
        <v>-5540.04</v>
      </c>
      <c r="G86" s="619"/>
      <c r="H86" s="619"/>
      <c r="I86" s="619"/>
      <c r="J86" s="619"/>
      <c r="K86" s="619"/>
      <c r="L86" s="26"/>
      <c r="M86" s="26"/>
    </row>
    <row r="87" spans="1:13">
      <c r="A87" s="179"/>
      <c r="B87" s="179"/>
      <c r="C87"/>
      <c r="D87" s="179" t="s">
        <v>1307</v>
      </c>
      <c r="E87" t="s">
        <v>1061</v>
      </c>
      <c r="F87" s="25">
        <v>-32579.920000000002</v>
      </c>
      <c r="G87" s="619"/>
      <c r="H87" s="619"/>
      <c r="I87" s="619"/>
      <c r="J87" s="619"/>
      <c r="K87" s="619"/>
      <c r="L87" s="26"/>
      <c r="M87" s="26"/>
    </row>
    <row r="88" spans="1:13">
      <c r="A88" s="179"/>
      <c r="B88" s="179"/>
      <c r="C88"/>
      <c r="D88" s="179" t="s">
        <v>1308</v>
      </c>
      <c r="E88" t="s">
        <v>1061</v>
      </c>
      <c r="F88" s="25">
        <v>-69329.87</v>
      </c>
      <c r="G88" s="619"/>
      <c r="H88" s="619"/>
      <c r="I88" s="619"/>
      <c r="J88" s="619"/>
      <c r="K88" s="619"/>
      <c r="L88" s="26"/>
      <c r="M88" s="26"/>
    </row>
    <row r="89" spans="1:13">
      <c r="A89" s="179"/>
      <c r="B89" s="179"/>
      <c r="C89"/>
      <c r="D89" s="179" t="s">
        <v>1309</v>
      </c>
      <c r="E89" t="s">
        <v>1061</v>
      </c>
      <c r="F89" s="25">
        <v>-188449.1</v>
      </c>
      <c r="G89" s="619"/>
      <c r="H89" s="619"/>
      <c r="I89" s="619"/>
      <c r="J89" s="619"/>
      <c r="K89" s="619"/>
      <c r="L89" s="26"/>
      <c r="M89" s="26"/>
    </row>
    <row r="90" spans="1:13">
      <c r="A90" s="180"/>
      <c r="B90" s="179"/>
      <c r="C90"/>
      <c r="D90" s="179" t="s">
        <v>1310</v>
      </c>
      <c r="E90" t="s">
        <v>1061</v>
      </c>
      <c r="F90" s="25">
        <v>-48627.609999999993</v>
      </c>
      <c r="G90" s="619"/>
      <c r="H90" s="619"/>
      <c r="I90" s="619"/>
      <c r="J90" s="619"/>
      <c r="K90" s="619"/>
      <c r="L90" s="26"/>
      <c r="M90" s="26"/>
    </row>
    <row r="91" spans="1:13">
      <c r="A91" s="209" t="s">
        <v>986</v>
      </c>
      <c r="B91" s="209"/>
      <c r="C91" s="209"/>
      <c r="D91" s="209"/>
      <c r="E91" s="209"/>
      <c r="F91" s="210">
        <v>-49159755.139999993</v>
      </c>
      <c r="G91" s="619"/>
      <c r="H91" s="619"/>
      <c r="I91" s="619"/>
      <c r="J91" s="619"/>
      <c r="K91" s="619"/>
      <c r="L91" s="26"/>
      <c r="M91" s="26"/>
    </row>
    <row r="92" spans="1:13">
      <c r="A92" s="619"/>
      <c r="B92" s="619"/>
      <c r="C92" s="619"/>
      <c r="D92" s="619"/>
      <c r="E92" s="32"/>
      <c r="F92" s="619"/>
      <c r="G92" s="619"/>
      <c r="H92" s="619"/>
      <c r="I92" s="619"/>
      <c r="J92" s="619"/>
      <c r="K92" s="619"/>
      <c r="L92" s="26"/>
      <c r="M92" s="26"/>
    </row>
    <row r="93" spans="1:13">
      <c r="A93" s="619"/>
      <c r="B93" s="619"/>
      <c r="C93" s="619"/>
      <c r="D93" s="619"/>
      <c r="E93" s="32"/>
      <c r="F93" s="619"/>
      <c r="G93" s="619"/>
      <c r="H93" s="619"/>
      <c r="I93" s="619"/>
      <c r="J93" s="619"/>
      <c r="K93" s="619"/>
      <c r="L93" s="26"/>
      <c r="M93" s="26"/>
    </row>
    <row r="94" spans="1:13">
      <c r="A94" s="619"/>
      <c r="B94" s="619"/>
      <c r="C94" s="619"/>
      <c r="D94" s="619"/>
      <c r="E94" s="32"/>
      <c r="F94" s="619"/>
      <c r="G94" s="619"/>
      <c r="H94" s="619"/>
      <c r="I94" s="619"/>
      <c r="J94" s="619"/>
      <c r="K94" s="619"/>
      <c r="L94" s="26"/>
      <c r="M94" s="26"/>
    </row>
    <row r="95" spans="1:13">
      <c r="A95" s="619"/>
      <c r="B95" s="619"/>
      <c r="C95" s="619"/>
      <c r="D95" s="619"/>
      <c r="E95" s="40" t="s">
        <v>1147</v>
      </c>
      <c r="F95" s="622">
        <f>'RIGASD PJ1 FERC IS CY20'!W46</f>
        <v>-49159755.140000001</v>
      </c>
      <c r="G95" s="619"/>
      <c r="H95" s="619"/>
      <c r="I95" s="619"/>
      <c r="J95" s="619"/>
      <c r="K95" s="619"/>
      <c r="L95" s="26"/>
      <c r="M95" s="26"/>
    </row>
    <row r="96" spans="1:13">
      <c r="A96" s="619"/>
      <c r="B96" s="619"/>
      <c r="C96" s="619"/>
      <c r="D96" s="619"/>
      <c r="E96" s="40" t="s">
        <v>190</v>
      </c>
      <c r="F96" s="623">
        <f>F91-F95</f>
        <v>0</v>
      </c>
      <c r="G96" s="619"/>
      <c r="H96" s="619"/>
      <c r="I96" s="619"/>
      <c r="J96" s="619"/>
      <c r="K96" s="619"/>
      <c r="L96" s="26"/>
      <c r="M96" s="26"/>
    </row>
    <row r="97" spans="5:13">
      <c r="E97" s="32"/>
      <c r="F97" s="619"/>
      <c r="G97" s="619"/>
      <c r="H97" s="619"/>
      <c r="I97" s="619"/>
      <c r="J97" s="619"/>
      <c r="K97" s="619"/>
      <c r="L97" s="26"/>
      <c r="M97" s="26"/>
    </row>
    <row r="98" spans="5:13">
      <c r="E98" s="32"/>
      <c r="F98" s="619"/>
      <c r="G98" s="619"/>
      <c r="H98" s="619"/>
      <c r="I98" s="619"/>
      <c r="J98" s="619"/>
      <c r="K98" s="619"/>
      <c r="L98" s="26"/>
      <c r="M98" s="26"/>
    </row>
    <row r="99" spans="5:13">
      <c r="E99" s="32"/>
      <c r="F99" s="619"/>
      <c r="G99" s="619"/>
      <c r="H99" s="619"/>
      <c r="I99" s="619"/>
      <c r="J99" s="619"/>
      <c r="K99" s="619"/>
      <c r="L99" s="26"/>
      <c r="M99" s="26"/>
    </row>
    <row r="100" spans="5:13">
      <c r="E100" s="32"/>
      <c r="F100" s="619"/>
      <c r="G100" s="619"/>
      <c r="H100" s="619"/>
      <c r="I100" s="619"/>
      <c r="J100" s="619"/>
      <c r="K100" s="619"/>
      <c r="L100" s="26"/>
      <c r="M100" s="26"/>
    </row>
    <row r="101" spans="5:13">
      <c r="E101" s="621"/>
      <c r="F101" s="619"/>
      <c r="G101" s="619"/>
      <c r="H101" s="619"/>
      <c r="I101" s="619"/>
      <c r="J101" s="619"/>
      <c r="K101" s="619"/>
      <c r="L101" s="26"/>
      <c r="M101" s="26"/>
    </row>
    <row r="102" spans="5:13">
      <c r="E102" s="621"/>
      <c r="F102" s="619"/>
      <c r="G102" s="619"/>
      <c r="H102" s="619"/>
      <c r="I102" s="619"/>
      <c r="J102" s="619"/>
      <c r="K102" s="619"/>
      <c r="L102" s="26"/>
      <c r="M102" s="26"/>
    </row>
    <row r="103" spans="5:13">
      <c r="E103" s="621"/>
      <c r="F103" s="619"/>
      <c r="G103" s="619"/>
      <c r="H103" s="619"/>
      <c r="I103" s="619"/>
      <c r="J103" s="619"/>
      <c r="K103" s="619"/>
      <c r="L103" s="26"/>
      <c r="M103" s="26"/>
    </row>
    <row r="104" spans="5:13">
      <c r="E104" s="619"/>
      <c r="F104" s="619"/>
      <c r="G104" s="619"/>
      <c r="H104" s="619"/>
      <c r="I104" s="619"/>
      <c r="J104" s="619"/>
      <c r="K104" s="619"/>
      <c r="L104" s="26"/>
      <c r="M104" s="26"/>
    </row>
    <row r="105" spans="5:13">
      <c r="E105" s="619"/>
      <c r="F105" s="619"/>
      <c r="G105" s="619"/>
      <c r="H105" s="619"/>
      <c r="I105" s="619"/>
      <c r="J105" s="619"/>
      <c r="K105" s="619"/>
      <c r="L105" s="26"/>
      <c r="M105" s="26"/>
    </row>
    <row r="106" spans="5:13">
      <c r="E106" s="619"/>
      <c r="F106" s="619"/>
      <c r="G106" s="619"/>
      <c r="H106" s="619"/>
      <c r="I106" s="619"/>
      <c r="J106" s="619"/>
      <c r="K106" s="619"/>
      <c r="L106" s="26"/>
      <c r="M106" s="26"/>
    </row>
    <row r="107" spans="5:13">
      <c r="E107" s="619"/>
      <c r="F107" s="619"/>
      <c r="G107" s="619"/>
      <c r="H107" s="619"/>
      <c r="I107" s="619"/>
      <c r="J107" s="619"/>
      <c r="K107" s="619"/>
      <c r="L107" s="26"/>
      <c r="M107" s="26"/>
    </row>
    <row r="108" spans="5:13">
      <c r="E108" s="619"/>
      <c r="F108" s="619"/>
      <c r="G108" s="619"/>
      <c r="H108" s="619"/>
      <c r="I108" s="619"/>
      <c r="J108" s="619"/>
      <c r="K108" s="619"/>
      <c r="L108" s="26"/>
      <c r="M108" s="26"/>
    </row>
    <row r="109" spans="5:13">
      <c r="E109" s="619"/>
      <c r="F109" s="619"/>
      <c r="G109" s="619"/>
      <c r="H109" s="619"/>
      <c r="I109" s="619"/>
      <c r="J109" s="619"/>
      <c r="K109" s="619"/>
      <c r="L109" s="26"/>
      <c r="M109" s="26"/>
    </row>
    <row r="110" spans="5:13">
      <c r="E110" s="619"/>
      <c r="F110" s="619"/>
      <c r="G110" s="619"/>
      <c r="H110" s="619"/>
      <c r="I110" s="619"/>
      <c r="J110" s="619"/>
      <c r="K110" s="619"/>
      <c r="L110" s="26"/>
      <c r="M110" s="26"/>
    </row>
    <row r="111" spans="5:13">
      <c r="E111" s="619"/>
      <c r="F111" s="619"/>
      <c r="G111" s="619"/>
      <c r="H111" s="619"/>
      <c r="I111" s="619"/>
      <c r="J111" s="619"/>
      <c r="K111" s="619"/>
      <c r="L111" s="26"/>
      <c r="M111" s="26"/>
    </row>
    <row r="112" spans="5:13">
      <c r="E112" s="619"/>
      <c r="F112" s="619"/>
      <c r="G112" s="619"/>
      <c r="H112" s="619"/>
      <c r="I112" s="619"/>
      <c r="J112" s="619"/>
      <c r="K112" s="619"/>
      <c r="L112" s="26"/>
      <c r="M112" s="26"/>
    </row>
    <row r="113" spans="12:13">
      <c r="L113" s="26"/>
      <c r="M113" s="26"/>
    </row>
    <row r="114" spans="12:13">
      <c r="L114" s="26"/>
      <c r="M114" s="26"/>
    </row>
    <row r="115" spans="12:13">
      <c r="L115" s="26"/>
      <c r="M115" s="26"/>
    </row>
    <row r="116" spans="12:13">
      <c r="L116" s="26"/>
      <c r="M116" s="26"/>
    </row>
    <row r="117" spans="12:13">
      <c r="L117" s="26"/>
      <c r="M117" s="26"/>
    </row>
    <row r="118" spans="12:13">
      <c r="L118" s="26"/>
      <c r="M118" s="26"/>
    </row>
    <row r="119" spans="12:13">
      <c r="L119" s="26"/>
      <c r="M119" s="26"/>
    </row>
    <row r="120" spans="12:13">
      <c r="L120" s="26"/>
      <c r="M120" s="26"/>
    </row>
    <row r="121" spans="12:13">
      <c r="L121" s="26"/>
      <c r="M121" s="26"/>
    </row>
    <row r="122" spans="12:13">
      <c r="L122" s="26"/>
      <c r="M122" s="26"/>
    </row>
    <row r="123" spans="12:13">
      <c r="L123" s="26"/>
      <c r="M123" s="26"/>
    </row>
    <row r="124" spans="12:13">
      <c r="L124" s="26"/>
      <c r="M124" s="26"/>
    </row>
    <row r="125" spans="12:13">
      <c r="L125" s="26"/>
      <c r="M125" s="26"/>
    </row>
    <row r="126" spans="12:13">
      <c r="L126" s="26"/>
      <c r="M126" s="26"/>
    </row>
    <row r="127" spans="12:13">
      <c r="L127" s="26"/>
      <c r="M127" s="26"/>
    </row>
    <row r="128" spans="12:13">
      <c r="L128" s="26"/>
      <c r="M128" s="26"/>
    </row>
    <row r="129" spans="12:13">
      <c r="L129" s="26"/>
      <c r="M129" s="26"/>
    </row>
    <row r="130" spans="12:13">
      <c r="L130" s="26"/>
      <c r="M130" s="26"/>
    </row>
    <row r="131" spans="12:13">
      <c r="L131" s="26"/>
      <c r="M131" s="26"/>
    </row>
    <row r="132" spans="12:13">
      <c r="L132" s="26"/>
      <c r="M132" s="26"/>
    </row>
    <row r="133" spans="12:13">
      <c r="L133" s="26"/>
      <c r="M133" s="26"/>
    </row>
    <row r="134" spans="12:13">
      <c r="L134" s="26"/>
      <c r="M134" s="26"/>
    </row>
    <row r="135" spans="12:13">
      <c r="L135" s="26"/>
      <c r="M135" s="26"/>
    </row>
    <row r="136" spans="12:13">
      <c r="L136" s="26"/>
      <c r="M136" s="26"/>
    </row>
    <row r="137" spans="12:13">
      <c r="L137" s="26"/>
      <c r="M137" s="26"/>
    </row>
    <row r="138" spans="12:13">
      <c r="L138" s="26"/>
      <c r="M138" s="26"/>
    </row>
    <row r="139" spans="12:13">
      <c r="L139" s="26"/>
      <c r="M139" s="26"/>
    </row>
    <row r="140" spans="12:13">
      <c r="L140" s="26"/>
      <c r="M140" s="26"/>
    </row>
    <row r="141" spans="12:13">
      <c r="L141" s="26"/>
      <c r="M141" s="26"/>
    </row>
    <row r="142" spans="12:13">
      <c r="L142" s="26"/>
      <c r="M142" s="26"/>
    </row>
    <row r="143" spans="12:13">
      <c r="L143" s="26"/>
      <c r="M143" s="26"/>
    </row>
    <row r="144" spans="12:13">
      <c r="L144" s="26"/>
      <c r="M144" s="26"/>
    </row>
    <row r="145" spans="12:13">
      <c r="L145" s="26"/>
      <c r="M145" s="26"/>
    </row>
    <row r="146" spans="12:13">
      <c r="L146" s="26"/>
      <c r="M146" s="26"/>
    </row>
    <row r="147" spans="12:13">
      <c r="L147" s="26"/>
      <c r="M147" s="26"/>
    </row>
    <row r="148" spans="12:13">
      <c r="L148" s="26"/>
      <c r="M148" s="26"/>
    </row>
    <row r="149" spans="12:13">
      <c r="L149" s="26"/>
      <c r="M149" s="26"/>
    </row>
    <row r="150" spans="12:13">
      <c r="L150" s="26"/>
      <c r="M150" s="26"/>
    </row>
    <row r="151" spans="12:13">
      <c r="L151" s="26"/>
      <c r="M151" s="26"/>
    </row>
    <row r="152" spans="12:13">
      <c r="L152" s="26"/>
      <c r="M152" s="26"/>
    </row>
    <row r="153" spans="12:13">
      <c r="L153" s="26"/>
      <c r="M153" s="26"/>
    </row>
    <row r="154" spans="12:13">
      <c r="L154" s="26"/>
      <c r="M154" s="26"/>
    </row>
    <row r="155" spans="12:13">
      <c r="L155" s="26"/>
      <c r="M155" s="26"/>
    </row>
    <row r="156" spans="12:13">
      <c r="L156" s="26"/>
      <c r="M156" s="26"/>
    </row>
    <row r="157" spans="12:13">
      <c r="L157" s="26"/>
      <c r="M157" s="26"/>
    </row>
    <row r="158" spans="12:13">
      <c r="L158" s="26"/>
      <c r="M158" s="26"/>
    </row>
    <row r="159" spans="12:13">
      <c r="L159" s="26"/>
      <c r="M159" s="26"/>
    </row>
    <row r="160" spans="12:13">
      <c r="L160" s="26"/>
      <c r="M160" s="26"/>
    </row>
    <row r="161" spans="12:13">
      <c r="L161" s="26"/>
      <c r="M161" s="26"/>
    </row>
    <row r="162" spans="12:13">
      <c r="L162" s="26"/>
      <c r="M162" s="26"/>
    </row>
    <row r="163" spans="12:13">
      <c r="L163" s="26"/>
      <c r="M163" s="26"/>
    </row>
    <row r="164" spans="12:13">
      <c r="L164" s="26"/>
      <c r="M164" s="26"/>
    </row>
    <row r="165" spans="12:13">
      <c r="L165" s="26"/>
      <c r="M165" s="26"/>
    </row>
    <row r="166" spans="12:13">
      <c r="L166" s="26"/>
      <c r="M166" s="26"/>
    </row>
    <row r="167" spans="12:13">
      <c r="L167" s="26"/>
      <c r="M167" s="26"/>
    </row>
    <row r="168" spans="12:13">
      <c r="L168" s="26"/>
      <c r="M168" s="26"/>
    </row>
    <row r="169" spans="12:13">
      <c r="L169" s="26"/>
      <c r="M169" s="26"/>
    </row>
    <row r="170" spans="12:13">
      <c r="L170" s="26"/>
      <c r="M170" s="26"/>
    </row>
    <row r="171" spans="12:13">
      <c r="L171" s="26"/>
      <c r="M171" s="26"/>
    </row>
    <row r="172" spans="12:13">
      <c r="L172" s="26"/>
      <c r="M172" s="26"/>
    </row>
    <row r="173" spans="12:13">
      <c r="L173" s="26"/>
      <c r="M173" s="26"/>
    </row>
    <row r="174" spans="12:13">
      <c r="L174" s="26"/>
      <c r="M174" s="26"/>
    </row>
    <row r="175" spans="12:13">
      <c r="L175" s="26"/>
      <c r="M175" s="26"/>
    </row>
    <row r="176" spans="12:13">
      <c r="L176" s="26"/>
      <c r="M176" s="26"/>
    </row>
    <row r="177" spans="12:13">
      <c r="L177" s="26"/>
      <c r="M177" s="26"/>
    </row>
    <row r="178" spans="12:13">
      <c r="L178" s="26"/>
      <c r="M178" s="26"/>
    </row>
    <row r="179" spans="12:13">
      <c r="L179" s="26"/>
      <c r="M179" s="26"/>
    </row>
    <row r="180" spans="12:13">
      <c r="L180" s="26"/>
      <c r="M180" s="26"/>
    </row>
    <row r="181" spans="12:13">
      <c r="L181" s="26"/>
      <c r="M181" s="26"/>
    </row>
    <row r="182" spans="12:13">
      <c r="L182" s="26"/>
      <c r="M182" s="26"/>
    </row>
    <row r="183" spans="12:13">
      <c r="L183" s="26"/>
      <c r="M183" s="26"/>
    </row>
    <row r="184" spans="12:13">
      <c r="L184" s="26"/>
      <c r="M184" s="26"/>
    </row>
    <row r="185" spans="12:13">
      <c r="L185" s="26"/>
      <c r="M185" s="26"/>
    </row>
    <row r="186" spans="12:13">
      <c r="L186" s="26"/>
      <c r="M186" s="26"/>
    </row>
    <row r="187" spans="12:13">
      <c r="L187" s="26"/>
      <c r="M187" s="26"/>
    </row>
    <row r="188" spans="12:13">
      <c r="L188" s="26"/>
      <c r="M188" s="26"/>
    </row>
    <row r="189" spans="12:13">
      <c r="L189" s="26"/>
      <c r="M189" s="26"/>
    </row>
    <row r="190" spans="12:13">
      <c r="L190" s="26"/>
      <c r="M190" s="26"/>
    </row>
    <row r="191" spans="12:13">
      <c r="L191" s="26"/>
      <c r="M191" s="26"/>
    </row>
    <row r="192" spans="12:13">
      <c r="L192" s="26"/>
      <c r="M192" s="26"/>
    </row>
    <row r="193" spans="12:13">
      <c r="L193" s="26"/>
      <c r="M193" s="26"/>
    </row>
    <row r="194" spans="12:13">
      <c r="L194" s="26"/>
      <c r="M194" s="26"/>
    </row>
    <row r="195" spans="12:13">
      <c r="L195" s="26"/>
      <c r="M195" s="26"/>
    </row>
    <row r="196" spans="12:13">
      <c r="L196" s="26"/>
      <c r="M196" s="26"/>
    </row>
    <row r="197" spans="12:13">
      <c r="L197" s="26"/>
      <c r="M197" s="26"/>
    </row>
    <row r="198" spans="12:13">
      <c r="L198" s="26"/>
      <c r="M198" s="26"/>
    </row>
    <row r="199" spans="12:13">
      <c r="L199" s="26"/>
      <c r="M199" s="26"/>
    </row>
    <row r="200" spans="12:13">
      <c r="L200" s="26"/>
      <c r="M200" s="26"/>
    </row>
    <row r="201" spans="12:13">
      <c r="L201" s="26"/>
      <c r="M201" s="26"/>
    </row>
    <row r="202" spans="12:13">
      <c r="L202" s="26"/>
      <c r="M202" s="26"/>
    </row>
    <row r="203" spans="12:13">
      <c r="L203" s="26"/>
      <c r="M203" s="26"/>
    </row>
    <row r="204" spans="12:13">
      <c r="L204" s="26"/>
      <c r="M204" s="26"/>
    </row>
  </sheetData>
  <pageMargins left="0.7" right="0.7" top="0.75" bottom="0.75" header="0.3" footer="0.3"/>
  <pageSetup scale="60" orientation="landscape"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ABE207-FDEE-4D00-A009-0FE3F9FA967D}">
  <sheetPr filterMode="1"/>
  <dimension ref="A3:P709"/>
  <sheetViews>
    <sheetView workbookViewId="0"/>
  </sheetViews>
  <sheetFormatPr defaultColWidth="9.140625" defaultRowHeight="15"/>
  <cols>
    <col min="1" max="1" width="18.42578125" style="679" bestFit="1" customWidth="1"/>
    <col min="2" max="2" width="22.5703125" style="679" bestFit="1" customWidth="1"/>
    <col min="3" max="3" width="28.7109375" style="679" bestFit="1" customWidth="1"/>
    <col min="4" max="4" width="40" style="679" bestFit="1" customWidth="1"/>
    <col min="5" max="5" width="34.7109375" style="679" bestFit="1" customWidth="1"/>
    <col min="6" max="6" width="22" style="679" bestFit="1" customWidth="1"/>
    <col min="7" max="7" width="44" style="679" bestFit="1" customWidth="1"/>
    <col min="8" max="8" width="42.28515625" style="679" bestFit="1" customWidth="1"/>
    <col min="9" max="9" width="15.7109375" style="679" customWidth="1"/>
    <col min="10" max="10" width="18.85546875" style="679" customWidth="1"/>
    <col min="11" max="11" width="23.5703125" style="679" customWidth="1"/>
    <col min="12" max="12" width="13" style="679" customWidth="1"/>
    <col min="13" max="13" width="14.85546875" style="679" customWidth="1"/>
    <col min="14" max="14" width="14.5703125" style="679" bestFit="1" customWidth="1"/>
    <col min="15" max="15" width="9.140625" style="679"/>
    <col min="16" max="16" width="28.140625" style="679" bestFit="1" customWidth="1"/>
    <col min="17" max="16384" width="9.140625" style="679"/>
  </cols>
  <sheetData>
    <row r="3" spans="1:8">
      <c r="A3" s="680" t="s">
        <v>1233</v>
      </c>
      <c r="B3" s="680" t="s">
        <v>989</v>
      </c>
      <c r="C3" s="680" t="s">
        <v>993</v>
      </c>
      <c r="D3" s="680" t="s">
        <v>1047</v>
      </c>
      <c r="E3" s="680" t="s">
        <v>1048</v>
      </c>
      <c r="F3" s="680" t="s">
        <v>990</v>
      </c>
    </row>
    <row r="4" spans="1:8">
      <c r="A4" s="681" t="s">
        <v>1317</v>
      </c>
      <c r="B4" s="681" t="s">
        <v>1318</v>
      </c>
      <c r="C4" s="679" t="s">
        <v>1319</v>
      </c>
      <c r="D4" s="681" t="s">
        <v>1320</v>
      </c>
      <c r="E4" s="679" t="s">
        <v>1321</v>
      </c>
      <c r="F4" s="688">
        <v>144687.62</v>
      </c>
      <c r="G4" s="689" t="s">
        <v>148</v>
      </c>
      <c r="H4" s="689" t="s">
        <v>300</v>
      </c>
    </row>
    <row r="5" spans="1:8">
      <c r="A5" s="681"/>
      <c r="B5" s="681"/>
      <c r="C5" s="679" t="s">
        <v>1322</v>
      </c>
      <c r="D5" s="681" t="s">
        <v>1323</v>
      </c>
      <c r="E5" s="679" t="s">
        <v>1324</v>
      </c>
      <c r="F5" s="688">
        <v>-142835.89000000001</v>
      </c>
      <c r="G5" s="689" t="s">
        <v>148</v>
      </c>
      <c r="H5" s="689" t="s">
        <v>300</v>
      </c>
    </row>
    <row r="6" spans="1:8">
      <c r="A6" s="681"/>
      <c r="B6" s="681"/>
      <c r="C6" s="679" t="s">
        <v>1325</v>
      </c>
      <c r="D6" s="681" t="s">
        <v>1325</v>
      </c>
      <c r="E6" s="679" t="s">
        <v>1321</v>
      </c>
      <c r="F6" s="688">
        <v>-152906.67000000001</v>
      </c>
      <c r="G6" s="689" t="s">
        <v>148</v>
      </c>
      <c r="H6" s="689" t="s">
        <v>300</v>
      </c>
    </row>
    <row r="7" spans="1:8">
      <c r="A7" s="681"/>
      <c r="B7" s="681"/>
      <c r="C7" s="679" t="s">
        <v>1326</v>
      </c>
      <c r="D7" s="681" t="s">
        <v>1327</v>
      </c>
      <c r="E7" s="679" t="s">
        <v>1321</v>
      </c>
      <c r="F7" s="688">
        <v>152906.67000000001</v>
      </c>
      <c r="G7" s="689" t="s">
        <v>148</v>
      </c>
      <c r="H7" s="689" t="s">
        <v>300</v>
      </c>
    </row>
    <row r="8" spans="1:8">
      <c r="A8" s="681"/>
      <c r="B8" s="681"/>
      <c r="C8" s="679" t="s">
        <v>1328</v>
      </c>
      <c r="D8" s="681" t="s">
        <v>1328</v>
      </c>
      <c r="E8" s="679" t="s">
        <v>1329</v>
      </c>
      <c r="F8" s="688">
        <v>131741.4</v>
      </c>
      <c r="G8" s="689" t="s">
        <v>148</v>
      </c>
      <c r="H8" s="689" t="s">
        <v>300</v>
      </c>
    </row>
    <row r="9" spans="1:8">
      <c r="A9" s="681"/>
      <c r="B9" s="681"/>
      <c r="C9" s="679" t="s">
        <v>1330</v>
      </c>
      <c r="D9" s="681" t="s">
        <v>1330</v>
      </c>
      <c r="E9" s="679" t="s">
        <v>1329</v>
      </c>
      <c r="F9" s="688">
        <v>-131741.4</v>
      </c>
      <c r="G9" s="689" t="s">
        <v>148</v>
      </c>
      <c r="H9" s="689" t="s">
        <v>300</v>
      </c>
    </row>
    <row r="10" spans="1:8">
      <c r="A10" s="681"/>
      <c r="B10" s="681"/>
      <c r="C10" s="679" t="s">
        <v>1331</v>
      </c>
      <c r="D10" s="681" t="s">
        <v>1331</v>
      </c>
      <c r="E10" s="679" t="s">
        <v>1321</v>
      </c>
      <c r="F10" s="688">
        <v>-378927.06</v>
      </c>
      <c r="G10" s="689" t="s">
        <v>148</v>
      </c>
      <c r="H10" s="689" t="s">
        <v>300</v>
      </c>
    </row>
    <row r="11" spans="1:8">
      <c r="A11" s="681"/>
      <c r="B11" s="681"/>
      <c r="C11" s="679" t="s">
        <v>1332</v>
      </c>
      <c r="D11" s="681" t="s">
        <v>1333</v>
      </c>
      <c r="E11" s="679" t="s">
        <v>1329</v>
      </c>
      <c r="F11" s="688">
        <v>378927.06</v>
      </c>
      <c r="G11" s="689" t="s">
        <v>148</v>
      </c>
      <c r="H11" s="689" t="s">
        <v>300</v>
      </c>
    </row>
    <row r="12" spans="1:8">
      <c r="A12" s="681"/>
      <c r="B12" s="681"/>
      <c r="C12" s="679" t="s">
        <v>1334</v>
      </c>
      <c r="D12" s="681" t="s">
        <v>1005</v>
      </c>
      <c r="E12" s="679" t="s">
        <v>1335</v>
      </c>
      <c r="F12" s="688">
        <v>126180</v>
      </c>
      <c r="G12" s="689" t="s">
        <v>148</v>
      </c>
      <c r="H12" s="689" t="s">
        <v>300</v>
      </c>
    </row>
    <row r="13" spans="1:8">
      <c r="A13" s="681"/>
      <c r="B13" s="681"/>
      <c r="D13" s="681" t="s">
        <v>1336</v>
      </c>
      <c r="E13" s="679" t="s">
        <v>1337</v>
      </c>
      <c r="F13" s="688">
        <v>35200</v>
      </c>
      <c r="G13" s="689" t="s">
        <v>148</v>
      </c>
      <c r="H13" s="689" t="s">
        <v>300</v>
      </c>
    </row>
    <row r="14" spans="1:8">
      <c r="A14" s="681"/>
      <c r="B14" s="681"/>
      <c r="D14" s="681"/>
      <c r="E14" s="679" t="s">
        <v>1335</v>
      </c>
      <c r="F14" s="688">
        <v>-142860</v>
      </c>
      <c r="G14" s="689" t="s">
        <v>148</v>
      </c>
      <c r="H14" s="689" t="s">
        <v>300</v>
      </c>
    </row>
    <row r="15" spans="1:8">
      <c r="A15" s="681"/>
      <c r="B15" s="681"/>
      <c r="C15" s="679" t="s">
        <v>1338</v>
      </c>
      <c r="D15" s="681" t="s">
        <v>1339</v>
      </c>
      <c r="E15" s="679" t="s">
        <v>1340</v>
      </c>
      <c r="F15" s="688">
        <v>54542.050000000279</v>
      </c>
      <c r="G15" s="689" t="s">
        <v>148</v>
      </c>
      <c r="H15" s="689" t="s">
        <v>300</v>
      </c>
    </row>
    <row r="16" spans="1:8">
      <c r="A16" s="681"/>
      <c r="B16" s="681"/>
      <c r="C16" s="679" t="s">
        <v>1341</v>
      </c>
      <c r="D16" s="681" t="s">
        <v>1342</v>
      </c>
      <c r="E16" s="679" t="s">
        <v>1343</v>
      </c>
      <c r="F16" s="688">
        <v>-17071861.490000002</v>
      </c>
      <c r="G16" s="689" t="s">
        <v>148</v>
      </c>
      <c r="H16" s="689" t="s">
        <v>300</v>
      </c>
    </row>
    <row r="17" spans="1:8">
      <c r="A17" s="681"/>
      <c r="B17" s="681"/>
      <c r="D17" s="681"/>
      <c r="E17" s="679" t="s">
        <v>1344</v>
      </c>
      <c r="F17" s="688">
        <v>-290361.36</v>
      </c>
      <c r="G17" s="689" t="s">
        <v>148</v>
      </c>
      <c r="H17" s="689" t="s">
        <v>300</v>
      </c>
    </row>
    <row r="18" spans="1:8">
      <c r="A18" s="681"/>
      <c r="B18" s="681"/>
      <c r="C18" s="679" t="s">
        <v>1345</v>
      </c>
      <c r="D18" s="681" t="s">
        <v>1346</v>
      </c>
      <c r="E18" s="679" t="s">
        <v>1347</v>
      </c>
      <c r="F18" s="688">
        <v>-599780.79</v>
      </c>
      <c r="G18" s="689" t="s">
        <v>148</v>
      </c>
      <c r="H18" s="689" t="s">
        <v>300</v>
      </c>
    </row>
    <row r="19" spans="1:8">
      <c r="A19" s="681"/>
      <c r="B19" s="681"/>
      <c r="C19" s="679" t="s">
        <v>1348</v>
      </c>
      <c r="D19" s="681" t="s">
        <v>1349</v>
      </c>
      <c r="E19" s="679" t="s">
        <v>1350</v>
      </c>
      <c r="F19" s="688">
        <v>664990.70000000007</v>
      </c>
      <c r="G19" s="689" t="s">
        <v>148</v>
      </c>
      <c r="H19" s="689" t="s">
        <v>300</v>
      </c>
    </row>
    <row r="20" spans="1:8">
      <c r="A20" s="681"/>
      <c r="B20" s="681"/>
      <c r="D20" s="681"/>
      <c r="E20" s="679" t="s">
        <v>1351</v>
      </c>
      <c r="F20" s="688">
        <v>215426.48</v>
      </c>
      <c r="G20" s="689" t="s">
        <v>148</v>
      </c>
      <c r="H20" s="689" t="s">
        <v>300</v>
      </c>
    </row>
    <row r="21" spans="1:8">
      <c r="A21" s="681"/>
      <c r="B21" s="681"/>
      <c r="C21" s="679" t="s">
        <v>1352</v>
      </c>
      <c r="D21" s="681" t="s">
        <v>1353</v>
      </c>
      <c r="E21" s="679" t="s">
        <v>1329</v>
      </c>
      <c r="F21" s="688">
        <v>-22965.360000000001</v>
      </c>
      <c r="G21" s="689" t="s">
        <v>148</v>
      </c>
      <c r="H21" s="689" t="s">
        <v>300</v>
      </c>
    </row>
    <row r="22" spans="1:8">
      <c r="A22" s="681"/>
      <c r="B22" s="681"/>
      <c r="D22" s="681" t="s">
        <v>1354</v>
      </c>
      <c r="E22" s="679" t="s">
        <v>1329</v>
      </c>
      <c r="F22" s="688">
        <v>22965.360000000001</v>
      </c>
      <c r="G22" s="689" t="s">
        <v>148</v>
      </c>
      <c r="H22" s="689" t="s">
        <v>300</v>
      </c>
    </row>
    <row r="23" spans="1:8">
      <c r="A23" s="681" t="s">
        <v>1355</v>
      </c>
      <c r="B23" s="681" t="s">
        <v>1356</v>
      </c>
      <c r="C23" s="679" t="s">
        <v>1357</v>
      </c>
      <c r="D23" s="681" t="s">
        <v>1358</v>
      </c>
      <c r="E23" s="679" t="s">
        <v>1359</v>
      </c>
      <c r="F23" s="688">
        <v>-641804.28</v>
      </c>
      <c r="G23" s="689" t="s">
        <v>150</v>
      </c>
      <c r="H23" s="689" t="s">
        <v>301</v>
      </c>
    </row>
    <row r="24" spans="1:8">
      <c r="A24" s="681"/>
      <c r="B24" s="681"/>
      <c r="D24" s="681" t="s">
        <v>1360</v>
      </c>
      <c r="E24" s="679" t="s">
        <v>1359</v>
      </c>
      <c r="F24" s="688">
        <v>649585.39</v>
      </c>
      <c r="G24" s="689" t="s">
        <v>150</v>
      </c>
      <c r="H24" s="689" t="s">
        <v>301</v>
      </c>
    </row>
    <row r="25" spans="1:8">
      <c r="A25" s="681"/>
      <c r="B25" s="681"/>
      <c r="C25" s="679" t="s">
        <v>1361</v>
      </c>
      <c r="D25" s="681" t="s">
        <v>1362</v>
      </c>
      <c r="E25" s="679" t="s">
        <v>1363</v>
      </c>
      <c r="F25" s="688">
        <v>641804.28</v>
      </c>
      <c r="G25" s="689" t="s">
        <v>150</v>
      </c>
      <c r="H25" s="689" t="s">
        <v>301</v>
      </c>
    </row>
    <row r="26" spans="1:8">
      <c r="A26" s="681" t="s">
        <v>1364</v>
      </c>
      <c r="B26" s="681" t="s">
        <v>1365</v>
      </c>
      <c r="C26" s="679" t="s">
        <v>1054</v>
      </c>
      <c r="D26" s="681" t="s">
        <v>1056</v>
      </c>
      <c r="E26" s="679" t="s">
        <v>1055</v>
      </c>
      <c r="F26" s="688">
        <v>-0.79</v>
      </c>
      <c r="H26" s="689" t="s">
        <v>1366</v>
      </c>
    </row>
    <row r="27" spans="1:8">
      <c r="A27" s="681"/>
      <c r="B27" s="681"/>
      <c r="D27" s="681" t="s">
        <v>1057</v>
      </c>
      <c r="E27" s="679" t="s">
        <v>1058</v>
      </c>
      <c r="F27" s="688">
        <v>-0.79</v>
      </c>
      <c r="H27" s="689" t="s">
        <v>1366</v>
      </c>
    </row>
    <row r="28" spans="1:8">
      <c r="A28" s="681"/>
      <c r="B28" s="681"/>
      <c r="D28" s="681" t="s">
        <v>1059</v>
      </c>
      <c r="E28" s="679" t="s">
        <v>1055</v>
      </c>
      <c r="F28" s="688">
        <v>-1.58</v>
      </c>
      <c r="H28" s="689" t="s">
        <v>1366</v>
      </c>
    </row>
    <row r="29" spans="1:8">
      <c r="A29" s="681"/>
      <c r="B29" s="681"/>
      <c r="C29" s="679" t="s">
        <v>941</v>
      </c>
      <c r="D29" s="681" t="s">
        <v>1367</v>
      </c>
      <c r="E29" s="679" t="s">
        <v>1061</v>
      </c>
      <c r="F29" s="688">
        <v>811963.02</v>
      </c>
      <c r="H29" s="689" t="s">
        <v>1366</v>
      </c>
    </row>
    <row r="30" spans="1:8">
      <c r="A30" s="681" t="s">
        <v>1368</v>
      </c>
      <c r="B30" s="681" t="s">
        <v>1369</v>
      </c>
      <c r="C30" s="679" t="s">
        <v>1005</v>
      </c>
      <c r="D30" s="681" t="s">
        <v>1005</v>
      </c>
      <c r="E30" s="679" t="s">
        <v>1370</v>
      </c>
      <c r="F30" s="688">
        <v>8302.26</v>
      </c>
      <c r="H30" s="689" t="s">
        <v>1366</v>
      </c>
    </row>
    <row r="31" spans="1:8">
      <c r="A31" s="681"/>
      <c r="B31" s="681"/>
      <c r="D31" s="681"/>
      <c r="E31" s="679" t="s">
        <v>1371</v>
      </c>
      <c r="F31" s="688">
        <v>179.39</v>
      </c>
      <c r="H31" s="689" t="s">
        <v>1366</v>
      </c>
    </row>
    <row r="32" spans="1:8">
      <c r="A32" s="681"/>
      <c r="B32" s="681"/>
      <c r="D32" s="681"/>
      <c r="E32" s="679" t="s">
        <v>1372</v>
      </c>
      <c r="F32" s="688">
        <v>179.39</v>
      </c>
      <c r="H32" s="689" t="s">
        <v>1366</v>
      </c>
    </row>
    <row r="33" spans="1:8">
      <c r="A33" s="681"/>
      <c r="B33" s="681"/>
      <c r="D33" s="681"/>
      <c r="E33" s="679" t="s">
        <v>1373</v>
      </c>
      <c r="F33" s="688">
        <v>6619.41</v>
      </c>
      <c r="H33" s="689" t="s">
        <v>1366</v>
      </c>
    </row>
    <row r="34" spans="1:8">
      <c r="A34" s="681"/>
      <c r="B34" s="681"/>
      <c r="D34" s="681"/>
      <c r="E34" s="679" t="s">
        <v>1374</v>
      </c>
      <c r="F34" s="688">
        <v>1695.54</v>
      </c>
      <c r="H34" s="689" t="s">
        <v>1366</v>
      </c>
    </row>
    <row r="35" spans="1:8">
      <c r="A35" s="681"/>
      <c r="B35" s="681"/>
      <c r="D35" s="681"/>
      <c r="E35" s="679" t="s">
        <v>1375</v>
      </c>
      <c r="F35" s="688">
        <v>1695.54</v>
      </c>
      <c r="H35" s="689" t="s">
        <v>1366</v>
      </c>
    </row>
    <row r="36" spans="1:8">
      <c r="A36" s="681"/>
      <c r="B36" s="681"/>
      <c r="D36" s="681"/>
      <c r="E36" s="679" t="s">
        <v>1376</v>
      </c>
      <c r="F36" s="688">
        <v>1695.54</v>
      </c>
      <c r="H36" s="689" t="s">
        <v>1366</v>
      </c>
    </row>
    <row r="37" spans="1:8">
      <c r="A37" s="681"/>
      <c r="B37" s="681"/>
      <c r="D37" s="681"/>
      <c r="E37" s="679" t="s">
        <v>1377</v>
      </c>
      <c r="F37" s="688">
        <v>3119.73</v>
      </c>
      <c r="H37" s="689" t="s">
        <v>1366</v>
      </c>
    </row>
    <row r="38" spans="1:8">
      <c r="A38" s="681"/>
      <c r="B38" s="681"/>
      <c r="D38" s="681"/>
      <c r="E38" s="679" t="s">
        <v>1378</v>
      </c>
      <c r="F38" s="688">
        <v>7643.57</v>
      </c>
      <c r="H38" s="689" t="s">
        <v>1366</v>
      </c>
    </row>
    <row r="39" spans="1:8">
      <c r="A39" s="681"/>
      <c r="B39" s="681"/>
      <c r="D39" s="681"/>
      <c r="E39" s="679" t="s">
        <v>1379</v>
      </c>
      <c r="F39" s="688">
        <v>6385.81</v>
      </c>
      <c r="H39" s="689" t="s">
        <v>1366</v>
      </c>
    </row>
    <row r="40" spans="1:8">
      <c r="A40" s="681"/>
      <c r="B40" s="681"/>
      <c r="D40" s="681"/>
      <c r="E40" s="679" t="s">
        <v>1380</v>
      </c>
      <c r="F40" s="688">
        <v>3819.5</v>
      </c>
      <c r="H40" s="689" t="s">
        <v>1366</v>
      </c>
    </row>
    <row r="41" spans="1:8">
      <c r="A41" s="681"/>
      <c r="B41" s="681"/>
      <c r="D41" s="681"/>
      <c r="E41" s="679" t="s">
        <v>1381</v>
      </c>
      <c r="F41" s="688">
        <v>1220.0899999999999</v>
      </c>
      <c r="H41" s="689" t="s">
        <v>1366</v>
      </c>
    </row>
    <row r="42" spans="1:8">
      <c r="A42" s="681"/>
      <c r="B42" s="681"/>
      <c r="D42" s="681"/>
      <c r="E42" s="679" t="s">
        <v>1382</v>
      </c>
      <c r="F42" s="688">
        <v>14984.23</v>
      </c>
      <c r="H42" s="689" t="s">
        <v>1366</v>
      </c>
    </row>
    <row r="43" spans="1:8">
      <c r="A43" s="681"/>
      <c r="B43" s="681"/>
      <c r="D43" s="681"/>
      <c r="E43" s="679" t="s">
        <v>1383</v>
      </c>
      <c r="F43" s="688">
        <v>-788.42</v>
      </c>
      <c r="H43" s="689" t="s">
        <v>1366</v>
      </c>
    </row>
    <row r="44" spans="1:8">
      <c r="A44" s="681"/>
      <c r="B44" s="681"/>
      <c r="D44" s="681"/>
      <c r="E44" s="679" t="s">
        <v>1384</v>
      </c>
      <c r="F44" s="688">
        <v>-1699.96</v>
      </c>
      <c r="H44" s="689" t="s">
        <v>1366</v>
      </c>
    </row>
    <row r="45" spans="1:8">
      <c r="A45" s="681"/>
      <c r="B45" s="681"/>
      <c r="D45" s="681"/>
      <c r="E45" s="679" t="s">
        <v>1385</v>
      </c>
      <c r="F45" s="688">
        <v>-1286.78</v>
      </c>
      <c r="H45" s="689" t="s">
        <v>1366</v>
      </c>
    </row>
    <row r="46" spans="1:8">
      <c r="A46" s="681"/>
      <c r="B46" s="681"/>
      <c r="D46" s="681"/>
      <c r="E46" s="679" t="s">
        <v>1386</v>
      </c>
      <c r="F46" s="688">
        <v>-3152.46</v>
      </c>
      <c r="H46" s="689" t="s">
        <v>1366</v>
      </c>
    </row>
    <row r="47" spans="1:8">
      <c r="A47" s="681"/>
      <c r="B47" s="681"/>
      <c r="D47" s="681"/>
      <c r="E47" s="679" t="s">
        <v>1387</v>
      </c>
      <c r="F47" s="688">
        <v>-3657.45</v>
      </c>
      <c r="H47" s="689" t="s">
        <v>1366</v>
      </c>
    </row>
    <row r="48" spans="1:8">
      <c r="A48" s="681"/>
      <c r="B48" s="681"/>
      <c r="D48" s="681"/>
      <c r="E48" s="679" t="s">
        <v>1388</v>
      </c>
      <c r="F48" s="688">
        <v>-788.42</v>
      </c>
      <c r="H48" s="689" t="s">
        <v>1366</v>
      </c>
    </row>
    <row r="49" spans="1:8">
      <c r="A49" s="681"/>
      <c r="B49" s="681"/>
      <c r="D49" s="681"/>
      <c r="E49" s="679" t="s">
        <v>1389</v>
      </c>
      <c r="F49" s="688">
        <v>-14684.38</v>
      </c>
      <c r="H49" s="689" t="s">
        <v>1366</v>
      </c>
    </row>
    <row r="50" spans="1:8">
      <c r="A50" s="681"/>
      <c r="B50" s="681"/>
      <c r="D50" s="681"/>
      <c r="E50" s="679" t="s">
        <v>1390</v>
      </c>
      <c r="F50" s="688">
        <v>-4075.92</v>
      </c>
      <c r="H50" s="689" t="s">
        <v>1366</v>
      </c>
    </row>
    <row r="51" spans="1:8">
      <c r="A51" s="681"/>
      <c r="B51" s="681"/>
      <c r="D51" s="681"/>
      <c r="E51" s="679" t="s">
        <v>1391</v>
      </c>
      <c r="F51" s="688">
        <v>-1123.23</v>
      </c>
      <c r="H51" s="689" t="s">
        <v>1366</v>
      </c>
    </row>
    <row r="52" spans="1:8">
      <c r="A52" s="681"/>
      <c r="B52" s="681"/>
      <c r="D52" s="681"/>
      <c r="E52" s="679" t="s">
        <v>1392</v>
      </c>
      <c r="F52" s="688">
        <v>-5981.09</v>
      </c>
      <c r="H52" s="689" t="s">
        <v>1366</v>
      </c>
    </row>
    <row r="53" spans="1:8">
      <c r="A53" s="681"/>
      <c r="B53" s="681"/>
      <c r="D53" s="681"/>
      <c r="E53" s="679" t="s">
        <v>1393</v>
      </c>
      <c r="F53" s="688">
        <v>-3059.14</v>
      </c>
      <c r="H53" s="689" t="s">
        <v>1366</v>
      </c>
    </row>
    <row r="54" spans="1:8">
      <c r="A54" s="681"/>
      <c r="B54" s="681"/>
      <c r="D54" s="681"/>
      <c r="E54" s="679" t="s">
        <v>1394</v>
      </c>
      <c r="F54" s="688">
        <v>-7299.05</v>
      </c>
      <c r="H54" s="689" t="s">
        <v>1366</v>
      </c>
    </row>
    <row r="55" spans="1:8">
      <c r="A55" s="681"/>
      <c r="B55" s="681"/>
      <c r="D55" s="681"/>
      <c r="E55" s="679" t="s">
        <v>1395</v>
      </c>
      <c r="F55" s="688">
        <v>-1220.0899999999999</v>
      </c>
      <c r="H55" s="689" t="s">
        <v>1366</v>
      </c>
    </row>
    <row r="56" spans="1:8">
      <c r="A56" s="681"/>
      <c r="B56" s="681"/>
      <c r="D56" s="681"/>
      <c r="E56" s="679" t="s">
        <v>1396</v>
      </c>
      <c r="F56" s="688">
        <v>-4339.18</v>
      </c>
      <c r="H56" s="689" t="s">
        <v>1366</v>
      </c>
    </row>
    <row r="57" spans="1:8">
      <c r="A57" s="681"/>
      <c r="B57" s="681"/>
      <c r="D57" s="681"/>
      <c r="E57" s="679" t="s">
        <v>1397</v>
      </c>
      <c r="F57" s="688">
        <v>-1966.57</v>
      </c>
      <c r="H57" s="689" t="s">
        <v>1366</v>
      </c>
    </row>
    <row r="58" spans="1:8">
      <c r="A58" s="681"/>
      <c r="B58" s="681"/>
      <c r="D58" s="681"/>
      <c r="E58" s="679" t="s">
        <v>1398</v>
      </c>
      <c r="F58" s="688">
        <v>-1220.0899999999999</v>
      </c>
      <c r="H58" s="689" t="s">
        <v>1366</v>
      </c>
    </row>
    <row r="59" spans="1:8">
      <c r="A59" s="681"/>
      <c r="B59" s="681"/>
      <c r="D59" s="681"/>
      <c r="E59" s="679" t="s">
        <v>1399</v>
      </c>
      <c r="F59" s="688">
        <v>-4809.16</v>
      </c>
      <c r="H59" s="689" t="s">
        <v>1366</v>
      </c>
    </row>
    <row r="60" spans="1:8">
      <c r="A60" s="681"/>
      <c r="B60" s="681"/>
      <c r="D60" s="681"/>
      <c r="E60" s="679" t="s">
        <v>1400</v>
      </c>
      <c r="F60" s="688">
        <v>-5958.45</v>
      </c>
      <c r="H60" s="689" t="s">
        <v>1366</v>
      </c>
    </row>
    <row r="61" spans="1:8">
      <c r="A61" s="681"/>
      <c r="B61" s="681"/>
      <c r="D61" s="681"/>
      <c r="E61" s="679" t="s">
        <v>1401</v>
      </c>
      <c r="F61" s="688">
        <v>-3654.89</v>
      </c>
      <c r="H61" s="689" t="s">
        <v>1366</v>
      </c>
    </row>
    <row r="62" spans="1:8">
      <c r="A62" s="681"/>
      <c r="B62" s="681"/>
      <c r="D62" s="681"/>
      <c r="E62" s="679" t="s">
        <v>1402</v>
      </c>
      <c r="F62" s="688">
        <v>-3728.58</v>
      </c>
      <c r="H62" s="689" t="s">
        <v>1366</v>
      </c>
    </row>
    <row r="63" spans="1:8">
      <c r="A63" s="681"/>
      <c r="B63" s="681"/>
      <c r="D63" s="681"/>
      <c r="E63" s="679" t="s">
        <v>1403</v>
      </c>
      <c r="F63" s="688">
        <v>-918.92</v>
      </c>
      <c r="H63" s="689" t="s">
        <v>1366</v>
      </c>
    </row>
    <row r="64" spans="1:8">
      <c r="A64" s="681"/>
      <c r="B64" s="681"/>
      <c r="D64" s="681"/>
      <c r="E64" s="679" t="s">
        <v>1404</v>
      </c>
      <c r="F64" s="688">
        <v>-1578.28</v>
      </c>
      <c r="H64" s="689" t="s">
        <v>1366</v>
      </c>
    </row>
    <row r="65" spans="1:8">
      <c r="A65" s="681"/>
      <c r="B65" s="681"/>
      <c r="D65" s="681"/>
      <c r="E65" s="679" t="s">
        <v>1405</v>
      </c>
      <c r="F65" s="688">
        <v>-2337.3200000000002</v>
      </c>
      <c r="H65" s="689" t="s">
        <v>1366</v>
      </c>
    </row>
    <row r="66" spans="1:8">
      <c r="A66" s="681"/>
      <c r="B66" s="681"/>
      <c r="D66" s="681"/>
      <c r="E66" s="679" t="s">
        <v>1406</v>
      </c>
      <c r="F66" s="688">
        <v>-1357.8</v>
      </c>
      <c r="H66" s="689" t="s">
        <v>1366</v>
      </c>
    </row>
    <row r="67" spans="1:8">
      <c r="A67" s="681"/>
      <c r="B67" s="681"/>
      <c r="D67" s="681"/>
      <c r="E67" s="679" t="s">
        <v>1407</v>
      </c>
      <c r="F67" s="688">
        <v>-1220.0899999999999</v>
      </c>
      <c r="H67" s="689" t="s">
        <v>1366</v>
      </c>
    </row>
    <row r="68" spans="1:8">
      <c r="A68" s="681"/>
      <c r="B68" s="681"/>
      <c r="D68" s="681"/>
      <c r="E68" s="679" t="s">
        <v>1408</v>
      </c>
      <c r="F68" s="688">
        <v>-1939.5</v>
      </c>
      <c r="H68" s="689" t="s">
        <v>1366</v>
      </c>
    </row>
    <row r="69" spans="1:8">
      <c r="A69" s="681"/>
      <c r="B69" s="681"/>
      <c r="D69" s="681"/>
      <c r="E69" s="679" t="s">
        <v>1409</v>
      </c>
      <c r="F69" s="688">
        <v>-1220.0899999999999</v>
      </c>
      <c r="H69" s="689" t="s">
        <v>1366</v>
      </c>
    </row>
    <row r="70" spans="1:8">
      <c r="A70" s="681"/>
      <c r="B70" s="681"/>
      <c r="D70" s="681"/>
      <c r="E70" s="679" t="s">
        <v>1410</v>
      </c>
      <c r="F70" s="688">
        <v>-21497</v>
      </c>
      <c r="H70" s="689" t="s">
        <v>1366</v>
      </c>
    </row>
    <row r="71" spans="1:8">
      <c r="A71" s="681"/>
      <c r="B71" s="681"/>
      <c r="D71" s="681"/>
      <c r="E71" s="679" t="s">
        <v>1411</v>
      </c>
      <c r="F71" s="688">
        <v>-4135.34</v>
      </c>
      <c r="H71" s="689" t="s">
        <v>1366</v>
      </c>
    </row>
    <row r="72" spans="1:8">
      <c r="A72" s="681"/>
      <c r="B72" s="681"/>
      <c r="D72" s="681"/>
      <c r="E72" s="679" t="s">
        <v>1412</v>
      </c>
      <c r="F72" s="688">
        <v>-4432.6499999999996</v>
      </c>
      <c r="H72" s="689" t="s">
        <v>1366</v>
      </c>
    </row>
    <row r="73" spans="1:8">
      <c r="A73" s="681"/>
      <c r="B73" s="681"/>
      <c r="D73" s="681"/>
      <c r="E73" s="679" t="s">
        <v>1413</v>
      </c>
      <c r="F73" s="688">
        <v>-594.45000000000005</v>
      </c>
      <c r="H73" s="689" t="s">
        <v>1366</v>
      </c>
    </row>
    <row r="74" spans="1:8">
      <c r="A74" s="681"/>
      <c r="B74" s="681"/>
      <c r="D74" s="681"/>
      <c r="E74" s="679" t="s">
        <v>1414</v>
      </c>
      <c r="F74" s="688">
        <v>-6619.41</v>
      </c>
      <c r="H74" s="689" t="s">
        <v>1366</v>
      </c>
    </row>
    <row r="75" spans="1:8">
      <c r="A75" s="681"/>
      <c r="B75" s="681"/>
      <c r="D75" s="681"/>
      <c r="E75" s="679" t="s">
        <v>1415</v>
      </c>
      <c r="F75" s="688">
        <v>-2620.42</v>
      </c>
      <c r="H75" s="689" t="s">
        <v>1366</v>
      </c>
    </row>
    <row r="76" spans="1:8">
      <c r="A76" s="681"/>
      <c r="B76" s="681"/>
      <c r="D76" s="681"/>
      <c r="E76" s="679" t="s">
        <v>1416</v>
      </c>
      <c r="F76" s="688">
        <v>-8302.26</v>
      </c>
      <c r="H76" s="689" t="s">
        <v>1366</v>
      </c>
    </row>
    <row r="77" spans="1:8">
      <c r="A77" s="681"/>
      <c r="B77" s="681"/>
      <c r="D77" s="681"/>
      <c r="E77" s="679" t="s">
        <v>1417</v>
      </c>
      <c r="F77" s="688">
        <v>-1220.0899999999999</v>
      </c>
      <c r="H77" s="689" t="s">
        <v>1366</v>
      </c>
    </row>
    <row r="78" spans="1:8">
      <c r="A78" s="681"/>
      <c r="B78" s="681"/>
      <c r="D78" s="681"/>
      <c r="E78" s="679" t="s">
        <v>1418</v>
      </c>
      <c r="F78" s="688">
        <v>-9128.16</v>
      </c>
      <c r="H78" s="689" t="s">
        <v>1366</v>
      </c>
    </row>
    <row r="79" spans="1:8">
      <c r="A79" s="681"/>
      <c r="B79" s="681"/>
      <c r="D79" s="681"/>
      <c r="E79" s="679" t="s">
        <v>1419</v>
      </c>
      <c r="F79" s="688">
        <v>-3844.61</v>
      </c>
      <c r="H79" s="689" t="s">
        <v>1366</v>
      </c>
    </row>
    <row r="80" spans="1:8">
      <c r="A80" s="681"/>
      <c r="B80" s="681"/>
      <c r="D80" s="681"/>
      <c r="E80" s="679" t="s">
        <v>1420</v>
      </c>
      <c r="F80" s="688">
        <v>-4702.6400000000003</v>
      </c>
      <c r="H80" s="689" t="s">
        <v>1366</v>
      </c>
    </row>
    <row r="81" spans="1:8">
      <c r="A81" s="681"/>
      <c r="B81" s="681"/>
      <c r="D81" s="681"/>
      <c r="E81" s="679" t="s">
        <v>1421</v>
      </c>
      <c r="F81" s="688">
        <v>-1220.0899999999999</v>
      </c>
      <c r="H81" s="689" t="s">
        <v>1366</v>
      </c>
    </row>
    <row r="82" spans="1:8">
      <c r="A82" s="681"/>
      <c r="B82" s="681"/>
      <c r="D82" s="681"/>
      <c r="E82" s="679" t="s">
        <v>1422</v>
      </c>
      <c r="F82" s="688">
        <v>-2981.86</v>
      </c>
      <c r="H82" s="689" t="s">
        <v>1366</v>
      </c>
    </row>
    <row r="83" spans="1:8">
      <c r="A83" s="681"/>
      <c r="B83" s="681"/>
      <c r="D83" s="681"/>
      <c r="E83" s="679" t="s">
        <v>1423</v>
      </c>
      <c r="F83" s="688">
        <v>-2579.91</v>
      </c>
      <c r="H83" s="689" t="s">
        <v>1366</v>
      </c>
    </row>
    <row r="84" spans="1:8">
      <c r="A84" s="681"/>
      <c r="B84" s="681"/>
      <c r="D84" s="681"/>
      <c r="E84" s="679" t="s">
        <v>1424</v>
      </c>
      <c r="F84" s="688">
        <v>-6385.81</v>
      </c>
      <c r="H84" s="689" t="s">
        <v>1366</v>
      </c>
    </row>
    <row r="85" spans="1:8">
      <c r="A85" s="681"/>
      <c r="B85" s="681"/>
      <c r="D85" s="681"/>
      <c r="E85" s="679" t="s">
        <v>1425</v>
      </c>
      <c r="F85" s="688">
        <v>-23359.77</v>
      </c>
      <c r="H85" s="689" t="s">
        <v>1366</v>
      </c>
    </row>
    <row r="86" spans="1:8">
      <c r="A86" s="681"/>
      <c r="B86" s="681"/>
      <c r="D86" s="681"/>
      <c r="E86" s="679" t="s">
        <v>1426</v>
      </c>
      <c r="F86" s="688">
        <v>-832</v>
      </c>
      <c r="H86" s="689" t="s">
        <v>1366</v>
      </c>
    </row>
    <row r="87" spans="1:8">
      <c r="A87" s="681"/>
      <c r="B87" s="681"/>
      <c r="D87" s="681"/>
      <c r="E87" s="679" t="s">
        <v>1427</v>
      </c>
      <c r="F87" s="688">
        <v>-16944.52</v>
      </c>
      <c r="H87" s="689" t="s">
        <v>1366</v>
      </c>
    </row>
    <row r="88" spans="1:8">
      <c r="A88" s="681"/>
      <c r="B88" s="681"/>
      <c r="D88" s="681"/>
      <c r="E88" s="679" t="s">
        <v>1428</v>
      </c>
      <c r="F88" s="688">
        <v>-463.95</v>
      </c>
      <c r="H88" s="689" t="s">
        <v>1366</v>
      </c>
    </row>
    <row r="89" spans="1:8">
      <c r="A89" s="681"/>
      <c r="B89" s="681"/>
      <c r="D89" s="681"/>
      <c r="E89" s="679" t="s">
        <v>1429</v>
      </c>
      <c r="F89" s="688">
        <v>-1240.69</v>
      </c>
      <c r="H89" s="689" t="s">
        <v>1366</v>
      </c>
    </row>
    <row r="90" spans="1:8">
      <c r="A90" s="681"/>
      <c r="B90" s="681"/>
      <c r="D90" s="681"/>
      <c r="E90" s="679" t="s">
        <v>1430</v>
      </c>
      <c r="F90" s="688">
        <v>-3886.18</v>
      </c>
      <c r="H90" s="689" t="s">
        <v>1366</v>
      </c>
    </row>
    <row r="91" spans="1:8">
      <c r="A91" s="681"/>
      <c r="B91" s="681"/>
      <c r="D91" s="681"/>
      <c r="E91" s="679" t="s">
        <v>1431</v>
      </c>
      <c r="F91" s="688">
        <v>-5779.39</v>
      </c>
      <c r="H91" s="689" t="s">
        <v>1366</v>
      </c>
    </row>
    <row r="92" spans="1:8">
      <c r="A92" s="681"/>
      <c r="B92" s="681"/>
      <c r="D92" s="681"/>
      <c r="E92" s="679" t="s">
        <v>1432</v>
      </c>
      <c r="F92" s="688">
        <v>-1220.0899999999999</v>
      </c>
      <c r="H92" s="689" t="s">
        <v>1366</v>
      </c>
    </row>
    <row r="93" spans="1:8">
      <c r="A93" s="681"/>
      <c r="B93" s="681"/>
      <c r="D93" s="681"/>
      <c r="E93" s="679" t="s">
        <v>1433</v>
      </c>
      <c r="F93" s="688">
        <v>-3216.47</v>
      </c>
      <c r="H93" s="689" t="s">
        <v>1366</v>
      </c>
    </row>
    <row r="94" spans="1:8">
      <c r="A94" s="681"/>
      <c r="B94" s="681"/>
      <c r="D94" s="681"/>
      <c r="E94" s="679" t="s">
        <v>1434</v>
      </c>
      <c r="F94" s="688">
        <v>-1695.54</v>
      </c>
      <c r="H94" s="689" t="s">
        <v>1366</v>
      </c>
    </row>
    <row r="95" spans="1:8">
      <c r="A95" s="681"/>
      <c r="B95" s="681"/>
      <c r="D95" s="681"/>
      <c r="E95" s="679" t="s">
        <v>1435</v>
      </c>
      <c r="F95" s="688">
        <v>-797.23</v>
      </c>
      <c r="H95" s="689" t="s">
        <v>1366</v>
      </c>
    </row>
    <row r="96" spans="1:8">
      <c r="A96" s="681"/>
      <c r="B96" s="681"/>
      <c r="D96" s="681"/>
      <c r="E96" s="679" t="s">
        <v>1436</v>
      </c>
      <c r="F96" s="688">
        <v>-2510.9</v>
      </c>
      <c r="H96" s="689" t="s">
        <v>1366</v>
      </c>
    </row>
    <row r="97" spans="1:8">
      <c r="A97" s="681"/>
      <c r="B97" s="681"/>
      <c r="D97" s="681"/>
      <c r="E97" s="679" t="s">
        <v>1437</v>
      </c>
      <c r="F97" s="688">
        <v>-1960.38</v>
      </c>
      <c r="H97" s="689" t="s">
        <v>1366</v>
      </c>
    </row>
    <row r="98" spans="1:8">
      <c r="A98" s="681"/>
      <c r="B98" s="681"/>
      <c r="D98" s="681"/>
      <c r="E98" s="679" t="s">
        <v>1438</v>
      </c>
      <c r="F98" s="688">
        <v>-1695.54</v>
      </c>
      <c r="H98" s="689" t="s">
        <v>1366</v>
      </c>
    </row>
    <row r="99" spans="1:8">
      <c r="A99" s="681"/>
      <c r="B99" s="681"/>
      <c r="D99" s="681"/>
      <c r="E99" s="679" t="s">
        <v>1439</v>
      </c>
      <c r="F99" s="688">
        <v>-1220.0899999999999</v>
      </c>
      <c r="H99" s="689" t="s">
        <v>1366</v>
      </c>
    </row>
    <row r="100" spans="1:8">
      <c r="A100" s="681"/>
      <c r="B100" s="681"/>
      <c r="D100" s="681"/>
      <c r="E100" s="679" t="s">
        <v>1440</v>
      </c>
      <c r="F100" s="688">
        <v>-29.73</v>
      </c>
      <c r="H100" s="689" t="s">
        <v>1366</v>
      </c>
    </row>
    <row r="101" spans="1:8">
      <c r="A101" s="681"/>
      <c r="B101" s="681"/>
      <c r="D101" s="681"/>
      <c r="E101" s="679" t="s">
        <v>1441</v>
      </c>
      <c r="F101" s="688">
        <v>-37813.43</v>
      </c>
      <c r="H101" s="689" t="s">
        <v>1366</v>
      </c>
    </row>
    <row r="102" spans="1:8">
      <c r="A102" s="681"/>
      <c r="B102" s="681"/>
      <c r="D102" s="681"/>
      <c r="E102" s="679" t="s">
        <v>1442</v>
      </c>
      <c r="F102" s="688">
        <v>-179.39</v>
      </c>
      <c r="H102" s="689" t="s">
        <v>1366</v>
      </c>
    </row>
    <row r="103" spans="1:8">
      <c r="A103" s="681"/>
      <c r="B103" s="681"/>
      <c r="D103" s="681"/>
      <c r="E103" s="679" t="s">
        <v>1443</v>
      </c>
      <c r="F103" s="688">
        <v>-2602.77</v>
      </c>
      <c r="H103" s="689" t="s">
        <v>1366</v>
      </c>
    </row>
    <row r="104" spans="1:8">
      <c r="A104" s="681"/>
      <c r="B104" s="681"/>
      <c r="D104" s="681"/>
      <c r="E104" s="679" t="s">
        <v>1444</v>
      </c>
      <c r="F104" s="688">
        <v>-179.39</v>
      </c>
      <c r="H104" s="689" t="s">
        <v>1366</v>
      </c>
    </row>
    <row r="105" spans="1:8">
      <c r="A105" s="681"/>
      <c r="B105" s="681"/>
      <c r="D105" s="681"/>
      <c r="E105" s="679" t="s">
        <v>1445</v>
      </c>
      <c r="F105" s="688">
        <v>-1695.54</v>
      </c>
      <c r="H105" s="689" t="s">
        <v>1366</v>
      </c>
    </row>
    <row r="106" spans="1:8">
      <c r="A106" s="681"/>
      <c r="B106" s="681"/>
      <c r="D106" s="681"/>
      <c r="E106" s="679" t="s">
        <v>1446</v>
      </c>
      <c r="F106" s="688">
        <v>-1729.87</v>
      </c>
      <c r="H106" s="689" t="s">
        <v>1366</v>
      </c>
    </row>
    <row r="107" spans="1:8">
      <c r="A107" s="681"/>
      <c r="B107" s="681"/>
      <c r="D107" s="681"/>
      <c r="E107" s="679" t="s">
        <v>1447</v>
      </c>
      <c r="F107" s="688">
        <v>-3819.5</v>
      </c>
      <c r="H107" s="689" t="s">
        <v>1366</v>
      </c>
    </row>
    <row r="108" spans="1:8">
      <c r="A108" s="681"/>
      <c r="B108" s="681"/>
      <c r="D108" s="681"/>
      <c r="E108" s="679" t="s">
        <v>1448</v>
      </c>
      <c r="F108" s="688">
        <v>-3092.92</v>
      </c>
      <c r="H108" s="689" t="s">
        <v>1366</v>
      </c>
    </row>
    <row r="109" spans="1:8">
      <c r="A109" s="681"/>
      <c r="B109" s="681"/>
      <c r="D109" s="681"/>
      <c r="E109" s="679" t="s">
        <v>1449</v>
      </c>
      <c r="F109" s="688">
        <v>-1220.0899999999999</v>
      </c>
      <c r="H109" s="689" t="s">
        <v>1366</v>
      </c>
    </row>
    <row r="110" spans="1:8">
      <c r="A110" s="681"/>
      <c r="B110" s="681"/>
      <c r="D110" s="681"/>
      <c r="E110" s="679" t="s">
        <v>1450</v>
      </c>
      <c r="F110" s="688">
        <v>-9617.7099999999991</v>
      </c>
      <c r="H110" s="689" t="s">
        <v>1366</v>
      </c>
    </row>
    <row r="111" spans="1:8">
      <c r="A111" s="681"/>
      <c r="B111" s="681"/>
      <c r="D111" s="681"/>
      <c r="E111" s="679" t="s">
        <v>1451</v>
      </c>
      <c r="F111" s="688">
        <v>-1012.55</v>
      </c>
      <c r="H111" s="689" t="s">
        <v>1366</v>
      </c>
    </row>
    <row r="112" spans="1:8">
      <c r="A112" s="681"/>
      <c r="B112" s="681"/>
      <c r="D112" s="681"/>
      <c r="E112" s="679" t="s">
        <v>1452</v>
      </c>
      <c r="F112" s="688">
        <v>-2891.36</v>
      </c>
      <c r="H112" s="689" t="s">
        <v>1366</v>
      </c>
    </row>
    <row r="113" spans="1:8">
      <c r="A113" s="681"/>
      <c r="B113" s="681"/>
      <c r="D113" s="681"/>
      <c r="E113" s="679" t="s">
        <v>1453</v>
      </c>
      <c r="F113" s="688">
        <v>-1384.75</v>
      </c>
      <c r="H113" s="689" t="s">
        <v>1366</v>
      </c>
    </row>
    <row r="114" spans="1:8">
      <c r="A114" s="681"/>
      <c r="B114" s="681"/>
      <c r="D114" s="681"/>
      <c r="E114" s="679" t="s">
        <v>1454</v>
      </c>
      <c r="F114" s="688">
        <v>-1624.89</v>
      </c>
      <c r="H114" s="689" t="s">
        <v>1366</v>
      </c>
    </row>
    <row r="115" spans="1:8">
      <c r="A115" s="681"/>
      <c r="B115" s="681"/>
      <c r="D115" s="681"/>
      <c r="E115" s="679" t="s">
        <v>1455</v>
      </c>
      <c r="F115" s="688">
        <v>-3925.4</v>
      </c>
      <c r="H115" s="689" t="s">
        <v>1366</v>
      </c>
    </row>
    <row r="116" spans="1:8">
      <c r="A116" s="681"/>
      <c r="B116" s="681"/>
      <c r="D116" s="681"/>
      <c r="E116" s="679" t="s">
        <v>1456</v>
      </c>
      <c r="F116" s="688">
        <v>-51006</v>
      </c>
      <c r="H116" s="689" t="s">
        <v>1366</v>
      </c>
    </row>
    <row r="117" spans="1:8">
      <c r="A117" s="681"/>
      <c r="B117" s="681"/>
      <c r="D117" s="681"/>
      <c r="E117" s="679" t="s">
        <v>1457</v>
      </c>
      <c r="F117" s="688">
        <v>-2689.71</v>
      </c>
      <c r="H117" s="689" t="s">
        <v>1366</v>
      </c>
    </row>
    <row r="118" spans="1:8">
      <c r="A118" s="681"/>
      <c r="B118" s="681"/>
      <c r="D118" s="681"/>
      <c r="E118" s="679" t="s">
        <v>1458</v>
      </c>
      <c r="F118" s="688">
        <v>-1734.71</v>
      </c>
      <c r="H118" s="689" t="s">
        <v>1366</v>
      </c>
    </row>
    <row r="119" spans="1:8">
      <c r="A119" s="681"/>
      <c r="B119" s="681"/>
      <c r="D119" s="681"/>
      <c r="E119" s="679" t="s">
        <v>1459</v>
      </c>
      <c r="F119" s="688">
        <v>-1200.0899999999999</v>
      </c>
      <c r="H119" s="689" t="s">
        <v>1366</v>
      </c>
    </row>
    <row r="120" spans="1:8">
      <c r="A120" s="681"/>
      <c r="B120" s="681"/>
      <c r="D120" s="681"/>
      <c r="E120" s="679" t="s">
        <v>1460</v>
      </c>
      <c r="F120" s="688">
        <v>-13082.85</v>
      </c>
      <c r="H120" s="689" t="s">
        <v>1366</v>
      </c>
    </row>
    <row r="121" spans="1:8">
      <c r="A121" s="681"/>
      <c r="B121" s="681"/>
      <c r="D121" s="681"/>
      <c r="E121" s="679" t="s">
        <v>1461</v>
      </c>
      <c r="F121" s="688">
        <v>-4609.71</v>
      </c>
      <c r="H121" s="689" t="s">
        <v>1366</v>
      </c>
    </row>
    <row r="122" spans="1:8">
      <c r="A122" s="681"/>
      <c r="B122" s="681"/>
      <c r="D122" s="681"/>
      <c r="E122" s="679" t="s">
        <v>1462</v>
      </c>
      <c r="F122" s="688">
        <v>-3101.81</v>
      </c>
      <c r="H122" s="689" t="s">
        <v>1366</v>
      </c>
    </row>
    <row r="123" spans="1:8">
      <c r="A123" s="681"/>
      <c r="B123" s="681"/>
      <c r="D123" s="681"/>
      <c r="E123" s="679" t="s">
        <v>1463</v>
      </c>
      <c r="F123" s="688">
        <v>-913.36</v>
      </c>
      <c r="H123" s="689" t="s">
        <v>1366</v>
      </c>
    </row>
    <row r="124" spans="1:8">
      <c r="A124" s="681"/>
      <c r="B124" s="681"/>
      <c r="D124" s="681"/>
      <c r="E124" s="679" t="s">
        <v>1464</v>
      </c>
      <c r="F124" s="688">
        <v>-347.79</v>
      </c>
      <c r="H124" s="689" t="s">
        <v>1366</v>
      </c>
    </row>
    <row r="125" spans="1:8">
      <c r="A125" s="681"/>
      <c r="B125" s="681"/>
      <c r="D125" s="681"/>
      <c r="E125" s="679" t="s">
        <v>1465</v>
      </c>
      <c r="F125" s="688">
        <v>-5227.8100000000004</v>
      </c>
      <c r="H125" s="689" t="s">
        <v>1366</v>
      </c>
    </row>
    <row r="126" spans="1:8">
      <c r="A126" s="681"/>
      <c r="B126" s="681"/>
      <c r="D126" s="681"/>
      <c r="E126" s="679" t="s">
        <v>1466</v>
      </c>
      <c r="F126" s="688">
        <v>-1220.0899999999999</v>
      </c>
      <c r="H126" s="689" t="s">
        <v>1366</v>
      </c>
    </row>
    <row r="127" spans="1:8">
      <c r="A127" s="681"/>
      <c r="B127" s="681"/>
      <c r="D127" s="681"/>
      <c r="E127" s="679" t="s">
        <v>1467</v>
      </c>
      <c r="F127" s="688">
        <v>-7643.57</v>
      </c>
      <c r="H127" s="689" t="s">
        <v>1366</v>
      </c>
    </row>
    <row r="128" spans="1:8">
      <c r="A128" s="681"/>
      <c r="B128" s="681"/>
      <c r="D128" s="681"/>
      <c r="E128" s="679" t="s">
        <v>1468</v>
      </c>
      <c r="F128" s="688">
        <v>-3021.25</v>
      </c>
      <c r="H128" s="689" t="s">
        <v>1366</v>
      </c>
    </row>
    <row r="129" spans="1:8">
      <c r="A129" s="681"/>
      <c r="B129" s="681"/>
      <c r="D129" s="681"/>
      <c r="E129" s="679" t="s">
        <v>1469</v>
      </c>
      <c r="F129" s="688">
        <v>-1220.0899999999999</v>
      </c>
      <c r="H129" s="689" t="s">
        <v>1366</v>
      </c>
    </row>
    <row r="130" spans="1:8">
      <c r="A130" s="681"/>
      <c r="B130" s="681"/>
      <c r="D130" s="681"/>
      <c r="E130" s="679" t="s">
        <v>1470</v>
      </c>
      <c r="F130" s="688">
        <v>-347.79</v>
      </c>
      <c r="H130" s="689" t="s">
        <v>1366</v>
      </c>
    </row>
    <row r="131" spans="1:8">
      <c r="A131" s="681"/>
      <c r="B131" s="681"/>
      <c r="D131" s="681"/>
      <c r="E131" s="679" t="s">
        <v>1471</v>
      </c>
      <c r="F131" s="688">
        <v>-347.79</v>
      </c>
      <c r="H131" s="689" t="s">
        <v>1366</v>
      </c>
    </row>
    <row r="132" spans="1:8">
      <c r="A132" s="681"/>
      <c r="B132" s="681"/>
      <c r="D132" s="681"/>
      <c r="E132" s="679" t="s">
        <v>1472</v>
      </c>
      <c r="F132" s="688">
        <v>-347.79</v>
      </c>
      <c r="H132" s="689" t="s">
        <v>1366</v>
      </c>
    </row>
    <row r="133" spans="1:8">
      <c r="A133" s="681"/>
      <c r="B133" s="681"/>
      <c r="D133" s="681"/>
      <c r="E133" s="679" t="s">
        <v>1473</v>
      </c>
      <c r="F133" s="688">
        <v>-347.79</v>
      </c>
      <c r="H133" s="689" t="s">
        <v>1366</v>
      </c>
    </row>
    <row r="134" spans="1:8">
      <c r="A134" s="681"/>
      <c r="B134" s="681"/>
      <c r="D134" s="681"/>
      <c r="E134" s="679" t="s">
        <v>1474</v>
      </c>
      <c r="F134" s="688">
        <v>-3119.73</v>
      </c>
      <c r="H134" s="689" t="s">
        <v>1366</v>
      </c>
    </row>
    <row r="135" spans="1:8">
      <c r="A135" s="681"/>
      <c r="B135" s="681"/>
      <c r="D135" s="681"/>
      <c r="E135" s="679" t="s">
        <v>1475</v>
      </c>
      <c r="F135" s="688">
        <v>-1413.65</v>
      </c>
      <c r="H135" s="689" t="s">
        <v>1366</v>
      </c>
    </row>
    <row r="136" spans="1:8">
      <c r="A136" s="681"/>
      <c r="B136" s="681"/>
      <c r="D136" s="681"/>
      <c r="E136" s="679" t="s">
        <v>1476</v>
      </c>
      <c r="F136" s="688">
        <v>-347.79</v>
      </c>
      <c r="H136" s="689" t="s">
        <v>1366</v>
      </c>
    </row>
    <row r="137" spans="1:8">
      <c r="A137" s="681"/>
      <c r="B137" s="681"/>
      <c r="D137" s="681"/>
      <c r="E137" s="679" t="s">
        <v>1477</v>
      </c>
      <c r="F137" s="688">
        <v>-31891.73</v>
      </c>
      <c r="H137" s="689" t="s">
        <v>1366</v>
      </c>
    </row>
    <row r="138" spans="1:8">
      <c r="A138" s="681"/>
      <c r="B138" s="681"/>
      <c r="D138" s="681"/>
      <c r="E138" s="679" t="s">
        <v>1478</v>
      </c>
      <c r="F138" s="688">
        <v>-2981.86</v>
      </c>
      <c r="H138" s="689" t="s">
        <v>1366</v>
      </c>
    </row>
    <row r="139" spans="1:8">
      <c r="A139" s="681"/>
      <c r="B139" s="681"/>
      <c r="D139" s="681"/>
      <c r="E139" s="679" t="s">
        <v>1479</v>
      </c>
      <c r="F139" s="688">
        <v>-531.83000000000004</v>
      </c>
      <c r="H139" s="689" t="s">
        <v>1366</v>
      </c>
    </row>
    <row r="140" spans="1:8">
      <c r="A140" s="681"/>
      <c r="B140" s="681"/>
      <c r="D140" s="681"/>
      <c r="E140" s="679" t="s">
        <v>1480</v>
      </c>
      <c r="F140" s="688">
        <v>-347.79</v>
      </c>
      <c r="H140" s="689" t="s">
        <v>1366</v>
      </c>
    </row>
    <row r="141" spans="1:8">
      <c r="A141" s="681"/>
      <c r="B141" s="681"/>
      <c r="D141" s="681"/>
      <c r="E141" s="679" t="s">
        <v>1481</v>
      </c>
      <c r="F141" s="688">
        <v>-2236.6</v>
      </c>
      <c r="H141" s="689" t="s">
        <v>1366</v>
      </c>
    </row>
    <row r="142" spans="1:8">
      <c r="A142" s="681"/>
      <c r="B142" s="681"/>
      <c r="D142" s="681"/>
      <c r="E142" s="679" t="s">
        <v>1482</v>
      </c>
      <c r="F142" s="688">
        <v>-1144.03</v>
      </c>
      <c r="H142" s="689" t="s">
        <v>1366</v>
      </c>
    </row>
    <row r="143" spans="1:8">
      <c r="A143" s="681"/>
      <c r="B143" s="681"/>
      <c r="D143" s="681"/>
      <c r="E143" s="679" t="s">
        <v>1483</v>
      </c>
      <c r="F143" s="688">
        <v>-7137.82</v>
      </c>
      <c r="H143" s="689" t="s">
        <v>1366</v>
      </c>
    </row>
    <row r="144" spans="1:8">
      <c r="A144" s="681"/>
      <c r="B144" s="681"/>
      <c r="D144" s="681"/>
      <c r="E144" s="679" t="s">
        <v>1484</v>
      </c>
      <c r="F144" s="688">
        <v>-1683.36</v>
      </c>
      <c r="H144" s="689" t="s">
        <v>1366</v>
      </c>
    </row>
    <row r="145" spans="1:8">
      <c r="A145" s="681"/>
      <c r="B145" s="681"/>
      <c r="D145" s="681"/>
      <c r="E145" s="679" t="s">
        <v>1485</v>
      </c>
      <c r="F145" s="688">
        <v>-2906.39</v>
      </c>
      <c r="H145" s="689" t="s">
        <v>1366</v>
      </c>
    </row>
    <row r="146" spans="1:8">
      <c r="A146" s="681"/>
      <c r="B146" s="681"/>
      <c r="D146" s="681"/>
      <c r="E146" s="679" t="s">
        <v>1486</v>
      </c>
      <c r="F146" s="688">
        <v>-9238.5400000000009</v>
      </c>
      <c r="H146" s="689" t="s">
        <v>1366</v>
      </c>
    </row>
    <row r="147" spans="1:8">
      <c r="A147" s="681"/>
      <c r="B147" s="681"/>
      <c r="D147" s="681"/>
      <c r="E147" s="679" t="s">
        <v>1487</v>
      </c>
      <c r="F147" s="688">
        <v>-3492.68</v>
      </c>
      <c r="H147" s="689" t="s">
        <v>1366</v>
      </c>
    </row>
    <row r="148" spans="1:8">
      <c r="A148" s="681"/>
      <c r="B148" s="681"/>
      <c r="D148" s="681"/>
      <c r="E148" s="679" t="s">
        <v>1488</v>
      </c>
      <c r="F148" s="688">
        <v>-1220.0899999999999</v>
      </c>
      <c r="H148" s="689" t="s">
        <v>1366</v>
      </c>
    </row>
    <row r="149" spans="1:8">
      <c r="A149" s="681"/>
      <c r="B149" s="681"/>
      <c r="D149" s="681"/>
      <c r="E149" s="679" t="s">
        <v>1489</v>
      </c>
      <c r="F149" s="688">
        <v>-800</v>
      </c>
      <c r="H149" s="689" t="s">
        <v>1366</v>
      </c>
    </row>
    <row r="150" spans="1:8">
      <c r="A150" s="681"/>
      <c r="B150" s="681"/>
      <c r="D150" s="681"/>
      <c r="E150" s="679" t="s">
        <v>1490</v>
      </c>
      <c r="F150" s="688">
        <v>-1512.03</v>
      </c>
      <c r="H150" s="689" t="s">
        <v>1366</v>
      </c>
    </row>
    <row r="151" spans="1:8">
      <c r="A151" s="681"/>
      <c r="B151" s="681"/>
      <c r="D151" s="681"/>
      <c r="E151" s="679" t="s">
        <v>1491</v>
      </c>
      <c r="F151" s="688">
        <v>-1220.0899999999999</v>
      </c>
      <c r="H151" s="689" t="s">
        <v>1366</v>
      </c>
    </row>
    <row r="152" spans="1:8">
      <c r="A152" s="681"/>
      <c r="B152" s="681"/>
      <c r="D152" s="681"/>
      <c r="E152" s="679" t="s">
        <v>1492</v>
      </c>
      <c r="F152" s="688">
        <v>-378.48</v>
      </c>
      <c r="H152" s="689" t="s">
        <v>1366</v>
      </c>
    </row>
    <row r="153" spans="1:8">
      <c r="A153" s="681"/>
      <c r="B153" s="681"/>
      <c r="D153" s="681"/>
      <c r="E153" s="679" t="s">
        <v>1493</v>
      </c>
      <c r="F153" s="688">
        <v>-378.48</v>
      </c>
      <c r="H153" s="689" t="s">
        <v>1366</v>
      </c>
    </row>
    <row r="154" spans="1:8">
      <c r="A154" s="681"/>
      <c r="B154" s="681"/>
      <c r="D154" s="681"/>
      <c r="E154" s="679" t="s">
        <v>1494</v>
      </c>
      <c r="F154" s="688">
        <v>-3990.7</v>
      </c>
      <c r="H154" s="689" t="s">
        <v>1366</v>
      </c>
    </row>
    <row r="155" spans="1:8">
      <c r="A155" s="681"/>
      <c r="B155" s="681"/>
      <c r="D155" s="681"/>
      <c r="E155" s="679" t="s">
        <v>1495</v>
      </c>
      <c r="F155" s="688">
        <v>-1220.0899999999999</v>
      </c>
      <c r="H155" s="689" t="s">
        <v>1366</v>
      </c>
    </row>
    <row r="156" spans="1:8">
      <c r="A156" s="681"/>
      <c r="B156" s="681"/>
      <c r="D156" s="681"/>
      <c r="E156" s="679" t="s">
        <v>1496</v>
      </c>
      <c r="F156" s="688">
        <v>-61762</v>
      </c>
      <c r="H156" s="689" t="s">
        <v>1366</v>
      </c>
    </row>
    <row r="157" spans="1:8">
      <c r="A157" s="681"/>
      <c r="B157" s="681"/>
      <c r="D157" s="681"/>
      <c r="E157" s="679" t="s">
        <v>1497</v>
      </c>
      <c r="F157" s="688">
        <v>-1220.0899999999999</v>
      </c>
      <c r="H157" s="689" t="s">
        <v>1366</v>
      </c>
    </row>
    <row r="158" spans="1:8">
      <c r="A158" s="681"/>
      <c r="B158" s="681"/>
      <c r="D158" s="681"/>
      <c r="E158" s="679" t="s">
        <v>1498</v>
      </c>
      <c r="F158" s="688">
        <v>-7406</v>
      </c>
      <c r="H158" s="689" t="s">
        <v>1366</v>
      </c>
    </row>
    <row r="159" spans="1:8">
      <c r="A159" s="681"/>
      <c r="B159" s="681"/>
      <c r="D159" s="681"/>
      <c r="E159" s="679" t="s">
        <v>1499</v>
      </c>
      <c r="F159" s="688">
        <v>-8494.75</v>
      </c>
      <c r="H159" s="689" t="s">
        <v>1366</v>
      </c>
    </row>
    <row r="160" spans="1:8">
      <c r="A160" s="681"/>
      <c r="B160" s="681"/>
      <c r="D160" s="681"/>
      <c r="E160" s="679" t="s">
        <v>1500</v>
      </c>
      <c r="F160" s="688">
        <v>-1220.0899999999999</v>
      </c>
      <c r="H160" s="689" t="s">
        <v>1366</v>
      </c>
    </row>
    <row r="161" spans="1:8">
      <c r="A161" s="681"/>
      <c r="B161" s="681"/>
      <c r="D161" s="681"/>
      <c r="E161" s="679" t="s">
        <v>1501</v>
      </c>
      <c r="F161" s="688">
        <v>-1220.0899999999999</v>
      </c>
      <c r="H161" s="689" t="s">
        <v>1366</v>
      </c>
    </row>
    <row r="162" spans="1:8">
      <c r="A162" s="681"/>
      <c r="B162" s="681"/>
      <c r="D162" s="681"/>
      <c r="E162" s="679" t="s">
        <v>1502</v>
      </c>
      <c r="F162" s="688">
        <v>-510.85</v>
      </c>
      <c r="H162" s="689" t="s">
        <v>1366</v>
      </c>
    </row>
    <row r="163" spans="1:8">
      <c r="A163" s="681"/>
      <c r="B163" s="681"/>
      <c r="D163" s="681"/>
      <c r="E163" s="679" t="s">
        <v>1503</v>
      </c>
      <c r="F163" s="688">
        <v>-1882.62</v>
      </c>
      <c r="H163" s="689" t="s">
        <v>1366</v>
      </c>
    </row>
    <row r="164" spans="1:8">
      <c r="A164" s="681"/>
      <c r="B164" s="681"/>
      <c r="D164" s="681"/>
      <c r="E164" s="679" t="s">
        <v>1504</v>
      </c>
      <c r="F164" s="688">
        <v>-4958.3</v>
      </c>
      <c r="H164" s="689" t="s">
        <v>1366</v>
      </c>
    </row>
    <row r="165" spans="1:8">
      <c r="A165" s="681"/>
      <c r="B165" s="681"/>
      <c r="D165" s="681"/>
      <c r="E165" s="679" t="s">
        <v>1505</v>
      </c>
      <c r="F165" s="688">
        <v>-9670</v>
      </c>
      <c r="H165" s="689" t="s">
        <v>1366</v>
      </c>
    </row>
    <row r="166" spans="1:8">
      <c r="A166" s="681"/>
      <c r="B166" s="681"/>
      <c r="D166" s="681"/>
      <c r="E166" s="679" t="s">
        <v>1506</v>
      </c>
      <c r="F166" s="688">
        <v>-2129.17</v>
      </c>
      <c r="H166" s="689" t="s">
        <v>1366</v>
      </c>
    </row>
    <row r="167" spans="1:8">
      <c r="A167" s="681"/>
      <c r="B167" s="681"/>
      <c r="D167" s="681"/>
      <c r="E167" s="679" t="s">
        <v>1507</v>
      </c>
      <c r="F167" s="688">
        <v>-800</v>
      </c>
      <c r="H167" s="689" t="s">
        <v>1366</v>
      </c>
    </row>
    <row r="168" spans="1:8">
      <c r="A168" s="681"/>
      <c r="B168" s="681"/>
      <c r="D168" s="681"/>
      <c r="E168" s="679" t="s">
        <v>1508</v>
      </c>
      <c r="F168" s="688">
        <v>-23835</v>
      </c>
      <c r="H168" s="689" t="s">
        <v>1366</v>
      </c>
    </row>
    <row r="169" spans="1:8">
      <c r="A169" s="681"/>
      <c r="B169" s="681"/>
      <c r="D169" s="681"/>
      <c r="E169" s="679" t="s">
        <v>1509</v>
      </c>
      <c r="F169" s="688">
        <v>-800</v>
      </c>
      <c r="H169" s="689" t="s">
        <v>1366</v>
      </c>
    </row>
    <row r="170" spans="1:8">
      <c r="A170" s="681"/>
      <c r="B170" s="681"/>
      <c r="D170" s="681"/>
      <c r="E170" s="679" t="s">
        <v>1510</v>
      </c>
      <c r="F170" s="688">
        <v>-4371.34</v>
      </c>
      <c r="H170" s="689" t="s">
        <v>1366</v>
      </c>
    </row>
    <row r="171" spans="1:8">
      <c r="A171" s="681"/>
      <c r="B171" s="681"/>
      <c r="D171" s="681"/>
      <c r="E171" s="679" t="s">
        <v>1511</v>
      </c>
      <c r="F171" s="688">
        <v>-73722</v>
      </c>
      <c r="H171" s="689" t="s">
        <v>1366</v>
      </c>
    </row>
    <row r="172" spans="1:8">
      <c r="A172" s="681"/>
      <c r="B172" s="681"/>
      <c r="D172" s="681"/>
      <c r="E172" s="679" t="s">
        <v>1512</v>
      </c>
      <c r="F172" s="688">
        <v>-3022.89</v>
      </c>
      <c r="H172" s="689" t="s">
        <v>1366</v>
      </c>
    </row>
    <row r="173" spans="1:8">
      <c r="A173" s="681"/>
      <c r="B173" s="681"/>
      <c r="D173" s="681"/>
      <c r="E173" s="679" t="s">
        <v>1513</v>
      </c>
      <c r="F173" s="688">
        <v>-10710.18</v>
      </c>
      <c r="H173" s="689" t="s">
        <v>1366</v>
      </c>
    </row>
    <row r="174" spans="1:8">
      <c r="A174" s="681"/>
      <c r="B174" s="681"/>
      <c r="D174" s="681"/>
      <c r="E174" s="679" t="s">
        <v>1514</v>
      </c>
      <c r="F174" s="688">
        <v>-2628.67</v>
      </c>
      <c r="H174" s="689" t="s">
        <v>1366</v>
      </c>
    </row>
    <row r="175" spans="1:8">
      <c r="A175" s="681"/>
      <c r="B175" s="681"/>
      <c r="D175" s="681"/>
      <c r="E175" s="679" t="s">
        <v>1515</v>
      </c>
      <c r="F175" s="688">
        <v>-6973</v>
      </c>
      <c r="H175" s="689" t="s">
        <v>1366</v>
      </c>
    </row>
    <row r="176" spans="1:8">
      <c r="A176" s="681"/>
      <c r="B176" s="681"/>
      <c r="D176" s="681"/>
      <c r="E176" s="679" t="s">
        <v>1516</v>
      </c>
      <c r="F176" s="688">
        <v>-2590</v>
      </c>
      <c r="H176" s="689" t="s">
        <v>1366</v>
      </c>
    </row>
    <row r="177" spans="1:8">
      <c r="A177" s="681"/>
      <c r="B177" s="681"/>
      <c r="D177" s="681"/>
      <c r="E177" s="679" t="s">
        <v>1517</v>
      </c>
      <c r="F177" s="688">
        <v>-1220.0899999999999</v>
      </c>
      <c r="H177" s="689" t="s">
        <v>1366</v>
      </c>
    </row>
    <row r="178" spans="1:8">
      <c r="A178" s="681"/>
      <c r="B178" s="681"/>
      <c r="D178" s="681"/>
      <c r="E178" s="679" t="s">
        <v>1518</v>
      </c>
      <c r="F178" s="688">
        <v>-1220.0899999999999</v>
      </c>
      <c r="H178" s="689" t="s">
        <v>1366</v>
      </c>
    </row>
    <row r="179" spans="1:8">
      <c r="A179" s="681"/>
      <c r="B179" s="681"/>
      <c r="D179" s="681"/>
      <c r="E179" s="679" t="s">
        <v>1519</v>
      </c>
      <c r="F179" s="688">
        <v>-1543.21</v>
      </c>
      <c r="H179" s="689" t="s">
        <v>1366</v>
      </c>
    </row>
    <row r="180" spans="1:8">
      <c r="A180" s="681"/>
      <c r="B180" s="681"/>
      <c r="D180" s="681"/>
      <c r="E180" s="679" t="s">
        <v>1520</v>
      </c>
      <c r="F180" s="688">
        <v>-4796.88</v>
      </c>
      <c r="H180" s="689" t="s">
        <v>1366</v>
      </c>
    </row>
    <row r="181" spans="1:8">
      <c r="A181" s="681"/>
      <c r="B181" s="681"/>
      <c r="D181" s="681"/>
      <c r="E181" s="679" t="s">
        <v>1521</v>
      </c>
      <c r="F181" s="688">
        <v>-1220.0899999999999</v>
      </c>
      <c r="H181" s="689" t="s">
        <v>1366</v>
      </c>
    </row>
    <row r="182" spans="1:8">
      <c r="A182" s="681"/>
      <c r="B182" s="681"/>
      <c r="D182" s="681"/>
      <c r="E182" s="679" t="s">
        <v>1522</v>
      </c>
      <c r="F182" s="688">
        <v>-1220.0899999999999</v>
      </c>
      <c r="H182" s="689" t="s">
        <v>1366</v>
      </c>
    </row>
    <row r="183" spans="1:8">
      <c r="A183" s="681"/>
      <c r="B183" s="681"/>
      <c r="D183" s="681"/>
      <c r="E183" s="679" t="s">
        <v>1523</v>
      </c>
      <c r="F183" s="688">
        <v>-1220.0899999999999</v>
      </c>
      <c r="H183" s="689" t="s">
        <v>1366</v>
      </c>
    </row>
    <row r="184" spans="1:8">
      <c r="A184" s="681"/>
      <c r="B184" s="681"/>
      <c r="D184" s="681"/>
      <c r="E184" s="679" t="s">
        <v>1524</v>
      </c>
      <c r="F184" s="688">
        <v>-3022.89</v>
      </c>
      <c r="H184" s="689" t="s">
        <v>1366</v>
      </c>
    </row>
    <row r="185" spans="1:8">
      <c r="A185" s="681"/>
      <c r="B185" s="681"/>
      <c r="C185" s="679" t="s">
        <v>1525</v>
      </c>
      <c r="D185" s="681" t="s">
        <v>1526</v>
      </c>
      <c r="E185" s="679" t="s">
        <v>1527</v>
      </c>
      <c r="F185" s="688">
        <v>9128.16</v>
      </c>
      <c r="H185" s="689" t="s">
        <v>1366</v>
      </c>
    </row>
    <row r="186" spans="1:8">
      <c r="A186" s="681" t="s">
        <v>1528</v>
      </c>
      <c r="B186" s="681" t="s">
        <v>1369</v>
      </c>
      <c r="C186" s="679" t="s">
        <v>1005</v>
      </c>
      <c r="D186" s="681" t="s">
        <v>1529</v>
      </c>
      <c r="E186" s="679" t="s">
        <v>1005</v>
      </c>
      <c r="F186" s="688">
        <v>0</v>
      </c>
      <c r="H186" s="689" t="s">
        <v>1366</v>
      </c>
    </row>
    <row r="187" spans="1:8">
      <c r="A187" s="681"/>
      <c r="B187" s="681"/>
      <c r="D187" s="681" t="s">
        <v>1530</v>
      </c>
      <c r="E187" s="679" t="s">
        <v>1005</v>
      </c>
      <c r="F187" s="688">
        <v>0</v>
      </c>
      <c r="H187" s="689" t="s">
        <v>1366</v>
      </c>
    </row>
    <row r="188" spans="1:8">
      <c r="A188" s="681"/>
      <c r="B188" s="681"/>
      <c r="D188" s="681" t="s">
        <v>1531</v>
      </c>
      <c r="E188" s="679" t="s">
        <v>1005</v>
      </c>
      <c r="F188" s="688">
        <v>0</v>
      </c>
      <c r="H188" s="689" t="s">
        <v>1366</v>
      </c>
    </row>
    <row r="189" spans="1:8">
      <c r="A189" s="681"/>
      <c r="B189" s="681"/>
      <c r="D189" s="681" t="s">
        <v>1532</v>
      </c>
      <c r="E189" s="679" t="s">
        <v>1005</v>
      </c>
      <c r="F189" s="688">
        <v>0</v>
      </c>
      <c r="H189" s="689" t="s">
        <v>1366</v>
      </c>
    </row>
    <row r="190" spans="1:8">
      <c r="A190" s="681"/>
      <c r="B190" s="681"/>
      <c r="D190" s="681" t="s">
        <v>1533</v>
      </c>
      <c r="E190" s="679" t="s">
        <v>1005</v>
      </c>
      <c r="F190" s="688">
        <v>0</v>
      </c>
      <c r="H190" s="689" t="s">
        <v>1366</v>
      </c>
    </row>
    <row r="191" spans="1:8">
      <c r="A191" s="681"/>
      <c r="B191" s="681"/>
      <c r="D191" s="681" t="s">
        <v>1534</v>
      </c>
      <c r="E191" s="679" t="s">
        <v>1005</v>
      </c>
      <c r="F191" s="688">
        <v>0</v>
      </c>
      <c r="H191" s="689" t="s">
        <v>1366</v>
      </c>
    </row>
    <row r="192" spans="1:8">
      <c r="A192" s="681"/>
      <c r="B192" s="681"/>
      <c r="D192" s="681" t="s">
        <v>1535</v>
      </c>
      <c r="E192" s="679" t="s">
        <v>1005</v>
      </c>
      <c r="F192" s="688">
        <v>0</v>
      </c>
      <c r="H192" s="689" t="s">
        <v>1366</v>
      </c>
    </row>
    <row r="193" spans="1:8">
      <c r="A193" s="681"/>
      <c r="B193" s="681"/>
      <c r="D193" s="681" t="s">
        <v>1536</v>
      </c>
      <c r="E193" s="679" t="s">
        <v>1005</v>
      </c>
      <c r="F193" s="688">
        <v>0</v>
      </c>
      <c r="H193" s="689" t="s">
        <v>1366</v>
      </c>
    </row>
    <row r="194" spans="1:8">
      <c r="A194" s="681"/>
      <c r="B194" s="681"/>
      <c r="D194" s="681" t="s">
        <v>1537</v>
      </c>
      <c r="E194" s="679" t="s">
        <v>1005</v>
      </c>
      <c r="F194" s="688">
        <v>0</v>
      </c>
      <c r="H194" s="689" t="s">
        <v>1366</v>
      </c>
    </row>
    <row r="195" spans="1:8">
      <c r="A195" s="681"/>
      <c r="B195" s="681"/>
      <c r="D195" s="681" t="s">
        <v>1538</v>
      </c>
      <c r="E195" s="679" t="s">
        <v>1005</v>
      </c>
      <c r="F195" s="688">
        <v>0</v>
      </c>
      <c r="H195" s="689" t="s">
        <v>1366</v>
      </c>
    </row>
    <row r="196" spans="1:8">
      <c r="A196" s="681"/>
      <c r="B196" s="681"/>
      <c r="D196" s="681" t="s">
        <v>1539</v>
      </c>
      <c r="E196" s="679" t="s">
        <v>1005</v>
      </c>
      <c r="F196" s="688">
        <v>0</v>
      </c>
      <c r="H196" s="689" t="s">
        <v>1366</v>
      </c>
    </row>
    <row r="197" spans="1:8">
      <c r="A197" s="681"/>
      <c r="B197" s="681"/>
      <c r="D197" s="681" t="s">
        <v>1540</v>
      </c>
      <c r="E197" s="679" t="s">
        <v>1005</v>
      </c>
      <c r="F197" s="688">
        <v>0</v>
      </c>
      <c r="H197" s="689" t="s">
        <v>1366</v>
      </c>
    </row>
    <row r="198" spans="1:8">
      <c r="A198" s="681"/>
      <c r="B198" s="681"/>
      <c r="D198" s="681" t="s">
        <v>1541</v>
      </c>
      <c r="E198" s="679" t="s">
        <v>1005</v>
      </c>
      <c r="F198" s="688">
        <v>0</v>
      </c>
      <c r="H198" s="689" t="s">
        <v>1366</v>
      </c>
    </row>
    <row r="199" spans="1:8">
      <c r="A199" s="681"/>
      <c r="B199" s="681"/>
      <c r="D199" s="681" t="s">
        <v>1542</v>
      </c>
      <c r="E199" s="679" t="s">
        <v>1005</v>
      </c>
      <c r="F199" s="688">
        <v>0</v>
      </c>
      <c r="H199" s="689" t="s">
        <v>1366</v>
      </c>
    </row>
    <row r="200" spans="1:8">
      <c r="A200" s="681"/>
      <c r="B200" s="681"/>
      <c r="D200" s="681" t="s">
        <v>1543</v>
      </c>
      <c r="E200" s="679" t="s">
        <v>1005</v>
      </c>
      <c r="F200" s="688">
        <v>0</v>
      </c>
      <c r="H200" s="689" t="s">
        <v>1366</v>
      </c>
    </row>
    <row r="201" spans="1:8">
      <c r="A201" s="681"/>
      <c r="B201" s="681"/>
      <c r="D201" s="681" t="s">
        <v>1544</v>
      </c>
      <c r="E201" s="679" t="s">
        <v>1005</v>
      </c>
      <c r="F201" s="688">
        <v>0</v>
      </c>
      <c r="H201" s="689" t="s">
        <v>1366</v>
      </c>
    </row>
    <row r="202" spans="1:8">
      <c r="A202" s="681"/>
      <c r="B202" s="681"/>
      <c r="D202" s="681" t="s">
        <v>1545</v>
      </c>
      <c r="E202" s="679" t="s">
        <v>1005</v>
      </c>
      <c r="F202" s="688">
        <v>0</v>
      </c>
      <c r="H202" s="689" t="s">
        <v>1366</v>
      </c>
    </row>
    <row r="203" spans="1:8">
      <c r="A203" s="681"/>
      <c r="B203" s="681"/>
      <c r="D203" s="681" t="s">
        <v>1546</v>
      </c>
      <c r="E203" s="679" t="s">
        <v>1005</v>
      </c>
      <c r="F203" s="688">
        <v>0</v>
      </c>
      <c r="H203" s="689" t="s">
        <v>1366</v>
      </c>
    </row>
    <row r="204" spans="1:8">
      <c r="A204" s="681"/>
      <c r="B204" s="681"/>
      <c r="D204" s="681" t="s">
        <v>1547</v>
      </c>
      <c r="E204" s="679" t="s">
        <v>1005</v>
      </c>
      <c r="F204" s="688">
        <v>0</v>
      </c>
      <c r="H204" s="689" t="s">
        <v>1366</v>
      </c>
    </row>
    <row r="205" spans="1:8">
      <c r="A205" s="681"/>
      <c r="B205" s="681"/>
      <c r="D205" s="681" t="s">
        <v>1548</v>
      </c>
      <c r="E205" s="679" t="s">
        <v>1005</v>
      </c>
      <c r="F205" s="688">
        <v>0</v>
      </c>
      <c r="H205" s="689" t="s">
        <v>1366</v>
      </c>
    </row>
    <row r="206" spans="1:8">
      <c r="A206" s="681"/>
      <c r="B206" s="681"/>
      <c r="D206" s="681" t="s">
        <v>1549</v>
      </c>
      <c r="E206" s="679" t="s">
        <v>1005</v>
      </c>
      <c r="F206" s="688">
        <v>0</v>
      </c>
      <c r="H206" s="689" t="s">
        <v>1366</v>
      </c>
    </row>
    <row r="207" spans="1:8">
      <c r="A207" s="681"/>
      <c r="B207" s="681"/>
      <c r="D207" s="681" t="s">
        <v>1550</v>
      </c>
      <c r="E207" s="679" t="s">
        <v>1005</v>
      </c>
      <c r="F207" s="688">
        <v>0</v>
      </c>
      <c r="H207" s="689" t="s">
        <v>1366</v>
      </c>
    </row>
    <row r="208" spans="1:8">
      <c r="A208" s="681"/>
      <c r="B208" s="681"/>
      <c r="D208" s="681" t="s">
        <v>1551</v>
      </c>
      <c r="E208" s="679" t="s">
        <v>1005</v>
      </c>
      <c r="F208" s="688">
        <v>0</v>
      </c>
      <c r="H208" s="689" t="s">
        <v>1366</v>
      </c>
    </row>
    <row r="209" spans="1:8">
      <c r="A209" s="681"/>
      <c r="B209" s="681"/>
      <c r="D209" s="681" t="s">
        <v>1552</v>
      </c>
      <c r="E209" s="679" t="s">
        <v>1005</v>
      </c>
      <c r="F209" s="688">
        <v>0</v>
      </c>
      <c r="H209" s="689" t="s">
        <v>1366</v>
      </c>
    </row>
    <row r="210" spans="1:8">
      <c r="A210" s="681"/>
      <c r="B210" s="681"/>
      <c r="D210" s="681" t="s">
        <v>1553</v>
      </c>
      <c r="E210" s="679" t="s">
        <v>1005</v>
      </c>
      <c r="F210" s="688">
        <v>0</v>
      </c>
      <c r="H210" s="689" t="s">
        <v>1366</v>
      </c>
    </row>
    <row r="211" spans="1:8">
      <c r="A211" s="681"/>
      <c r="B211" s="681"/>
      <c r="D211" s="681" t="s">
        <v>1554</v>
      </c>
      <c r="E211" s="679" t="s">
        <v>1005</v>
      </c>
      <c r="F211" s="688">
        <v>0</v>
      </c>
      <c r="H211" s="689" t="s">
        <v>1366</v>
      </c>
    </row>
    <row r="212" spans="1:8">
      <c r="A212" s="681"/>
      <c r="B212" s="681"/>
      <c r="D212" s="681" t="s">
        <v>1555</v>
      </c>
      <c r="E212" s="679" t="s">
        <v>1005</v>
      </c>
      <c r="F212" s="688">
        <v>0</v>
      </c>
      <c r="H212" s="689" t="s">
        <v>1366</v>
      </c>
    </row>
    <row r="213" spans="1:8">
      <c r="A213" s="681"/>
      <c r="B213" s="681"/>
      <c r="D213" s="681" t="s">
        <v>1556</v>
      </c>
      <c r="E213" s="679" t="s">
        <v>1005</v>
      </c>
      <c r="F213" s="688">
        <v>0</v>
      </c>
      <c r="H213" s="689" t="s">
        <v>1366</v>
      </c>
    </row>
    <row r="214" spans="1:8">
      <c r="A214" s="681"/>
      <c r="B214" s="681"/>
      <c r="D214" s="681" t="s">
        <v>1557</v>
      </c>
      <c r="E214" s="679" t="s">
        <v>1005</v>
      </c>
      <c r="F214" s="688">
        <v>0</v>
      </c>
      <c r="H214" s="689" t="s">
        <v>1366</v>
      </c>
    </row>
    <row r="215" spans="1:8">
      <c r="A215" s="681"/>
      <c r="B215" s="681"/>
      <c r="D215" s="681" t="s">
        <v>1558</v>
      </c>
      <c r="E215" s="679" t="s">
        <v>1005</v>
      </c>
      <c r="F215" s="688">
        <v>0</v>
      </c>
      <c r="H215" s="689" t="s">
        <v>1366</v>
      </c>
    </row>
    <row r="216" spans="1:8">
      <c r="A216" s="681"/>
      <c r="B216" s="681"/>
      <c r="D216" s="681" t="s">
        <v>1559</v>
      </c>
      <c r="E216" s="679" t="s">
        <v>1005</v>
      </c>
      <c r="F216" s="688">
        <v>0</v>
      </c>
      <c r="H216" s="689" t="s">
        <v>1366</v>
      </c>
    </row>
    <row r="217" spans="1:8">
      <c r="A217" s="681"/>
      <c r="B217" s="681"/>
      <c r="D217" s="681" t="s">
        <v>1560</v>
      </c>
      <c r="E217" s="679" t="s">
        <v>1005</v>
      </c>
      <c r="F217" s="688">
        <v>0</v>
      </c>
      <c r="H217" s="689" t="s">
        <v>1366</v>
      </c>
    </row>
    <row r="218" spans="1:8">
      <c r="A218" s="681"/>
      <c r="B218" s="681"/>
      <c r="D218" s="681" t="s">
        <v>1561</v>
      </c>
      <c r="E218" s="679" t="s">
        <v>1005</v>
      </c>
      <c r="F218" s="688">
        <v>0</v>
      </c>
      <c r="H218" s="689" t="s">
        <v>1366</v>
      </c>
    </row>
    <row r="219" spans="1:8">
      <c r="A219" s="681"/>
      <c r="B219" s="681"/>
      <c r="D219" s="681" t="s">
        <v>1562</v>
      </c>
      <c r="E219" s="679" t="s">
        <v>1005</v>
      </c>
      <c r="F219" s="688">
        <v>0</v>
      </c>
      <c r="H219" s="689" t="s">
        <v>1366</v>
      </c>
    </row>
    <row r="220" spans="1:8">
      <c r="A220" s="681"/>
      <c r="B220" s="681"/>
      <c r="D220" s="681" t="s">
        <v>1563</v>
      </c>
      <c r="E220" s="679" t="s">
        <v>1005</v>
      </c>
      <c r="F220" s="688">
        <v>0</v>
      </c>
      <c r="H220" s="689" t="s">
        <v>1366</v>
      </c>
    </row>
    <row r="221" spans="1:8">
      <c r="A221" s="681"/>
      <c r="B221" s="681"/>
      <c r="D221" s="681" t="s">
        <v>1564</v>
      </c>
      <c r="E221" s="679" t="s">
        <v>1005</v>
      </c>
      <c r="F221" s="688">
        <v>0</v>
      </c>
      <c r="H221" s="689" t="s">
        <v>1366</v>
      </c>
    </row>
    <row r="222" spans="1:8">
      <c r="A222" s="681"/>
      <c r="B222" s="681"/>
      <c r="D222" s="681" t="s">
        <v>1565</v>
      </c>
      <c r="E222" s="679" t="s">
        <v>1005</v>
      </c>
      <c r="F222" s="688">
        <v>0</v>
      </c>
      <c r="H222" s="689" t="s">
        <v>1366</v>
      </c>
    </row>
    <row r="223" spans="1:8">
      <c r="A223" s="681"/>
      <c r="B223" s="681"/>
      <c r="D223" s="681" t="s">
        <v>1566</v>
      </c>
      <c r="E223" s="679" t="s">
        <v>1005</v>
      </c>
      <c r="F223" s="688">
        <v>0</v>
      </c>
      <c r="H223" s="689" t="s">
        <v>1366</v>
      </c>
    </row>
    <row r="224" spans="1:8">
      <c r="A224" s="681"/>
      <c r="B224" s="681"/>
      <c r="D224" s="681" t="s">
        <v>1567</v>
      </c>
      <c r="E224" s="679" t="s">
        <v>1005</v>
      </c>
      <c r="F224" s="688">
        <v>0</v>
      </c>
      <c r="H224" s="689" t="s">
        <v>1366</v>
      </c>
    </row>
    <row r="225" spans="1:8">
      <c r="A225" s="681"/>
      <c r="B225" s="681"/>
      <c r="D225" s="681" t="s">
        <v>1568</v>
      </c>
      <c r="E225" s="679" t="s">
        <v>1005</v>
      </c>
      <c r="F225" s="688">
        <v>0</v>
      </c>
      <c r="H225" s="689" t="s">
        <v>1366</v>
      </c>
    </row>
    <row r="226" spans="1:8">
      <c r="A226" s="681"/>
      <c r="B226" s="681"/>
      <c r="D226" s="681" t="s">
        <v>1569</v>
      </c>
      <c r="E226" s="679" t="s">
        <v>1005</v>
      </c>
      <c r="F226" s="688">
        <v>0</v>
      </c>
      <c r="H226" s="689" t="s">
        <v>1366</v>
      </c>
    </row>
    <row r="227" spans="1:8">
      <c r="A227" s="681"/>
      <c r="B227" s="681"/>
      <c r="D227" s="681" t="s">
        <v>1570</v>
      </c>
      <c r="E227" s="679" t="s">
        <v>1005</v>
      </c>
      <c r="F227" s="688">
        <v>0</v>
      </c>
      <c r="H227" s="689" t="s">
        <v>1366</v>
      </c>
    </row>
    <row r="228" spans="1:8">
      <c r="A228" s="681"/>
      <c r="B228" s="681"/>
      <c r="D228" s="681" t="s">
        <v>1571</v>
      </c>
      <c r="E228" s="679" t="s">
        <v>1005</v>
      </c>
      <c r="F228" s="688">
        <v>0</v>
      </c>
      <c r="H228" s="689" t="s">
        <v>1366</v>
      </c>
    </row>
    <row r="229" spans="1:8">
      <c r="A229" s="681"/>
      <c r="B229" s="681"/>
      <c r="D229" s="681" t="s">
        <v>1572</v>
      </c>
      <c r="E229" s="679" t="s">
        <v>1005</v>
      </c>
      <c r="F229" s="688">
        <v>0</v>
      </c>
      <c r="H229" s="689" t="s">
        <v>1366</v>
      </c>
    </row>
    <row r="230" spans="1:8">
      <c r="A230" s="681"/>
      <c r="B230" s="681"/>
      <c r="D230" s="681" t="s">
        <v>1573</v>
      </c>
      <c r="E230" s="679" t="s">
        <v>1005</v>
      </c>
      <c r="F230" s="688">
        <v>0</v>
      </c>
      <c r="H230" s="689" t="s">
        <v>1366</v>
      </c>
    </row>
    <row r="231" spans="1:8">
      <c r="A231" s="681"/>
      <c r="B231" s="681"/>
      <c r="D231" s="681" t="s">
        <v>1574</v>
      </c>
      <c r="E231" s="679" t="s">
        <v>1005</v>
      </c>
      <c r="F231" s="688">
        <v>0</v>
      </c>
      <c r="H231" s="689" t="s">
        <v>1366</v>
      </c>
    </row>
    <row r="232" spans="1:8">
      <c r="A232" s="681"/>
      <c r="B232" s="681"/>
      <c r="D232" s="681" t="s">
        <v>1575</v>
      </c>
      <c r="E232" s="679" t="s">
        <v>1005</v>
      </c>
      <c r="F232" s="688">
        <v>0</v>
      </c>
      <c r="H232" s="689" t="s">
        <v>1366</v>
      </c>
    </row>
    <row r="233" spans="1:8">
      <c r="A233" s="681"/>
      <c r="B233" s="681"/>
      <c r="D233" s="681" t="s">
        <v>1576</v>
      </c>
      <c r="E233" s="679" t="s">
        <v>1005</v>
      </c>
      <c r="F233" s="688">
        <v>0</v>
      </c>
      <c r="H233" s="689" t="s">
        <v>1366</v>
      </c>
    </row>
    <row r="234" spans="1:8">
      <c r="A234" s="681"/>
      <c r="B234" s="681"/>
      <c r="D234" s="681" t="s">
        <v>1577</v>
      </c>
      <c r="E234" s="679" t="s">
        <v>1005</v>
      </c>
      <c r="F234" s="688">
        <v>0</v>
      </c>
      <c r="H234" s="689" t="s">
        <v>1366</v>
      </c>
    </row>
    <row r="235" spans="1:8">
      <c r="A235" s="681"/>
      <c r="B235" s="681"/>
      <c r="D235" s="681" t="s">
        <v>1578</v>
      </c>
      <c r="E235" s="679" t="s">
        <v>1005</v>
      </c>
      <c r="F235" s="688">
        <v>0</v>
      </c>
      <c r="H235" s="689" t="s">
        <v>1366</v>
      </c>
    </row>
    <row r="236" spans="1:8">
      <c r="A236" s="681"/>
      <c r="B236" s="681"/>
      <c r="D236" s="681" t="s">
        <v>1579</v>
      </c>
      <c r="E236" s="679" t="s">
        <v>1005</v>
      </c>
      <c r="F236" s="688">
        <v>0</v>
      </c>
      <c r="H236" s="689" t="s">
        <v>1366</v>
      </c>
    </row>
    <row r="237" spans="1:8">
      <c r="A237" s="681"/>
      <c r="B237" s="681"/>
      <c r="D237" s="681" t="s">
        <v>1580</v>
      </c>
      <c r="E237" s="679" t="s">
        <v>1005</v>
      </c>
      <c r="F237" s="688">
        <v>0</v>
      </c>
      <c r="H237" s="689" t="s">
        <v>1366</v>
      </c>
    </row>
    <row r="238" spans="1:8">
      <c r="A238" s="681"/>
      <c r="B238" s="681"/>
      <c r="D238" s="681" t="s">
        <v>1581</v>
      </c>
      <c r="E238" s="679" t="s">
        <v>1005</v>
      </c>
      <c r="F238" s="688">
        <v>0</v>
      </c>
      <c r="H238" s="689" t="s">
        <v>1366</v>
      </c>
    </row>
    <row r="239" spans="1:8">
      <c r="A239" s="681"/>
      <c r="B239" s="681"/>
      <c r="D239" s="681" t="s">
        <v>1582</v>
      </c>
      <c r="E239" s="679" t="s">
        <v>1005</v>
      </c>
      <c r="F239" s="688">
        <v>0</v>
      </c>
      <c r="H239" s="689" t="s">
        <v>1366</v>
      </c>
    </row>
    <row r="240" spans="1:8">
      <c r="A240" s="681"/>
      <c r="B240" s="681"/>
      <c r="D240" s="681" t="s">
        <v>1583</v>
      </c>
      <c r="E240" s="679" t="s">
        <v>1005</v>
      </c>
      <c r="F240" s="688">
        <v>0</v>
      </c>
      <c r="H240" s="689" t="s">
        <v>1366</v>
      </c>
    </row>
    <row r="241" spans="1:8">
      <c r="A241" s="681"/>
      <c r="B241" s="681"/>
      <c r="D241" s="681" t="s">
        <v>1584</v>
      </c>
      <c r="E241" s="679" t="s">
        <v>1005</v>
      </c>
      <c r="F241" s="688">
        <v>0</v>
      </c>
      <c r="H241" s="689" t="s">
        <v>1366</v>
      </c>
    </row>
    <row r="242" spans="1:8">
      <c r="A242" s="681"/>
      <c r="B242" s="681"/>
      <c r="D242" s="681" t="s">
        <v>1585</v>
      </c>
      <c r="E242" s="679" t="s">
        <v>1005</v>
      </c>
      <c r="F242" s="688">
        <v>0</v>
      </c>
      <c r="H242" s="689" t="s">
        <v>1366</v>
      </c>
    </row>
    <row r="243" spans="1:8">
      <c r="A243" s="681"/>
      <c r="B243" s="681"/>
      <c r="D243" s="681" t="s">
        <v>1586</v>
      </c>
      <c r="E243" s="679" t="s">
        <v>1005</v>
      </c>
      <c r="F243" s="688">
        <v>0</v>
      </c>
      <c r="H243" s="689" t="s">
        <v>1366</v>
      </c>
    </row>
    <row r="244" spans="1:8">
      <c r="A244" s="681"/>
      <c r="B244" s="681"/>
      <c r="D244" s="681" t="s">
        <v>1587</v>
      </c>
      <c r="E244" s="679" t="s">
        <v>1005</v>
      </c>
      <c r="F244" s="688">
        <v>0</v>
      </c>
      <c r="H244" s="689" t="s">
        <v>1366</v>
      </c>
    </row>
    <row r="245" spans="1:8">
      <c r="A245" s="681"/>
      <c r="B245" s="681"/>
      <c r="D245" s="681" t="s">
        <v>1588</v>
      </c>
      <c r="E245" s="679" t="s">
        <v>1005</v>
      </c>
      <c r="F245" s="688">
        <v>0</v>
      </c>
      <c r="H245" s="689" t="s">
        <v>1366</v>
      </c>
    </row>
    <row r="246" spans="1:8">
      <c r="A246" s="681"/>
      <c r="B246" s="681"/>
      <c r="D246" s="681" t="s">
        <v>1589</v>
      </c>
      <c r="E246" s="679" t="s">
        <v>1005</v>
      </c>
      <c r="F246" s="688">
        <v>0</v>
      </c>
      <c r="H246" s="689" t="s">
        <v>1366</v>
      </c>
    </row>
    <row r="247" spans="1:8">
      <c r="A247" s="681"/>
      <c r="B247" s="681"/>
      <c r="D247" s="681" t="s">
        <v>1590</v>
      </c>
      <c r="E247" s="679" t="s">
        <v>1005</v>
      </c>
      <c r="F247" s="688">
        <v>0</v>
      </c>
      <c r="H247" s="689" t="s">
        <v>1366</v>
      </c>
    </row>
    <row r="248" spans="1:8">
      <c r="A248" s="681"/>
      <c r="B248" s="681"/>
      <c r="D248" s="681" t="s">
        <v>1591</v>
      </c>
      <c r="E248" s="679" t="s">
        <v>1005</v>
      </c>
      <c r="F248" s="688">
        <v>0</v>
      </c>
      <c r="H248" s="689" t="s">
        <v>1366</v>
      </c>
    </row>
    <row r="249" spans="1:8">
      <c r="A249" s="681"/>
      <c r="B249" s="681"/>
      <c r="D249" s="681" t="s">
        <v>1592</v>
      </c>
      <c r="E249" s="679" t="s">
        <v>1005</v>
      </c>
      <c r="F249" s="688">
        <v>0</v>
      </c>
      <c r="H249" s="689" t="s">
        <v>1366</v>
      </c>
    </row>
    <row r="250" spans="1:8">
      <c r="A250" s="681"/>
      <c r="B250" s="681"/>
      <c r="D250" s="681" t="s">
        <v>1593</v>
      </c>
      <c r="E250" s="679" t="s">
        <v>1005</v>
      </c>
      <c r="F250" s="688">
        <v>0</v>
      </c>
      <c r="H250" s="689" t="s">
        <v>1366</v>
      </c>
    </row>
    <row r="251" spans="1:8">
      <c r="A251" s="681"/>
      <c r="B251" s="681"/>
      <c r="D251" s="681" t="s">
        <v>1594</v>
      </c>
      <c r="E251" s="679" t="s">
        <v>1005</v>
      </c>
      <c r="F251" s="688">
        <v>0</v>
      </c>
      <c r="H251" s="689" t="s">
        <v>1366</v>
      </c>
    </row>
    <row r="252" spans="1:8">
      <c r="A252" s="681"/>
      <c r="B252" s="681"/>
      <c r="D252" s="681" t="s">
        <v>1595</v>
      </c>
      <c r="E252" s="679" t="s">
        <v>1005</v>
      </c>
      <c r="F252" s="688">
        <v>0</v>
      </c>
      <c r="H252" s="689" t="s">
        <v>1366</v>
      </c>
    </row>
    <row r="253" spans="1:8">
      <c r="A253" s="681"/>
      <c r="B253" s="681"/>
      <c r="D253" s="681" t="s">
        <v>1596</v>
      </c>
      <c r="E253" s="679" t="s">
        <v>1005</v>
      </c>
      <c r="F253" s="688">
        <v>0</v>
      </c>
      <c r="H253" s="689" t="s">
        <v>1366</v>
      </c>
    </row>
    <row r="254" spans="1:8">
      <c r="A254" s="681"/>
      <c r="B254" s="681"/>
      <c r="D254" s="681" t="s">
        <v>1597</v>
      </c>
      <c r="E254" s="679" t="s">
        <v>1005</v>
      </c>
      <c r="F254" s="688">
        <v>0</v>
      </c>
      <c r="H254" s="689" t="s">
        <v>1366</v>
      </c>
    </row>
    <row r="255" spans="1:8">
      <c r="A255" s="681"/>
      <c r="B255" s="681"/>
      <c r="D255" s="681" t="s">
        <v>1598</v>
      </c>
      <c r="E255" s="679" t="s">
        <v>1005</v>
      </c>
      <c r="F255" s="688">
        <v>0</v>
      </c>
      <c r="H255" s="689" t="s">
        <v>1366</v>
      </c>
    </row>
    <row r="256" spans="1:8">
      <c r="A256" s="681"/>
      <c r="B256" s="681"/>
      <c r="D256" s="681" t="s">
        <v>1599</v>
      </c>
      <c r="E256" s="679" t="s">
        <v>1005</v>
      </c>
      <c r="F256" s="688">
        <v>0</v>
      </c>
      <c r="H256" s="689" t="s">
        <v>1366</v>
      </c>
    </row>
    <row r="257" spans="1:8">
      <c r="A257" s="681"/>
      <c r="B257" s="681"/>
      <c r="D257" s="681" t="s">
        <v>1600</v>
      </c>
      <c r="E257" s="679" t="s">
        <v>1005</v>
      </c>
      <c r="F257" s="688">
        <v>0</v>
      </c>
      <c r="H257" s="689" t="s">
        <v>1366</v>
      </c>
    </row>
    <row r="258" spans="1:8">
      <c r="A258" s="681"/>
      <c r="B258" s="681"/>
      <c r="D258" s="681" t="s">
        <v>1601</v>
      </c>
      <c r="E258" s="679" t="s">
        <v>1005</v>
      </c>
      <c r="F258" s="688">
        <v>0</v>
      </c>
      <c r="H258" s="689" t="s">
        <v>1366</v>
      </c>
    </row>
    <row r="259" spans="1:8">
      <c r="A259" s="681"/>
      <c r="B259" s="681"/>
      <c r="D259" s="681" t="s">
        <v>1602</v>
      </c>
      <c r="E259" s="679" t="s">
        <v>1005</v>
      </c>
      <c r="F259" s="688">
        <v>0</v>
      </c>
      <c r="H259" s="689" t="s">
        <v>1366</v>
      </c>
    </row>
    <row r="260" spans="1:8">
      <c r="A260" s="681"/>
      <c r="B260" s="681"/>
      <c r="D260" s="681" t="s">
        <v>1603</v>
      </c>
      <c r="E260" s="679" t="s">
        <v>1005</v>
      </c>
      <c r="F260" s="688">
        <v>0</v>
      </c>
      <c r="H260" s="689" t="s">
        <v>1366</v>
      </c>
    </row>
    <row r="261" spans="1:8">
      <c r="A261" s="681"/>
      <c r="B261" s="681"/>
      <c r="D261" s="681" t="s">
        <v>1604</v>
      </c>
      <c r="E261" s="679" t="s">
        <v>1005</v>
      </c>
      <c r="F261" s="688">
        <v>0</v>
      </c>
      <c r="H261" s="689" t="s">
        <v>1366</v>
      </c>
    </row>
    <row r="262" spans="1:8">
      <c r="A262" s="681"/>
      <c r="B262" s="681"/>
      <c r="D262" s="681" t="s">
        <v>1605</v>
      </c>
      <c r="E262" s="679" t="s">
        <v>1005</v>
      </c>
      <c r="F262" s="688">
        <v>0</v>
      </c>
      <c r="H262" s="689" t="s">
        <v>1366</v>
      </c>
    </row>
    <row r="263" spans="1:8">
      <c r="A263" s="681"/>
      <c r="B263" s="681"/>
      <c r="D263" s="681" t="s">
        <v>1606</v>
      </c>
      <c r="E263" s="679" t="s">
        <v>1005</v>
      </c>
      <c r="F263" s="688">
        <v>0</v>
      </c>
      <c r="H263" s="689" t="s">
        <v>1366</v>
      </c>
    </row>
    <row r="264" spans="1:8">
      <c r="A264" s="681"/>
      <c r="B264" s="681"/>
      <c r="D264" s="681" t="s">
        <v>1607</v>
      </c>
      <c r="E264" s="679" t="s">
        <v>1005</v>
      </c>
      <c r="F264" s="688">
        <v>0</v>
      </c>
      <c r="H264" s="689" t="s">
        <v>1366</v>
      </c>
    </row>
    <row r="265" spans="1:8">
      <c r="A265" s="681"/>
      <c r="B265" s="681"/>
      <c r="D265" s="681" t="s">
        <v>1608</v>
      </c>
      <c r="E265" s="679" t="s">
        <v>1005</v>
      </c>
      <c r="F265" s="688">
        <v>0</v>
      </c>
      <c r="H265" s="689" t="s">
        <v>1366</v>
      </c>
    </row>
    <row r="266" spans="1:8">
      <c r="A266" s="681"/>
      <c r="B266" s="681"/>
      <c r="D266" s="681" t="s">
        <v>1609</v>
      </c>
      <c r="E266" s="679" t="s">
        <v>1005</v>
      </c>
      <c r="F266" s="688">
        <v>0</v>
      </c>
      <c r="H266" s="689" t="s">
        <v>1366</v>
      </c>
    </row>
    <row r="267" spans="1:8">
      <c r="A267" s="681"/>
      <c r="B267" s="681"/>
      <c r="D267" s="681" t="s">
        <v>1610</v>
      </c>
      <c r="E267" s="679" t="s">
        <v>1005</v>
      </c>
      <c r="F267" s="688">
        <v>0</v>
      </c>
      <c r="H267" s="689" t="s">
        <v>1366</v>
      </c>
    </row>
    <row r="268" spans="1:8">
      <c r="A268" s="681"/>
      <c r="B268" s="681"/>
      <c r="D268" s="681" t="s">
        <v>1611</v>
      </c>
      <c r="E268" s="679" t="s">
        <v>1005</v>
      </c>
      <c r="F268" s="688">
        <v>0</v>
      </c>
      <c r="H268" s="689" t="s">
        <v>1366</v>
      </c>
    </row>
    <row r="269" spans="1:8">
      <c r="A269" s="681"/>
      <c r="B269" s="681"/>
      <c r="D269" s="681" t="s">
        <v>1612</v>
      </c>
      <c r="E269" s="679" t="s">
        <v>1005</v>
      </c>
      <c r="F269" s="688">
        <v>0</v>
      </c>
      <c r="H269" s="689" t="s">
        <v>1366</v>
      </c>
    </row>
    <row r="270" spans="1:8">
      <c r="A270" s="681"/>
      <c r="B270" s="681"/>
      <c r="D270" s="681" t="s">
        <v>1613</v>
      </c>
      <c r="E270" s="679" t="s">
        <v>1005</v>
      </c>
      <c r="F270" s="688">
        <v>0</v>
      </c>
      <c r="H270" s="689" t="s">
        <v>1366</v>
      </c>
    </row>
    <row r="271" spans="1:8">
      <c r="A271" s="681"/>
      <c r="B271" s="681"/>
      <c r="D271" s="681" t="s">
        <v>1614</v>
      </c>
      <c r="E271" s="679" t="s">
        <v>1005</v>
      </c>
      <c r="F271" s="688">
        <v>0</v>
      </c>
      <c r="H271" s="689" t="s">
        <v>1366</v>
      </c>
    </row>
    <row r="272" spans="1:8">
      <c r="A272" s="681"/>
      <c r="B272" s="681"/>
      <c r="D272" s="681" t="s">
        <v>1615</v>
      </c>
      <c r="E272" s="679" t="s">
        <v>1005</v>
      </c>
      <c r="F272" s="688">
        <v>0</v>
      </c>
      <c r="H272" s="689" t="s">
        <v>1366</v>
      </c>
    </row>
    <row r="273" spans="1:8">
      <c r="A273" s="681"/>
      <c r="B273" s="681"/>
      <c r="D273" s="681" t="s">
        <v>1616</v>
      </c>
      <c r="E273" s="679" t="s">
        <v>1005</v>
      </c>
      <c r="F273" s="688">
        <v>0</v>
      </c>
      <c r="H273" s="689" t="s">
        <v>1366</v>
      </c>
    </row>
    <row r="274" spans="1:8">
      <c r="A274" s="681"/>
      <c r="B274" s="681"/>
      <c r="D274" s="681" t="s">
        <v>1617</v>
      </c>
      <c r="E274" s="679" t="s">
        <v>1005</v>
      </c>
      <c r="F274" s="688">
        <v>0</v>
      </c>
      <c r="H274" s="689" t="s">
        <v>1366</v>
      </c>
    </row>
    <row r="275" spans="1:8">
      <c r="A275" s="681"/>
      <c r="B275" s="681"/>
      <c r="D275" s="681" t="s">
        <v>1618</v>
      </c>
      <c r="E275" s="679" t="s">
        <v>1005</v>
      </c>
      <c r="F275" s="688">
        <v>0</v>
      </c>
      <c r="H275" s="689" t="s">
        <v>1366</v>
      </c>
    </row>
    <row r="276" spans="1:8">
      <c r="A276" s="681"/>
      <c r="B276" s="681"/>
      <c r="D276" s="681" t="s">
        <v>1619</v>
      </c>
      <c r="E276" s="679" t="s">
        <v>1005</v>
      </c>
      <c r="F276" s="688">
        <v>0</v>
      </c>
      <c r="H276" s="689" t="s">
        <v>1366</v>
      </c>
    </row>
    <row r="277" spans="1:8">
      <c r="A277" s="681"/>
      <c r="B277" s="681"/>
      <c r="D277" s="681" t="s">
        <v>1620</v>
      </c>
      <c r="E277" s="679" t="s">
        <v>1005</v>
      </c>
      <c r="F277" s="688">
        <v>0</v>
      </c>
      <c r="H277" s="689" t="s">
        <v>1366</v>
      </c>
    </row>
    <row r="278" spans="1:8">
      <c r="A278" s="681"/>
      <c r="B278" s="681"/>
      <c r="D278" s="681" t="s">
        <v>1621</v>
      </c>
      <c r="E278" s="679" t="s">
        <v>1005</v>
      </c>
      <c r="F278" s="688">
        <v>0</v>
      </c>
      <c r="H278" s="689" t="s">
        <v>1366</v>
      </c>
    </row>
    <row r="279" spans="1:8">
      <c r="A279" s="681"/>
      <c r="B279" s="681"/>
      <c r="D279" s="681" t="s">
        <v>1622</v>
      </c>
      <c r="E279" s="679" t="s">
        <v>1005</v>
      </c>
      <c r="F279" s="688">
        <v>0</v>
      </c>
      <c r="H279" s="689" t="s">
        <v>1366</v>
      </c>
    </row>
    <row r="280" spans="1:8">
      <c r="A280" s="681"/>
      <c r="B280" s="681"/>
      <c r="D280" s="681" t="s">
        <v>1623</v>
      </c>
      <c r="E280" s="679" t="s">
        <v>1005</v>
      </c>
      <c r="F280" s="688">
        <v>0</v>
      </c>
      <c r="H280" s="689" t="s">
        <v>1366</v>
      </c>
    </row>
    <row r="281" spans="1:8">
      <c r="A281" s="681"/>
      <c r="B281" s="681"/>
      <c r="D281" s="681" t="s">
        <v>1624</v>
      </c>
      <c r="E281" s="679" t="s">
        <v>1005</v>
      </c>
      <c r="F281" s="688">
        <v>0</v>
      </c>
      <c r="H281" s="689" t="s">
        <v>1366</v>
      </c>
    </row>
    <row r="282" spans="1:8">
      <c r="A282" s="681"/>
      <c r="B282" s="681"/>
      <c r="D282" s="681" t="s">
        <v>1625</v>
      </c>
      <c r="E282" s="679" t="s">
        <v>1005</v>
      </c>
      <c r="F282" s="688">
        <v>0</v>
      </c>
      <c r="H282" s="689" t="s">
        <v>1366</v>
      </c>
    </row>
    <row r="283" spans="1:8">
      <c r="A283" s="681"/>
      <c r="B283" s="681"/>
      <c r="D283" s="681" t="s">
        <v>1626</v>
      </c>
      <c r="E283" s="679" t="s">
        <v>1005</v>
      </c>
      <c r="F283" s="688">
        <v>0</v>
      </c>
      <c r="H283" s="689" t="s">
        <v>1366</v>
      </c>
    </row>
    <row r="284" spans="1:8">
      <c r="A284" s="681"/>
      <c r="B284" s="681"/>
      <c r="D284" s="681" t="s">
        <v>1627</v>
      </c>
      <c r="E284" s="679" t="s">
        <v>1005</v>
      </c>
      <c r="F284" s="688">
        <v>0</v>
      </c>
      <c r="H284" s="689" t="s">
        <v>1366</v>
      </c>
    </row>
    <row r="285" spans="1:8">
      <c r="A285" s="681"/>
      <c r="B285" s="681"/>
      <c r="D285" s="681" t="s">
        <v>1628</v>
      </c>
      <c r="E285" s="679" t="s">
        <v>1005</v>
      </c>
      <c r="F285" s="688">
        <v>0</v>
      </c>
      <c r="H285" s="689" t="s">
        <v>1366</v>
      </c>
    </row>
    <row r="286" spans="1:8">
      <c r="A286" s="681"/>
      <c r="B286" s="681"/>
      <c r="D286" s="681" t="s">
        <v>1629</v>
      </c>
      <c r="E286" s="679" t="s">
        <v>1005</v>
      </c>
      <c r="F286" s="688">
        <v>0</v>
      </c>
      <c r="H286" s="689" t="s">
        <v>1366</v>
      </c>
    </row>
    <row r="287" spans="1:8">
      <c r="A287" s="681"/>
      <c r="B287" s="681"/>
      <c r="D287" s="681" t="s">
        <v>1630</v>
      </c>
      <c r="E287" s="679" t="s">
        <v>1005</v>
      </c>
      <c r="F287" s="688">
        <v>0</v>
      </c>
      <c r="H287" s="689" t="s">
        <v>1366</v>
      </c>
    </row>
    <row r="288" spans="1:8">
      <c r="A288" s="681"/>
      <c r="B288" s="681"/>
      <c r="D288" s="681" t="s">
        <v>1631</v>
      </c>
      <c r="E288" s="679" t="s">
        <v>1005</v>
      </c>
      <c r="F288" s="688">
        <v>0</v>
      </c>
      <c r="H288" s="689" t="s">
        <v>1366</v>
      </c>
    </row>
    <row r="289" spans="1:8">
      <c r="A289" s="681"/>
      <c r="B289" s="681"/>
      <c r="D289" s="681" t="s">
        <v>1632</v>
      </c>
      <c r="E289" s="679" t="s">
        <v>1005</v>
      </c>
      <c r="F289" s="688">
        <v>0</v>
      </c>
      <c r="H289" s="689" t="s">
        <v>1366</v>
      </c>
    </row>
    <row r="290" spans="1:8">
      <c r="A290" s="681"/>
      <c r="B290" s="681"/>
      <c r="D290" s="681" t="s">
        <v>1633</v>
      </c>
      <c r="E290" s="679" t="s">
        <v>1005</v>
      </c>
      <c r="F290" s="688">
        <v>0</v>
      </c>
      <c r="H290" s="689" t="s">
        <v>1366</v>
      </c>
    </row>
    <row r="291" spans="1:8">
      <c r="A291" s="681"/>
      <c r="B291" s="681"/>
      <c r="D291" s="681" t="s">
        <v>1634</v>
      </c>
      <c r="E291" s="679" t="s">
        <v>1005</v>
      </c>
      <c r="F291" s="688">
        <v>0</v>
      </c>
      <c r="H291" s="689" t="s">
        <v>1366</v>
      </c>
    </row>
    <row r="292" spans="1:8">
      <c r="A292" s="681"/>
      <c r="B292" s="681"/>
      <c r="D292" s="681" t="s">
        <v>1635</v>
      </c>
      <c r="E292" s="679" t="s">
        <v>1005</v>
      </c>
      <c r="F292" s="688">
        <v>0</v>
      </c>
      <c r="H292" s="689" t="s">
        <v>1366</v>
      </c>
    </row>
    <row r="293" spans="1:8">
      <c r="A293" s="681"/>
      <c r="B293" s="681"/>
      <c r="D293" s="681" t="s">
        <v>1636</v>
      </c>
      <c r="E293" s="679" t="s">
        <v>1005</v>
      </c>
      <c r="F293" s="688">
        <v>0</v>
      </c>
      <c r="H293" s="689" t="s">
        <v>1366</v>
      </c>
    </row>
    <row r="294" spans="1:8">
      <c r="A294" s="681"/>
      <c r="B294" s="681"/>
      <c r="D294" s="681" t="s">
        <v>1637</v>
      </c>
      <c r="E294" s="679" t="s">
        <v>1005</v>
      </c>
      <c r="F294" s="688">
        <v>0</v>
      </c>
      <c r="H294" s="689" t="s">
        <v>1366</v>
      </c>
    </row>
    <row r="295" spans="1:8">
      <c r="A295" s="681"/>
      <c r="B295" s="681"/>
      <c r="D295" s="681" t="s">
        <v>1638</v>
      </c>
      <c r="E295" s="679" t="s">
        <v>1005</v>
      </c>
      <c r="F295" s="688">
        <v>0</v>
      </c>
      <c r="H295" s="689" t="s">
        <v>1366</v>
      </c>
    </row>
    <row r="296" spans="1:8">
      <c r="A296" s="681"/>
      <c r="B296" s="681"/>
      <c r="D296" s="681" t="s">
        <v>1639</v>
      </c>
      <c r="E296" s="679" t="s">
        <v>1005</v>
      </c>
      <c r="F296" s="688">
        <v>0</v>
      </c>
      <c r="H296" s="689" t="s">
        <v>1366</v>
      </c>
    </row>
    <row r="297" spans="1:8">
      <c r="A297" s="681"/>
      <c r="B297" s="681"/>
      <c r="D297" s="681" t="s">
        <v>1640</v>
      </c>
      <c r="E297" s="679" t="s">
        <v>1005</v>
      </c>
      <c r="F297" s="688">
        <v>0</v>
      </c>
      <c r="H297" s="689" t="s">
        <v>1366</v>
      </c>
    </row>
    <row r="298" spans="1:8">
      <c r="A298" s="681"/>
      <c r="B298" s="681"/>
      <c r="D298" s="681" t="s">
        <v>1641</v>
      </c>
      <c r="E298" s="679" t="s">
        <v>1005</v>
      </c>
      <c r="F298" s="688">
        <v>0</v>
      </c>
      <c r="H298" s="689" t="s">
        <v>1366</v>
      </c>
    </row>
    <row r="299" spans="1:8">
      <c r="A299" s="681"/>
      <c r="B299" s="681"/>
      <c r="D299" s="681" t="s">
        <v>1642</v>
      </c>
      <c r="E299" s="679" t="s">
        <v>1005</v>
      </c>
      <c r="F299" s="688">
        <v>0</v>
      </c>
      <c r="H299" s="689" t="s">
        <v>1366</v>
      </c>
    </row>
    <row r="300" spans="1:8">
      <c r="A300" s="681"/>
      <c r="B300" s="681"/>
      <c r="D300" s="681" t="s">
        <v>1643</v>
      </c>
      <c r="E300" s="679" t="s">
        <v>1005</v>
      </c>
      <c r="F300" s="688">
        <v>0</v>
      </c>
      <c r="H300" s="689" t="s">
        <v>1366</v>
      </c>
    </row>
    <row r="301" spans="1:8">
      <c r="A301" s="681"/>
      <c r="B301" s="681"/>
      <c r="D301" s="681" t="s">
        <v>1644</v>
      </c>
      <c r="E301" s="679" t="s">
        <v>1005</v>
      </c>
      <c r="F301" s="688">
        <v>0</v>
      </c>
      <c r="H301" s="689" t="s">
        <v>1366</v>
      </c>
    </row>
    <row r="302" spans="1:8">
      <c r="A302" s="681"/>
      <c r="B302" s="681"/>
      <c r="D302" s="681" t="s">
        <v>1645</v>
      </c>
      <c r="E302" s="679" t="s">
        <v>1005</v>
      </c>
      <c r="F302" s="688">
        <v>0</v>
      </c>
      <c r="H302" s="689" t="s">
        <v>1366</v>
      </c>
    </row>
    <row r="303" spans="1:8">
      <c r="A303" s="681"/>
      <c r="B303" s="681"/>
      <c r="D303" s="681" t="s">
        <v>1646</v>
      </c>
      <c r="E303" s="679" t="s">
        <v>1005</v>
      </c>
      <c r="F303" s="688">
        <v>0</v>
      </c>
      <c r="H303" s="689" t="s">
        <v>1366</v>
      </c>
    </row>
    <row r="304" spans="1:8">
      <c r="A304" s="681"/>
      <c r="B304" s="681"/>
      <c r="D304" s="681" t="s">
        <v>1647</v>
      </c>
      <c r="E304" s="679" t="s">
        <v>1005</v>
      </c>
      <c r="F304" s="688">
        <v>0</v>
      </c>
      <c r="H304" s="689" t="s">
        <v>1366</v>
      </c>
    </row>
    <row r="305" spans="1:8">
      <c r="A305" s="681"/>
      <c r="B305" s="681"/>
      <c r="D305" s="681" t="s">
        <v>1648</v>
      </c>
      <c r="E305" s="679" t="s">
        <v>1005</v>
      </c>
      <c r="F305" s="688">
        <v>0</v>
      </c>
      <c r="H305" s="689" t="s">
        <v>1366</v>
      </c>
    </row>
    <row r="306" spans="1:8">
      <c r="A306" s="681"/>
      <c r="B306" s="681"/>
      <c r="D306" s="681" t="s">
        <v>1649</v>
      </c>
      <c r="E306" s="679" t="s">
        <v>1005</v>
      </c>
      <c r="F306" s="688">
        <v>0</v>
      </c>
      <c r="H306" s="689" t="s">
        <v>1366</v>
      </c>
    </row>
    <row r="307" spans="1:8">
      <c r="A307" s="681"/>
      <c r="B307" s="681"/>
      <c r="D307" s="681" t="s">
        <v>1650</v>
      </c>
      <c r="E307" s="679" t="s">
        <v>1005</v>
      </c>
      <c r="F307" s="688">
        <v>0</v>
      </c>
      <c r="H307" s="689" t="s">
        <v>1366</v>
      </c>
    </row>
    <row r="308" spans="1:8">
      <c r="A308" s="681"/>
      <c r="B308" s="681"/>
      <c r="D308" s="681" t="s">
        <v>1651</v>
      </c>
      <c r="E308" s="679" t="s">
        <v>1005</v>
      </c>
      <c r="F308" s="688">
        <v>0</v>
      </c>
      <c r="H308" s="689" t="s">
        <v>1366</v>
      </c>
    </row>
    <row r="309" spans="1:8">
      <c r="A309" s="681"/>
      <c r="B309" s="681"/>
      <c r="D309" s="681" t="s">
        <v>1652</v>
      </c>
      <c r="E309" s="679" t="s">
        <v>1005</v>
      </c>
      <c r="F309" s="688">
        <v>0</v>
      </c>
      <c r="H309" s="689" t="s">
        <v>1366</v>
      </c>
    </row>
    <row r="310" spans="1:8">
      <c r="A310" s="681"/>
      <c r="B310" s="681"/>
      <c r="D310" s="681" t="s">
        <v>1653</v>
      </c>
      <c r="E310" s="679" t="s">
        <v>1005</v>
      </c>
      <c r="F310" s="688">
        <v>0</v>
      </c>
      <c r="H310" s="689" t="s">
        <v>1366</v>
      </c>
    </row>
    <row r="311" spans="1:8">
      <c r="A311" s="681"/>
      <c r="B311" s="681"/>
      <c r="D311" s="681" t="s">
        <v>1654</v>
      </c>
      <c r="E311" s="679" t="s">
        <v>1005</v>
      </c>
      <c r="F311" s="688">
        <v>0</v>
      </c>
      <c r="H311" s="689" t="s">
        <v>1366</v>
      </c>
    </row>
    <row r="312" spans="1:8">
      <c r="A312" s="681"/>
      <c r="B312" s="681"/>
      <c r="D312" s="681" t="s">
        <v>1655</v>
      </c>
      <c r="E312" s="679" t="s">
        <v>1005</v>
      </c>
      <c r="F312" s="688">
        <v>0</v>
      </c>
      <c r="H312" s="689" t="s">
        <v>1366</v>
      </c>
    </row>
    <row r="313" spans="1:8">
      <c r="A313" s="681"/>
      <c r="B313" s="681"/>
      <c r="D313" s="681" t="s">
        <v>1656</v>
      </c>
      <c r="E313" s="679" t="s">
        <v>1005</v>
      </c>
      <c r="F313" s="688">
        <v>0</v>
      </c>
      <c r="H313" s="689" t="s">
        <v>1366</v>
      </c>
    </row>
    <row r="314" spans="1:8">
      <c r="A314" s="681"/>
      <c r="B314" s="681"/>
      <c r="D314" s="681" t="s">
        <v>1657</v>
      </c>
      <c r="E314" s="679" t="s">
        <v>1005</v>
      </c>
      <c r="F314" s="688">
        <v>0</v>
      </c>
      <c r="H314" s="689" t="s">
        <v>1366</v>
      </c>
    </row>
    <row r="315" spans="1:8">
      <c r="A315" s="681"/>
      <c r="B315" s="681"/>
      <c r="D315" s="681" t="s">
        <v>1658</v>
      </c>
      <c r="E315" s="679" t="s">
        <v>1005</v>
      </c>
      <c r="F315" s="688">
        <v>0</v>
      </c>
      <c r="H315" s="689" t="s">
        <v>1366</v>
      </c>
    </row>
    <row r="316" spans="1:8">
      <c r="A316" s="681"/>
      <c r="B316" s="681"/>
      <c r="D316" s="681" t="s">
        <v>1659</v>
      </c>
      <c r="E316" s="679" t="s">
        <v>1005</v>
      </c>
      <c r="F316" s="688">
        <v>0</v>
      </c>
      <c r="H316" s="689" t="s">
        <v>1366</v>
      </c>
    </row>
    <row r="317" spans="1:8">
      <c r="A317" s="681"/>
      <c r="B317" s="681"/>
      <c r="D317" s="681" t="s">
        <v>1660</v>
      </c>
      <c r="E317" s="679" t="s">
        <v>1005</v>
      </c>
      <c r="F317" s="688">
        <v>0</v>
      </c>
      <c r="H317" s="689" t="s">
        <v>1366</v>
      </c>
    </row>
    <row r="318" spans="1:8">
      <c r="A318" s="681"/>
      <c r="B318" s="681"/>
      <c r="D318" s="681" t="s">
        <v>1661</v>
      </c>
      <c r="E318" s="679" t="s">
        <v>1005</v>
      </c>
      <c r="F318" s="688">
        <v>0</v>
      </c>
      <c r="H318" s="689" t="s">
        <v>1366</v>
      </c>
    </row>
    <row r="319" spans="1:8">
      <c r="A319" s="681"/>
      <c r="B319" s="681"/>
      <c r="D319" s="681" t="s">
        <v>1662</v>
      </c>
      <c r="E319" s="679" t="s">
        <v>1005</v>
      </c>
      <c r="F319" s="688">
        <v>0</v>
      </c>
      <c r="H319" s="689" t="s">
        <v>1366</v>
      </c>
    </row>
    <row r="320" spans="1:8">
      <c r="A320" s="681"/>
      <c r="B320" s="681"/>
      <c r="D320" s="681" t="s">
        <v>1663</v>
      </c>
      <c r="E320" s="679" t="s">
        <v>1005</v>
      </c>
      <c r="F320" s="688">
        <v>0</v>
      </c>
      <c r="H320" s="689" t="s">
        <v>1366</v>
      </c>
    </row>
    <row r="321" spans="1:8">
      <c r="A321" s="681"/>
      <c r="B321" s="681"/>
      <c r="D321" s="681" t="s">
        <v>1664</v>
      </c>
      <c r="E321" s="679" t="s">
        <v>1005</v>
      </c>
      <c r="F321" s="688">
        <v>0</v>
      </c>
      <c r="H321" s="689" t="s">
        <v>1366</v>
      </c>
    </row>
    <row r="322" spans="1:8">
      <c r="A322" s="681"/>
      <c r="B322" s="681"/>
      <c r="D322" s="681" t="s">
        <v>1665</v>
      </c>
      <c r="E322" s="679" t="s">
        <v>1005</v>
      </c>
      <c r="F322" s="688">
        <v>0</v>
      </c>
      <c r="H322" s="689" t="s">
        <v>1366</v>
      </c>
    </row>
    <row r="323" spans="1:8">
      <c r="A323" s="681"/>
      <c r="B323" s="681"/>
      <c r="D323" s="681" t="s">
        <v>1666</v>
      </c>
      <c r="E323" s="679" t="s">
        <v>1005</v>
      </c>
      <c r="F323" s="688">
        <v>0</v>
      </c>
      <c r="H323" s="689" t="s">
        <v>1366</v>
      </c>
    </row>
    <row r="324" spans="1:8">
      <c r="A324" s="681"/>
      <c r="B324" s="681"/>
      <c r="D324" s="681" t="s">
        <v>1667</v>
      </c>
      <c r="E324" s="679" t="s">
        <v>1005</v>
      </c>
      <c r="F324" s="688">
        <v>0</v>
      </c>
      <c r="H324" s="689" t="s">
        <v>1366</v>
      </c>
    </row>
    <row r="325" spans="1:8">
      <c r="A325" s="681"/>
      <c r="B325" s="681"/>
      <c r="D325" s="681" t="s">
        <v>1668</v>
      </c>
      <c r="E325" s="679" t="s">
        <v>1005</v>
      </c>
      <c r="F325" s="688">
        <v>0</v>
      </c>
      <c r="H325" s="689" t="s">
        <v>1366</v>
      </c>
    </row>
    <row r="326" spans="1:8">
      <c r="A326" s="681"/>
      <c r="B326" s="681"/>
      <c r="D326" s="681" t="s">
        <v>1669</v>
      </c>
      <c r="E326" s="679" t="s">
        <v>1005</v>
      </c>
      <c r="F326" s="688">
        <v>0</v>
      </c>
      <c r="H326" s="689" t="s">
        <v>1366</v>
      </c>
    </row>
    <row r="327" spans="1:8">
      <c r="A327" s="681"/>
      <c r="B327" s="681"/>
      <c r="D327" s="681" t="s">
        <v>1670</v>
      </c>
      <c r="E327" s="679" t="s">
        <v>1005</v>
      </c>
      <c r="F327" s="688">
        <v>315577.46000000002</v>
      </c>
    </row>
    <row r="328" spans="1:8">
      <c r="A328" s="681"/>
      <c r="B328" s="681"/>
      <c r="D328" s="681" t="s">
        <v>1671</v>
      </c>
      <c r="E328" s="679" t="s">
        <v>1005</v>
      </c>
      <c r="F328" s="688">
        <v>41356.14</v>
      </c>
    </row>
    <row r="329" spans="1:8">
      <c r="A329" s="681"/>
      <c r="B329" s="681"/>
      <c r="D329" s="681" t="s">
        <v>1672</v>
      </c>
      <c r="E329" s="679" t="s">
        <v>1005</v>
      </c>
      <c r="F329" s="688">
        <v>188669.57</v>
      </c>
    </row>
    <row r="330" spans="1:8">
      <c r="A330" s="681"/>
      <c r="B330" s="681"/>
      <c r="D330" s="681" t="s">
        <v>1673</v>
      </c>
      <c r="E330" s="679" t="s">
        <v>1005</v>
      </c>
      <c r="F330" s="688">
        <v>103903.94999999998</v>
      </c>
    </row>
    <row r="331" spans="1:8">
      <c r="A331" s="681"/>
      <c r="B331" s="681"/>
      <c r="D331" s="681" t="s">
        <v>1674</v>
      </c>
      <c r="E331" s="679" t="s">
        <v>1005</v>
      </c>
      <c r="F331" s="688">
        <v>1286.78</v>
      </c>
    </row>
    <row r="332" spans="1:8">
      <c r="A332" s="681"/>
      <c r="B332" s="681"/>
      <c r="D332" s="681" t="s">
        <v>1675</v>
      </c>
      <c r="E332" s="679" t="s">
        <v>1005</v>
      </c>
      <c r="F332" s="688">
        <v>1512.03</v>
      </c>
    </row>
    <row r="333" spans="1:8">
      <c r="A333" s="681"/>
      <c r="B333" s="681"/>
      <c r="D333" s="681" t="s">
        <v>1676</v>
      </c>
      <c r="E333" s="679" t="s">
        <v>1005</v>
      </c>
      <c r="F333" s="688">
        <v>2579.91</v>
      </c>
    </row>
    <row r="334" spans="1:8">
      <c r="A334" s="681" t="s">
        <v>1677</v>
      </c>
      <c r="B334" s="681" t="s">
        <v>1678</v>
      </c>
      <c r="C334" s="679" t="s">
        <v>1679</v>
      </c>
      <c r="D334" s="681" t="s">
        <v>1679</v>
      </c>
      <c r="E334" s="679" t="s">
        <v>1680</v>
      </c>
      <c r="F334" s="688">
        <v>-516649.58</v>
      </c>
      <c r="G334" s="689" t="s">
        <v>144</v>
      </c>
      <c r="H334" s="689" t="s">
        <v>144</v>
      </c>
    </row>
    <row r="335" spans="1:8">
      <c r="A335" s="681"/>
      <c r="B335" s="681"/>
      <c r="C335" s="679" t="s">
        <v>1681</v>
      </c>
      <c r="D335" s="681" t="s">
        <v>1682</v>
      </c>
      <c r="E335" s="679" t="s">
        <v>1363</v>
      </c>
      <c r="F335" s="688">
        <v>11646740.779999999</v>
      </c>
      <c r="G335" s="689" t="s">
        <v>144</v>
      </c>
      <c r="H335" s="689" t="s">
        <v>144</v>
      </c>
    </row>
    <row r="336" spans="1:8">
      <c r="A336" s="681"/>
      <c r="B336" s="681"/>
      <c r="D336" s="681"/>
      <c r="E336" s="679" t="s">
        <v>1683</v>
      </c>
      <c r="F336" s="688">
        <v>14783685.690000001</v>
      </c>
      <c r="G336" s="689" t="s">
        <v>144</v>
      </c>
      <c r="H336" s="689" t="s">
        <v>144</v>
      </c>
    </row>
    <row r="337" spans="1:8">
      <c r="A337" s="681"/>
      <c r="B337" s="681"/>
      <c r="D337" s="681" t="s">
        <v>1684</v>
      </c>
      <c r="E337" s="679" t="s">
        <v>1363</v>
      </c>
      <c r="F337" s="688">
        <v>-11673964.66</v>
      </c>
      <c r="G337" s="689" t="s">
        <v>144</v>
      </c>
      <c r="H337" s="689" t="s">
        <v>144</v>
      </c>
    </row>
    <row r="338" spans="1:8">
      <c r="A338" s="681" t="s">
        <v>1685</v>
      </c>
      <c r="B338" s="681" t="s">
        <v>1686</v>
      </c>
      <c r="C338" s="679" t="s">
        <v>1090</v>
      </c>
      <c r="D338" s="681" t="s">
        <v>1090</v>
      </c>
      <c r="E338" s="679" t="s">
        <v>1092</v>
      </c>
      <c r="F338" s="688">
        <v>163110.81</v>
      </c>
      <c r="G338" s="689" t="s">
        <v>1687</v>
      </c>
      <c r="H338" s="689" t="s">
        <v>1688</v>
      </c>
    </row>
    <row r="339" spans="1:8">
      <c r="A339" s="681"/>
      <c r="B339" s="681"/>
      <c r="C339" s="679" t="s">
        <v>1093</v>
      </c>
      <c r="D339" s="681" t="s">
        <v>1093</v>
      </c>
      <c r="E339" s="679" t="s">
        <v>1095</v>
      </c>
      <c r="F339" s="688">
        <v>-517760.06</v>
      </c>
      <c r="G339" s="689" t="s">
        <v>1687</v>
      </c>
      <c r="H339" s="689" t="s">
        <v>1688</v>
      </c>
    </row>
    <row r="340" spans="1:8">
      <c r="A340" s="681"/>
      <c r="B340" s="681"/>
      <c r="C340" s="679" t="s">
        <v>1096</v>
      </c>
      <c r="D340" s="681" t="s">
        <v>1096</v>
      </c>
      <c r="E340" s="679" t="s">
        <v>1095</v>
      </c>
      <c r="F340" s="688">
        <v>-34721.550000000003</v>
      </c>
      <c r="G340" s="689" t="s">
        <v>1687</v>
      </c>
      <c r="H340" s="689" t="s">
        <v>1688</v>
      </c>
    </row>
    <row r="341" spans="1:8">
      <c r="A341" s="681"/>
      <c r="B341" s="681"/>
      <c r="C341" s="679" t="s">
        <v>1098</v>
      </c>
      <c r="D341" s="681" t="s">
        <v>1098</v>
      </c>
      <c r="E341" s="679" t="s">
        <v>1095</v>
      </c>
      <c r="F341" s="688">
        <v>-306403</v>
      </c>
      <c r="G341" s="689" t="s">
        <v>1687</v>
      </c>
      <c r="H341" s="689" t="s">
        <v>1688</v>
      </c>
    </row>
    <row r="342" spans="1:8">
      <c r="A342" s="681"/>
      <c r="B342" s="681"/>
      <c r="C342" s="679" t="s">
        <v>1689</v>
      </c>
      <c r="D342" s="681" t="s">
        <v>1690</v>
      </c>
      <c r="E342" s="679" t="s">
        <v>1691</v>
      </c>
      <c r="F342" s="688">
        <v>17500000</v>
      </c>
      <c r="H342" s="689" t="s">
        <v>1688</v>
      </c>
    </row>
    <row r="343" spans="1:8">
      <c r="A343" s="681"/>
      <c r="B343" s="681"/>
      <c r="D343" s="681"/>
      <c r="E343" s="679" t="s">
        <v>1692</v>
      </c>
      <c r="F343" s="688">
        <v>-17499584.16</v>
      </c>
      <c r="H343" s="689" t="s">
        <v>1688</v>
      </c>
    </row>
    <row r="344" spans="1:8">
      <c r="A344" s="681"/>
      <c r="B344" s="681"/>
      <c r="C344" s="679" t="s">
        <v>999</v>
      </c>
      <c r="D344" s="681" t="s">
        <v>1693</v>
      </c>
      <c r="E344" s="679" t="s">
        <v>1694</v>
      </c>
      <c r="F344" s="688">
        <v>-163067.25</v>
      </c>
      <c r="H344" s="689" t="s">
        <v>1688</v>
      </c>
    </row>
    <row r="345" spans="1:8">
      <c r="A345" s="681"/>
      <c r="B345" s="681"/>
      <c r="D345" s="681"/>
      <c r="E345" s="679" t="s">
        <v>1695</v>
      </c>
      <c r="F345" s="688">
        <v>-60213.58</v>
      </c>
      <c r="H345" s="689" t="s">
        <v>1688</v>
      </c>
    </row>
    <row r="346" spans="1:8">
      <c r="A346" s="681"/>
      <c r="B346" s="681"/>
      <c r="D346" s="681" t="s">
        <v>1696</v>
      </c>
      <c r="E346" s="679" t="s">
        <v>1694</v>
      </c>
      <c r="F346" s="688">
        <v>-5272507.57</v>
      </c>
      <c r="H346" s="689" t="s">
        <v>1688</v>
      </c>
    </row>
    <row r="347" spans="1:8">
      <c r="A347" s="681"/>
      <c r="B347" s="681"/>
      <c r="D347" s="681"/>
      <c r="E347" s="679" t="s">
        <v>1695</v>
      </c>
      <c r="F347" s="688">
        <v>-1946905.74</v>
      </c>
      <c r="H347" s="689" t="s">
        <v>1688</v>
      </c>
    </row>
    <row r="348" spans="1:8">
      <c r="A348" s="681"/>
      <c r="B348" s="681"/>
      <c r="D348" s="681" t="s">
        <v>1697</v>
      </c>
      <c r="E348" s="679" t="s">
        <v>1694</v>
      </c>
      <c r="F348" s="688">
        <v>27693.64</v>
      </c>
      <c r="H348" s="689" t="s">
        <v>1688</v>
      </c>
    </row>
    <row r="349" spans="1:8">
      <c r="A349" s="681"/>
      <c r="B349" s="681"/>
      <c r="C349" s="679" t="s">
        <v>1698</v>
      </c>
      <c r="D349" s="681" t="s">
        <v>1699</v>
      </c>
      <c r="E349" s="679" t="s">
        <v>1700</v>
      </c>
      <c r="F349" s="688">
        <v>2037038.2000000009</v>
      </c>
      <c r="G349" s="689" t="s">
        <v>1701</v>
      </c>
      <c r="H349" s="689" t="s">
        <v>1688</v>
      </c>
    </row>
    <row r="350" spans="1:8">
      <c r="A350" s="681"/>
      <c r="B350" s="681"/>
      <c r="D350" s="681" t="s">
        <v>1702</v>
      </c>
      <c r="E350" s="679" t="s">
        <v>1700</v>
      </c>
      <c r="F350" s="688">
        <v>63001.189999999973</v>
      </c>
      <c r="H350" s="689" t="s">
        <v>1688</v>
      </c>
    </row>
    <row r="351" spans="1:8">
      <c r="A351" s="681"/>
      <c r="B351" s="681"/>
      <c r="C351" s="679" t="s">
        <v>1144</v>
      </c>
      <c r="D351" s="681" t="s">
        <v>1144</v>
      </c>
      <c r="E351" s="679" t="s">
        <v>1146</v>
      </c>
      <c r="F351" s="688">
        <v>504761.5</v>
      </c>
      <c r="G351" s="689" t="s">
        <v>1687</v>
      </c>
      <c r="H351" s="689" t="s">
        <v>1688</v>
      </c>
    </row>
    <row r="352" spans="1:8">
      <c r="A352" s="681" t="s">
        <v>1703</v>
      </c>
      <c r="B352" s="681" t="s">
        <v>1704</v>
      </c>
      <c r="C352" s="679" t="s">
        <v>1705</v>
      </c>
      <c r="D352" s="681" t="s">
        <v>1706</v>
      </c>
      <c r="E352" s="679" t="s">
        <v>1707</v>
      </c>
      <c r="F352" s="688">
        <v>-1492834.71</v>
      </c>
      <c r="G352" s="689" t="s">
        <v>1708</v>
      </c>
      <c r="H352" s="689" t="s">
        <v>1704</v>
      </c>
    </row>
    <row r="353" spans="1:8">
      <c r="A353" s="681"/>
      <c r="B353" s="681"/>
      <c r="D353" s="681" t="s">
        <v>1709</v>
      </c>
      <c r="E353" s="679" t="s">
        <v>1707</v>
      </c>
      <c r="F353" s="688">
        <v>-25431.81</v>
      </c>
      <c r="G353" s="689" t="s">
        <v>1708</v>
      </c>
      <c r="H353" s="689" t="s">
        <v>1704</v>
      </c>
    </row>
    <row r="354" spans="1:8">
      <c r="A354" s="681"/>
      <c r="B354" s="681"/>
      <c r="D354" s="681" t="s">
        <v>1710</v>
      </c>
      <c r="E354" s="679" t="s">
        <v>1707</v>
      </c>
      <c r="F354" s="688">
        <v>-2305164.9500000002</v>
      </c>
      <c r="G354" s="689" t="s">
        <v>1708</v>
      </c>
      <c r="H354" s="689" t="s">
        <v>1704</v>
      </c>
    </row>
    <row r="355" spans="1:8">
      <c r="A355" s="681"/>
      <c r="B355" s="681"/>
      <c r="D355" s="681" t="s">
        <v>1711</v>
      </c>
      <c r="E355" s="679" t="s">
        <v>1707</v>
      </c>
      <c r="F355" s="688">
        <v>-46170.15</v>
      </c>
      <c r="H355" s="689" t="s">
        <v>1704</v>
      </c>
    </row>
    <row r="356" spans="1:8">
      <c r="A356" s="681"/>
      <c r="B356" s="681"/>
      <c r="D356" s="681" t="s">
        <v>1712</v>
      </c>
      <c r="E356" s="679" t="s">
        <v>1707</v>
      </c>
      <c r="F356" s="688">
        <v>-786.55</v>
      </c>
      <c r="H356" s="689" t="s">
        <v>1704</v>
      </c>
    </row>
    <row r="357" spans="1:8">
      <c r="A357" s="681"/>
      <c r="B357" s="681"/>
      <c r="D357" s="681" t="s">
        <v>1713</v>
      </c>
      <c r="E357" s="679" t="s">
        <v>1707</v>
      </c>
      <c r="F357" s="688">
        <v>-71293.759999999995</v>
      </c>
      <c r="H357" s="689" t="s">
        <v>1704</v>
      </c>
    </row>
    <row r="358" spans="1:8">
      <c r="A358" s="681"/>
      <c r="B358" s="681"/>
      <c r="D358" s="681" t="s">
        <v>1714</v>
      </c>
      <c r="E358" s="679" t="s">
        <v>1707</v>
      </c>
      <c r="F358" s="688">
        <v>78167.86</v>
      </c>
      <c r="H358" s="689" t="s">
        <v>1704</v>
      </c>
    </row>
    <row r="359" spans="1:8">
      <c r="A359" s="681"/>
      <c r="B359" s="681"/>
      <c r="D359" s="681" t="s">
        <v>1715</v>
      </c>
      <c r="E359" s="679" t="s">
        <v>1707</v>
      </c>
      <c r="F359" s="688">
        <v>-2243.83</v>
      </c>
      <c r="H359" s="689" t="s">
        <v>1704</v>
      </c>
    </row>
    <row r="360" spans="1:8">
      <c r="A360" s="681"/>
      <c r="B360" s="681"/>
      <c r="D360" s="681" t="s">
        <v>1716</v>
      </c>
      <c r="E360" s="679" t="s">
        <v>1707</v>
      </c>
      <c r="F360" s="688">
        <v>-3208.77</v>
      </c>
      <c r="H360" s="689" t="s">
        <v>1704</v>
      </c>
    </row>
    <row r="361" spans="1:8">
      <c r="A361" s="681"/>
      <c r="B361" s="681"/>
      <c r="D361" s="681" t="s">
        <v>1717</v>
      </c>
      <c r="E361" s="679" t="s">
        <v>1707</v>
      </c>
      <c r="F361" s="688">
        <v>-35048.910000000003</v>
      </c>
      <c r="H361" s="689" t="s">
        <v>1704</v>
      </c>
    </row>
    <row r="362" spans="1:8">
      <c r="A362" s="681"/>
      <c r="B362" s="681"/>
      <c r="D362" s="681" t="s">
        <v>1718</v>
      </c>
      <c r="E362" s="679" t="s">
        <v>1707</v>
      </c>
      <c r="F362" s="688">
        <v>-37817.79</v>
      </c>
      <c r="H362" s="689" t="s">
        <v>1704</v>
      </c>
    </row>
    <row r="363" spans="1:8">
      <c r="A363" s="681"/>
      <c r="B363" s="681"/>
      <c r="D363" s="681" t="s">
        <v>1719</v>
      </c>
      <c r="E363" s="679" t="s">
        <v>1707</v>
      </c>
      <c r="F363" s="688">
        <v>342109.04000000004</v>
      </c>
      <c r="H363" s="689" t="s">
        <v>1704</v>
      </c>
    </row>
    <row r="364" spans="1:8">
      <c r="A364" s="681"/>
      <c r="B364" s="681"/>
      <c r="D364" s="681" t="s">
        <v>1720</v>
      </c>
      <c r="E364" s="679" t="s">
        <v>1707</v>
      </c>
      <c r="F364" s="688">
        <v>2527427.3199999998</v>
      </c>
      <c r="G364" s="689" t="s">
        <v>1708</v>
      </c>
      <c r="H364" s="689" t="s">
        <v>1704</v>
      </c>
    </row>
    <row r="365" spans="1:8">
      <c r="A365" s="681"/>
      <c r="B365" s="681"/>
      <c r="D365" s="681" t="s">
        <v>1721</v>
      </c>
      <c r="E365" s="679" t="s">
        <v>1707</v>
      </c>
      <c r="F365" s="688">
        <v>-72550.44</v>
      </c>
      <c r="G365" s="689" t="s">
        <v>1708</v>
      </c>
      <c r="H365" s="689" t="s">
        <v>1704</v>
      </c>
    </row>
    <row r="366" spans="1:8">
      <c r="A366" s="681"/>
      <c r="B366" s="681"/>
      <c r="D366" s="681" t="s">
        <v>1722</v>
      </c>
      <c r="E366" s="679" t="s">
        <v>1707</v>
      </c>
      <c r="F366" s="688">
        <v>-103750.37</v>
      </c>
      <c r="G366" s="689" t="s">
        <v>1708</v>
      </c>
      <c r="H366" s="689" t="s">
        <v>1704</v>
      </c>
    </row>
    <row r="367" spans="1:8">
      <c r="A367" s="681"/>
      <c r="B367" s="681"/>
      <c r="D367" s="681" t="s">
        <v>1723</v>
      </c>
      <c r="E367" s="679" t="s">
        <v>1707</v>
      </c>
      <c r="F367" s="688">
        <v>-1133248.21</v>
      </c>
      <c r="G367" s="689" t="s">
        <v>1708</v>
      </c>
      <c r="H367" s="689" t="s">
        <v>1704</v>
      </c>
    </row>
    <row r="368" spans="1:8">
      <c r="A368" s="681"/>
      <c r="B368" s="681"/>
      <c r="D368" s="681" t="s">
        <v>1724</v>
      </c>
      <c r="E368" s="679" t="s">
        <v>1707</v>
      </c>
      <c r="F368" s="688">
        <v>-1222775.31</v>
      </c>
      <c r="G368" s="689" t="s">
        <v>1708</v>
      </c>
      <c r="H368" s="689" t="s">
        <v>1704</v>
      </c>
    </row>
    <row r="369" spans="1:8">
      <c r="A369" s="681"/>
      <c r="B369" s="681"/>
      <c r="D369" s="681" t="s">
        <v>1725</v>
      </c>
      <c r="E369" s="679" t="s">
        <v>1707</v>
      </c>
      <c r="F369" s="688">
        <v>11061525.59</v>
      </c>
      <c r="G369" s="689" t="s">
        <v>1708</v>
      </c>
      <c r="H369" s="689" t="s">
        <v>1704</v>
      </c>
    </row>
    <row r="370" spans="1:8">
      <c r="A370" s="681" t="s">
        <v>1726</v>
      </c>
      <c r="B370" s="681" t="s">
        <v>1727</v>
      </c>
      <c r="C370" s="679" t="s">
        <v>999</v>
      </c>
      <c r="D370" s="681" t="s">
        <v>1728</v>
      </c>
      <c r="E370" s="679" t="s">
        <v>1694</v>
      </c>
      <c r="F370" s="688">
        <v>249189</v>
      </c>
      <c r="H370" s="689" t="s">
        <v>1688</v>
      </c>
    </row>
    <row r="371" spans="1:8">
      <c r="A371" s="681"/>
      <c r="B371" s="681"/>
      <c r="D371" s="681"/>
      <c r="E371" s="679" t="s">
        <v>1695</v>
      </c>
      <c r="F371" s="688">
        <v>146433.44</v>
      </c>
      <c r="H371" s="689" t="s">
        <v>1688</v>
      </c>
    </row>
    <row r="372" spans="1:8">
      <c r="A372" s="681"/>
      <c r="B372" s="681"/>
      <c r="D372" s="681" t="s">
        <v>1729</v>
      </c>
      <c r="E372" s="679" t="s">
        <v>1694</v>
      </c>
      <c r="F372" s="688">
        <v>356.09</v>
      </c>
      <c r="H372" s="689" t="s">
        <v>1688</v>
      </c>
    </row>
    <row r="373" spans="1:8">
      <c r="A373" s="681"/>
      <c r="B373" s="681"/>
      <c r="D373" s="681"/>
      <c r="E373" s="679" t="s">
        <v>1695</v>
      </c>
      <c r="F373" s="688">
        <v>-886.41</v>
      </c>
      <c r="H373" s="689" t="s">
        <v>1688</v>
      </c>
    </row>
    <row r="374" spans="1:8">
      <c r="A374" s="681"/>
      <c r="B374" s="681"/>
      <c r="D374" s="681" t="s">
        <v>1730</v>
      </c>
      <c r="E374" s="679" t="s">
        <v>1694</v>
      </c>
      <c r="F374" s="688">
        <v>993040.23</v>
      </c>
      <c r="H374" s="689" t="s">
        <v>1688</v>
      </c>
    </row>
    <row r="375" spans="1:8">
      <c r="A375" s="681" t="s">
        <v>1731</v>
      </c>
      <c r="B375" s="681" t="s">
        <v>1732</v>
      </c>
      <c r="C375" s="679" t="s">
        <v>1006</v>
      </c>
      <c r="D375" s="681" t="s">
        <v>1733</v>
      </c>
      <c r="E375" s="679" t="s">
        <v>1734</v>
      </c>
      <c r="F375" s="688">
        <v>-3465.8</v>
      </c>
      <c r="H375" s="689" t="s">
        <v>1732</v>
      </c>
    </row>
    <row r="376" spans="1:8">
      <c r="A376" s="681"/>
      <c r="B376" s="681"/>
      <c r="D376" s="681" t="s">
        <v>1735</v>
      </c>
      <c r="E376" s="679" t="s">
        <v>1734</v>
      </c>
      <c r="F376" s="688">
        <v>-112060.95</v>
      </c>
      <c r="H376" s="689" t="s">
        <v>1732</v>
      </c>
    </row>
    <row r="377" spans="1:8">
      <c r="A377" s="681"/>
      <c r="B377" s="681"/>
      <c r="C377" s="679" t="s">
        <v>995</v>
      </c>
      <c r="D377" s="681" t="s">
        <v>1736</v>
      </c>
      <c r="E377" s="679" t="s">
        <v>1105</v>
      </c>
      <c r="F377" s="688">
        <v>175544</v>
      </c>
      <c r="H377" s="689" t="s">
        <v>1732</v>
      </c>
    </row>
    <row r="378" spans="1:8">
      <c r="A378" s="681"/>
      <c r="B378" s="681"/>
      <c r="D378" s="681" t="s">
        <v>1737</v>
      </c>
      <c r="E378" s="679" t="s">
        <v>1105</v>
      </c>
      <c r="F378" s="688">
        <v>-151809</v>
      </c>
      <c r="H378" s="689" t="s">
        <v>1732</v>
      </c>
    </row>
    <row r="379" spans="1:8">
      <c r="A379" s="681"/>
      <c r="B379" s="681"/>
      <c r="C379" s="679" t="s">
        <v>997</v>
      </c>
      <c r="D379" s="681" t="s">
        <v>1738</v>
      </c>
      <c r="E379" s="679" t="s">
        <v>1739</v>
      </c>
      <c r="F379" s="688">
        <v>-1865588.1500000001</v>
      </c>
      <c r="H379" s="689" t="s">
        <v>1732</v>
      </c>
    </row>
    <row r="380" spans="1:8">
      <c r="A380" s="681"/>
      <c r="B380" s="681"/>
      <c r="D380" s="681"/>
      <c r="E380" s="679" t="s">
        <v>1740</v>
      </c>
      <c r="F380" s="688">
        <v>817774.55999999994</v>
      </c>
      <c r="H380" s="689" t="s">
        <v>1732</v>
      </c>
    </row>
    <row r="381" spans="1:8">
      <c r="A381" s="681"/>
      <c r="B381" s="681"/>
      <c r="D381" s="681" t="s">
        <v>1741</v>
      </c>
      <c r="E381" s="679" t="s">
        <v>1739</v>
      </c>
      <c r="F381" s="688">
        <v>-57698.600000000006</v>
      </c>
      <c r="H381" s="689" t="s">
        <v>1732</v>
      </c>
    </row>
    <row r="382" spans="1:8">
      <c r="A382" s="681"/>
      <c r="B382" s="681"/>
      <c r="D382" s="681"/>
      <c r="E382" s="679" t="s">
        <v>1740</v>
      </c>
      <c r="F382" s="688">
        <v>25292</v>
      </c>
      <c r="H382" s="689" t="s">
        <v>1732</v>
      </c>
    </row>
    <row r="383" spans="1:8">
      <c r="A383" s="681"/>
      <c r="B383" s="681"/>
      <c r="C383" s="679" t="s">
        <v>998</v>
      </c>
      <c r="D383" s="681" t="s">
        <v>1742</v>
      </c>
      <c r="E383" s="679" t="s">
        <v>1743</v>
      </c>
      <c r="F383" s="688">
        <v>-44319.08</v>
      </c>
      <c r="H383" s="689" t="s">
        <v>1732</v>
      </c>
    </row>
    <row r="384" spans="1:8">
      <c r="A384" s="681"/>
      <c r="B384" s="681"/>
      <c r="D384" s="681" t="s">
        <v>1744</v>
      </c>
      <c r="E384" s="679" t="s">
        <v>1743</v>
      </c>
      <c r="F384" s="688">
        <v>-1432983.5100000002</v>
      </c>
      <c r="H384" s="689" t="s">
        <v>1732</v>
      </c>
    </row>
    <row r="385" spans="1:16">
      <c r="A385" s="681"/>
      <c r="B385" s="681"/>
      <c r="C385" s="679" t="s">
        <v>1745</v>
      </c>
      <c r="D385" s="681" t="s">
        <v>1746</v>
      </c>
      <c r="E385" s="679" t="s">
        <v>1747</v>
      </c>
      <c r="F385" s="688">
        <v>168824</v>
      </c>
      <c r="H385" s="689" t="s">
        <v>1732</v>
      </c>
    </row>
    <row r="386" spans="1:16">
      <c r="A386" s="681"/>
      <c r="B386" s="681"/>
      <c r="D386" s="681" t="s">
        <v>1748</v>
      </c>
      <c r="E386" s="679" t="s">
        <v>1747</v>
      </c>
      <c r="F386" s="688">
        <v>5221.3599999999997</v>
      </c>
      <c r="H386" s="689" t="s">
        <v>1732</v>
      </c>
    </row>
    <row r="387" spans="1:16">
      <c r="A387" s="681"/>
      <c r="B387" s="681"/>
      <c r="C387" s="679" t="s">
        <v>1000</v>
      </c>
      <c r="D387" s="681" t="s">
        <v>1749</v>
      </c>
      <c r="E387" s="679" t="s">
        <v>1143</v>
      </c>
      <c r="F387" s="688">
        <v>-1335740.5</v>
      </c>
      <c r="H387" s="689" t="s">
        <v>1732</v>
      </c>
    </row>
    <row r="388" spans="1:16">
      <c r="A388" s="683" t="s">
        <v>986</v>
      </c>
      <c r="B388" s="683"/>
      <c r="C388" s="683"/>
      <c r="D388" s="683"/>
      <c r="E388" s="683"/>
      <c r="F388" s="690">
        <v>-1783258.109999994</v>
      </c>
    </row>
    <row r="390" spans="1:16">
      <c r="G390" s="691">
        <f>SUM(F338:F341)+F351</f>
        <v>-191012.30000000005</v>
      </c>
      <c r="H390" s="689" t="s">
        <v>1750</v>
      </c>
      <c r="I390" s="692" t="s">
        <v>136</v>
      </c>
    </row>
    <row r="391" spans="1:16">
      <c r="G391" s="691">
        <f>SUM(F23:F25)</f>
        <v>649585.39</v>
      </c>
      <c r="H391" s="689" t="s">
        <v>1751</v>
      </c>
      <c r="I391" s="692" t="s">
        <v>136</v>
      </c>
    </row>
    <row r="392" spans="1:16">
      <c r="G392" s="691">
        <f>SUM(F334:F337)</f>
        <v>14239812.23</v>
      </c>
      <c r="H392" s="689" t="s">
        <v>1752</v>
      </c>
      <c r="I392" s="692" t="s">
        <v>136</v>
      </c>
    </row>
    <row r="393" spans="1:16">
      <c r="E393" s="699" t="s">
        <v>987</v>
      </c>
      <c r="F393" s="700" t="e">
        <f>+#REF!</f>
        <v>#REF!</v>
      </c>
      <c r="G393" s="691">
        <f>SUM(F4:F22)</f>
        <v>-17006672.68</v>
      </c>
      <c r="H393" s="689" t="s">
        <v>1753</v>
      </c>
      <c r="I393" s="692" t="s">
        <v>136</v>
      </c>
    </row>
    <row r="394" spans="1:16">
      <c r="E394" s="699" t="s">
        <v>190</v>
      </c>
      <c r="F394" s="701" t="e">
        <f>+F388-F393</f>
        <v>#REF!</v>
      </c>
    </row>
    <row r="395" spans="1:16">
      <c r="E395" s="689" t="s">
        <v>1754</v>
      </c>
      <c r="F395" s="702">
        <v>77430.2</v>
      </c>
      <c r="G395" s="3">
        <v>-28748</v>
      </c>
      <c r="H395" s="682">
        <f>+F395-G395</f>
        <v>106178.2</v>
      </c>
    </row>
    <row r="396" spans="1:16">
      <c r="F396" s="691" t="e">
        <f>+F394+F395</f>
        <v>#REF!</v>
      </c>
    </row>
    <row r="398" spans="1:16" ht="60">
      <c r="A398" s="703" t="s">
        <v>1209</v>
      </c>
      <c r="B398" s="703" t="s">
        <v>1210</v>
      </c>
      <c r="C398" s="703" t="s">
        <v>1211</v>
      </c>
      <c r="D398" s="703" t="s">
        <v>1212</v>
      </c>
      <c r="E398" s="703" t="s">
        <v>1213</v>
      </c>
      <c r="F398" s="703" t="s">
        <v>1214</v>
      </c>
      <c r="G398" s="703" t="s">
        <v>1215</v>
      </c>
      <c r="H398" s="703" t="s">
        <v>978</v>
      </c>
      <c r="I398" s="703" t="s">
        <v>1216</v>
      </c>
      <c r="J398" s="703" t="s">
        <v>1217</v>
      </c>
      <c r="K398" s="703" t="s">
        <v>1218</v>
      </c>
      <c r="L398" s="703" t="s">
        <v>1219</v>
      </c>
      <c r="M398" s="703" t="s">
        <v>1220</v>
      </c>
      <c r="N398" s="703" t="s">
        <v>1221</v>
      </c>
      <c r="O398" s="703"/>
      <c r="P398" s="703" t="s">
        <v>1755</v>
      </c>
    </row>
    <row r="399" spans="1:16">
      <c r="A399" s="693" t="s">
        <v>1756</v>
      </c>
      <c r="B399" s="693" t="s">
        <v>1223</v>
      </c>
      <c r="C399" s="693" t="s">
        <v>1757</v>
      </c>
      <c r="D399" s="693" t="s">
        <v>1758</v>
      </c>
      <c r="E399" s="693" t="s">
        <v>1759</v>
      </c>
      <c r="F399" s="693" t="s">
        <v>1760</v>
      </c>
      <c r="G399" s="693" t="s">
        <v>1761</v>
      </c>
      <c r="H399" s="693" t="s">
        <v>1762</v>
      </c>
      <c r="I399" s="693"/>
      <c r="J399" s="694"/>
      <c r="K399" s="694"/>
      <c r="L399" s="694" t="s">
        <v>1763</v>
      </c>
      <c r="M399" s="694" t="s">
        <v>1230</v>
      </c>
      <c r="N399" s="695">
        <v>538981.47</v>
      </c>
      <c r="O399" s="698"/>
      <c r="P399" s="698"/>
    </row>
    <row r="400" spans="1:16">
      <c r="A400" s="223" t="s">
        <v>1756</v>
      </c>
      <c r="B400" s="223" t="s">
        <v>1223</v>
      </c>
      <c r="C400" s="223" t="s">
        <v>1764</v>
      </c>
      <c r="D400" s="223" t="s">
        <v>1765</v>
      </c>
      <c r="E400" s="223" t="s">
        <v>1759</v>
      </c>
      <c r="F400" s="223" t="s">
        <v>1760</v>
      </c>
      <c r="G400" s="223" t="s">
        <v>1766</v>
      </c>
      <c r="H400" s="223" t="s">
        <v>1229</v>
      </c>
      <c r="I400" s="223"/>
      <c r="J400" s="224"/>
      <c r="K400" s="224"/>
      <c r="L400" s="224" t="s">
        <v>1763</v>
      </c>
      <c r="M400" s="224" t="s">
        <v>1230</v>
      </c>
      <c r="N400" s="225">
        <v>1980386.51</v>
      </c>
      <c r="O400" s="698"/>
      <c r="P400" s="698"/>
    </row>
    <row r="401" spans="1:16">
      <c r="A401" s="693" t="s">
        <v>1756</v>
      </c>
      <c r="B401" s="693" t="s">
        <v>1223</v>
      </c>
      <c r="C401" s="693" t="s">
        <v>1767</v>
      </c>
      <c r="D401" s="693" t="s">
        <v>1768</v>
      </c>
      <c r="E401" s="693" t="s">
        <v>1759</v>
      </c>
      <c r="F401" s="693" t="s">
        <v>1760</v>
      </c>
      <c r="G401" s="693" t="s">
        <v>1769</v>
      </c>
      <c r="H401" s="693" t="s">
        <v>1229</v>
      </c>
      <c r="I401" s="693"/>
      <c r="J401" s="694"/>
      <c r="K401" s="694"/>
      <c r="L401" s="694" t="s">
        <v>1770</v>
      </c>
      <c r="M401" s="694" t="s">
        <v>1230</v>
      </c>
      <c r="N401" s="695">
        <v>534361.25</v>
      </c>
      <c r="O401" s="698"/>
      <c r="P401" s="698"/>
    </row>
    <row r="402" spans="1:16">
      <c r="A402" s="223" t="s">
        <v>1756</v>
      </c>
      <c r="B402" s="223" t="s">
        <v>1223</v>
      </c>
      <c r="C402" s="223" t="s">
        <v>1771</v>
      </c>
      <c r="D402" s="223" t="s">
        <v>1772</v>
      </c>
      <c r="E402" s="223" t="s">
        <v>1759</v>
      </c>
      <c r="F402" s="223" t="s">
        <v>1760</v>
      </c>
      <c r="G402" s="223" t="s">
        <v>1766</v>
      </c>
      <c r="H402" s="223" t="s">
        <v>1229</v>
      </c>
      <c r="I402" s="223"/>
      <c r="J402" s="224"/>
      <c r="K402" s="224"/>
      <c r="L402" s="224" t="s">
        <v>1763</v>
      </c>
      <c r="M402" s="224" t="s">
        <v>1230</v>
      </c>
      <c r="N402" s="696">
        <v>-1974046.12</v>
      </c>
      <c r="O402" s="698"/>
      <c r="P402" s="698"/>
    </row>
    <row r="403" spans="1:16">
      <c r="A403" s="693" t="s">
        <v>1756</v>
      </c>
      <c r="B403" s="693" t="s">
        <v>1223</v>
      </c>
      <c r="C403" s="693" t="s">
        <v>1773</v>
      </c>
      <c r="D403" s="693" t="s">
        <v>1774</v>
      </c>
      <c r="E403" s="693" t="s">
        <v>1759</v>
      </c>
      <c r="F403" s="693" t="s">
        <v>1760</v>
      </c>
      <c r="G403" s="693" t="s">
        <v>1761</v>
      </c>
      <c r="H403" s="693" t="s">
        <v>1762</v>
      </c>
      <c r="I403" s="693"/>
      <c r="J403" s="694"/>
      <c r="K403" s="694"/>
      <c r="L403" s="694" t="s">
        <v>1763</v>
      </c>
      <c r="M403" s="694" t="s">
        <v>1230</v>
      </c>
      <c r="N403" s="697">
        <v>-498471.36</v>
      </c>
      <c r="O403" s="698"/>
      <c r="P403" s="698"/>
    </row>
    <row r="404" spans="1:16">
      <c r="A404" s="223" t="s">
        <v>1756</v>
      </c>
      <c r="B404" s="223" t="s">
        <v>1223</v>
      </c>
      <c r="C404" s="223" t="s">
        <v>1775</v>
      </c>
      <c r="D404" s="223" t="s">
        <v>1776</v>
      </c>
      <c r="E404" s="223" t="s">
        <v>1759</v>
      </c>
      <c r="F404" s="223" t="s">
        <v>1760</v>
      </c>
      <c r="G404" s="223" t="s">
        <v>1777</v>
      </c>
      <c r="H404" s="223" t="s">
        <v>1229</v>
      </c>
      <c r="I404" s="223"/>
      <c r="J404" s="224"/>
      <c r="K404" s="224"/>
      <c r="L404" s="224" t="s">
        <v>1778</v>
      </c>
      <c r="M404" s="224" t="s">
        <v>1230</v>
      </c>
      <c r="N404" s="696">
        <v>-551248.71</v>
      </c>
      <c r="O404" s="698"/>
      <c r="P404" s="698"/>
    </row>
    <row r="405" spans="1:16">
      <c r="A405" s="693" t="s">
        <v>1756</v>
      </c>
      <c r="B405" s="693" t="s">
        <v>1223</v>
      </c>
      <c r="C405" s="693" t="s">
        <v>1779</v>
      </c>
      <c r="D405" s="693" t="s">
        <v>1780</v>
      </c>
      <c r="E405" s="693" t="s">
        <v>1759</v>
      </c>
      <c r="F405" s="693" t="s">
        <v>1760</v>
      </c>
      <c r="G405" s="693" t="s">
        <v>1766</v>
      </c>
      <c r="H405" s="693" t="s">
        <v>1229</v>
      </c>
      <c r="I405" s="693"/>
      <c r="J405" s="694"/>
      <c r="K405" s="694"/>
      <c r="L405" s="694" t="s">
        <v>1763</v>
      </c>
      <c r="M405" s="694" t="s">
        <v>1230</v>
      </c>
      <c r="N405" s="697">
        <v>-2179514.1</v>
      </c>
      <c r="O405" s="698"/>
      <c r="P405" s="698"/>
    </row>
    <row r="406" spans="1:16">
      <c r="A406" s="223" t="s">
        <v>1756</v>
      </c>
      <c r="B406" s="223" t="s">
        <v>1223</v>
      </c>
      <c r="C406" s="223" t="s">
        <v>1781</v>
      </c>
      <c r="D406" s="223" t="s">
        <v>1782</v>
      </c>
      <c r="E406" s="223" t="s">
        <v>1759</v>
      </c>
      <c r="F406" s="223" t="s">
        <v>1760</v>
      </c>
      <c r="G406" s="223" t="s">
        <v>1761</v>
      </c>
      <c r="H406" s="223" t="s">
        <v>1762</v>
      </c>
      <c r="I406" s="223"/>
      <c r="J406" s="224"/>
      <c r="K406" s="224"/>
      <c r="L406" s="224" t="s">
        <v>1763</v>
      </c>
      <c r="M406" s="224" t="s">
        <v>1230</v>
      </c>
      <c r="N406" s="225">
        <v>717450.22</v>
      </c>
      <c r="O406" s="698"/>
      <c r="P406" s="698"/>
    </row>
    <row r="407" spans="1:16" hidden="1">
      <c r="A407" s="704" t="s">
        <v>1756</v>
      </c>
      <c r="B407" s="704" t="s">
        <v>1223</v>
      </c>
      <c r="C407" s="704" t="s">
        <v>1783</v>
      </c>
      <c r="D407" s="704" t="s">
        <v>1784</v>
      </c>
      <c r="E407" s="704" t="s">
        <v>1759</v>
      </c>
      <c r="F407" s="704" t="s">
        <v>1760</v>
      </c>
      <c r="G407" s="704" t="s">
        <v>1785</v>
      </c>
      <c r="H407" s="704" t="s">
        <v>1229</v>
      </c>
      <c r="I407" s="704"/>
      <c r="J407" s="705"/>
      <c r="K407" s="705"/>
      <c r="L407" s="705" t="s">
        <v>1786</v>
      </c>
      <c r="M407" s="705" t="s">
        <v>1230</v>
      </c>
      <c r="N407" s="706">
        <v>4408.37</v>
      </c>
      <c r="O407" s="707"/>
      <c r="P407" s="689" t="s">
        <v>1755</v>
      </c>
    </row>
    <row r="408" spans="1:16">
      <c r="A408" s="223" t="s">
        <v>1756</v>
      </c>
      <c r="B408" s="223" t="s">
        <v>1223</v>
      </c>
      <c r="C408" s="223" t="s">
        <v>1787</v>
      </c>
      <c r="D408" s="223" t="s">
        <v>1788</v>
      </c>
      <c r="E408" s="223" t="s">
        <v>1759</v>
      </c>
      <c r="F408" s="223" t="s">
        <v>1760</v>
      </c>
      <c r="G408" s="223" t="s">
        <v>1789</v>
      </c>
      <c r="H408" s="223" t="s">
        <v>1229</v>
      </c>
      <c r="I408" s="223"/>
      <c r="J408" s="224"/>
      <c r="K408" s="224"/>
      <c r="L408" s="224" t="s">
        <v>1763</v>
      </c>
      <c r="M408" s="224" t="s">
        <v>1230</v>
      </c>
      <c r="N408" s="225">
        <v>126180</v>
      </c>
      <c r="O408" s="698"/>
      <c r="P408" s="698"/>
    </row>
    <row r="409" spans="1:16">
      <c r="A409" s="693" t="s">
        <v>1756</v>
      </c>
      <c r="B409" s="693" t="s">
        <v>1223</v>
      </c>
      <c r="C409" s="693" t="s">
        <v>1790</v>
      </c>
      <c r="D409" s="693" t="s">
        <v>1791</v>
      </c>
      <c r="E409" s="693" t="s">
        <v>1759</v>
      </c>
      <c r="F409" s="693" t="s">
        <v>1760</v>
      </c>
      <c r="G409" s="693" t="s">
        <v>1766</v>
      </c>
      <c r="H409" s="693" t="s">
        <v>1229</v>
      </c>
      <c r="I409" s="693"/>
      <c r="J409" s="694"/>
      <c r="K409" s="694"/>
      <c r="L409" s="694" t="s">
        <v>1792</v>
      </c>
      <c r="M409" s="694" t="s">
        <v>1230</v>
      </c>
      <c r="N409" s="695">
        <v>1160130.05</v>
      </c>
      <c r="O409" s="698"/>
      <c r="P409" s="698"/>
    </row>
    <row r="410" spans="1:16" hidden="1">
      <c r="A410" s="708" t="s">
        <v>1756</v>
      </c>
      <c r="B410" s="708" t="s">
        <v>1223</v>
      </c>
      <c r="C410" s="708" t="s">
        <v>1793</v>
      </c>
      <c r="D410" s="708" t="s">
        <v>1794</v>
      </c>
      <c r="E410" s="708" t="s">
        <v>1759</v>
      </c>
      <c r="F410" s="708" t="s">
        <v>1760</v>
      </c>
      <c r="G410" s="708" t="s">
        <v>1795</v>
      </c>
      <c r="H410" s="708" t="s">
        <v>1229</v>
      </c>
      <c r="I410" s="708"/>
      <c r="J410" s="709"/>
      <c r="K410" s="709"/>
      <c r="L410" s="709" t="s">
        <v>1796</v>
      </c>
      <c r="M410" s="709" t="s">
        <v>1797</v>
      </c>
      <c r="N410" s="710">
        <v>-478.99</v>
      </c>
      <c r="O410" s="707"/>
      <c r="P410" s="689" t="s">
        <v>1755</v>
      </c>
    </row>
    <row r="411" spans="1:16" hidden="1">
      <c r="A411" s="704" t="s">
        <v>1756</v>
      </c>
      <c r="B411" s="704" t="s">
        <v>1223</v>
      </c>
      <c r="C411" s="704" t="s">
        <v>1798</v>
      </c>
      <c r="D411" s="704" t="s">
        <v>1799</v>
      </c>
      <c r="E411" s="704" t="s">
        <v>1759</v>
      </c>
      <c r="F411" s="704" t="s">
        <v>1760</v>
      </c>
      <c r="G411" s="704" t="s">
        <v>1800</v>
      </c>
      <c r="H411" s="704" t="s">
        <v>1229</v>
      </c>
      <c r="I411" s="704"/>
      <c r="J411" s="705"/>
      <c r="K411" s="705"/>
      <c r="L411" s="705" t="s">
        <v>1796</v>
      </c>
      <c r="M411" s="705" t="s">
        <v>1797</v>
      </c>
      <c r="N411" s="711">
        <v>-740.3</v>
      </c>
      <c r="O411" s="707"/>
      <c r="P411" s="689" t="s">
        <v>1755</v>
      </c>
    </row>
    <row r="412" spans="1:16" hidden="1">
      <c r="A412" s="708" t="s">
        <v>1756</v>
      </c>
      <c r="B412" s="708" t="s">
        <v>1223</v>
      </c>
      <c r="C412" s="708" t="s">
        <v>1801</v>
      </c>
      <c r="D412" s="708" t="s">
        <v>1802</v>
      </c>
      <c r="E412" s="708" t="s">
        <v>1759</v>
      </c>
      <c r="F412" s="708" t="s">
        <v>1760</v>
      </c>
      <c r="G412" s="708" t="s">
        <v>1803</v>
      </c>
      <c r="H412" s="708" t="s">
        <v>1229</v>
      </c>
      <c r="I412" s="708"/>
      <c r="J412" s="709"/>
      <c r="K412" s="709"/>
      <c r="L412" s="709" t="s">
        <v>1796</v>
      </c>
      <c r="M412" s="709" t="s">
        <v>1797</v>
      </c>
      <c r="N412" s="710">
        <v>-222.42</v>
      </c>
      <c r="O412" s="707"/>
      <c r="P412" s="689" t="s">
        <v>1755</v>
      </c>
    </row>
    <row r="413" spans="1:16" hidden="1">
      <c r="A413" s="704" t="s">
        <v>1756</v>
      </c>
      <c r="B413" s="704" t="s">
        <v>1223</v>
      </c>
      <c r="C413" s="704" t="s">
        <v>1804</v>
      </c>
      <c r="D413" s="704" t="s">
        <v>1805</v>
      </c>
      <c r="E413" s="704" t="s">
        <v>1759</v>
      </c>
      <c r="F413" s="704" t="s">
        <v>1760</v>
      </c>
      <c r="G413" s="704" t="s">
        <v>1806</v>
      </c>
      <c r="H413" s="704" t="s">
        <v>1229</v>
      </c>
      <c r="I413" s="704"/>
      <c r="J413" s="705"/>
      <c r="K413" s="705"/>
      <c r="L413" s="705" t="s">
        <v>1796</v>
      </c>
      <c r="M413" s="705" t="s">
        <v>1797</v>
      </c>
      <c r="N413" s="711">
        <v>-115.6</v>
      </c>
      <c r="O413" s="707"/>
      <c r="P413" s="689" t="s">
        <v>1755</v>
      </c>
    </row>
    <row r="414" spans="1:16" hidden="1">
      <c r="A414" s="708" t="s">
        <v>1756</v>
      </c>
      <c r="B414" s="708" t="s">
        <v>1223</v>
      </c>
      <c r="C414" s="708" t="s">
        <v>1807</v>
      </c>
      <c r="D414" s="708" t="s">
        <v>1808</v>
      </c>
      <c r="E414" s="708" t="s">
        <v>1759</v>
      </c>
      <c r="F414" s="708" t="s">
        <v>1760</v>
      </c>
      <c r="G414" s="708" t="s">
        <v>1809</v>
      </c>
      <c r="H414" s="708" t="s">
        <v>1229</v>
      </c>
      <c r="I414" s="708"/>
      <c r="J414" s="709"/>
      <c r="K414" s="709"/>
      <c r="L414" s="709" t="s">
        <v>1796</v>
      </c>
      <c r="M414" s="709" t="s">
        <v>1797</v>
      </c>
      <c r="N414" s="710">
        <v>-360.83</v>
      </c>
      <c r="O414" s="707"/>
      <c r="P414" s="689" t="s">
        <v>1755</v>
      </c>
    </row>
    <row r="415" spans="1:16" hidden="1">
      <c r="A415" s="704" t="s">
        <v>1756</v>
      </c>
      <c r="B415" s="704" t="s">
        <v>1223</v>
      </c>
      <c r="C415" s="704" t="s">
        <v>1810</v>
      </c>
      <c r="D415" s="704" t="s">
        <v>1811</v>
      </c>
      <c r="E415" s="704" t="s">
        <v>1759</v>
      </c>
      <c r="F415" s="704" t="s">
        <v>1760</v>
      </c>
      <c r="G415" s="704" t="s">
        <v>1812</v>
      </c>
      <c r="H415" s="704" t="s">
        <v>1229</v>
      </c>
      <c r="I415" s="704"/>
      <c r="J415" s="705"/>
      <c r="K415" s="705"/>
      <c r="L415" s="705" t="s">
        <v>1796</v>
      </c>
      <c r="M415" s="705" t="s">
        <v>1797</v>
      </c>
      <c r="N415" s="711">
        <v>-855.06</v>
      </c>
      <c r="O415" s="707"/>
      <c r="P415" s="689" t="s">
        <v>1755</v>
      </c>
    </row>
    <row r="416" spans="1:16" hidden="1">
      <c r="A416" s="708" t="s">
        <v>1756</v>
      </c>
      <c r="B416" s="708" t="s">
        <v>1223</v>
      </c>
      <c r="C416" s="708" t="s">
        <v>1813</v>
      </c>
      <c r="D416" s="708" t="s">
        <v>1814</v>
      </c>
      <c r="E416" s="708" t="s">
        <v>1759</v>
      </c>
      <c r="F416" s="708" t="s">
        <v>1760</v>
      </c>
      <c r="G416" s="708" t="s">
        <v>1815</v>
      </c>
      <c r="H416" s="708" t="s">
        <v>1229</v>
      </c>
      <c r="I416" s="708"/>
      <c r="J416" s="709"/>
      <c r="K416" s="709"/>
      <c r="L416" s="709" t="s">
        <v>1796</v>
      </c>
      <c r="M416" s="709" t="s">
        <v>1797</v>
      </c>
      <c r="N416" s="710">
        <v>-91.97</v>
      </c>
      <c r="O416" s="707"/>
      <c r="P416" s="689" t="s">
        <v>1755</v>
      </c>
    </row>
    <row r="417" spans="1:16" hidden="1">
      <c r="A417" s="704" t="s">
        <v>1756</v>
      </c>
      <c r="B417" s="704" t="s">
        <v>1223</v>
      </c>
      <c r="C417" s="704" t="s">
        <v>1816</v>
      </c>
      <c r="D417" s="704" t="s">
        <v>1817</v>
      </c>
      <c r="E417" s="704" t="s">
        <v>1759</v>
      </c>
      <c r="F417" s="704" t="s">
        <v>1760</v>
      </c>
      <c r="G417" s="704" t="s">
        <v>1818</v>
      </c>
      <c r="H417" s="704" t="s">
        <v>1229</v>
      </c>
      <c r="I417" s="704"/>
      <c r="J417" s="705"/>
      <c r="K417" s="705"/>
      <c r="L417" s="705" t="s">
        <v>1796</v>
      </c>
      <c r="M417" s="705" t="s">
        <v>1797</v>
      </c>
      <c r="N417" s="711">
        <v>-1359.58</v>
      </c>
      <c r="O417" s="707"/>
      <c r="P417" s="689" t="s">
        <v>1755</v>
      </c>
    </row>
    <row r="418" spans="1:16" hidden="1">
      <c r="A418" s="708" t="s">
        <v>1756</v>
      </c>
      <c r="B418" s="708" t="s">
        <v>1223</v>
      </c>
      <c r="C418" s="708" t="s">
        <v>1819</v>
      </c>
      <c r="D418" s="708" t="s">
        <v>1820</v>
      </c>
      <c r="E418" s="708" t="s">
        <v>1759</v>
      </c>
      <c r="F418" s="708" t="s">
        <v>1760</v>
      </c>
      <c r="G418" s="708" t="s">
        <v>1785</v>
      </c>
      <c r="H418" s="708" t="s">
        <v>1229</v>
      </c>
      <c r="I418" s="708"/>
      <c r="J418" s="709"/>
      <c r="K418" s="709"/>
      <c r="L418" s="709" t="s">
        <v>1796</v>
      </c>
      <c r="M418" s="709" t="s">
        <v>1797</v>
      </c>
      <c r="N418" s="712">
        <v>539.21</v>
      </c>
      <c r="O418" s="707"/>
      <c r="P418" s="689" t="s">
        <v>1755</v>
      </c>
    </row>
    <row r="419" spans="1:16" hidden="1">
      <c r="A419" s="704" t="s">
        <v>1756</v>
      </c>
      <c r="B419" s="704" t="s">
        <v>1223</v>
      </c>
      <c r="C419" s="704" t="s">
        <v>1821</v>
      </c>
      <c r="D419" s="704" t="s">
        <v>1822</v>
      </c>
      <c r="E419" s="704" t="s">
        <v>1759</v>
      </c>
      <c r="F419" s="704" t="s">
        <v>1760</v>
      </c>
      <c r="G419" s="704" t="s">
        <v>1823</v>
      </c>
      <c r="H419" s="704" t="s">
        <v>1229</v>
      </c>
      <c r="I419" s="704"/>
      <c r="J419" s="705"/>
      <c r="K419" s="705"/>
      <c r="L419" s="705" t="s">
        <v>1796</v>
      </c>
      <c r="M419" s="705" t="s">
        <v>1797</v>
      </c>
      <c r="N419" s="711">
        <v>-183.63</v>
      </c>
      <c r="O419" s="707"/>
      <c r="P419" s="689" t="s">
        <v>1755</v>
      </c>
    </row>
    <row r="420" spans="1:16">
      <c r="A420" s="223" t="s">
        <v>1756</v>
      </c>
      <c r="B420" s="223" t="s">
        <v>1223</v>
      </c>
      <c r="C420" s="223" t="s">
        <v>1824</v>
      </c>
      <c r="D420" s="223" t="s">
        <v>1825</v>
      </c>
      <c r="E420" s="223" t="s">
        <v>1759</v>
      </c>
      <c r="F420" s="223" t="s">
        <v>1760</v>
      </c>
      <c r="G420" s="223" t="s">
        <v>1826</v>
      </c>
      <c r="H420" s="223" t="s">
        <v>1229</v>
      </c>
      <c r="I420" s="223"/>
      <c r="J420" s="224"/>
      <c r="K420" s="224"/>
      <c r="L420" s="224" t="s">
        <v>1778</v>
      </c>
      <c r="M420" s="224" t="s">
        <v>1230</v>
      </c>
      <c r="N420" s="696">
        <v>-171540.6</v>
      </c>
      <c r="O420" s="698"/>
      <c r="P420" s="698"/>
    </row>
    <row r="421" spans="1:16">
      <c r="A421" s="693" t="s">
        <v>1756</v>
      </c>
      <c r="B421" s="693" t="s">
        <v>1223</v>
      </c>
      <c r="C421" s="693" t="s">
        <v>1827</v>
      </c>
      <c r="D421" s="693" t="s">
        <v>1828</v>
      </c>
      <c r="E421" s="693" t="s">
        <v>1759</v>
      </c>
      <c r="F421" s="693" t="s">
        <v>1760</v>
      </c>
      <c r="G421" s="693" t="s">
        <v>1829</v>
      </c>
      <c r="H421" s="693" t="s">
        <v>1229</v>
      </c>
      <c r="I421" s="693"/>
      <c r="J421" s="694"/>
      <c r="K421" s="694"/>
      <c r="L421" s="694" t="s">
        <v>1778</v>
      </c>
      <c r="M421" s="694" t="s">
        <v>1230</v>
      </c>
      <c r="N421" s="697">
        <v>-463003.71</v>
      </c>
      <c r="O421" s="698"/>
      <c r="P421" s="698"/>
    </row>
    <row r="422" spans="1:16">
      <c r="A422" s="223" t="s">
        <v>1756</v>
      </c>
      <c r="B422" s="223" t="s">
        <v>1223</v>
      </c>
      <c r="C422" s="223" t="s">
        <v>1830</v>
      </c>
      <c r="D422" s="223" t="s">
        <v>1831</v>
      </c>
      <c r="E422" s="223" t="s">
        <v>1759</v>
      </c>
      <c r="F422" s="223" t="s">
        <v>1227</v>
      </c>
      <c r="G422" s="223" t="s">
        <v>1832</v>
      </c>
      <c r="H422" s="223" t="s">
        <v>1229</v>
      </c>
      <c r="I422" s="223"/>
      <c r="J422" s="224"/>
      <c r="K422" s="224"/>
      <c r="L422" s="224" t="s">
        <v>1778</v>
      </c>
      <c r="M422" s="224" t="s">
        <v>1230</v>
      </c>
      <c r="N422" s="696">
        <v>-22937</v>
      </c>
      <c r="O422" s="698"/>
      <c r="P422" s="698"/>
    </row>
    <row r="423" spans="1:16">
      <c r="A423" s="693" t="s">
        <v>1756</v>
      </c>
      <c r="B423" s="693" t="s">
        <v>1223</v>
      </c>
      <c r="C423" s="693" t="s">
        <v>1830</v>
      </c>
      <c r="D423" s="693" t="s">
        <v>1831</v>
      </c>
      <c r="E423" s="693" t="s">
        <v>1759</v>
      </c>
      <c r="F423" s="693" t="s">
        <v>1760</v>
      </c>
      <c r="G423" s="693" t="s">
        <v>1833</v>
      </c>
      <c r="H423" s="693" t="s">
        <v>1229</v>
      </c>
      <c r="I423" s="693"/>
      <c r="J423" s="694"/>
      <c r="K423" s="694"/>
      <c r="L423" s="694" t="s">
        <v>1778</v>
      </c>
      <c r="M423" s="694" t="s">
        <v>1230</v>
      </c>
      <c r="N423" s="695">
        <v>28867</v>
      </c>
      <c r="O423" s="698"/>
      <c r="P423" s="698"/>
    </row>
    <row r="424" spans="1:16">
      <c r="A424" s="223" t="s">
        <v>1756</v>
      </c>
      <c r="B424" s="223" t="s">
        <v>1223</v>
      </c>
      <c r="C424" s="223" t="s">
        <v>1834</v>
      </c>
      <c r="D424" s="223" t="s">
        <v>1835</v>
      </c>
      <c r="E424" s="223" t="s">
        <v>1759</v>
      </c>
      <c r="F424" s="223" t="s">
        <v>1760</v>
      </c>
      <c r="G424" s="223" t="s">
        <v>1836</v>
      </c>
      <c r="H424" s="223" t="s">
        <v>1229</v>
      </c>
      <c r="I424" s="223"/>
      <c r="J424" s="224"/>
      <c r="K424" s="224"/>
      <c r="L424" s="224" t="s">
        <v>1837</v>
      </c>
      <c r="M424" s="224" t="s">
        <v>1230</v>
      </c>
      <c r="N424" s="225">
        <v>78167.86</v>
      </c>
      <c r="O424" s="698"/>
      <c r="P424" s="698"/>
    </row>
    <row r="425" spans="1:16">
      <c r="A425" s="693" t="s">
        <v>1756</v>
      </c>
      <c r="B425" s="693" t="s">
        <v>1223</v>
      </c>
      <c r="C425" s="693" t="s">
        <v>1834</v>
      </c>
      <c r="D425" s="693" t="s">
        <v>1835</v>
      </c>
      <c r="E425" s="693" t="s">
        <v>1759</v>
      </c>
      <c r="F425" s="693" t="s">
        <v>1760</v>
      </c>
      <c r="G425" s="693" t="s">
        <v>1838</v>
      </c>
      <c r="H425" s="693" t="s">
        <v>1229</v>
      </c>
      <c r="I425" s="693"/>
      <c r="J425" s="694"/>
      <c r="K425" s="694"/>
      <c r="L425" s="694" t="s">
        <v>1837</v>
      </c>
      <c r="M425" s="694" t="s">
        <v>1230</v>
      </c>
      <c r="N425" s="695">
        <v>2527427.3199999998</v>
      </c>
      <c r="O425" s="698"/>
      <c r="P425" s="698"/>
    </row>
    <row r="426" spans="1:16">
      <c r="A426" s="223" t="s">
        <v>1756</v>
      </c>
      <c r="B426" s="223" t="s">
        <v>1223</v>
      </c>
      <c r="C426" s="223" t="s">
        <v>1839</v>
      </c>
      <c r="D426" s="223" t="s">
        <v>1840</v>
      </c>
      <c r="E426" s="223" t="s">
        <v>1759</v>
      </c>
      <c r="F426" s="223" t="s">
        <v>1760</v>
      </c>
      <c r="G426" s="223" t="s">
        <v>1836</v>
      </c>
      <c r="H426" s="223" t="s">
        <v>1229</v>
      </c>
      <c r="I426" s="223"/>
      <c r="J426" s="224"/>
      <c r="K426" s="224"/>
      <c r="L426" s="224" t="s">
        <v>1841</v>
      </c>
      <c r="M426" s="224" t="s">
        <v>1230</v>
      </c>
      <c r="N426" s="225">
        <v>7049167.8200000003</v>
      </c>
      <c r="O426" s="698"/>
      <c r="P426" s="698"/>
    </row>
    <row r="427" spans="1:16">
      <c r="A427" s="693" t="s">
        <v>1756</v>
      </c>
      <c r="B427" s="693" t="s">
        <v>1223</v>
      </c>
      <c r="C427" s="693" t="s">
        <v>1842</v>
      </c>
      <c r="D427" s="693" t="s">
        <v>1843</v>
      </c>
      <c r="E427" s="693" t="s">
        <v>1759</v>
      </c>
      <c r="F427" s="693" t="s">
        <v>1844</v>
      </c>
      <c r="G427" s="693" t="s">
        <v>1845</v>
      </c>
      <c r="H427" s="693" t="s">
        <v>1229</v>
      </c>
      <c r="I427" s="693"/>
      <c r="J427" s="694"/>
      <c r="K427" s="694"/>
      <c r="L427" s="694" t="s">
        <v>1846</v>
      </c>
      <c r="M427" s="694" t="s">
        <v>1230</v>
      </c>
      <c r="N427" s="695">
        <v>77817</v>
      </c>
      <c r="O427" s="698"/>
      <c r="P427" s="698"/>
    </row>
    <row r="428" spans="1:16">
      <c r="A428" s="223" t="s">
        <v>1756</v>
      </c>
      <c r="B428" s="223" t="s">
        <v>1223</v>
      </c>
      <c r="C428" s="223" t="s">
        <v>1842</v>
      </c>
      <c r="D428" s="223" t="s">
        <v>1843</v>
      </c>
      <c r="E428" s="223" t="s">
        <v>1759</v>
      </c>
      <c r="F428" s="223" t="s">
        <v>1227</v>
      </c>
      <c r="G428" s="223" t="s">
        <v>1847</v>
      </c>
      <c r="H428" s="223" t="s">
        <v>1229</v>
      </c>
      <c r="I428" s="223"/>
      <c r="J428" s="224"/>
      <c r="K428" s="224"/>
      <c r="L428" s="224" t="s">
        <v>1841</v>
      </c>
      <c r="M428" s="224" t="s">
        <v>1230</v>
      </c>
      <c r="N428" s="696">
        <v>-50079.7</v>
      </c>
      <c r="O428" s="698"/>
      <c r="P428" s="698"/>
    </row>
    <row r="429" spans="1:16">
      <c r="A429" s="693" t="s">
        <v>1756</v>
      </c>
      <c r="B429" s="693" t="s">
        <v>1223</v>
      </c>
      <c r="C429" s="693" t="s">
        <v>1842</v>
      </c>
      <c r="D429" s="693" t="s">
        <v>1843</v>
      </c>
      <c r="E429" s="693" t="s">
        <v>1759</v>
      </c>
      <c r="F429" s="693" t="s">
        <v>1760</v>
      </c>
      <c r="G429" s="693" t="s">
        <v>1836</v>
      </c>
      <c r="H429" s="693" t="s">
        <v>1229</v>
      </c>
      <c r="I429" s="693"/>
      <c r="J429" s="694"/>
      <c r="K429" s="694"/>
      <c r="L429" s="694" t="s">
        <v>1841</v>
      </c>
      <c r="M429" s="694" t="s">
        <v>1230</v>
      </c>
      <c r="N429" s="697">
        <v>-1619243.38</v>
      </c>
      <c r="O429" s="698"/>
      <c r="P429" s="698"/>
    </row>
    <row r="430" spans="1:16">
      <c r="A430" s="223" t="s">
        <v>1756</v>
      </c>
      <c r="B430" s="223" t="s">
        <v>1223</v>
      </c>
      <c r="C430" s="223" t="s">
        <v>1842</v>
      </c>
      <c r="D430" s="223" t="s">
        <v>1843</v>
      </c>
      <c r="E430" s="223" t="s">
        <v>1759</v>
      </c>
      <c r="F430" s="223" t="s">
        <v>1760</v>
      </c>
      <c r="G430" s="223" t="s">
        <v>1836</v>
      </c>
      <c r="H430" s="223" t="s">
        <v>1229</v>
      </c>
      <c r="I430" s="223"/>
      <c r="J430" s="224"/>
      <c r="K430" s="224"/>
      <c r="L430" s="224" t="s">
        <v>1846</v>
      </c>
      <c r="M430" s="224" t="s">
        <v>1230</v>
      </c>
      <c r="N430" s="225">
        <v>212.37</v>
      </c>
      <c r="O430" s="698"/>
      <c r="P430" s="698"/>
    </row>
    <row r="431" spans="1:16">
      <c r="A431" s="693" t="s">
        <v>1848</v>
      </c>
      <c r="B431" s="693" t="s">
        <v>1223</v>
      </c>
      <c r="C431" s="693" t="s">
        <v>1849</v>
      </c>
      <c r="D431" s="693" t="s">
        <v>1850</v>
      </c>
      <c r="E431" s="693" t="s">
        <v>1759</v>
      </c>
      <c r="F431" s="693" t="s">
        <v>1760</v>
      </c>
      <c r="G431" s="693" t="s">
        <v>1766</v>
      </c>
      <c r="H431" s="693" t="s">
        <v>1229</v>
      </c>
      <c r="I431" s="693"/>
      <c r="J431" s="694"/>
      <c r="K431" s="694"/>
      <c r="L431" s="694" t="s">
        <v>1763</v>
      </c>
      <c r="M431" s="694" t="s">
        <v>1230</v>
      </c>
      <c r="N431" s="695">
        <v>2179514.1</v>
      </c>
      <c r="O431" s="698"/>
      <c r="P431" s="698"/>
    </row>
    <row r="432" spans="1:16">
      <c r="A432" s="223" t="s">
        <v>1848</v>
      </c>
      <c r="B432" s="223" t="s">
        <v>1223</v>
      </c>
      <c r="C432" s="223" t="s">
        <v>1851</v>
      </c>
      <c r="D432" s="223" t="s">
        <v>1852</v>
      </c>
      <c r="E432" s="223" t="s">
        <v>1759</v>
      </c>
      <c r="F432" s="223" t="s">
        <v>1760</v>
      </c>
      <c r="G432" s="223" t="s">
        <v>1761</v>
      </c>
      <c r="H432" s="223" t="s">
        <v>1762</v>
      </c>
      <c r="I432" s="223"/>
      <c r="J432" s="224"/>
      <c r="K432" s="224"/>
      <c r="L432" s="224" t="s">
        <v>1763</v>
      </c>
      <c r="M432" s="224" t="s">
        <v>1230</v>
      </c>
      <c r="N432" s="696">
        <v>-717450.22</v>
      </c>
      <c r="O432" s="698"/>
      <c r="P432" s="698"/>
    </row>
    <row r="433" spans="1:16">
      <c r="A433" s="693" t="s">
        <v>1848</v>
      </c>
      <c r="B433" s="693" t="s">
        <v>1223</v>
      </c>
      <c r="C433" s="693" t="s">
        <v>1853</v>
      </c>
      <c r="D433" s="693" t="s">
        <v>1854</v>
      </c>
      <c r="E433" s="693" t="s">
        <v>1759</v>
      </c>
      <c r="F433" s="693" t="s">
        <v>1760</v>
      </c>
      <c r="G433" s="693" t="s">
        <v>1766</v>
      </c>
      <c r="H433" s="693" t="s">
        <v>1229</v>
      </c>
      <c r="I433" s="693"/>
      <c r="J433" s="694"/>
      <c r="K433" s="694"/>
      <c r="L433" s="694" t="s">
        <v>1763</v>
      </c>
      <c r="M433" s="694" t="s">
        <v>1230</v>
      </c>
      <c r="N433" s="697">
        <v>-2062758.44</v>
      </c>
      <c r="O433" s="698"/>
      <c r="P433" s="698"/>
    </row>
    <row r="434" spans="1:16">
      <c r="A434" s="223" t="s">
        <v>1848</v>
      </c>
      <c r="B434" s="223" t="s">
        <v>1223</v>
      </c>
      <c r="C434" s="223" t="s">
        <v>1855</v>
      </c>
      <c r="D434" s="223" t="s">
        <v>1856</v>
      </c>
      <c r="E434" s="223" t="s">
        <v>1759</v>
      </c>
      <c r="F434" s="223" t="s">
        <v>1760</v>
      </c>
      <c r="G434" s="223" t="s">
        <v>1761</v>
      </c>
      <c r="H434" s="223" t="s">
        <v>1762</v>
      </c>
      <c r="I434" s="223"/>
      <c r="J434" s="224"/>
      <c r="K434" s="224"/>
      <c r="L434" s="224" t="s">
        <v>1763</v>
      </c>
      <c r="M434" s="224" t="s">
        <v>1230</v>
      </c>
      <c r="N434" s="225">
        <v>560510.18000000005</v>
      </c>
      <c r="O434" s="698"/>
      <c r="P434" s="698"/>
    </row>
    <row r="435" spans="1:16">
      <c r="A435" s="693" t="s">
        <v>1848</v>
      </c>
      <c r="B435" s="693" t="s">
        <v>1223</v>
      </c>
      <c r="C435" s="693" t="s">
        <v>1857</v>
      </c>
      <c r="D435" s="693" t="s">
        <v>1858</v>
      </c>
      <c r="E435" s="693" t="s">
        <v>1759</v>
      </c>
      <c r="F435" s="693" t="s">
        <v>1760</v>
      </c>
      <c r="G435" s="693" t="s">
        <v>1769</v>
      </c>
      <c r="H435" s="693" t="s">
        <v>1229</v>
      </c>
      <c r="I435" s="693"/>
      <c r="J435" s="694"/>
      <c r="K435" s="694"/>
      <c r="L435" s="694" t="s">
        <v>1770</v>
      </c>
      <c r="M435" s="694" t="s">
        <v>1230</v>
      </c>
      <c r="N435" s="695">
        <v>593821.21</v>
      </c>
      <c r="O435" s="698"/>
      <c r="P435" s="698"/>
    </row>
    <row r="436" spans="1:16">
      <c r="A436" s="223" t="s">
        <v>1848</v>
      </c>
      <c r="B436" s="223" t="s">
        <v>1223</v>
      </c>
      <c r="C436" s="223" t="s">
        <v>1859</v>
      </c>
      <c r="D436" s="223" t="s">
        <v>1860</v>
      </c>
      <c r="E436" s="223" t="s">
        <v>1759</v>
      </c>
      <c r="F436" s="223" t="s">
        <v>1760</v>
      </c>
      <c r="G436" s="223" t="s">
        <v>1766</v>
      </c>
      <c r="H436" s="223" t="s">
        <v>1229</v>
      </c>
      <c r="I436" s="223"/>
      <c r="J436" s="224"/>
      <c r="K436" s="224"/>
      <c r="L436" s="224" t="s">
        <v>1763</v>
      </c>
      <c r="M436" s="224" t="s">
        <v>1230</v>
      </c>
      <c r="N436" s="696">
        <v>-2973978.51</v>
      </c>
      <c r="O436" s="698"/>
      <c r="P436" s="698"/>
    </row>
    <row r="437" spans="1:16">
      <c r="A437" s="693" t="s">
        <v>1848</v>
      </c>
      <c r="B437" s="693" t="s">
        <v>1223</v>
      </c>
      <c r="C437" s="693" t="s">
        <v>1861</v>
      </c>
      <c r="D437" s="693" t="s">
        <v>1862</v>
      </c>
      <c r="E437" s="693" t="s">
        <v>1759</v>
      </c>
      <c r="F437" s="693" t="s">
        <v>1760</v>
      </c>
      <c r="G437" s="693" t="s">
        <v>1761</v>
      </c>
      <c r="H437" s="693" t="s">
        <v>1762</v>
      </c>
      <c r="I437" s="693"/>
      <c r="J437" s="694"/>
      <c r="K437" s="694"/>
      <c r="L437" s="694" t="s">
        <v>1763</v>
      </c>
      <c r="M437" s="694" t="s">
        <v>1230</v>
      </c>
      <c r="N437" s="695">
        <v>13045.66</v>
      </c>
      <c r="O437" s="698"/>
      <c r="P437" s="698"/>
    </row>
    <row r="438" spans="1:16">
      <c r="A438" s="223" t="s">
        <v>1848</v>
      </c>
      <c r="B438" s="223" t="s">
        <v>1223</v>
      </c>
      <c r="C438" s="223" t="s">
        <v>1863</v>
      </c>
      <c r="D438" s="223" t="s">
        <v>1864</v>
      </c>
      <c r="E438" s="223" t="s">
        <v>1759</v>
      </c>
      <c r="F438" s="223" t="s">
        <v>1760</v>
      </c>
      <c r="G438" s="223" t="s">
        <v>1777</v>
      </c>
      <c r="H438" s="223" t="s">
        <v>1229</v>
      </c>
      <c r="I438" s="223"/>
      <c r="J438" s="224"/>
      <c r="K438" s="224"/>
      <c r="L438" s="224" t="s">
        <v>1778</v>
      </c>
      <c r="M438" s="224" t="s">
        <v>1230</v>
      </c>
      <c r="N438" s="696">
        <v>-615465.13</v>
      </c>
      <c r="O438" s="698"/>
      <c r="P438" s="698"/>
    </row>
    <row r="439" spans="1:16">
      <c r="A439" s="693" t="s">
        <v>1848</v>
      </c>
      <c r="B439" s="693" t="s">
        <v>1223</v>
      </c>
      <c r="C439" s="693" t="s">
        <v>1865</v>
      </c>
      <c r="D439" s="693" t="s">
        <v>1866</v>
      </c>
      <c r="E439" s="693" t="s">
        <v>1759</v>
      </c>
      <c r="F439" s="693" t="s">
        <v>1760</v>
      </c>
      <c r="G439" s="693" t="s">
        <v>1766</v>
      </c>
      <c r="H439" s="693" t="s">
        <v>1229</v>
      </c>
      <c r="I439" s="693"/>
      <c r="J439" s="694"/>
      <c r="K439" s="694"/>
      <c r="L439" s="694" t="s">
        <v>1792</v>
      </c>
      <c r="M439" s="694" t="s">
        <v>1230</v>
      </c>
      <c r="N439" s="695">
        <v>2753411.29</v>
      </c>
      <c r="O439" s="698"/>
      <c r="P439" s="698"/>
    </row>
    <row r="440" spans="1:16" hidden="1">
      <c r="A440" s="708" t="s">
        <v>1848</v>
      </c>
      <c r="B440" s="708" t="s">
        <v>1223</v>
      </c>
      <c r="C440" s="708" t="s">
        <v>1867</v>
      </c>
      <c r="D440" s="708" t="s">
        <v>1868</v>
      </c>
      <c r="E440" s="708" t="s">
        <v>1759</v>
      </c>
      <c r="F440" s="708" t="s">
        <v>1760</v>
      </c>
      <c r="G440" s="708" t="s">
        <v>1869</v>
      </c>
      <c r="H440" s="708" t="s">
        <v>1229</v>
      </c>
      <c r="I440" s="708"/>
      <c r="J440" s="709"/>
      <c r="K440" s="709"/>
      <c r="L440" s="709" t="s">
        <v>1796</v>
      </c>
      <c r="M440" s="709" t="s">
        <v>1797</v>
      </c>
      <c r="N440" s="712">
        <v>7647.79</v>
      </c>
      <c r="O440" s="707"/>
      <c r="P440" s="689" t="s">
        <v>1755</v>
      </c>
    </row>
    <row r="441" spans="1:16" hidden="1">
      <c r="A441" s="704" t="s">
        <v>1848</v>
      </c>
      <c r="B441" s="704" t="s">
        <v>1223</v>
      </c>
      <c r="C441" s="704" t="s">
        <v>1870</v>
      </c>
      <c r="D441" s="704" t="s">
        <v>1871</v>
      </c>
      <c r="E441" s="704" t="s">
        <v>1759</v>
      </c>
      <c r="F441" s="704" t="s">
        <v>1760</v>
      </c>
      <c r="G441" s="704" t="s">
        <v>1809</v>
      </c>
      <c r="H441" s="704" t="s">
        <v>1229</v>
      </c>
      <c r="I441" s="704"/>
      <c r="J441" s="705"/>
      <c r="K441" s="705"/>
      <c r="L441" s="705" t="s">
        <v>1796</v>
      </c>
      <c r="M441" s="705" t="s">
        <v>1797</v>
      </c>
      <c r="N441" s="706">
        <v>4647.42</v>
      </c>
      <c r="O441" s="707"/>
      <c r="P441" s="689" t="s">
        <v>1755</v>
      </c>
    </row>
    <row r="442" spans="1:16" hidden="1">
      <c r="A442" s="708" t="s">
        <v>1848</v>
      </c>
      <c r="B442" s="708" t="s">
        <v>1223</v>
      </c>
      <c r="C442" s="708" t="s">
        <v>1872</v>
      </c>
      <c r="D442" s="708" t="s">
        <v>1873</v>
      </c>
      <c r="E442" s="708" t="s">
        <v>1759</v>
      </c>
      <c r="F442" s="708" t="s">
        <v>1760</v>
      </c>
      <c r="G442" s="708" t="s">
        <v>1803</v>
      </c>
      <c r="H442" s="708" t="s">
        <v>1229</v>
      </c>
      <c r="I442" s="708"/>
      <c r="J442" s="709"/>
      <c r="K442" s="709"/>
      <c r="L442" s="709" t="s">
        <v>1796</v>
      </c>
      <c r="M442" s="709" t="s">
        <v>1797</v>
      </c>
      <c r="N442" s="712">
        <v>2708.21</v>
      </c>
      <c r="O442" s="707"/>
      <c r="P442" s="689" t="s">
        <v>1755</v>
      </c>
    </row>
    <row r="443" spans="1:16" hidden="1">
      <c r="A443" s="704" t="s">
        <v>1848</v>
      </c>
      <c r="B443" s="704" t="s">
        <v>1223</v>
      </c>
      <c r="C443" s="704" t="s">
        <v>1874</v>
      </c>
      <c r="D443" s="704" t="s">
        <v>1875</v>
      </c>
      <c r="E443" s="704" t="s">
        <v>1759</v>
      </c>
      <c r="F443" s="704" t="s">
        <v>1760</v>
      </c>
      <c r="G443" s="704" t="s">
        <v>1800</v>
      </c>
      <c r="H443" s="704" t="s">
        <v>1229</v>
      </c>
      <c r="I443" s="704"/>
      <c r="J443" s="705"/>
      <c r="K443" s="705"/>
      <c r="L443" s="705" t="s">
        <v>1796</v>
      </c>
      <c r="M443" s="705" t="s">
        <v>1797</v>
      </c>
      <c r="N443" s="706">
        <v>8101.21</v>
      </c>
      <c r="O443" s="707"/>
      <c r="P443" s="689" t="s">
        <v>1755</v>
      </c>
    </row>
    <row r="444" spans="1:16" hidden="1">
      <c r="A444" s="708" t="s">
        <v>1848</v>
      </c>
      <c r="B444" s="708" t="s">
        <v>1223</v>
      </c>
      <c r="C444" s="708" t="s">
        <v>1876</v>
      </c>
      <c r="D444" s="708" t="s">
        <v>1877</v>
      </c>
      <c r="E444" s="708" t="s">
        <v>1759</v>
      </c>
      <c r="F444" s="708" t="s">
        <v>1760</v>
      </c>
      <c r="G444" s="708" t="s">
        <v>1806</v>
      </c>
      <c r="H444" s="708" t="s">
        <v>1229</v>
      </c>
      <c r="I444" s="708"/>
      <c r="J444" s="709"/>
      <c r="K444" s="709"/>
      <c r="L444" s="709" t="s">
        <v>1796</v>
      </c>
      <c r="M444" s="709" t="s">
        <v>1797</v>
      </c>
      <c r="N444" s="712">
        <v>1670.16</v>
      </c>
      <c r="O444" s="707"/>
      <c r="P444" s="689" t="s">
        <v>1755</v>
      </c>
    </row>
    <row r="445" spans="1:16" hidden="1">
      <c r="A445" s="704" t="s">
        <v>1848</v>
      </c>
      <c r="B445" s="704" t="s">
        <v>1223</v>
      </c>
      <c r="C445" s="704" t="s">
        <v>1878</v>
      </c>
      <c r="D445" s="704" t="s">
        <v>1879</v>
      </c>
      <c r="E445" s="704" t="s">
        <v>1759</v>
      </c>
      <c r="F445" s="704" t="s">
        <v>1760</v>
      </c>
      <c r="G445" s="704" t="s">
        <v>1812</v>
      </c>
      <c r="H445" s="704" t="s">
        <v>1229</v>
      </c>
      <c r="I445" s="704"/>
      <c r="J445" s="705"/>
      <c r="K445" s="705"/>
      <c r="L445" s="705" t="s">
        <v>1796</v>
      </c>
      <c r="M445" s="705" t="s">
        <v>1797</v>
      </c>
      <c r="N445" s="706">
        <v>9621.23</v>
      </c>
      <c r="O445" s="707"/>
      <c r="P445" s="689" t="s">
        <v>1755</v>
      </c>
    </row>
    <row r="446" spans="1:16" hidden="1">
      <c r="A446" s="708" t="s">
        <v>1848</v>
      </c>
      <c r="B446" s="708" t="s">
        <v>1223</v>
      </c>
      <c r="C446" s="708" t="s">
        <v>1880</v>
      </c>
      <c r="D446" s="708" t="s">
        <v>1881</v>
      </c>
      <c r="E446" s="708" t="s">
        <v>1759</v>
      </c>
      <c r="F446" s="708" t="s">
        <v>1760</v>
      </c>
      <c r="G446" s="708" t="s">
        <v>1795</v>
      </c>
      <c r="H446" s="708" t="s">
        <v>1229</v>
      </c>
      <c r="I446" s="708"/>
      <c r="J446" s="709"/>
      <c r="K446" s="709"/>
      <c r="L446" s="709" t="s">
        <v>1796</v>
      </c>
      <c r="M446" s="709" t="s">
        <v>1797</v>
      </c>
      <c r="N446" s="712">
        <v>4911.83</v>
      </c>
      <c r="O446" s="707"/>
      <c r="P446" s="689" t="s">
        <v>1755</v>
      </c>
    </row>
    <row r="447" spans="1:16" hidden="1">
      <c r="A447" s="704" t="s">
        <v>1848</v>
      </c>
      <c r="B447" s="704" t="s">
        <v>1223</v>
      </c>
      <c r="C447" s="704" t="s">
        <v>1882</v>
      </c>
      <c r="D447" s="704" t="s">
        <v>1883</v>
      </c>
      <c r="E447" s="704" t="s">
        <v>1759</v>
      </c>
      <c r="F447" s="704" t="s">
        <v>1760</v>
      </c>
      <c r="G447" s="704" t="s">
        <v>1815</v>
      </c>
      <c r="H447" s="704" t="s">
        <v>1229</v>
      </c>
      <c r="I447" s="704"/>
      <c r="J447" s="705"/>
      <c r="K447" s="705"/>
      <c r="L447" s="705" t="s">
        <v>1796</v>
      </c>
      <c r="M447" s="705" t="s">
        <v>1797</v>
      </c>
      <c r="N447" s="706">
        <v>1054.6500000000001</v>
      </c>
      <c r="O447" s="707"/>
      <c r="P447" s="689" t="s">
        <v>1755</v>
      </c>
    </row>
    <row r="448" spans="1:16" hidden="1">
      <c r="A448" s="708" t="s">
        <v>1848</v>
      </c>
      <c r="B448" s="708" t="s">
        <v>1223</v>
      </c>
      <c r="C448" s="708" t="s">
        <v>1884</v>
      </c>
      <c r="D448" s="708" t="s">
        <v>1885</v>
      </c>
      <c r="E448" s="708" t="s">
        <v>1759</v>
      </c>
      <c r="F448" s="708" t="s">
        <v>1760</v>
      </c>
      <c r="G448" s="708" t="s">
        <v>1818</v>
      </c>
      <c r="H448" s="708" t="s">
        <v>1229</v>
      </c>
      <c r="I448" s="708"/>
      <c r="J448" s="709"/>
      <c r="K448" s="709"/>
      <c r="L448" s="709" t="s">
        <v>1796</v>
      </c>
      <c r="M448" s="709" t="s">
        <v>1797</v>
      </c>
      <c r="N448" s="712">
        <v>17303.310000000001</v>
      </c>
      <c r="O448" s="707"/>
      <c r="P448" s="689" t="s">
        <v>1755</v>
      </c>
    </row>
    <row r="449" spans="1:16" hidden="1">
      <c r="A449" s="704" t="s">
        <v>1848</v>
      </c>
      <c r="B449" s="704" t="s">
        <v>1223</v>
      </c>
      <c r="C449" s="704" t="s">
        <v>1886</v>
      </c>
      <c r="D449" s="704" t="s">
        <v>1887</v>
      </c>
      <c r="E449" s="704" t="s">
        <v>1759</v>
      </c>
      <c r="F449" s="704" t="s">
        <v>1760</v>
      </c>
      <c r="G449" s="704" t="s">
        <v>1888</v>
      </c>
      <c r="H449" s="704" t="s">
        <v>1229</v>
      </c>
      <c r="I449" s="704"/>
      <c r="J449" s="705"/>
      <c r="K449" s="705"/>
      <c r="L449" s="705" t="s">
        <v>1796</v>
      </c>
      <c r="M449" s="705" t="s">
        <v>1797</v>
      </c>
      <c r="N449" s="706">
        <v>0.11</v>
      </c>
      <c r="O449" s="707"/>
      <c r="P449" s="689" t="s">
        <v>1755</v>
      </c>
    </row>
    <row r="450" spans="1:16" hidden="1">
      <c r="A450" s="708" t="s">
        <v>1848</v>
      </c>
      <c r="B450" s="708" t="s">
        <v>1223</v>
      </c>
      <c r="C450" s="708" t="s">
        <v>1889</v>
      </c>
      <c r="D450" s="708" t="s">
        <v>1890</v>
      </c>
      <c r="E450" s="708" t="s">
        <v>1759</v>
      </c>
      <c r="F450" s="708" t="s">
        <v>1760</v>
      </c>
      <c r="G450" s="708" t="s">
        <v>1823</v>
      </c>
      <c r="H450" s="708" t="s">
        <v>1229</v>
      </c>
      <c r="I450" s="708"/>
      <c r="J450" s="709"/>
      <c r="K450" s="709"/>
      <c r="L450" s="709" t="s">
        <v>1796</v>
      </c>
      <c r="M450" s="709" t="s">
        <v>1797</v>
      </c>
      <c r="N450" s="712">
        <v>1875.58</v>
      </c>
      <c r="O450" s="707"/>
      <c r="P450" s="689" t="s">
        <v>1755</v>
      </c>
    </row>
    <row r="451" spans="1:16">
      <c r="A451" s="693" t="s">
        <v>1848</v>
      </c>
      <c r="B451" s="693" t="s">
        <v>1223</v>
      </c>
      <c r="C451" s="693" t="s">
        <v>1891</v>
      </c>
      <c r="D451" s="693" t="s">
        <v>1892</v>
      </c>
      <c r="E451" s="693" t="s">
        <v>1759</v>
      </c>
      <c r="F451" s="693" t="s">
        <v>1760</v>
      </c>
      <c r="G451" s="693" t="s">
        <v>1826</v>
      </c>
      <c r="H451" s="693" t="s">
        <v>1229</v>
      </c>
      <c r="I451" s="693"/>
      <c r="J451" s="694"/>
      <c r="K451" s="694"/>
      <c r="L451" s="694" t="s">
        <v>1778</v>
      </c>
      <c r="M451" s="694" t="s">
        <v>1230</v>
      </c>
      <c r="N451" s="697">
        <v>-273134.34999999998</v>
      </c>
      <c r="O451" s="698"/>
      <c r="P451" s="698"/>
    </row>
    <row r="452" spans="1:16">
      <c r="A452" s="223" t="s">
        <v>1848</v>
      </c>
      <c r="B452" s="223" t="s">
        <v>1223</v>
      </c>
      <c r="C452" s="223" t="s">
        <v>1893</v>
      </c>
      <c r="D452" s="223" t="s">
        <v>1894</v>
      </c>
      <c r="E452" s="223" t="s">
        <v>1759</v>
      </c>
      <c r="F452" s="223" t="s">
        <v>1760</v>
      </c>
      <c r="G452" s="223" t="s">
        <v>1829</v>
      </c>
      <c r="H452" s="223" t="s">
        <v>1229</v>
      </c>
      <c r="I452" s="223"/>
      <c r="J452" s="224"/>
      <c r="K452" s="224"/>
      <c r="L452" s="224" t="s">
        <v>1778</v>
      </c>
      <c r="M452" s="224" t="s">
        <v>1230</v>
      </c>
      <c r="N452" s="696">
        <v>-124204.64</v>
      </c>
      <c r="O452" s="698"/>
      <c r="P452" s="698"/>
    </row>
    <row r="453" spans="1:16">
      <c r="A453" s="693" t="s">
        <v>1848</v>
      </c>
      <c r="B453" s="693" t="s">
        <v>1223</v>
      </c>
      <c r="C453" s="693" t="s">
        <v>1895</v>
      </c>
      <c r="D453" s="693" t="s">
        <v>1896</v>
      </c>
      <c r="E453" s="693" t="s">
        <v>1759</v>
      </c>
      <c r="F453" s="693" t="s">
        <v>1760</v>
      </c>
      <c r="G453" s="693" t="s">
        <v>1836</v>
      </c>
      <c r="H453" s="693" t="s">
        <v>1229</v>
      </c>
      <c r="I453" s="693"/>
      <c r="J453" s="694"/>
      <c r="K453" s="694"/>
      <c r="L453" s="694" t="s">
        <v>1841</v>
      </c>
      <c r="M453" s="694" t="s">
        <v>1230</v>
      </c>
      <c r="N453" s="697">
        <v>-6203589.5599999996</v>
      </c>
      <c r="O453" s="698"/>
      <c r="P453" s="698"/>
    </row>
    <row r="454" spans="1:16">
      <c r="A454" s="223" t="s">
        <v>1848</v>
      </c>
      <c r="B454" s="223" t="s">
        <v>1223</v>
      </c>
      <c r="C454" s="223" t="s">
        <v>1897</v>
      </c>
      <c r="D454" s="223" t="s">
        <v>1898</v>
      </c>
      <c r="E454" s="223" t="s">
        <v>1759</v>
      </c>
      <c r="F454" s="223" t="s">
        <v>1760</v>
      </c>
      <c r="G454" s="223" t="s">
        <v>1836</v>
      </c>
      <c r="H454" s="223" t="s">
        <v>1229</v>
      </c>
      <c r="I454" s="223"/>
      <c r="J454" s="224"/>
      <c r="K454" s="224"/>
      <c r="L454" s="224" t="s">
        <v>1837</v>
      </c>
      <c r="M454" s="224" t="s">
        <v>1230</v>
      </c>
      <c r="N454" s="696">
        <v>-71293.759999999995</v>
      </c>
      <c r="O454" s="698"/>
      <c r="P454" s="698"/>
    </row>
    <row r="455" spans="1:16">
      <c r="A455" s="693" t="s">
        <v>1848</v>
      </c>
      <c r="B455" s="693" t="s">
        <v>1223</v>
      </c>
      <c r="C455" s="693" t="s">
        <v>1897</v>
      </c>
      <c r="D455" s="693" t="s">
        <v>1898</v>
      </c>
      <c r="E455" s="693" t="s">
        <v>1759</v>
      </c>
      <c r="F455" s="693" t="s">
        <v>1760</v>
      </c>
      <c r="G455" s="693" t="s">
        <v>1838</v>
      </c>
      <c r="H455" s="693" t="s">
        <v>1229</v>
      </c>
      <c r="I455" s="693"/>
      <c r="J455" s="694"/>
      <c r="K455" s="694"/>
      <c r="L455" s="694" t="s">
        <v>1837</v>
      </c>
      <c r="M455" s="694" t="s">
        <v>1230</v>
      </c>
      <c r="N455" s="697">
        <v>-2305164.9500000002</v>
      </c>
      <c r="O455" s="698"/>
      <c r="P455" s="698"/>
    </row>
    <row r="456" spans="1:16">
      <c r="A456" s="223" t="s">
        <v>1848</v>
      </c>
      <c r="B456" s="223" t="s">
        <v>1223</v>
      </c>
      <c r="C456" s="223" t="s">
        <v>1899</v>
      </c>
      <c r="D456" s="223" t="s">
        <v>1900</v>
      </c>
      <c r="E456" s="223" t="s">
        <v>1759</v>
      </c>
      <c r="F456" s="223" t="s">
        <v>1844</v>
      </c>
      <c r="G456" s="223" t="s">
        <v>1845</v>
      </c>
      <c r="H456" s="223" t="s">
        <v>1229</v>
      </c>
      <c r="I456" s="223"/>
      <c r="J456" s="224"/>
      <c r="K456" s="224"/>
      <c r="L456" s="224" t="s">
        <v>1846</v>
      </c>
      <c r="M456" s="224" t="s">
        <v>1230</v>
      </c>
      <c r="N456" s="225">
        <v>97169</v>
      </c>
      <c r="O456" s="698"/>
      <c r="P456" s="698"/>
    </row>
    <row r="457" spans="1:16">
      <c r="A457" s="693" t="s">
        <v>1848</v>
      </c>
      <c r="B457" s="693" t="s">
        <v>1223</v>
      </c>
      <c r="C457" s="693" t="s">
        <v>1899</v>
      </c>
      <c r="D457" s="693" t="s">
        <v>1900</v>
      </c>
      <c r="E457" s="693" t="s">
        <v>1759</v>
      </c>
      <c r="F457" s="693" t="s">
        <v>1227</v>
      </c>
      <c r="G457" s="693" t="s">
        <v>1847</v>
      </c>
      <c r="H457" s="693" t="s">
        <v>1229</v>
      </c>
      <c r="I457" s="693"/>
      <c r="J457" s="694"/>
      <c r="K457" s="694"/>
      <c r="L457" s="694" t="s">
        <v>1841</v>
      </c>
      <c r="M457" s="694" t="s">
        <v>1230</v>
      </c>
      <c r="N457" s="695">
        <v>70338.429999999993</v>
      </c>
      <c r="O457" s="698"/>
      <c r="P457" s="698"/>
    </row>
    <row r="458" spans="1:16">
      <c r="A458" s="223" t="s">
        <v>1848</v>
      </c>
      <c r="B458" s="223" t="s">
        <v>1223</v>
      </c>
      <c r="C458" s="223" t="s">
        <v>1899</v>
      </c>
      <c r="D458" s="223" t="s">
        <v>1900</v>
      </c>
      <c r="E458" s="223" t="s">
        <v>1759</v>
      </c>
      <c r="F458" s="223" t="s">
        <v>1760</v>
      </c>
      <c r="G458" s="223" t="s">
        <v>1836</v>
      </c>
      <c r="H458" s="223" t="s">
        <v>1229</v>
      </c>
      <c r="I458" s="223"/>
      <c r="J458" s="224"/>
      <c r="K458" s="224"/>
      <c r="L458" s="224" t="s">
        <v>1841</v>
      </c>
      <c r="M458" s="224" t="s">
        <v>1230</v>
      </c>
      <c r="N458" s="225">
        <v>2274275.88</v>
      </c>
      <c r="O458" s="698"/>
      <c r="P458" s="698"/>
    </row>
    <row r="459" spans="1:16">
      <c r="A459" s="693" t="s">
        <v>1848</v>
      </c>
      <c r="B459" s="693" t="s">
        <v>1223</v>
      </c>
      <c r="C459" s="693" t="s">
        <v>1899</v>
      </c>
      <c r="D459" s="693" t="s">
        <v>1900</v>
      </c>
      <c r="E459" s="693" t="s">
        <v>1759</v>
      </c>
      <c r="F459" s="693" t="s">
        <v>1760</v>
      </c>
      <c r="G459" s="693" t="s">
        <v>1836</v>
      </c>
      <c r="H459" s="693" t="s">
        <v>1229</v>
      </c>
      <c r="I459" s="693"/>
      <c r="J459" s="694"/>
      <c r="K459" s="694"/>
      <c r="L459" s="694" t="s">
        <v>1846</v>
      </c>
      <c r="M459" s="694" t="s">
        <v>1230</v>
      </c>
      <c r="N459" s="695">
        <v>407.16</v>
      </c>
      <c r="O459" s="698"/>
      <c r="P459" s="698"/>
    </row>
    <row r="460" spans="1:16">
      <c r="A460" s="223" t="s">
        <v>1848</v>
      </c>
      <c r="B460" s="223" t="s">
        <v>1223</v>
      </c>
      <c r="C460" s="223" t="s">
        <v>1901</v>
      </c>
      <c r="D460" s="223" t="s">
        <v>1902</v>
      </c>
      <c r="E460" s="223" t="s">
        <v>1759</v>
      </c>
      <c r="F460" s="223" t="s">
        <v>1227</v>
      </c>
      <c r="G460" s="223" t="s">
        <v>1832</v>
      </c>
      <c r="H460" s="223" t="s">
        <v>1229</v>
      </c>
      <c r="I460" s="223"/>
      <c r="J460" s="224"/>
      <c r="K460" s="224"/>
      <c r="L460" s="224" t="s">
        <v>1778</v>
      </c>
      <c r="M460" s="224" t="s">
        <v>1230</v>
      </c>
      <c r="N460" s="696">
        <v>-28435</v>
      </c>
      <c r="O460" s="698"/>
      <c r="P460" s="698"/>
    </row>
    <row r="461" spans="1:16">
      <c r="A461" s="693" t="s">
        <v>1848</v>
      </c>
      <c r="B461" s="693" t="s">
        <v>1223</v>
      </c>
      <c r="C461" s="693" t="s">
        <v>1901</v>
      </c>
      <c r="D461" s="693" t="s">
        <v>1902</v>
      </c>
      <c r="E461" s="693" t="s">
        <v>1759</v>
      </c>
      <c r="F461" s="693" t="s">
        <v>1760</v>
      </c>
      <c r="G461" s="693" t="s">
        <v>1833</v>
      </c>
      <c r="H461" s="693" t="s">
        <v>1229</v>
      </c>
      <c r="I461" s="693"/>
      <c r="J461" s="694"/>
      <c r="K461" s="694"/>
      <c r="L461" s="694" t="s">
        <v>1778</v>
      </c>
      <c r="M461" s="694" t="s">
        <v>1230</v>
      </c>
      <c r="N461" s="695">
        <v>35795</v>
      </c>
      <c r="O461" s="698"/>
      <c r="P461" s="698"/>
    </row>
    <row r="462" spans="1:16">
      <c r="A462" s="223" t="s">
        <v>1903</v>
      </c>
      <c r="B462" s="223" t="s">
        <v>1223</v>
      </c>
      <c r="C462" s="223" t="s">
        <v>1904</v>
      </c>
      <c r="D462" s="223" t="s">
        <v>1905</v>
      </c>
      <c r="E462" s="223" t="s">
        <v>1759</v>
      </c>
      <c r="F462" s="223" t="s">
        <v>1760</v>
      </c>
      <c r="G462" s="223" t="s">
        <v>1766</v>
      </c>
      <c r="H462" s="223" t="s">
        <v>1229</v>
      </c>
      <c r="I462" s="223"/>
      <c r="J462" s="224"/>
      <c r="K462" s="224"/>
      <c r="L462" s="224" t="s">
        <v>1763</v>
      </c>
      <c r="M462" s="224" t="s">
        <v>1230</v>
      </c>
      <c r="N462" s="225">
        <v>2973978.51</v>
      </c>
      <c r="O462" s="698"/>
      <c r="P462" s="698"/>
    </row>
    <row r="463" spans="1:16">
      <c r="A463" s="693" t="s">
        <v>1903</v>
      </c>
      <c r="B463" s="693" t="s">
        <v>1223</v>
      </c>
      <c r="C463" s="693" t="s">
        <v>1906</v>
      </c>
      <c r="D463" s="693" t="s">
        <v>1907</v>
      </c>
      <c r="E463" s="693" t="s">
        <v>1759</v>
      </c>
      <c r="F463" s="693" t="s">
        <v>1760</v>
      </c>
      <c r="G463" s="693" t="s">
        <v>1761</v>
      </c>
      <c r="H463" s="693" t="s">
        <v>1762</v>
      </c>
      <c r="I463" s="693"/>
      <c r="J463" s="694"/>
      <c r="K463" s="694"/>
      <c r="L463" s="694" t="s">
        <v>1763</v>
      </c>
      <c r="M463" s="694" t="s">
        <v>1230</v>
      </c>
      <c r="N463" s="697">
        <v>-13045.66</v>
      </c>
      <c r="O463" s="698"/>
      <c r="P463" s="698"/>
    </row>
    <row r="464" spans="1:16">
      <c r="A464" s="223" t="s">
        <v>1903</v>
      </c>
      <c r="B464" s="223" t="s">
        <v>1223</v>
      </c>
      <c r="C464" s="223" t="s">
        <v>1908</v>
      </c>
      <c r="D464" s="223" t="s">
        <v>1909</v>
      </c>
      <c r="E464" s="223" t="s">
        <v>1759</v>
      </c>
      <c r="F464" s="223" t="s">
        <v>1760</v>
      </c>
      <c r="G464" s="223" t="s">
        <v>1766</v>
      </c>
      <c r="H464" s="223" t="s">
        <v>1229</v>
      </c>
      <c r="I464" s="223"/>
      <c r="J464" s="224"/>
      <c r="K464" s="224"/>
      <c r="L464" s="224" t="s">
        <v>1763</v>
      </c>
      <c r="M464" s="224" t="s">
        <v>1230</v>
      </c>
      <c r="N464" s="696">
        <v>-3062434.99</v>
      </c>
      <c r="O464" s="698"/>
      <c r="P464" s="698"/>
    </row>
    <row r="465" spans="1:16">
      <c r="A465" s="693" t="s">
        <v>1903</v>
      </c>
      <c r="B465" s="693" t="s">
        <v>1223</v>
      </c>
      <c r="C465" s="693" t="s">
        <v>1910</v>
      </c>
      <c r="D465" s="693" t="s">
        <v>1911</v>
      </c>
      <c r="E465" s="693" t="s">
        <v>1759</v>
      </c>
      <c r="F465" s="693" t="s">
        <v>1760</v>
      </c>
      <c r="G465" s="693" t="s">
        <v>1761</v>
      </c>
      <c r="H465" s="693" t="s">
        <v>1762</v>
      </c>
      <c r="I465" s="693"/>
      <c r="J465" s="694"/>
      <c r="K465" s="694"/>
      <c r="L465" s="694" t="s">
        <v>1763</v>
      </c>
      <c r="M465" s="694" t="s">
        <v>1230</v>
      </c>
      <c r="N465" s="697">
        <v>-1056.7</v>
      </c>
      <c r="O465" s="698"/>
      <c r="P465" s="698"/>
    </row>
    <row r="466" spans="1:16" hidden="1">
      <c r="A466" s="708" t="s">
        <v>1903</v>
      </c>
      <c r="B466" s="708" t="s">
        <v>1223</v>
      </c>
      <c r="C466" s="708" t="s">
        <v>1912</v>
      </c>
      <c r="D466" s="708" t="s">
        <v>1913</v>
      </c>
      <c r="E466" s="708" t="s">
        <v>1759</v>
      </c>
      <c r="F466" s="708" t="s">
        <v>1914</v>
      </c>
      <c r="G466" s="708" t="s">
        <v>1915</v>
      </c>
      <c r="H466" s="708" t="s">
        <v>1916</v>
      </c>
      <c r="I466" s="708"/>
      <c r="J466" s="709"/>
      <c r="K466" s="709"/>
      <c r="L466" s="709" t="s">
        <v>1917</v>
      </c>
      <c r="M466" s="709" t="s">
        <v>1918</v>
      </c>
      <c r="N466" s="710">
        <v>-5671.5</v>
      </c>
      <c r="O466" s="707"/>
      <c r="P466" s="689" t="s">
        <v>1755</v>
      </c>
    </row>
    <row r="467" spans="1:16">
      <c r="A467" s="693" t="s">
        <v>1903</v>
      </c>
      <c r="B467" s="693" t="s">
        <v>1223</v>
      </c>
      <c r="C467" s="693" t="s">
        <v>1919</v>
      </c>
      <c r="D467" s="693" t="s">
        <v>1920</v>
      </c>
      <c r="E467" s="693" t="s">
        <v>1759</v>
      </c>
      <c r="F467" s="693" t="s">
        <v>1760</v>
      </c>
      <c r="G467" s="693" t="s">
        <v>1769</v>
      </c>
      <c r="H467" s="693" t="s">
        <v>1229</v>
      </c>
      <c r="I467" s="693"/>
      <c r="J467" s="694"/>
      <c r="K467" s="694"/>
      <c r="L467" s="694" t="s">
        <v>1770</v>
      </c>
      <c r="M467" s="694" t="s">
        <v>1230</v>
      </c>
      <c r="N467" s="695">
        <v>213834.18</v>
      </c>
      <c r="O467" s="698"/>
      <c r="P467" s="698"/>
    </row>
    <row r="468" spans="1:16">
      <c r="A468" s="223" t="s">
        <v>1903</v>
      </c>
      <c r="B468" s="223" t="s">
        <v>1223</v>
      </c>
      <c r="C468" s="223" t="s">
        <v>1921</v>
      </c>
      <c r="D468" s="223" t="s">
        <v>1922</v>
      </c>
      <c r="E468" s="223" t="s">
        <v>1759</v>
      </c>
      <c r="F468" s="223" t="s">
        <v>1923</v>
      </c>
      <c r="G468" s="223" t="s">
        <v>1924</v>
      </c>
      <c r="H468" s="223" t="s">
        <v>1229</v>
      </c>
      <c r="I468" s="223"/>
      <c r="J468" s="224"/>
      <c r="K468" s="224"/>
      <c r="L468" s="224" t="s">
        <v>1925</v>
      </c>
      <c r="M468" s="224" t="s">
        <v>1918</v>
      </c>
      <c r="N468" s="696">
        <v>-1123.23</v>
      </c>
      <c r="O468" s="698"/>
      <c r="P468" s="698"/>
    </row>
    <row r="469" spans="1:16">
      <c r="A469" s="693" t="s">
        <v>1903</v>
      </c>
      <c r="B469" s="693" t="s">
        <v>1223</v>
      </c>
      <c r="C469" s="693" t="s">
        <v>1926</v>
      </c>
      <c r="D469" s="693" t="s">
        <v>1927</v>
      </c>
      <c r="E469" s="693" t="s">
        <v>1759</v>
      </c>
      <c r="F469" s="693" t="s">
        <v>1760</v>
      </c>
      <c r="G469" s="693" t="s">
        <v>1789</v>
      </c>
      <c r="H469" s="693" t="s">
        <v>1229</v>
      </c>
      <c r="I469" s="693"/>
      <c r="J469" s="694"/>
      <c r="K469" s="694"/>
      <c r="L469" s="694" t="s">
        <v>1928</v>
      </c>
      <c r="M469" s="694" t="s">
        <v>1797</v>
      </c>
      <c r="N469" s="695">
        <v>12946.22</v>
      </c>
      <c r="O469" s="698"/>
      <c r="P469" s="698"/>
    </row>
    <row r="470" spans="1:16">
      <c r="A470" s="223" t="s">
        <v>1903</v>
      </c>
      <c r="B470" s="223" t="s">
        <v>1223</v>
      </c>
      <c r="C470" s="223" t="s">
        <v>1929</v>
      </c>
      <c r="D470" s="223" t="s">
        <v>1930</v>
      </c>
      <c r="E470" s="223" t="s">
        <v>1759</v>
      </c>
      <c r="F470" s="223" t="s">
        <v>1760</v>
      </c>
      <c r="G470" s="223" t="s">
        <v>1777</v>
      </c>
      <c r="H470" s="223" t="s">
        <v>1229</v>
      </c>
      <c r="I470" s="223"/>
      <c r="J470" s="224"/>
      <c r="K470" s="224"/>
      <c r="L470" s="224" t="s">
        <v>1778</v>
      </c>
      <c r="M470" s="224" t="s">
        <v>1230</v>
      </c>
      <c r="N470" s="696">
        <v>-220756.86</v>
      </c>
      <c r="O470" s="698"/>
      <c r="P470" s="698"/>
    </row>
    <row r="471" spans="1:16">
      <c r="A471" s="693" t="s">
        <v>1903</v>
      </c>
      <c r="B471" s="693" t="s">
        <v>1223</v>
      </c>
      <c r="C471" s="693" t="s">
        <v>1931</v>
      </c>
      <c r="D471" s="693" t="s">
        <v>1932</v>
      </c>
      <c r="E471" s="693" t="s">
        <v>1759</v>
      </c>
      <c r="F471" s="693" t="s">
        <v>1760</v>
      </c>
      <c r="G471" s="693" t="s">
        <v>1766</v>
      </c>
      <c r="H471" s="693" t="s">
        <v>1229</v>
      </c>
      <c r="I471" s="693"/>
      <c r="J471" s="694"/>
      <c r="K471" s="694"/>
      <c r="L471" s="694" t="s">
        <v>1763</v>
      </c>
      <c r="M471" s="694" t="s">
        <v>1230</v>
      </c>
      <c r="N471" s="697">
        <v>-2615543.04</v>
      </c>
      <c r="O471" s="698"/>
      <c r="P471" s="698"/>
    </row>
    <row r="472" spans="1:16">
      <c r="A472" s="223" t="s">
        <v>1903</v>
      </c>
      <c r="B472" s="223" t="s">
        <v>1223</v>
      </c>
      <c r="C472" s="223" t="s">
        <v>1933</v>
      </c>
      <c r="D472" s="223" t="s">
        <v>1934</v>
      </c>
      <c r="E472" s="223" t="s">
        <v>1759</v>
      </c>
      <c r="F472" s="223" t="s">
        <v>1760</v>
      </c>
      <c r="G472" s="223" t="s">
        <v>1761</v>
      </c>
      <c r="H472" s="223" t="s">
        <v>1762</v>
      </c>
      <c r="I472" s="223"/>
      <c r="J472" s="224"/>
      <c r="K472" s="224"/>
      <c r="L472" s="224" t="s">
        <v>1763</v>
      </c>
      <c r="M472" s="224" t="s">
        <v>1230</v>
      </c>
      <c r="N472" s="225">
        <v>422469.67</v>
      </c>
      <c r="O472" s="698"/>
      <c r="P472" s="698"/>
    </row>
    <row r="473" spans="1:16">
      <c r="A473" s="693" t="s">
        <v>1903</v>
      </c>
      <c r="B473" s="693" t="s">
        <v>1223</v>
      </c>
      <c r="C473" s="693" t="s">
        <v>1935</v>
      </c>
      <c r="D473" s="693" t="s">
        <v>1936</v>
      </c>
      <c r="E473" s="693" t="s">
        <v>1759</v>
      </c>
      <c r="F473" s="693" t="s">
        <v>1760</v>
      </c>
      <c r="G473" s="693" t="s">
        <v>1766</v>
      </c>
      <c r="H473" s="693" t="s">
        <v>1229</v>
      </c>
      <c r="I473" s="693"/>
      <c r="J473" s="694"/>
      <c r="K473" s="694"/>
      <c r="L473" s="694" t="s">
        <v>1937</v>
      </c>
      <c r="M473" s="694" t="s">
        <v>1230</v>
      </c>
      <c r="N473" s="695">
        <v>641804.28</v>
      </c>
      <c r="O473" s="698"/>
      <c r="P473" s="698"/>
    </row>
    <row r="474" spans="1:16">
      <c r="A474" s="223" t="s">
        <v>1903</v>
      </c>
      <c r="B474" s="223" t="s">
        <v>1223</v>
      </c>
      <c r="C474" s="223" t="s">
        <v>1938</v>
      </c>
      <c r="D474" s="223" t="s">
        <v>1939</v>
      </c>
      <c r="E474" s="223" t="s">
        <v>1759</v>
      </c>
      <c r="F474" s="223" t="s">
        <v>1760</v>
      </c>
      <c r="G474" s="223" t="s">
        <v>1766</v>
      </c>
      <c r="H474" s="223" t="s">
        <v>1229</v>
      </c>
      <c r="I474" s="223"/>
      <c r="J474" s="224"/>
      <c r="K474" s="224"/>
      <c r="L474" s="224" t="s">
        <v>1792</v>
      </c>
      <c r="M474" s="224" t="s">
        <v>1230</v>
      </c>
      <c r="N474" s="225">
        <v>1542428.8</v>
      </c>
      <c r="O474" s="698"/>
      <c r="P474" s="698"/>
    </row>
    <row r="475" spans="1:16" hidden="1">
      <c r="A475" s="704" t="s">
        <v>1903</v>
      </c>
      <c r="B475" s="704" t="s">
        <v>1223</v>
      </c>
      <c r="C475" s="704" t="s">
        <v>1940</v>
      </c>
      <c r="D475" s="704" t="s">
        <v>1941</v>
      </c>
      <c r="E475" s="704" t="s">
        <v>1759</v>
      </c>
      <c r="F475" s="704" t="s">
        <v>1760</v>
      </c>
      <c r="G475" s="704" t="s">
        <v>1869</v>
      </c>
      <c r="H475" s="704" t="s">
        <v>1229</v>
      </c>
      <c r="I475" s="704"/>
      <c r="J475" s="705"/>
      <c r="K475" s="705"/>
      <c r="L475" s="705" t="s">
        <v>1796</v>
      </c>
      <c r="M475" s="705" t="s">
        <v>1797</v>
      </c>
      <c r="N475" s="706">
        <v>7121.41</v>
      </c>
      <c r="O475" s="707"/>
      <c r="P475" s="689" t="s">
        <v>1755</v>
      </c>
    </row>
    <row r="476" spans="1:16">
      <c r="A476" s="223" t="s">
        <v>1903</v>
      </c>
      <c r="B476" s="223" t="s">
        <v>1223</v>
      </c>
      <c r="C476" s="223" t="s">
        <v>1942</v>
      </c>
      <c r="D476" s="223" t="s">
        <v>1943</v>
      </c>
      <c r="E476" s="223" t="s">
        <v>1759</v>
      </c>
      <c r="F476" s="223" t="s">
        <v>1760</v>
      </c>
      <c r="G476" s="223" t="s">
        <v>1826</v>
      </c>
      <c r="H476" s="223" t="s">
        <v>1229</v>
      </c>
      <c r="I476" s="223"/>
      <c r="J476" s="224"/>
      <c r="K476" s="224"/>
      <c r="L476" s="224" t="s">
        <v>1778</v>
      </c>
      <c r="M476" s="224" t="s">
        <v>1230</v>
      </c>
      <c r="N476" s="696">
        <v>-260254.25</v>
      </c>
      <c r="O476" s="698"/>
      <c r="P476" s="698"/>
    </row>
    <row r="477" spans="1:16">
      <c r="A477" s="693" t="s">
        <v>1903</v>
      </c>
      <c r="B477" s="693" t="s">
        <v>1223</v>
      </c>
      <c r="C477" s="693" t="s">
        <v>1944</v>
      </c>
      <c r="D477" s="693" t="s">
        <v>1945</v>
      </c>
      <c r="E477" s="693" t="s">
        <v>1759</v>
      </c>
      <c r="F477" s="693" t="s">
        <v>1760</v>
      </c>
      <c r="G477" s="693" t="s">
        <v>1829</v>
      </c>
      <c r="H477" s="693" t="s">
        <v>1229</v>
      </c>
      <c r="I477" s="693"/>
      <c r="J477" s="694"/>
      <c r="K477" s="694"/>
      <c r="L477" s="694" t="s">
        <v>1778</v>
      </c>
      <c r="M477" s="694" t="s">
        <v>1230</v>
      </c>
      <c r="N477" s="697">
        <v>-380069.42</v>
      </c>
      <c r="O477" s="698"/>
      <c r="P477" s="698"/>
    </row>
    <row r="478" spans="1:16">
      <c r="A478" s="223" t="s">
        <v>1903</v>
      </c>
      <c r="B478" s="223" t="s">
        <v>1223</v>
      </c>
      <c r="C478" s="223" t="s">
        <v>1946</v>
      </c>
      <c r="D478" s="223" t="s">
        <v>1947</v>
      </c>
      <c r="E478" s="223" t="s">
        <v>1759</v>
      </c>
      <c r="F478" s="223" t="s">
        <v>1227</v>
      </c>
      <c r="G478" s="223" t="s">
        <v>1832</v>
      </c>
      <c r="H478" s="223" t="s">
        <v>1229</v>
      </c>
      <c r="I478" s="223"/>
      <c r="J478" s="224"/>
      <c r="K478" s="224"/>
      <c r="L478" s="224" t="s">
        <v>1778</v>
      </c>
      <c r="M478" s="224" t="s">
        <v>1230</v>
      </c>
      <c r="N478" s="696">
        <v>-21540</v>
      </c>
      <c r="O478" s="698"/>
      <c r="P478" s="698"/>
    </row>
    <row r="479" spans="1:16">
      <c r="A479" s="693" t="s">
        <v>1903</v>
      </c>
      <c r="B479" s="693" t="s">
        <v>1223</v>
      </c>
      <c r="C479" s="693" t="s">
        <v>1946</v>
      </c>
      <c r="D479" s="693" t="s">
        <v>1947</v>
      </c>
      <c r="E479" s="693" t="s">
        <v>1759</v>
      </c>
      <c r="F479" s="693" t="s">
        <v>1760</v>
      </c>
      <c r="G479" s="693" t="s">
        <v>1833</v>
      </c>
      <c r="H479" s="693" t="s">
        <v>1229</v>
      </c>
      <c r="I479" s="693"/>
      <c r="J479" s="694"/>
      <c r="K479" s="694"/>
      <c r="L479" s="694" t="s">
        <v>1778</v>
      </c>
      <c r="M479" s="694" t="s">
        <v>1230</v>
      </c>
      <c r="N479" s="695">
        <v>26917</v>
      </c>
      <c r="O479" s="698"/>
      <c r="P479" s="698"/>
    </row>
    <row r="480" spans="1:16">
      <c r="A480" s="223" t="s">
        <v>1903</v>
      </c>
      <c r="B480" s="223" t="s">
        <v>1223</v>
      </c>
      <c r="C480" s="223" t="s">
        <v>1948</v>
      </c>
      <c r="D480" s="223" t="s">
        <v>1949</v>
      </c>
      <c r="E480" s="223" t="s">
        <v>1759</v>
      </c>
      <c r="F480" s="223" t="s">
        <v>1760</v>
      </c>
      <c r="G480" s="223" t="s">
        <v>1836</v>
      </c>
      <c r="H480" s="223" t="s">
        <v>1229</v>
      </c>
      <c r="I480" s="223"/>
      <c r="J480" s="224"/>
      <c r="K480" s="224"/>
      <c r="L480" s="224" t="s">
        <v>1837</v>
      </c>
      <c r="M480" s="224" t="s">
        <v>1230</v>
      </c>
      <c r="N480" s="696">
        <v>-35048.910000000003</v>
      </c>
      <c r="O480" s="698"/>
      <c r="P480" s="698"/>
    </row>
    <row r="481" spans="1:16">
      <c r="A481" s="693" t="s">
        <v>1903</v>
      </c>
      <c r="B481" s="693" t="s">
        <v>1223</v>
      </c>
      <c r="C481" s="693" t="s">
        <v>1948</v>
      </c>
      <c r="D481" s="693" t="s">
        <v>1949</v>
      </c>
      <c r="E481" s="693" t="s">
        <v>1759</v>
      </c>
      <c r="F481" s="693" t="s">
        <v>1760</v>
      </c>
      <c r="G481" s="693" t="s">
        <v>1838</v>
      </c>
      <c r="H481" s="693" t="s">
        <v>1229</v>
      </c>
      <c r="I481" s="693"/>
      <c r="J481" s="694"/>
      <c r="K481" s="694"/>
      <c r="L481" s="694" t="s">
        <v>1837</v>
      </c>
      <c r="M481" s="694" t="s">
        <v>1230</v>
      </c>
      <c r="N481" s="697">
        <v>-1133248.21</v>
      </c>
      <c r="O481" s="698"/>
      <c r="P481" s="698"/>
    </row>
    <row r="482" spans="1:16">
      <c r="A482" s="223" t="s">
        <v>1903</v>
      </c>
      <c r="B482" s="223" t="s">
        <v>1223</v>
      </c>
      <c r="C482" s="223" t="s">
        <v>1950</v>
      </c>
      <c r="D482" s="223" t="s">
        <v>1951</v>
      </c>
      <c r="E482" s="223" t="s">
        <v>1759</v>
      </c>
      <c r="F482" s="223" t="s">
        <v>1844</v>
      </c>
      <c r="G482" s="223" t="s">
        <v>1845</v>
      </c>
      <c r="H482" s="223" t="s">
        <v>1229</v>
      </c>
      <c r="I482" s="223"/>
      <c r="J482" s="224"/>
      <c r="K482" s="224"/>
      <c r="L482" s="224" t="s">
        <v>1846</v>
      </c>
      <c r="M482" s="224" t="s">
        <v>1230</v>
      </c>
      <c r="N482" s="225">
        <v>74203</v>
      </c>
      <c r="O482" s="698"/>
      <c r="P482" s="698"/>
    </row>
    <row r="483" spans="1:16">
      <c r="A483" s="693" t="s">
        <v>1903</v>
      </c>
      <c r="B483" s="693" t="s">
        <v>1223</v>
      </c>
      <c r="C483" s="693" t="s">
        <v>1950</v>
      </c>
      <c r="D483" s="693" t="s">
        <v>1951</v>
      </c>
      <c r="E483" s="693" t="s">
        <v>1759</v>
      </c>
      <c r="F483" s="693" t="s">
        <v>1227</v>
      </c>
      <c r="G483" s="693" t="s">
        <v>1847</v>
      </c>
      <c r="H483" s="693" t="s">
        <v>1229</v>
      </c>
      <c r="I483" s="693"/>
      <c r="J483" s="694"/>
      <c r="K483" s="694"/>
      <c r="L483" s="694" t="s">
        <v>1841</v>
      </c>
      <c r="M483" s="694" t="s">
        <v>1230</v>
      </c>
      <c r="N483" s="697">
        <v>-54093.09</v>
      </c>
      <c r="O483" s="698"/>
      <c r="P483" s="698"/>
    </row>
    <row r="484" spans="1:16">
      <c r="A484" s="223" t="s">
        <v>1903</v>
      </c>
      <c r="B484" s="223" t="s">
        <v>1223</v>
      </c>
      <c r="C484" s="223" t="s">
        <v>1950</v>
      </c>
      <c r="D484" s="223" t="s">
        <v>1951</v>
      </c>
      <c r="E484" s="223" t="s">
        <v>1759</v>
      </c>
      <c r="F484" s="223" t="s">
        <v>1760</v>
      </c>
      <c r="G484" s="223" t="s">
        <v>1836</v>
      </c>
      <c r="H484" s="223" t="s">
        <v>1229</v>
      </c>
      <c r="I484" s="223"/>
      <c r="J484" s="224"/>
      <c r="K484" s="224"/>
      <c r="L484" s="224" t="s">
        <v>1841</v>
      </c>
      <c r="M484" s="224" t="s">
        <v>1230</v>
      </c>
      <c r="N484" s="696">
        <v>-1749009.94</v>
      </c>
      <c r="O484" s="698"/>
      <c r="P484" s="698"/>
    </row>
    <row r="485" spans="1:16">
      <c r="A485" s="693" t="s">
        <v>1903</v>
      </c>
      <c r="B485" s="693" t="s">
        <v>1223</v>
      </c>
      <c r="C485" s="693" t="s">
        <v>1950</v>
      </c>
      <c r="D485" s="693" t="s">
        <v>1951</v>
      </c>
      <c r="E485" s="693" t="s">
        <v>1759</v>
      </c>
      <c r="F485" s="693" t="s">
        <v>1760</v>
      </c>
      <c r="G485" s="693" t="s">
        <v>1836</v>
      </c>
      <c r="H485" s="693" t="s">
        <v>1229</v>
      </c>
      <c r="I485" s="693"/>
      <c r="J485" s="694"/>
      <c r="K485" s="694"/>
      <c r="L485" s="694" t="s">
        <v>1846</v>
      </c>
      <c r="M485" s="694" t="s">
        <v>1230</v>
      </c>
      <c r="N485" s="697">
        <v>-263.44</v>
      </c>
      <c r="O485" s="698"/>
      <c r="P485" s="698"/>
    </row>
    <row r="486" spans="1:16">
      <c r="A486" s="223" t="s">
        <v>1903</v>
      </c>
      <c r="B486" s="223" t="s">
        <v>1223</v>
      </c>
      <c r="C486" s="223" t="s">
        <v>1952</v>
      </c>
      <c r="D486" s="223" t="s">
        <v>1953</v>
      </c>
      <c r="E486" s="223" t="s">
        <v>1759</v>
      </c>
      <c r="F486" s="223" t="s">
        <v>1760</v>
      </c>
      <c r="G486" s="223" t="s">
        <v>1836</v>
      </c>
      <c r="H486" s="223" t="s">
        <v>1229</v>
      </c>
      <c r="I486" s="223"/>
      <c r="J486" s="224"/>
      <c r="K486" s="224"/>
      <c r="L486" s="224" t="s">
        <v>1841</v>
      </c>
      <c r="M486" s="224" t="s">
        <v>1230</v>
      </c>
      <c r="N486" s="696">
        <v>-3368743.37</v>
      </c>
      <c r="O486" s="698"/>
      <c r="P486" s="698"/>
    </row>
    <row r="487" spans="1:16">
      <c r="A487" s="693" t="s">
        <v>1903</v>
      </c>
      <c r="B487" s="693" t="s">
        <v>1223</v>
      </c>
      <c r="C487" s="693" t="s">
        <v>1954</v>
      </c>
      <c r="D487" s="693" t="s">
        <v>1955</v>
      </c>
      <c r="E487" s="693" t="s">
        <v>1759</v>
      </c>
      <c r="F487" s="693" t="s">
        <v>1227</v>
      </c>
      <c r="G487" s="693" t="s">
        <v>1956</v>
      </c>
      <c r="H487" s="693" t="s">
        <v>1957</v>
      </c>
      <c r="I487" s="693"/>
      <c r="J487" s="694"/>
      <c r="K487" s="694"/>
      <c r="L487" s="694" t="s">
        <v>1841</v>
      </c>
      <c r="M487" s="694" t="s">
        <v>1230</v>
      </c>
      <c r="N487" s="697">
        <v>-20833.330000000002</v>
      </c>
      <c r="O487" s="698"/>
      <c r="P487" s="698"/>
    </row>
    <row r="488" spans="1:16">
      <c r="A488" s="223" t="s">
        <v>1958</v>
      </c>
      <c r="B488" s="223" t="s">
        <v>1223</v>
      </c>
      <c r="C488" s="223" t="s">
        <v>1959</v>
      </c>
      <c r="D488" s="223" t="s">
        <v>1960</v>
      </c>
      <c r="E488" s="223" t="s">
        <v>1759</v>
      </c>
      <c r="F488" s="223" t="s">
        <v>1760</v>
      </c>
      <c r="G488" s="223" t="s">
        <v>1766</v>
      </c>
      <c r="H488" s="223" t="s">
        <v>1229</v>
      </c>
      <c r="I488" s="223"/>
      <c r="J488" s="224"/>
      <c r="K488" s="224"/>
      <c r="L488" s="224" t="s">
        <v>1763</v>
      </c>
      <c r="M488" s="224" t="s">
        <v>1230</v>
      </c>
      <c r="N488" s="225">
        <v>2615543.04</v>
      </c>
      <c r="O488" s="698"/>
      <c r="P488" s="698"/>
    </row>
    <row r="489" spans="1:16">
      <c r="A489" s="693" t="s">
        <v>1958</v>
      </c>
      <c r="B489" s="693" t="s">
        <v>1223</v>
      </c>
      <c r="C489" s="693" t="s">
        <v>1961</v>
      </c>
      <c r="D489" s="693" t="s">
        <v>1962</v>
      </c>
      <c r="E489" s="693" t="s">
        <v>1759</v>
      </c>
      <c r="F489" s="693" t="s">
        <v>1760</v>
      </c>
      <c r="G489" s="693" t="s">
        <v>1761</v>
      </c>
      <c r="H489" s="693" t="s">
        <v>1762</v>
      </c>
      <c r="I489" s="693"/>
      <c r="J489" s="694"/>
      <c r="K489" s="694"/>
      <c r="L489" s="694" t="s">
        <v>1763</v>
      </c>
      <c r="M489" s="694" t="s">
        <v>1230</v>
      </c>
      <c r="N489" s="697">
        <v>-422469.67</v>
      </c>
      <c r="O489" s="698"/>
      <c r="P489" s="698"/>
    </row>
    <row r="490" spans="1:16">
      <c r="A490" s="223" t="s">
        <v>1958</v>
      </c>
      <c r="B490" s="223" t="s">
        <v>1223</v>
      </c>
      <c r="C490" s="223" t="s">
        <v>1963</v>
      </c>
      <c r="D490" s="223" t="s">
        <v>1964</v>
      </c>
      <c r="E490" s="223" t="s">
        <v>1759</v>
      </c>
      <c r="F490" s="223" t="s">
        <v>1760</v>
      </c>
      <c r="G490" s="223" t="s">
        <v>1766</v>
      </c>
      <c r="H490" s="223" t="s">
        <v>1229</v>
      </c>
      <c r="I490" s="223"/>
      <c r="J490" s="224"/>
      <c r="K490" s="224"/>
      <c r="L490" s="224" t="s">
        <v>1763</v>
      </c>
      <c r="M490" s="224" t="s">
        <v>1230</v>
      </c>
      <c r="N490" s="696">
        <v>-2567852.83</v>
      </c>
      <c r="O490" s="698"/>
      <c r="P490" s="698"/>
    </row>
    <row r="491" spans="1:16">
      <c r="A491" s="693" t="s">
        <v>1958</v>
      </c>
      <c r="B491" s="693" t="s">
        <v>1223</v>
      </c>
      <c r="C491" s="693" t="s">
        <v>1965</v>
      </c>
      <c r="D491" s="693" t="s">
        <v>1966</v>
      </c>
      <c r="E491" s="693" t="s">
        <v>1759</v>
      </c>
      <c r="F491" s="693" t="s">
        <v>1760</v>
      </c>
      <c r="G491" s="693" t="s">
        <v>1761</v>
      </c>
      <c r="H491" s="693" t="s">
        <v>1762</v>
      </c>
      <c r="I491" s="693"/>
      <c r="J491" s="694"/>
      <c r="K491" s="694"/>
      <c r="L491" s="694" t="s">
        <v>1763</v>
      </c>
      <c r="M491" s="694" t="s">
        <v>1230</v>
      </c>
      <c r="N491" s="695">
        <v>395959.93</v>
      </c>
      <c r="O491" s="698"/>
      <c r="P491" s="698"/>
    </row>
    <row r="492" spans="1:16">
      <c r="A492" s="223" t="s">
        <v>1958</v>
      </c>
      <c r="B492" s="223" t="s">
        <v>1223</v>
      </c>
      <c r="C492" s="223" t="s">
        <v>1967</v>
      </c>
      <c r="D492" s="223" t="s">
        <v>1968</v>
      </c>
      <c r="E492" s="223" t="s">
        <v>1759</v>
      </c>
      <c r="F492" s="223" t="s">
        <v>1760</v>
      </c>
      <c r="G492" s="223" t="s">
        <v>1766</v>
      </c>
      <c r="H492" s="223" t="s">
        <v>1229</v>
      </c>
      <c r="I492" s="223"/>
      <c r="J492" s="224"/>
      <c r="K492" s="224"/>
      <c r="L492" s="224" t="s">
        <v>1937</v>
      </c>
      <c r="M492" s="224" t="s">
        <v>1230</v>
      </c>
      <c r="N492" s="225">
        <v>7781.11</v>
      </c>
      <c r="O492" s="698"/>
      <c r="P492" s="698"/>
    </row>
    <row r="493" spans="1:16">
      <c r="A493" s="693" t="s">
        <v>1958</v>
      </c>
      <c r="B493" s="693" t="s">
        <v>1223</v>
      </c>
      <c r="C493" s="693" t="s">
        <v>1969</v>
      </c>
      <c r="D493" s="693" t="s">
        <v>1970</v>
      </c>
      <c r="E493" s="693" t="s">
        <v>1759</v>
      </c>
      <c r="F493" s="693" t="s">
        <v>1760</v>
      </c>
      <c r="G493" s="693" t="s">
        <v>1766</v>
      </c>
      <c r="H493" s="693" t="s">
        <v>1229</v>
      </c>
      <c r="I493" s="693"/>
      <c r="J493" s="694"/>
      <c r="K493" s="694"/>
      <c r="L493" s="694" t="s">
        <v>1792</v>
      </c>
      <c r="M493" s="694" t="s">
        <v>1230</v>
      </c>
      <c r="N493" s="697">
        <v>-27223.88</v>
      </c>
      <c r="O493" s="698"/>
      <c r="P493" s="698"/>
    </row>
    <row r="494" spans="1:16">
      <c r="A494" s="223" t="s">
        <v>1958</v>
      </c>
      <c r="B494" s="223" t="s">
        <v>1223</v>
      </c>
      <c r="C494" s="223" t="s">
        <v>1971</v>
      </c>
      <c r="D494" s="223" t="s">
        <v>1972</v>
      </c>
      <c r="E494" s="223" t="s">
        <v>1759</v>
      </c>
      <c r="F494" s="223" t="s">
        <v>1760</v>
      </c>
      <c r="G494" s="223" t="s">
        <v>1769</v>
      </c>
      <c r="H494" s="223" t="s">
        <v>1229</v>
      </c>
      <c r="I494" s="223"/>
      <c r="J494" s="224"/>
      <c r="K494" s="224"/>
      <c r="L494" s="224" t="s">
        <v>1770</v>
      </c>
      <c r="M494" s="224" t="s">
        <v>1230</v>
      </c>
      <c r="N494" s="225">
        <v>419446.17</v>
      </c>
      <c r="O494" s="698"/>
      <c r="P494" s="698"/>
    </row>
    <row r="495" spans="1:16">
      <c r="A495" s="693" t="s">
        <v>1958</v>
      </c>
      <c r="B495" s="693" t="s">
        <v>1223</v>
      </c>
      <c r="C495" s="693" t="s">
        <v>1973</v>
      </c>
      <c r="D495" s="693" t="s">
        <v>1974</v>
      </c>
      <c r="E495" s="693" t="s">
        <v>1759</v>
      </c>
      <c r="F495" s="693" t="s">
        <v>1923</v>
      </c>
      <c r="G495" s="693" t="s">
        <v>1924</v>
      </c>
      <c r="H495" s="693" t="s">
        <v>1229</v>
      </c>
      <c r="I495" s="693"/>
      <c r="J495" s="694"/>
      <c r="K495" s="694"/>
      <c r="L495" s="694" t="s">
        <v>1925</v>
      </c>
      <c r="M495" s="694" t="s">
        <v>1918</v>
      </c>
      <c r="N495" s="695">
        <v>1722.36</v>
      </c>
      <c r="O495" s="698"/>
      <c r="P495" s="698"/>
    </row>
    <row r="496" spans="1:16">
      <c r="A496" s="223" t="s">
        <v>1958</v>
      </c>
      <c r="B496" s="223" t="s">
        <v>1223</v>
      </c>
      <c r="C496" s="223" t="s">
        <v>1975</v>
      </c>
      <c r="D496" s="223" t="s">
        <v>1976</v>
      </c>
      <c r="E496" s="223" t="s">
        <v>1759</v>
      </c>
      <c r="F496" s="223" t="s">
        <v>1923</v>
      </c>
      <c r="G496" s="223" t="s">
        <v>1924</v>
      </c>
      <c r="H496" s="223" t="s">
        <v>1229</v>
      </c>
      <c r="I496" s="223"/>
      <c r="J496" s="224"/>
      <c r="K496" s="224"/>
      <c r="L496" s="224" t="s">
        <v>1925</v>
      </c>
      <c r="M496" s="224" t="s">
        <v>1918</v>
      </c>
      <c r="N496" s="225">
        <v>0</v>
      </c>
      <c r="O496" s="698"/>
      <c r="P496" s="698"/>
    </row>
    <row r="497" spans="1:16">
      <c r="A497" s="693" t="s">
        <v>1958</v>
      </c>
      <c r="B497" s="693" t="s">
        <v>1223</v>
      </c>
      <c r="C497" s="693" t="s">
        <v>1977</v>
      </c>
      <c r="D497" s="693" t="s">
        <v>1978</v>
      </c>
      <c r="E497" s="693" t="s">
        <v>1759</v>
      </c>
      <c r="F497" s="693" t="s">
        <v>1923</v>
      </c>
      <c r="G497" s="693" t="s">
        <v>1924</v>
      </c>
      <c r="H497" s="693" t="s">
        <v>1229</v>
      </c>
      <c r="I497" s="693"/>
      <c r="J497" s="694"/>
      <c r="K497" s="694"/>
      <c r="L497" s="694" t="s">
        <v>1925</v>
      </c>
      <c r="M497" s="694" t="s">
        <v>1918</v>
      </c>
      <c r="N497" s="697">
        <v>-1722.36</v>
      </c>
      <c r="O497" s="698"/>
      <c r="P497" s="698"/>
    </row>
    <row r="498" spans="1:16" hidden="1">
      <c r="A498" s="708" t="s">
        <v>1958</v>
      </c>
      <c r="B498" s="708" t="s">
        <v>1223</v>
      </c>
      <c r="C498" s="708" t="s">
        <v>1979</v>
      </c>
      <c r="D498" s="708" t="s">
        <v>1980</v>
      </c>
      <c r="E498" s="708" t="s">
        <v>1759</v>
      </c>
      <c r="F498" s="708" t="s">
        <v>1981</v>
      </c>
      <c r="G498" s="708" t="s">
        <v>1982</v>
      </c>
      <c r="H498" s="708" t="s">
        <v>1916</v>
      </c>
      <c r="I498" s="708"/>
      <c r="J498" s="709"/>
      <c r="K498" s="709"/>
      <c r="L498" s="709" t="s">
        <v>1917</v>
      </c>
      <c r="M498" s="709" t="s">
        <v>1918</v>
      </c>
      <c r="N498" s="710">
        <v>-7933.27</v>
      </c>
      <c r="O498" s="707"/>
      <c r="P498" s="689" t="s">
        <v>1755</v>
      </c>
    </row>
    <row r="499" spans="1:16">
      <c r="A499" s="693" t="s">
        <v>1958</v>
      </c>
      <c r="B499" s="693" t="s">
        <v>1223</v>
      </c>
      <c r="C499" s="693" t="s">
        <v>1983</v>
      </c>
      <c r="D499" s="693" t="s">
        <v>1984</v>
      </c>
      <c r="E499" s="693" t="s">
        <v>1759</v>
      </c>
      <c r="F499" s="693" t="s">
        <v>1760</v>
      </c>
      <c r="G499" s="693" t="s">
        <v>1766</v>
      </c>
      <c r="H499" s="693" t="s">
        <v>1229</v>
      </c>
      <c r="I499" s="693"/>
      <c r="J499" s="694"/>
      <c r="K499" s="694"/>
      <c r="L499" s="694" t="s">
        <v>1763</v>
      </c>
      <c r="M499" s="694" t="s">
        <v>1230</v>
      </c>
      <c r="N499" s="697">
        <v>-736020.83</v>
      </c>
      <c r="O499" s="698"/>
      <c r="P499" s="698"/>
    </row>
    <row r="500" spans="1:16">
      <c r="A500" s="223" t="s">
        <v>1958</v>
      </c>
      <c r="B500" s="223" t="s">
        <v>1223</v>
      </c>
      <c r="C500" s="223" t="s">
        <v>1985</v>
      </c>
      <c r="D500" s="223" t="s">
        <v>1986</v>
      </c>
      <c r="E500" s="223" t="s">
        <v>1759</v>
      </c>
      <c r="F500" s="223" t="s">
        <v>1760</v>
      </c>
      <c r="G500" s="223" t="s">
        <v>1761</v>
      </c>
      <c r="H500" s="223" t="s">
        <v>1762</v>
      </c>
      <c r="I500" s="223"/>
      <c r="J500" s="224"/>
      <c r="K500" s="224"/>
      <c r="L500" s="224" t="s">
        <v>1763</v>
      </c>
      <c r="M500" s="224" t="s">
        <v>1230</v>
      </c>
      <c r="N500" s="225">
        <v>186229.68</v>
      </c>
      <c r="O500" s="698"/>
      <c r="P500" s="698"/>
    </row>
    <row r="501" spans="1:16">
      <c r="A501" s="693" t="s">
        <v>1958</v>
      </c>
      <c r="B501" s="693" t="s">
        <v>1223</v>
      </c>
      <c r="C501" s="693" t="s">
        <v>1987</v>
      </c>
      <c r="D501" s="693" t="s">
        <v>1988</v>
      </c>
      <c r="E501" s="693" t="s">
        <v>1759</v>
      </c>
      <c r="F501" s="693" t="s">
        <v>1760</v>
      </c>
      <c r="G501" s="693" t="s">
        <v>1777</v>
      </c>
      <c r="H501" s="693" t="s">
        <v>1229</v>
      </c>
      <c r="I501" s="693"/>
      <c r="J501" s="694"/>
      <c r="K501" s="694"/>
      <c r="L501" s="694" t="s">
        <v>1778</v>
      </c>
      <c r="M501" s="694" t="s">
        <v>1230</v>
      </c>
      <c r="N501" s="697">
        <v>-433521.56</v>
      </c>
      <c r="O501" s="698"/>
      <c r="P501" s="698"/>
    </row>
    <row r="502" spans="1:16">
      <c r="A502" s="223" t="s">
        <v>1958</v>
      </c>
      <c r="B502" s="223" t="s">
        <v>1223</v>
      </c>
      <c r="C502" s="223" t="s">
        <v>1989</v>
      </c>
      <c r="D502" s="223" t="s">
        <v>1990</v>
      </c>
      <c r="E502" s="223" t="s">
        <v>1759</v>
      </c>
      <c r="F502" s="223" t="s">
        <v>1760</v>
      </c>
      <c r="G502" s="223" t="s">
        <v>1769</v>
      </c>
      <c r="H502" s="223" t="s">
        <v>1229</v>
      </c>
      <c r="I502" s="223"/>
      <c r="J502" s="224"/>
      <c r="K502" s="224"/>
      <c r="L502" s="224" t="s">
        <v>1770</v>
      </c>
      <c r="M502" s="224" t="s">
        <v>1230</v>
      </c>
      <c r="N502" s="696">
        <v>-0.79</v>
      </c>
      <c r="O502" s="698"/>
      <c r="P502" s="698"/>
    </row>
    <row r="503" spans="1:16">
      <c r="A503" s="693" t="s">
        <v>1958</v>
      </c>
      <c r="B503" s="693" t="s">
        <v>1223</v>
      </c>
      <c r="C503" s="693" t="s">
        <v>1991</v>
      </c>
      <c r="D503" s="693" t="s">
        <v>1992</v>
      </c>
      <c r="E503" s="693" t="s">
        <v>1759</v>
      </c>
      <c r="F503" s="693" t="s">
        <v>1760</v>
      </c>
      <c r="G503" s="693" t="s">
        <v>1766</v>
      </c>
      <c r="H503" s="693" t="s">
        <v>1229</v>
      </c>
      <c r="I503" s="693"/>
      <c r="J503" s="694"/>
      <c r="K503" s="694"/>
      <c r="L503" s="694" t="s">
        <v>1792</v>
      </c>
      <c r="M503" s="694" t="s">
        <v>1230</v>
      </c>
      <c r="N503" s="695">
        <v>549791.15</v>
      </c>
      <c r="O503" s="698"/>
      <c r="P503" s="698"/>
    </row>
    <row r="504" spans="1:16" hidden="1">
      <c r="A504" s="708" t="s">
        <v>1958</v>
      </c>
      <c r="B504" s="708" t="s">
        <v>1223</v>
      </c>
      <c r="C504" s="708" t="s">
        <v>1993</v>
      </c>
      <c r="D504" s="708" t="s">
        <v>1994</v>
      </c>
      <c r="E504" s="708" t="s">
        <v>1759</v>
      </c>
      <c r="F504" s="708" t="s">
        <v>1760</v>
      </c>
      <c r="G504" s="708" t="s">
        <v>1869</v>
      </c>
      <c r="H504" s="708" t="s">
        <v>1229</v>
      </c>
      <c r="I504" s="708"/>
      <c r="J504" s="709"/>
      <c r="K504" s="709"/>
      <c r="L504" s="709" t="s">
        <v>1796</v>
      </c>
      <c r="M504" s="709" t="s">
        <v>1797</v>
      </c>
      <c r="N504" s="712">
        <v>6362.14</v>
      </c>
      <c r="O504" s="707"/>
      <c r="P504" s="689" t="s">
        <v>1755</v>
      </c>
    </row>
    <row r="505" spans="1:16">
      <c r="A505" s="693" t="s">
        <v>1958</v>
      </c>
      <c r="B505" s="693" t="s">
        <v>1223</v>
      </c>
      <c r="C505" s="693" t="s">
        <v>1995</v>
      </c>
      <c r="D505" s="693" t="s">
        <v>1996</v>
      </c>
      <c r="E505" s="693" t="s">
        <v>1759</v>
      </c>
      <c r="F505" s="693" t="s">
        <v>1760</v>
      </c>
      <c r="G505" s="693" t="s">
        <v>1826</v>
      </c>
      <c r="H505" s="693" t="s">
        <v>1229</v>
      </c>
      <c r="I505" s="693"/>
      <c r="J505" s="694"/>
      <c r="K505" s="694"/>
      <c r="L505" s="694" t="s">
        <v>1778</v>
      </c>
      <c r="M505" s="694" t="s">
        <v>1230</v>
      </c>
      <c r="N505" s="697">
        <v>-261345.53</v>
      </c>
      <c r="O505" s="698"/>
      <c r="P505" s="698"/>
    </row>
    <row r="506" spans="1:16">
      <c r="A506" s="223" t="s">
        <v>1958</v>
      </c>
      <c r="B506" s="223" t="s">
        <v>1223</v>
      </c>
      <c r="C506" s="223" t="s">
        <v>1997</v>
      </c>
      <c r="D506" s="223" t="s">
        <v>1998</v>
      </c>
      <c r="E506" s="223" t="s">
        <v>1759</v>
      </c>
      <c r="F506" s="223" t="s">
        <v>1760</v>
      </c>
      <c r="G506" s="223" t="s">
        <v>1829</v>
      </c>
      <c r="H506" s="223" t="s">
        <v>1229</v>
      </c>
      <c r="I506" s="223"/>
      <c r="J506" s="224"/>
      <c r="K506" s="224"/>
      <c r="L506" s="224" t="s">
        <v>1778</v>
      </c>
      <c r="M506" s="224" t="s">
        <v>1230</v>
      </c>
      <c r="N506" s="696">
        <v>-790505.55</v>
      </c>
      <c r="O506" s="698"/>
      <c r="P506" s="698"/>
    </row>
    <row r="507" spans="1:16">
      <c r="A507" s="693" t="s">
        <v>1958</v>
      </c>
      <c r="B507" s="693" t="s">
        <v>1223</v>
      </c>
      <c r="C507" s="693" t="s">
        <v>1999</v>
      </c>
      <c r="D507" s="693" t="s">
        <v>2000</v>
      </c>
      <c r="E507" s="693" t="s">
        <v>1759</v>
      </c>
      <c r="F507" s="693" t="s">
        <v>1760</v>
      </c>
      <c r="G507" s="693" t="s">
        <v>1836</v>
      </c>
      <c r="H507" s="693" t="s">
        <v>1229</v>
      </c>
      <c r="I507" s="693"/>
      <c r="J507" s="694"/>
      <c r="K507" s="694"/>
      <c r="L507" s="694" t="s">
        <v>1837</v>
      </c>
      <c r="M507" s="694" t="s">
        <v>1230</v>
      </c>
      <c r="N507" s="697">
        <v>-46170.15</v>
      </c>
      <c r="O507" s="698"/>
      <c r="P507" s="698"/>
    </row>
    <row r="508" spans="1:16">
      <c r="A508" s="223" t="s">
        <v>1958</v>
      </c>
      <c r="B508" s="223" t="s">
        <v>1223</v>
      </c>
      <c r="C508" s="223" t="s">
        <v>1999</v>
      </c>
      <c r="D508" s="223" t="s">
        <v>2000</v>
      </c>
      <c r="E508" s="223" t="s">
        <v>1759</v>
      </c>
      <c r="F508" s="223" t="s">
        <v>1760</v>
      </c>
      <c r="G508" s="223" t="s">
        <v>1838</v>
      </c>
      <c r="H508" s="223" t="s">
        <v>1229</v>
      </c>
      <c r="I508" s="223"/>
      <c r="J508" s="224"/>
      <c r="K508" s="224"/>
      <c r="L508" s="224" t="s">
        <v>1837</v>
      </c>
      <c r="M508" s="224" t="s">
        <v>1230</v>
      </c>
      <c r="N508" s="696">
        <v>-1492834.71</v>
      </c>
      <c r="O508" s="698"/>
      <c r="P508" s="698"/>
    </row>
    <row r="509" spans="1:16">
      <c r="A509" s="693" t="s">
        <v>1958</v>
      </c>
      <c r="B509" s="693" t="s">
        <v>1223</v>
      </c>
      <c r="C509" s="693" t="s">
        <v>2001</v>
      </c>
      <c r="D509" s="693" t="s">
        <v>2002</v>
      </c>
      <c r="E509" s="693" t="s">
        <v>1759</v>
      </c>
      <c r="F509" s="693" t="s">
        <v>1760</v>
      </c>
      <c r="G509" s="693" t="s">
        <v>1836</v>
      </c>
      <c r="H509" s="693" t="s">
        <v>1229</v>
      </c>
      <c r="I509" s="693"/>
      <c r="J509" s="694"/>
      <c r="K509" s="694"/>
      <c r="L509" s="694" t="s">
        <v>1841</v>
      </c>
      <c r="M509" s="694" t="s">
        <v>1230</v>
      </c>
      <c r="N509" s="697">
        <v>-4181207.11</v>
      </c>
      <c r="O509" s="698"/>
      <c r="P509" s="698"/>
    </row>
    <row r="510" spans="1:16">
      <c r="A510" s="223" t="s">
        <v>1958</v>
      </c>
      <c r="B510" s="223" t="s">
        <v>1223</v>
      </c>
      <c r="C510" s="223" t="s">
        <v>2003</v>
      </c>
      <c r="D510" s="223" t="s">
        <v>2004</v>
      </c>
      <c r="E510" s="223" t="s">
        <v>1759</v>
      </c>
      <c r="F510" s="223" t="s">
        <v>1227</v>
      </c>
      <c r="G510" s="223" t="s">
        <v>1956</v>
      </c>
      <c r="H510" s="223" t="s">
        <v>1957</v>
      </c>
      <c r="I510" s="223"/>
      <c r="J510" s="224"/>
      <c r="K510" s="224"/>
      <c r="L510" s="224" t="s">
        <v>1841</v>
      </c>
      <c r="M510" s="224" t="s">
        <v>1230</v>
      </c>
      <c r="N510" s="696">
        <v>-306403</v>
      </c>
      <c r="O510" s="698"/>
      <c r="P510" s="698"/>
    </row>
    <row r="511" spans="1:16">
      <c r="A511" s="693" t="s">
        <v>1958</v>
      </c>
      <c r="B511" s="693" t="s">
        <v>1223</v>
      </c>
      <c r="C511" s="693" t="s">
        <v>2005</v>
      </c>
      <c r="D511" s="693" t="s">
        <v>2006</v>
      </c>
      <c r="E511" s="693" t="s">
        <v>1759</v>
      </c>
      <c r="F511" s="693" t="s">
        <v>1844</v>
      </c>
      <c r="G511" s="693" t="s">
        <v>1845</v>
      </c>
      <c r="H511" s="693" t="s">
        <v>1229</v>
      </c>
      <c r="I511" s="693"/>
      <c r="J511" s="694"/>
      <c r="K511" s="694"/>
      <c r="L511" s="694" t="s">
        <v>1846</v>
      </c>
      <c r="M511" s="694" t="s">
        <v>1230</v>
      </c>
      <c r="N511" s="695">
        <v>53121.14</v>
      </c>
      <c r="O511" s="698"/>
      <c r="P511" s="698"/>
    </row>
    <row r="512" spans="1:16">
      <c r="A512" s="223" t="s">
        <v>1958</v>
      </c>
      <c r="B512" s="223" t="s">
        <v>1223</v>
      </c>
      <c r="C512" s="223" t="s">
        <v>2005</v>
      </c>
      <c r="D512" s="223" t="s">
        <v>2006</v>
      </c>
      <c r="E512" s="223" t="s">
        <v>1759</v>
      </c>
      <c r="F512" s="223" t="s">
        <v>1227</v>
      </c>
      <c r="G512" s="223" t="s">
        <v>1847</v>
      </c>
      <c r="H512" s="223" t="s">
        <v>1229</v>
      </c>
      <c r="I512" s="223"/>
      <c r="J512" s="224"/>
      <c r="K512" s="224"/>
      <c r="L512" s="224" t="s">
        <v>1841</v>
      </c>
      <c r="M512" s="224" t="s">
        <v>1230</v>
      </c>
      <c r="N512" s="696">
        <v>-12864.62</v>
      </c>
      <c r="O512" s="698"/>
      <c r="P512" s="698"/>
    </row>
    <row r="513" spans="1:16">
      <c r="A513" s="693" t="s">
        <v>1958</v>
      </c>
      <c r="B513" s="693" t="s">
        <v>1223</v>
      </c>
      <c r="C513" s="693" t="s">
        <v>2005</v>
      </c>
      <c r="D513" s="693" t="s">
        <v>2006</v>
      </c>
      <c r="E513" s="693" t="s">
        <v>1759</v>
      </c>
      <c r="F513" s="693" t="s">
        <v>1760</v>
      </c>
      <c r="G513" s="693" t="s">
        <v>1836</v>
      </c>
      <c r="H513" s="693" t="s">
        <v>1229</v>
      </c>
      <c r="I513" s="693"/>
      <c r="J513" s="694"/>
      <c r="K513" s="694"/>
      <c r="L513" s="694" t="s">
        <v>1841</v>
      </c>
      <c r="M513" s="694" t="s">
        <v>1230</v>
      </c>
      <c r="N513" s="697">
        <v>-415955.86</v>
      </c>
      <c r="O513" s="698"/>
      <c r="P513" s="698"/>
    </row>
    <row r="514" spans="1:16">
      <c r="A514" s="223" t="s">
        <v>1958</v>
      </c>
      <c r="B514" s="223" t="s">
        <v>1223</v>
      </c>
      <c r="C514" s="223" t="s">
        <v>2005</v>
      </c>
      <c r="D514" s="223" t="s">
        <v>2006</v>
      </c>
      <c r="E514" s="223" t="s">
        <v>1759</v>
      </c>
      <c r="F514" s="223" t="s">
        <v>1760</v>
      </c>
      <c r="G514" s="223" t="s">
        <v>1836</v>
      </c>
      <c r="H514" s="223" t="s">
        <v>1229</v>
      </c>
      <c r="I514" s="223"/>
      <c r="J514" s="224"/>
      <c r="K514" s="224"/>
      <c r="L514" s="224" t="s">
        <v>1846</v>
      </c>
      <c r="M514" s="224" t="s">
        <v>1230</v>
      </c>
      <c r="N514" s="696">
        <v>-188.17</v>
      </c>
      <c r="O514" s="698"/>
      <c r="P514" s="698"/>
    </row>
    <row r="515" spans="1:16">
      <c r="A515" s="693" t="s">
        <v>1958</v>
      </c>
      <c r="B515" s="693" t="s">
        <v>1223</v>
      </c>
      <c r="C515" s="693" t="s">
        <v>2007</v>
      </c>
      <c r="D515" s="693" t="s">
        <v>2008</v>
      </c>
      <c r="E515" s="693" t="s">
        <v>1759</v>
      </c>
      <c r="F515" s="693" t="s">
        <v>1227</v>
      </c>
      <c r="G515" s="693" t="s">
        <v>1832</v>
      </c>
      <c r="H515" s="693" t="s">
        <v>1229</v>
      </c>
      <c r="I515" s="693"/>
      <c r="J515" s="694"/>
      <c r="K515" s="694"/>
      <c r="L515" s="694" t="s">
        <v>1778</v>
      </c>
      <c r="M515" s="694" t="s">
        <v>1230</v>
      </c>
      <c r="N515" s="697">
        <v>-16280</v>
      </c>
      <c r="O515" s="698"/>
      <c r="P515" s="698"/>
    </row>
    <row r="516" spans="1:16">
      <c r="A516" s="223" t="s">
        <v>1958</v>
      </c>
      <c r="B516" s="223" t="s">
        <v>1223</v>
      </c>
      <c r="C516" s="223" t="s">
        <v>2007</v>
      </c>
      <c r="D516" s="223" t="s">
        <v>2008</v>
      </c>
      <c r="E516" s="223" t="s">
        <v>1759</v>
      </c>
      <c r="F516" s="223" t="s">
        <v>1760</v>
      </c>
      <c r="G516" s="223" t="s">
        <v>1833</v>
      </c>
      <c r="H516" s="223" t="s">
        <v>1229</v>
      </c>
      <c r="I516" s="223"/>
      <c r="J516" s="224"/>
      <c r="K516" s="224"/>
      <c r="L516" s="224" t="s">
        <v>1778</v>
      </c>
      <c r="M516" s="224" t="s">
        <v>1230</v>
      </c>
      <c r="N516" s="225">
        <v>20284</v>
      </c>
      <c r="O516" s="698"/>
      <c r="P516" s="698"/>
    </row>
    <row r="517" spans="1:16">
      <c r="A517" s="693" t="s">
        <v>2009</v>
      </c>
      <c r="B517" s="693" t="s">
        <v>1223</v>
      </c>
      <c r="C517" s="693" t="s">
        <v>2010</v>
      </c>
      <c r="D517" s="693" t="s">
        <v>2011</v>
      </c>
      <c r="E517" s="693" t="s">
        <v>1759</v>
      </c>
      <c r="F517" s="693" t="s">
        <v>1760</v>
      </c>
      <c r="G517" s="693" t="s">
        <v>1766</v>
      </c>
      <c r="H517" s="693" t="s">
        <v>1229</v>
      </c>
      <c r="I517" s="693"/>
      <c r="J517" s="694"/>
      <c r="K517" s="694"/>
      <c r="L517" s="694" t="s">
        <v>1763</v>
      </c>
      <c r="M517" s="694" t="s">
        <v>1230</v>
      </c>
      <c r="N517" s="695">
        <v>736020.83</v>
      </c>
      <c r="O517" s="698"/>
      <c r="P517" s="698"/>
    </row>
    <row r="518" spans="1:16">
      <c r="A518" s="223" t="s">
        <v>2009</v>
      </c>
      <c r="B518" s="223" t="s">
        <v>1223</v>
      </c>
      <c r="C518" s="223" t="s">
        <v>2012</v>
      </c>
      <c r="D518" s="223" t="s">
        <v>2013</v>
      </c>
      <c r="E518" s="223" t="s">
        <v>1759</v>
      </c>
      <c r="F518" s="223" t="s">
        <v>1760</v>
      </c>
      <c r="G518" s="223" t="s">
        <v>1761</v>
      </c>
      <c r="H518" s="223" t="s">
        <v>1762</v>
      </c>
      <c r="I518" s="223"/>
      <c r="J518" s="224"/>
      <c r="K518" s="224"/>
      <c r="L518" s="224" t="s">
        <v>1763</v>
      </c>
      <c r="M518" s="224" t="s">
        <v>1230</v>
      </c>
      <c r="N518" s="696">
        <v>-186229.68</v>
      </c>
      <c r="O518" s="698"/>
      <c r="P518" s="698"/>
    </row>
    <row r="519" spans="1:16">
      <c r="A519" s="693" t="s">
        <v>2009</v>
      </c>
      <c r="B519" s="693" t="s">
        <v>1223</v>
      </c>
      <c r="C519" s="693" t="s">
        <v>2014</v>
      </c>
      <c r="D519" s="693" t="s">
        <v>2015</v>
      </c>
      <c r="E519" s="693" t="s">
        <v>1759</v>
      </c>
      <c r="F519" s="693" t="s">
        <v>1981</v>
      </c>
      <c r="G519" s="693" t="s">
        <v>1982</v>
      </c>
      <c r="H519" s="693" t="s">
        <v>1916</v>
      </c>
      <c r="I519" s="693"/>
      <c r="J519" s="694"/>
      <c r="K519" s="694"/>
      <c r="L519" s="694" t="s">
        <v>1917</v>
      </c>
      <c r="M519" s="694" t="s">
        <v>1918</v>
      </c>
      <c r="N519" s="697">
        <v>-82345.89</v>
      </c>
      <c r="O519" s="698"/>
      <c r="P519" s="698"/>
    </row>
    <row r="520" spans="1:16">
      <c r="A520" s="223" t="s">
        <v>2009</v>
      </c>
      <c r="B520" s="223" t="s">
        <v>1223</v>
      </c>
      <c r="C520" s="223" t="s">
        <v>2016</v>
      </c>
      <c r="D520" s="223" t="s">
        <v>2017</v>
      </c>
      <c r="E520" s="223" t="s">
        <v>1759</v>
      </c>
      <c r="F520" s="223" t="s">
        <v>1760</v>
      </c>
      <c r="G520" s="223" t="s">
        <v>1769</v>
      </c>
      <c r="H520" s="223" t="s">
        <v>1229</v>
      </c>
      <c r="I520" s="223"/>
      <c r="J520" s="224"/>
      <c r="K520" s="224"/>
      <c r="L520" s="224" t="s">
        <v>1770</v>
      </c>
      <c r="M520" s="224" t="s">
        <v>2018</v>
      </c>
      <c r="N520" s="225">
        <v>76934.350000000006</v>
      </c>
      <c r="O520" s="698"/>
      <c r="P520" s="698"/>
    </row>
    <row r="521" spans="1:16">
      <c r="A521" s="693" t="s">
        <v>2009</v>
      </c>
      <c r="B521" s="693" t="s">
        <v>1223</v>
      </c>
      <c r="C521" s="693" t="s">
        <v>2019</v>
      </c>
      <c r="D521" s="693" t="s">
        <v>2020</v>
      </c>
      <c r="E521" s="693" t="s">
        <v>1759</v>
      </c>
      <c r="F521" s="693" t="s">
        <v>1760</v>
      </c>
      <c r="G521" s="693" t="s">
        <v>1766</v>
      </c>
      <c r="H521" s="693" t="s">
        <v>1229</v>
      </c>
      <c r="I521" s="693"/>
      <c r="J521" s="694"/>
      <c r="K521" s="694"/>
      <c r="L521" s="694" t="s">
        <v>1763</v>
      </c>
      <c r="M521" s="694" t="s">
        <v>1230</v>
      </c>
      <c r="N521" s="697">
        <v>-748533.33</v>
      </c>
      <c r="O521" s="698"/>
      <c r="P521" s="698"/>
    </row>
    <row r="522" spans="1:16">
      <c r="A522" s="223" t="s">
        <v>2009</v>
      </c>
      <c r="B522" s="223" t="s">
        <v>1223</v>
      </c>
      <c r="C522" s="223" t="s">
        <v>2021</v>
      </c>
      <c r="D522" s="223" t="s">
        <v>2022</v>
      </c>
      <c r="E522" s="223" t="s">
        <v>1759</v>
      </c>
      <c r="F522" s="223" t="s">
        <v>1760</v>
      </c>
      <c r="G522" s="223" t="s">
        <v>1761</v>
      </c>
      <c r="H522" s="223" t="s">
        <v>1762</v>
      </c>
      <c r="I522" s="223"/>
      <c r="J522" s="224"/>
      <c r="K522" s="224"/>
      <c r="L522" s="224" t="s">
        <v>1763</v>
      </c>
      <c r="M522" s="224" t="s">
        <v>1230</v>
      </c>
      <c r="N522" s="225">
        <v>106317.39</v>
      </c>
      <c r="O522" s="698"/>
      <c r="P522" s="698"/>
    </row>
    <row r="523" spans="1:16">
      <c r="A523" s="693" t="s">
        <v>2009</v>
      </c>
      <c r="B523" s="693" t="s">
        <v>1223</v>
      </c>
      <c r="C523" s="693" t="s">
        <v>2023</v>
      </c>
      <c r="D523" s="693" t="s">
        <v>2024</v>
      </c>
      <c r="E523" s="693" t="s">
        <v>1759</v>
      </c>
      <c r="F523" s="693" t="s">
        <v>1760</v>
      </c>
      <c r="G523" s="693" t="s">
        <v>1766</v>
      </c>
      <c r="H523" s="693" t="s">
        <v>1229</v>
      </c>
      <c r="I523" s="693"/>
      <c r="J523" s="694"/>
      <c r="K523" s="694"/>
      <c r="L523" s="694" t="s">
        <v>1763</v>
      </c>
      <c r="M523" s="694" t="s">
        <v>1230</v>
      </c>
      <c r="N523" s="697">
        <v>-597659.72</v>
      </c>
      <c r="O523" s="698"/>
      <c r="P523" s="698"/>
    </row>
    <row r="524" spans="1:16">
      <c r="A524" s="223" t="s">
        <v>2009</v>
      </c>
      <c r="B524" s="223" t="s">
        <v>1223</v>
      </c>
      <c r="C524" s="223" t="s">
        <v>2025</v>
      </c>
      <c r="D524" s="223" t="s">
        <v>2026</v>
      </c>
      <c r="E524" s="223" t="s">
        <v>1759</v>
      </c>
      <c r="F524" s="223" t="s">
        <v>1760</v>
      </c>
      <c r="G524" s="223" t="s">
        <v>1761</v>
      </c>
      <c r="H524" s="223" t="s">
        <v>1762</v>
      </c>
      <c r="I524" s="223"/>
      <c r="J524" s="224"/>
      <c r="K524" s="224"/>
      <c r="L524" s="224" t="s">
        <v>1763</v>
      </c>
      <c r="M524" s="224" t="s">
        <v>1230</v>
      </c>
      <c r="N524" s="225">
        <v>112410.44</v>
      </c>
      <c r="O524" s="698"/>
      <c r="P524" s="698"/>
    </row>
    <row r="525" spans="1:16">
      <c r="A525" s="693" t="s">
        <v>2009</v>
      </c>
      <c r="B525" s="693" t="s">
        <v>1223</v>
      </c>
      <c r="C525" s="693" t="s">
        <v>2027</v>
      </c>
      <c r="D525" s="693" t="s">
        <v>2028</v>
      </c>
      <c r="E525" s="693" t="s">
        <v>1759</v>
      </c>
      <c r="F525" s="693" t="s">
        <v>1760</v>
      </c>
      <c r="G525" s="693" t="s">
        <v>1769</v>
      </c>
      <c r="H525" s="693" t="s">
        <v>1229</v>
      </c>
      <c r="I525" s="693"/>
      <c r="J525" s="694"/>
      <c r="K525" s="694"/>
      <c r="L525" s="694" t="s">
        <v>1770</v>
      </c>
      <c r="M525" s="694" t="s">
        <v>1230</v>
      </c>
      <c r="N525" s="697">
        <v>-1.58</v>
      </c>
      <c r="O525" s="698"/>
      <c r="P525" s="698"/>
    </row>
    <row r="526" spans="1:16">
      <c r="A526" s="223" t="s">
        <v>2009</v>
      </c>
      <c r="B526" s="223" t="s">
        <v>1223</v>
      </c>
      <c r="C526" s="223" t="s">
        <v>2029</v>
      </c>
      <c r="D526" s="223" t="s">
        <v>2030</v>
      </c>
      <c r="E526" s="223" t="s">
        <v>1759</v>
      </c>
      <c r="F526" s="223" t="s">
        <v>1760</v>
      </c>
      <c r="G526" s="223" t="s">
        <v>1766</v>
      </c>
      <c r="H526" s="223" t="s">
        <v>1229</v>
      </c>
      <c r="I526" s="223"/>
      <c r="J526" s="224"/>
      <c r="K526" s="224"/>
      <c r="L526" s="224" t="s">
        <v>1792</v>
      </c>
      <c r="M526" s="224" t="s">
        <v>1230</v>
      </c>
      <c r="N526" s="225">
        <v>577674.06000000006</v>
      </c>
      <c r="O526" s="698"/>
      <c r="P526" s="698"/>
    </row>
    <row r="527" spans="1:16">
      <c r="A527" s="693" t="s">
        <v>2009</v>
      </c>
      <c r="B527" s="693" t="s">
        <v>1223</v>
      </c>
      <c r="C527" s="693" t="s">
        <v>2031</v>
      </c>
      <c r="D527" s="693" t="s">
        <v>2032</v>
      </c>
      <c r="E527" s="693" t="s">
        <v>1759</v>
      </c>
      <c r="F527" s="693" t="s">
        <v>1760</v>
      </c>
      <c r="G527" s="693" t="s">
        <v>1777</v>
      </c>
      <c r="H527" s="693" t="s">
        <v>1229</v>
      </c>
      <c r="I527" s="693"/>
      <c r="J527" s="694"/>
      <c r="K527" s="694"/>
      <c r="L527" s="694" t="s">
        <v>1778</v>
      </c>
      <c r="M527" s="694" t="s">
        <v>1230</v>
      </c>
      <c r="N527" s="697">
        <v>-80513.47</v>
      </c>
      <c r="O527" s="698"/>
      <c r="P527" s="698"/>
    </row>
    <row r="528" spans="1:16">
      <c r="A528" s="223" t="s">
        <v>2009</v>
      </c>
      <c r="B528" s="223" t="s">
        <v>1223</v>
      </c>
      <c r="C528" s="223" t="s">
        <v>2033</v>
      </c>
      <c r="D528" s="223" t="s">
        <v>2034</v>
      </c>
      <c r="E528" s="223" t="s">
        <v>1759</v>
      </c>
      <c r="F528" s="223" t="s">
        <v>1981</v>
      </c>
      <c r="G528" s="223" t="s">
        <v>1982</v>
      </c>
      <c r="H528" s="223" t="s">
        <v>1916</v>
      </c>
      <c r="I528" s="223"/>
      <c r="J528" s="224"/>
      <c r="K528" s="224"/>
      <c r="L528" s="224" t="s">
        <v>1917</v>
      </c>
      <c r="M528" s="224" t="s">
        <v>1918</v>
      </c>
      <c r="N528" s="225">
        <v>82345.89</v>
      </c>
      <c r="O528" s="698"/>
      <c r="P528" s="698"/>
    </row>
    <row r="529" spans="1:16" hidden="1">
      <c r="A529" s="704" t="s">
        <v>2009</v>
      </c>
      <c r="B529" s="704" t="s">
        <v>1223</v>
      </c>
      <c r="C529" s="704" t="s">
        <v>2035</v>
      </c>
      <c r="D529" s="704" t="s">
        <v>2036</v>
      </c>
      <c r="E529" s="704" t="s">
        <v>1759</v>
      </c>
      <c r="F529" s="704" t="s">
        <v>1760</v>
      </c>
      <c r="G529" s="704" t="s">
        <v>1869</v>
      </c>
      <c r="H529" s="704" t="s">
        <v>1229</v>
      </c>
      <c r="I529" s="704"/>
      <c r="J529" s="705"/>
      <c r="K529" s="705"/>
      <c r="L529" s="705" t="s">
        <v>1796</v>
      </c>
      <c r="M529" s="705" t="s">
        <v>1797</v>
      </c>
      <c r="N529" s="706">
        <v>5352.62</v>
      </c>
      <c r="O529" s="707"/>
      <c r="P529" s="689" t="s">
        <v>1755</v>
      </c>
    </row>
    <row r="530" spans="1:16">
      <c r="A530" s="223" t="s">
        <v>2009</v>
      </c>
      <c r="B530" s="223" t="s">
        <v>1223</v>
      </c>
      <c r="C530" s="223" t="s">
        <v>2037</v>
      </c>
      <c r="D530" s="223" t="s">
        <v>2038</v>
      </c>
      <c r="E530" s="223" t="s">
        <v>1759</v>
      </c>
      <c r="F530" s="223" t="s">
        <v>1760</v>
      </c>
      <c r="G530" s="223" t="s">
        <v>1789</v>
      </c>
      <c r="H530" s="223" t="s">
        <v>1229</v>
      </c>
      <c r="I530" s="223"/>
      <c r="J530" s="224"/>
      <c r="K530" s="224"/>
      <c r="L530" s="224" t="s">
        <v>1928</v>
      </c>
      <c r="M530" s="224" t="s">
        <v>1797</v>
      </c>
      <c r="N530" s="696">
        <v>-247185.66</v>
      </c>
      <c r="O530" s="698"/>
      <c r="P530" s="698"/>
    </row>
    <row r="531" spans="1:16">
      <c r="A531" s="693" t="s">
        <v>2009</v>
      </c>
      <c r="B531" s="693" t="s">
        <v>1223</v>
      </c>
      <c r="C531" s="693" t="s">
        <v>2039</v>
      </c>
      <c r="D531" s="693" t="s">
        <v>2040</v>
      </c>
      <c r="E531" s="693" t="s">
        <v>1759</v>
      </c>
      <c r="F531" s="693" t="s">
        <v>1760</v>
      </c>
      <c r="G531" s="693" t="s">
        <v>1826</v>
      </c>
      <c r="H531" s="693" t="s">
        <v>1229</v>
      </c>
      <c r="I531" s="693"/>
      <c r="J531" s="694"/>
      <c r="K531" s="694"/>
      <c r="L531" s="694" t="s">
        <v>1778</v>
      </c>
      <c r="M531" s="694" t="s">
        <v>1230</v>
      </c>
      <c r="N531" s="697">
        <v>-164003.73000000001</v>
      </c>
      <c r="O531" s="698"/>
      <c r="P531" s="698"/>
    </row>
    <row r="532" spans="1:16">
      <c r="A532" s="223" t="s">
        <v>2009</v>
      </c>
      <c r="B532" s="223" t="s">
        <v>1223</v>
      </c>
      <c r="C532" s="223" t="s">
        <v>2041</v>
      </c>
      <c r="D532" s="223" t="s">
        <v>2042</v>
      </c>
      <c r="E532" s="223" t="s">
        <v>1759</v>
      </c>
      <c r="F532" s="223" t="s">
        <v>1227</v>
      </c>
      <c r="G532" s="223" t="s">
        <v>1832</v>
      </c>
      <c r="H532" s="223" t="s">
        <v>1229</v>
      </c>
      <c r="I532" s="223"/>
      <c r="J532" s="224"/>
      <c r="K532" s="224"/>
      <c r="L532" s="224" t="s">
        <v>1778</v>
      </c>
      <c r="M532" s="224" t="s">
        <v>1230</v>
      </c>
      <c r="N532" s="696">
        <v>-10103</v>
      </c>
      <c r="O532" s="698"/>
      <c r="P532" s="698"/>
    </row>
    <row r="533" spans="1:16">
      <c r="A533" s="693" t="s">
        <v>2009</v>
      </c>
      <c r="B533" s="693" t="s">
        <v>1223</v>
      </c>
      <c r="C533" s="693" t="s">
        <v>2041</v>
      </c>
      <c r="D533" s="693" t="s">
        <v>2042</v>
      </c>
      <c r="E533" s="693" t="s">
        <v>1759</v>
      </c>
      <c r="F533" s="693" t="s">
        <v>1760</v>
      </c>
      <c r="G533" s="693" t="s">
        <v>1833</v>
      </c>
      <c r="H533" s="693" t="s">
        <v>1229</v>
      </c>
      <c r="I533" s="693"/>
      <c r="J533" s="694"/>
      <c r="K533" s="694"/>
      <c r="L533" s="694" t="s">
        <v>1778</v>
      </c>
      <c r="M533" s="694" t="s">
        <v>1230</v>
      </c>
      <c r="N533" s="695">
        <v>12937</v>
      </c>
      <c r="O533" s="698"/>
      <c r="P533" s="698"/>
    </row>
    <row r="534" spans="1:16">
      <c r="A534" s="223" t="s">
        <v>2009</v>
      </c>
      <c r="B534" s="223" t="s">
        <v>1223</v>
      </c>
      <c r="C534" s="223" t="s">
        <v>2043</v>
      </c>
      <c r="D534" s="223" t="s">
        <v>2044</v>
      </c>
      <c r="E534" s="223" t="s">
        <v>1759</v>
      </c>
      <c r="F534" s="223" t="s">
        <v>1760</v>
      </c>
      <c r="G534" s="223" t="s">
        <v>1836</v>
      </c>
      <c r="H534" s="223" t="s">
        <v>1229</v>
      </c>
      <c r="I534" s="223"/>
      <c r="J534" s="224"/>
      <c r="K534" s="224"/>
      <c r="L534" s="224" t="s">
        <v>1837</v>
      </c>
      <c r="M534" s="224" t="s">
        <v>1230</v>
      </c>
      <c r="N534" s="696">
        <v>-37817.79</v>
      </c>
      <c r="O534" s="698"/>
      <c r="P534" s="698"/>
    </row>
    <row r="535" spans="1:16">
      <c r="A535" s="693" t="s">
        <v>2009</v>
      </c>
      <c r="B535" s="693" t="s">
        <v>1223</v>
      </c>
      <c r="C535" s="693" t="s">
        <v>2043</v>
      </c>
      <c r="D535" s="693" t="s">
        <v>2044</v>
      </c>
      <c r="E535" s="693" t="s">
        <v>1759</v>
      </c>
      <c r="F535" s="693" t="s">
        <v>1760</v>
      </c>
      <c r="G535" s="693" t="s">
        <v>1838</v>
      </c>
      <c r="H535" s="693" t="s">
        <v>1229</v>
      </c>
      <c r="I535" s="693"/>
      <c r="J535" s="694"/>
      <c r="K535" s="694"/>
      <c r="L535" s="694" t="s">
        <v>1837</v>
      </c>
      <c r="M535" s="694" t="s">
        <v>1230</v>
      </c>
      <c r="N535" s="697">
        <v>-1222775.31</v>
      </c>
      <c r="O535" s="698"/>
      <c r="P535" s="698"/>
    </row>
    <row r="536" spans="1:16">
      <c r="A536" s="223" t="s">
        <v>2009</v>
      </c>
      <c r="B536" s="223" t="s">
        <v>1223</v>
      </c>
      <c r="C536" s="223" t="s">
        <v>2045</v>
      </c>
      <c r="D536" s="223" t="s">
        <v>2046</v>
      </c>
      <c r="E536" s="223" t="s">
        <v>1759</v>
      </c>
      <c r="F536" s="223" t="s">
        <v>1760</v>
      </c>
      <c r="G536" s="223" t="s">
        <v>1836</v>
      </c>
      <c r="H536" s="223" t="s">
        <v>1229</v>
      </c>
      <c r="I536" s="223"/>
      <c r="J536" s="224"/>
      <c r="K536" s="224"/>
      <c r="L536" s="224" t="s">
        <v>1841</v>
      </c>
      <c r="M536" s="224" t="s">
        <v>1230</v>
      </c>
      <c r="N536" s="696">
        <v>-3502184.97</v>
      </c>
      <c r="O536" s="698"/>
      <c r="P536" s="698"/>
    </row>
    <row r="537" spans="1:16">
      <c r="A537" s="693" t="s">
        <v>2009</v>
      </c>
      <c r="B537" s="693" t="s">
        <v>1223</v>
      </c>
      <c r="C537" s="693" t="s">
        <v>2047</v>
      </c>
      <c r="D537" s="693" t="s">
        <v>2048</v>
      </c>
      <c r="E537" s="693" t="s">
        <v>1759</v>
      </c>
      <c r="F537" s="693" t="s">
        <v>1760</v>
      </c>
      <c r="G537" s="693" t="s">
        <v>1829</v>
      </c>
      <c r="H537" s="693" t="s">
        <v>1229</v>
      </c>
      <c r="I537" s="693"/>
      <c r="J537" s="694"/>
      <c r="K537" s="694"/>
      <c r="L537" s="694" t="s">
        <v>1778</v>
      </c>
      <c r="M537" s="694" t="s">
        <v>1230</v>
      </c>
      <c r="N537" s="695">
        <v>422042.82</v>
      </c>
      <c r="O537" s="698"/>
      <c r="P537" s="698"/>
    </row>
    <row r="538" spans="1:16">
      <c r="A538" s="223" t="s">
        <v>2009</v>
      </c>
      <c r="B538" s="223" t="s">
        <v>1223</v>
      </c>
      <c r="C538" s="223" t="s">
        <v>2049</v>
      </c>
      <c r="D538" s="223" t="s">
        <v>2050</v>
      </c>
      <c r="E538" s="223" t="s">
        <v>1759</v>
      </c>
      <c r="F538" s="223" t="s">
        <v>1844</v>
      </c>
      <c r="G538" s="223" t="s">
        <v>1845</v>
      </c>
      <c r="H538" s="223" t="s">
        <v>1229</v>
      </c>
      <c r="I538" s="223"/>
      <c r="J538" s="224"/>
      <c r="K538" s="224"/>
      <c r="L538" s="224" t="s">
        <v>1846</v>
      </c>
      <c r="M538" s="224" t="s">
        <v>1230</v>
      </c>
      <c r="N538" s="225">
        <v>31156.880000000001</v>
      </c>
      <c r="O538" s="698"/>
      <c r="P538" s="698"/>
    </row>
    <row r="539" spans="1:16">
      <c r="A539" s="693" t="s">
        <v>2009</v>
      </c>
      <c r="B539" s="693" t="s">
        <v>1223</v>
      </c>
      <c r="C539" s="693" t="s">
        <v>2049</v>
      </c>
      <c r="D539" s="693" t="s">
        <v>2050</v>
      </c>
      <c r="E539" s="693" t="s">
        <v>1759</v>
      </c>
      <c r="F539" s="693" t="s">
        <v>1227</v>
      </c>
      <c r="G539" s="693" t="s">
        <v>1847</v>
      </c>
      <c r="H539" s="693" t="s">
        <v>1229</v>
      </c>
      <c r="I539" s="693"/>
      <c r="J539" s="694"/>
      <c r="K539" s="694"/>
      <c r="L539" s="694" t="s">
        <v>1841</v>
      </c>
      <c r="M539" s="694" t="s">
        <v>1230</v>
      </c>
      <c r="N539" s="695">
        <v>32236.19</v>
      </c>
      <c r="O539" s="698"/>
      <c r="P539" s="698"/>
    </row>
    <row r="540" spans="1:16">
      <c r="A540" s="223" t="s">
        <v>2009</v>
      </c>
      <c r="B540" s="223" t="s">
        <v>1223</v>
      </c>
      <c r="C540" s="223" t="s">
        <v>2049</v>
      </c>
      <c r="D540" s="223" t="s">
        <v>2050</v>
      </c>
      <c r="E540" s="223" t="s">
        <v>1759</v>
      </c>
      <c r="F540" s="223" t="s">
        <v>1760</v>
      </c>
      <c r="G540" s="223" t="s">
        <v>1836</v>
      </c>
      <c r="H540" s="223" t="s">
        <v>1229</v>
      </c>
      <c r="I540" s="223"/>
      <c r="J540" s="224"/>
      <c r="K540" s="224"/>
      <c r="L540" s="224" t="s">
        <v>1841</v>
      </c>
      <c r="M540" s="224" t="s">
        <v>1230</v>
      </c>
      <c r="N540" s="225">
        <v>1042303.42</v>
      </c>
      <c r="O540" s="698"/>
      <c r="P540" s="698"/>
    </row>
    <row r="541" spans="1:16">
      <c r="A541" s="693" t="s">
        <v>2009</v>
      </c>
      <c r="B541" s="693" t="s">
        <v>1223</v>
      </c>
      <c r="C541" s="693" t="s">
        <v>2049</v>
      </c>
      <c r="D541" s="693" t="s">
        <v>2050</v>
      </c>
      <c r="E541" s="693" t="s">
        <v>1759</v>
      </c>
      <c r="F541" s="693" t="s">
        <v>1760</v>
      </c>
      <c r="G541" s="693" t="s">
        <v>1836</v>
      </c>
      <c r="H541" s="693" t="s">
        <v>1229</v>
      </c>
      <c r="I541" s="693"/>
      <c r="J541" s="694"/>
      <c r="K541" s="694"/>
      <c r="L541" s="694" t="s">
        <v>1846</v>
      </c>
      <c r="M541" s="694" t="s">
        <v>1230</v>
      </c>
      <c r="N541" s="697">
        <v>-286.97000000000003</v>
      </c>
      <c r="O541" s="698"/>
      <c r="P541" s="698"/>
    </row>
    <row r="542" spans="1:16">
      <c r="A542" s="223" t="s">
        <v>2009</v>
      </c>
      <c r="B542" s="223" t="s">
        <v>1223</v>
      </c>
      <c r="C542" s="223" t="s">
        <v>2051</v>
      </c>
      <c r="D542" s="223" t="s">
        <v>2052</v>
      </c>
      <c r="E542" s="223" t="s">
        <v>1759</v>
      </c>
      <c r="F542" s="223" t="s">
        <v>1227</v>
      </c>
      <c r="G542" s="223" t="s">
        <v>1956</v>
      </c>
      <c r="H542" s="223" t="s">
        <v>1957</v>
      </c>
      <c r="I542" s="223"/>
      <c r="J542" s="224"/>
      <c r="K542" s="224"/>
      <c r="L542" s="224" t="s">
        <v>1841</v>
      </c>
      <c r="M542" s="224" t="s">
        <v>1230</v>
      </c>
      <c r="N542" s="696">
        <v>-145045.29999999999</v>
      </c>
      <c r="O542" s="698"/>
      <c r="P542" s="698"/>
    </row>
    <row r="543" spans="1:16">
      <c r="A543" s="693" t="s">
        <v>2009</v>
      </c>
      <c r="B543" s="693" t="s">
        <v>1223</v>
      </c>
      <c r="C543" s="693" t="s">
        <v>2053</v>
      </c>
      <c r="D543" s="693" t="s">
        <v>2054</v>
      </c>
      <c r="E543" s="693" t="s">
        <v>1759</v>
      </c>
      <c r="F543" s="693" t="s">
        <v>1227</v>
      </c>
      <c r="G543" s="693" t="s">
        <v>1956</v>
      </c>
      <c r="H543" s="693" t="s">
        <v>1957</v>
      </c>
      <c r="I543" s="693"/>
      <c r="J543" s="694"/>
      <c r="K543" s="694"/>
      <c r="L543" s="694" t="s">
        <v>1841</v>
      </c>
      <c r="M543" s="694" t="s">
        <v>1230</v>
      </c>
      <c r="N543" s="695">
        <v>163110.81</v>
      </c>
      <c r="O543" s="698"/>
      <c r="P543" s="698"/>
    </row>
    <row r="544" spans="1:16">
      <c r="A544" s="223" t="s">
        <v>2009</v>
      </c>
      <c r="B544" s="223" t="s">
        <v>1223</v>
      </c>
      <c r="C544" s="223" t="s">
        <v>2055</v>
      </c>
      <c r="D544" s="223" t="s">
        <v>2056</v>
      </c>
      <c r="E544" s="223" t="s">
        <v>1759</v>
      </c>
      <c r="F544" s="223" t="s">
        <v>1227</v>
      </c>
      <c r="G544" s="223" t="s">
        <v>1956</v>
      </c>
      <c r="H544" s="223" t="s">
        <v>1957</v>
      </c>
      <c r="I544" s="223"/>
      <c r="J544" s="224"/>
      <c r="K544" s="224"/>
      <c r="L544" s="224" t="s">
        <v>1841</v>
      </c>
      <c r="M544" s="224" t="s">
        <v>1230</v>
      </c>
      <c r="N544" s="225">
        <v>504761.5</v>
      </c>
      <c r="O544" s="698"/>
      <c r="P544" s="698"/>
    </row>
    <row r="545" spans="1:16" hidden="1">
      <c r="A545" s="704" t="s">
        <v>2057</v>
      </c>
      <c r="B545" s="704" t="s">
        <v>1223</v>
      </c>
      <c r="C545" s="704" t="s">
        <v>2058</v>
      </c>
      <c r="D545" s="704" t="s">
        <v>2059</v>
      </c>
      <c r="E545" s="704" t="s">
        <v>1759</v>
      </c>
      <c r="F545" s="704" t="s">
        <v>1981</v>
      </c>
      <c r="G545" s="704" t="s">
        <v>2060</v>
      </c>
      <c r="H545" s="704" t="s">
        <v>2061</v>
      </c>
      <c r="I545" s="704"/>
      <c r="J545" s="705"/>
      <c r="K545" s="705"/>
      <c r="L545" s="705" t="s">
        <v>2062</v>
      </c>
      <c r="M545" s="705" t="s">
        <v>1230</v>
      </c>
      <c r="N545" s="711">
        <v>-282.24</v>
      </c>
      <c r="O545" s="707"/>
      <c r="P545" s="689" t="s">
        <v>1755</v>
      </c>
    </row>
    <row r="546" spans="1:16" hidden="1">
      <c r="A546" s="708" t="s">
        <v>2057</v>
      </c>
      <c r="B546" s="708" t="s">
        <v>1223</v>
      </c>
      <c r="C546" s="708" t="s">
        <v>2063</v>
      </c>
      <c r="D546" s="708" t="s">
        <v>2064</v>
      </c>
      <c r="E546" s="708" t="s">
        <v>1759</v>
      </c>
      <c r="F546" s="708" t="s">
        <v>1914</v>
      </c>
      <c r="G546" s="708" t="s">
        <v>1915</v>
      </c>
      <c r="H546" s="708" t="s">
        <v>1916</v>
      </c>
      <c r="I546" s="708"/>
      <c r="J546" s="709"/>
      <c r="K546" s="709"/>
      <c r="L546" s="709" t="s">
        <v>1917</v>
      </c>
      <c r="M546" s="709" t="s">
        <v>1918</v>
      </c>
      <c r="N546" s="710">
        <v>-11017.99</v>
      </c>
      <c r="O546" s="707"/>
      <c r="P546" s="689" t="s">
        <v>1755</v>
      </c>
    </row>
    <row r="547" spans="1:16" hidden="1">
      <c r="A547" s="704" t="s">
        <v>2057</v>
      </c>
      <c r="B547" s="704" t="s">
        <v>1223</v>
      </c>
      <c r="C547" s="704" t="s">
        <v>2065</v>
      </c>
      <c r="D547" s="704" t="s">
        <v>2066</v>
      </c>
      <c r="E547" s="704" t="s">
        <v>1759</v>
      </c>
      <c r="F547" s="704" t="s">
        <v>1981</v>
      </c>
      <c r="G547" s="704" t="s">
        <v>1982</v>
      </c>
      <c r="H547" s="704" t="s">
        <v>1916</v>
      </c>
      <c r="I547" s="704"/>
      <c r="J547" s="705"/>
      <c r="K547" s="705"/>
      <c r="L547" s="705" t="s">
        <v>1917</v>
      </c>
      <c r="M547" s="705" t="s">
        <v>1918</v>
      </c>
      <c r="N547" s="711">
        <v>-4.17</v>
      </c>
      <c r="O547" s="707"/>
      <c r="P547" s="689" t="s">
        <v>1755</v>
      </c>
    </row>
    <row r="548" spans="1:16">
      <c r="A548" s="223" t="s">
        <v>2057</v>
      </c>
      <c r="B548" s="223" t="s">
        <v>1223</v>
      </c>
      <c r="C548" s="223" t="s">
        <v>2067</v>
      </c>
      <c r="D548" s="223" t="s">
        <v>2068</v>
      </c>
      <c r="E548" s="223" t="s">
        <v>1759</v>
      </c>
      <c r="F548" s="223" t="s">
        <v>1760</v>
      </c>
      <c r="G548" s="223" t="s">
        <v>1766</v>
      </c>
      <c r="H548" s="223" t="s">
        <v>1229</v>
      </c>
      <c r="I548" s="223"/>
      <c r="J548" s="224"/>
      <c r="K548" s="224"/>
      <c r="L548" s="224" t="s">
        <v>1763</v>
      </c>
      <c r="M548" s="224" t="s">
        <v>1230</v>
      </c>
      <c r="N548" s="225">
        <v>597659.72</v>
      </c>
      <c r="O548" s="698"/>
      <c r="P548" s="698"/>
    </row>
    <row r="549" spans="1:16">
      <c r="A549" s="693" t="s">
        <v>2057</v>
      </c>
      <c r="B549" s="693" t="s">
        <v>1223</v>
      </c>
      <c r="C549" s="693" t="s">
        <v>2069</v>
      </c>
      <c r="D549" s="693" t="s">
        <v>2070</v>
      </c>
      <c r="E549" s="693" t="s">
        <v>1759</v>
      </c>
      <c r="F549" s="693" t="s">
        <v>1760</v>
      </c>
      <c r="G549" s="693" t="s">
        <v>1761</v>
      </c>
      <c r="H549" s="693" t="s">
        <v>1762</v>
      </c>
      <c r="I549" s="693"/>
      <c r="J549" s="694"/>
      <c r="K549" s="694"/>
      <c r="L549" s="694" t="s">
        <v>1763</v>
      </c>
      <c r="M549" s="694" t="s">
        <v>1230</v>
      </c>
      <c r="N549" s="697">
        <v>-112410.44</v>
      </c>
      <c r="O549" s="698"/>
      <c r="P549" s="698"/>
    </row>
    <row r="550" spans="1:16">
      <c r="A550" s="223" t="s">
        <v>2057</v>
      </c>
      <c r="B550" s="223" t="s">
        <v>1223</v>
      </c>
      <c r="C550" s="223" t="s">
        <v>2071</v>
      </c>
      <c r="D550" s="223" t="s">
        <v>2072</v>
      </c>
      <c r="E550" s="223" t="s">
        <v>1759</v>
      </c>
      <c r="F550" s="223" t="s">
        <v>1760</v>
      </c>
      <c r="G550" s="223" t="s">
        <v>1769</v>
      </c>
      <c r="H550" s="223" t="s">
        <v>1229</v>
      </c>
      <c r="I550" s="223"/>
      <c r="J550" s="224"/>
      <c r="K550" s="224"/>
      <c r="L550" s="224" t="s">
        <v>1770</v>
      </c>
      <c r="M550" s="224" t="s">
        <v>1230</v>
      </c>
      <c r="N550" s="696">
        <v>-153776.84</v>
      </c>
      <c r="O550" s="698"/>
      <c r="P550" s="698"/>
    </row>
    <row r="551" spans="1:16">
      <c r="A551" s="693" t="s">
        <v>2057</v>
      </c>
      <c r="B551" s="693" t="s">
        <v>1223</v>
      </c>
      <c r="C551" s="693" t="s">
        <v>2073</v>
      </c>
      <c r="D551" s="693" t="s">
        <v>2074</v>
      </c>
      <c r="E551" s="693" t="s">
        <v>1759</v>
      </c>
      <c r="F551" s="693" t="s">
        <v>1760</v>
      </c>
      <c r="G551" s="693" t="s">
        <v>1766</v>
      </c>
      <c r="H551" s="693" t="s">
        <v>1229</v>
      </c>
      <c r="I551" s="693"/>
      <c r="J551" s="694"/>
      <c r="K551" s="694"/>
      <c r="L551" s="694" t="s">
        <v>1763</v>
      </c>
      <c r="M551" s="694" t="s">
        <v>1230</v>
      </c>
      <c r="N551" s="697">
        <v>-630757.43999999994</v>
      </c>
      <c r="O551" s="698"/>
      <c r="P551" s="698"/>
    </row>
    <row r="552" spans="1:16">
      <c r="A552" s="223" t="s">
        <v>2057</v>
      </c>
      <c r="B552" s="223" t="s">
        <v>1223</v>
      </c>
      <c r="C552" s="223" t="s">
        <v>2075</v>
      </c>
      <c r="D552" s="223" t="s">
        <v>2076</v>
      </c>
      <c r="E552" s="223" t="s">
        <v>1759</v>
      </c>
      <c r="F552" s="223" t="s">
        <v>1760</v>
      </c>
      <c r="G552" s="223" t="s">
        <v>1761</v>
      </c>
      <c r="H552" s="223" t="s">
        <v>1762</v>
      </c>
      <c r="I552" s="223"/>
      <c r="J552" s="224"/>
      <c r="K552" s="224"/>
      <c r="L552" s="224" t="s">
        <v>1763</v>
      </c>
      <c r="M552" s="224" t="s">
        <v>1230</v>
      </c>
      <c r="N552" s="225">
        <v>27049.55</v>
      </c>
      <c r="O552" s="698"/>
      <c r="P552" s="698"/>
    </row>
    <row r="553" spans="1:16" hidden="1">
      <c r="A553" s="704" t="s">
        <v>2057</v>
      </c>
      <c r="B553" s="704" t="s">
        <v>1223</v>
      </c>
      <c r="C553" s="704" t="s">
        <v>2077</v>
      </c>
      <c r="D553" s="704" t="s">
        <v>2078</v>
      </c>
      <c r="E553" s="704" t="s">
        <v>1759</v>
      </c>
      <c r="F553" s="704" t="s">
        <v>1914</v>
      </c>
      <c r="G553" s="704" t="s">
        <v>1915</v>
      </c>
      <c r="H553" s="704" t="s">
        <v>1916</v>
      </c>
      <c r="I553" s="704"/>
      <c r="J553" s="705"/>
      <c r="K553" s="705"/>
      <c r="L553" s="705" t="s">
        <v>1917</v>
      </c>
      <c r="M553" s="705" t="s">
        <v>1918</v>
      </c>
      <c r="N553" s="711">
        <v>-3839.21</v>
      </c>
      <c r="O553" s="707"/>
      <c r="P553" s="689" t="s">
        <v>1755</v>
      </c>
    </row>
    <row r="554" spans="1:16">
      <c r="A554" s="223" t="s">
        <v>2057</v>
      </c>
      <c r="B554" s="223" t="s">
        <v>1223</v>
      </c>
      <c r="C554" s="223" t="s">
        <v>2079</v>
      </c>
      <c r="D554" s="223" t="s">
        <v>2080</v>
      </c>
      <c r="E554" s="223" t="s">
        <v>1759</v>
      </c>
      <c r="F554" s="223" t="s">
        <v>1760</v>
      </c>
      <c r="G554" s="223" t="s">
        <v>1777</v>
      </c>
      <c r="H554" s="223" t="s">
        <v>1229</v>
      </c>
      <c r="I554" s="223"/>
      <c r="J554" s="224"/>
      <c r="K554" s="224"/>
      <c r="L554" s="224" t="s">
        <v>1778</v>
      </c>
      <c r="M554" s="224" t="s">
        <v>1230</v>
      </c>
      <c r="N554" s="696">
        <v>-19633.36</v>
      </c>
      <c r="O554" s="698"/>
      <c r="P554" s="698"/>
    </row>
    <row r="555" spans="1:16">
      <c r="A555" s="693" t="s">
        <v>2057</v>
      </c>
      <c r="B555" s="693" t="s">
        <v>1223</v>
      </c>
      <c r="C555" s="693" t="s">
        <v>2081</v>
      </c>
      <c r="D555" s="693" t="s">
        <v>2082</v>
      </c>
      <c r="E555" s="693" t="s">
        <v>1759</v>
      </c>
      <c r="F555" s="693" t="s">
        <v>1760</v>
      </c>
      <c r="G555" s="693" t="s">
        <v>1766</v>
      </c>
      <c r="H555" s="693" t="s">
        <v>1229</v>
      </c>
      <c r="I555" s="693"/>
      <c r="J555" s="694"/>
      <c r="K555" s="694"/>
      <c r="L555" s="694" t="s">
        <v>1763</v>
      </c>
      <c r="M555" s="694" t="s">
        <v>1230</v>
      </c>
      <c r="N555" s="697">
        <v>-381630.69</v>
      </c>
      <c r="O555" s="698"/>
      <c r="P555" s="698"/>
    </row>
    <row r="556" spans="1:16">
      <c r="A556" s="223" t="s">
        <v>2057</v>
      </c>
      <c r="B556" s="223" t="s">
        <v>1223</v>
      </c>
      <c r="C556" s="223" t="s">
        <v>2083</v>
      </c>
      <c r="D556" s="223" t="s">
        <v>2084</v>
      </c>
      <c r="E556" s="223" t="s">
        <v>1759</v>
      </c>
      <c r="F556" s="223" t="s">
        <v>1760</v>
      </c>
      <c r="G556" s="223" t="s">
        <v>1761</v>
      </c>
      <c r="H556" s="223" t="s">
        <v>1762</v>
      </c>
      <c r="I556" s="223"/>
      <c r="J556" s="224"/>
      <c r="K556" s="224"/>
      <c r="L556" s="224" t="s">
        <v>1763</v>
      </c>
      <c r="M556" s="224" t="s">
        <v>1230</v>
      </c>
      <c r="N556" s="696">
        <v>-95249.49</v>
      </c>
      <c r="O556" s="698"/>
      <c r="P556" s="698"/>
    </row>
    <row r="557" spans="1:16">
      <c r="A557" s="693" t="s">
        <v>2057</v>
      </c>
      <c r="B557" s="693" t="s">
        <v>1223</v>
      </c>
      <c r="C557" s="693" t="s">
        <v>2085</v>
      </c>
      <c r="D557" s="693" t="s">
        <v>2086</v>
      </c>
      <c r="E557" s="693" t="s">
        <v>1759</v>
      </c>
      <c r="F557" s="693" t="s">
        <v>1760</v>
      </c>
      <c r="G557" s="693" t="s">
        <v>1766</v>
      </c>
      <c r="H557" s="693" t="s">
        <v>1229</v>
      </c>
      <c r="I557" s="693"/>
      <c r="J557" s="694"/>
      <c r="K557" s="694"/>
      <c r="L557" s="694" t="s">
        <v>1792</v>
      </c>
      <c r="M557" s="694" t="s">
        <v>1230</v>
      </c>
      <c r="N557" s="695">
        <v>616504.06999999995</v>
      </c>
      <c r="O557" s="698"/>
      <c r="P557" s="698"/>
    </row>
    <row r="558" spans="1:16" hidden="1">
      <c r="A558" s="708" t="s">
        <v>2057</v>
      </c>
      <c r="B558" s="708" t="s">
        <v>1223</v>
      </c>
      <c r="C558" s="708" t="s">
        <v>2087</v>
      </c>
      <c r="D558" s="708" t="s">
        <v>2088</v>
      </c>
      <c r="E558" s="708" t="s">
        <v>1759</v>
      </c>
      <c r="F558" s="708" t="s">
        <v>1760</v>
      </c>
      <c r="G558" s="708" t="s">
        <v>1869</v>
      </c>
      <c r="H558" s="708" t="s">
        <v>1229</v>
      </c>
      <c r="I558" s="708"/>
      <c r="J558" s="709"/>
      <c r="K558" s="709"/>
      <c r="L558" s="709" t="s">
        <v>1796</v>
      </c>
      <c r="M558" s="709" t="s">
        <v>1797</v>
      </c>
      <c r="N558" s="712">
        <v>5212.24</v>
      </c>
      <c r="O558" s="707"/>
      <c r="P558" s="689" t="s">
        <v>1755</v>
      </c>
    </row>
    <row r="559" spans="1:16">
      <c r="A559" s="693" t="s">
        <v>2057</v>
      </c>
      <c r="B559" s="693" t="s">
        <v>1223</v>
      </c>
      <c r="C559" s="693" t="s">
        <v>2089</v>
      </c>
      <c r="D559" s="693" t="s">
        <v>2090</v>
      </c>
      <c r="E559" s="693" t="s">
        <v>1759</v>
      </c>
      <c r="F559" s="693" t="s">
        <v>1760</v>
      </c>
      <c r="G559" s="693" t="s">
        <v>1789</v>
      </c>
      <c r="H559" s="693" t="s">
        <v>1229</v>
      </c>
      <c r="I559" s="693"/>
      <c r="J559" s="694"/>
      <c r="K559" s="694"/>
      <c r="L559" s="694" t="s">
        <v>1928</v>
      </c>
      <c r="M559" s="694" t="s">
        <v>1797</v>
      </c>
      <c r="N559" s="695">
        <v>226020.39</v>
      </c>
      <c r="O559" s="698"/>
      <c r="P559" s="698"/>
    </row>
    <row r="560" spans="1:16">
      <c r="A560" s="223" t="s">
        <v>2057</v>
      </c>
      <c r="B560" s="223" t="s">
        <v>1223</v>
      </c>
      <c r="C560" s="223" t="s">
        <v>2091</v>
      </c>
      <c r="D560" s="223" t="s">
        <v>2092</v>
      </c>
      <c r="E560" s="223" t="s">
        <v>1759</v>
      </c>
      <c r="F560" s="223" t="s">
        <v>1760</v>
      </c>
      <c r="G560" s="223" t="s">
        <v>1826</v>
      </c>
      <c r="H560" s="223" t="s">
        <v>1229</v>
      </c>
      <c r="I560" s="223"/>
      <c r="J560" s="224"/>
      <c r="K560" s="224"/>
      <c r="L560" s="224" t="s">
        <v>1778</v>
      </c>
      <c r="M560" s="224" t="s">
        <v>1230</v>
      </c>
      <c r="N560" s="696">
        <v>-76797.649999999994</v>
      </c>
      <c r="O560" s="698"/>
      <c r="P560" s="698"/>
    </row>
    <row r="561" spans="1:16">
      <c r="A561" s="693" t="s">
        <v>2057</v>
      </c>
      <c r="B561" s="693" t="s">
        <v>1223</v>
      </c>
      <c r="C561" s="693" t="s">
        <v>2093</v>
      </c>
      <c r="D561" s="693" t="s">
        <v>2094</v>
      </c>
      <c r="E561" s="693" t="s">
        <v>1759</v>
      </c>
      <c r="F561" s="693" t="s">
        <v>1227</v>
      </c>
      <c r="G561" s="693" t="s">
        <v>1832</v>
      </c>
      <c r="H561" s="693" t="s">
        <v>1229</v>
      </c>
      <c r="I561" s="693"/>
      <c r="J561" s="694"/>
      <c r="K561" s="694"/>
      <c r="L561" s="694" t="s">
        <v>1778</v>
      </c>
      <c r="M561" s="694" t="s">
        <v>1230</v>
      </c>
      <c r="N561" s="697">
        <v>-5437</v>
      </c>
      <c r="O561" s="698"/>
      <c r="P561" s="698"/>
    </row>
    <row r="562" spans="1:16">
      <c r="A562" s="223" t="s">
        <v>2057</v>
      </c>
      <c r="B562" s="223" t="s">
        <v>1223</v>
      </c>
      <c r="C562" s="223" t="s">
        <v>2093</v>
      </c>
      <c r="D562" s="223" t="s">
        <v>2094</v>
      </c>
      <c r="E562" s="223" t="s">
        <v>1759</v>
      </c>
      <c r="F562" s="223" t="s">
        <v>1760</v>
      </c>
      <c r="G562" s="223" t="s">
        <v>1833</v>
      </c>
      <c r="H562" s="223" t="s">
        <v>1229</v>
      </c>
      <c r="I562" s="223"/>
      <c r="J562" s="224"/>
      <c r="K562" s="224"/>
      <c r="L562" s="224" t="s">
        <v>1778</v>
      </c>
      <c r="M562" s="224" t="s">
        <v>1230</v>
      </c>
      <c r="N562" s="225">
        <v>6988</v>
      </c>
      <c r="O562" s="698"/>
      <c r="P562" s="698"/>
    </row>
    <row r="563" spans="1:16">
      <c r="A563" s="693" t="s">
        <v>2057</v>
      </c>
      <c r="B563" s="693" t="s">
        <v>1223</v>
      </c>
      <c r="C563" s="693" t="s">
        <v>2095</v>
      </c>
      <c r="D563" s="693" t="s">
        <v>2096</v>
      </c>
      <c r="E563" s="693" t="s">
        <v>1759</v>
      </c>
      <c r="F563" s="693" t="s">
        <v>1760</v>
      </c>
      <c r="G563" s="693" t="s">
        <v>1836</v>
      </c>
      <c r="H563" s="693" t="s">
        <v>1229</v>
      </c>
      <c r="I563" s="693"/>
      <c r="J563" s="694"/>
      <c r="K563" s="694"/>
      <c r="L563" s="694" t="s">
        <v>1837</v>
      </c>
      <c r="M563" s="694" t="s">
        <v>1230</v>
      </c>
      <c r="N563" s="697">
        <v>-3208.77</v>
      </c>
      <c r="O563" s="698"/>
      <c r="P563" s="698"/>
    </row>
    <row r="564" spans="1:16">
      <c r="A564" s="223" t="s">
        <v>2057</v>
      </c>
      <c r="B564" s="223" t="s">
        <v>1223</v>
      </c>
      <c r="C564" s="223" t="s">
        <v>2095</v>
      </c>
      <c r="D564" s="223" t="s">
        <v>2096</v>
      </c>
      <c r="E564" s="223" t="s">
        <v>1759</v>
      </c>
      <c r="F564" s="223" t="s">
        <v>1760</v>
      </c>
      <c r="G564" s="223" t="s">
        <v>1838</v>
      </c>
      <c r="H564" s="223" t="s">
        <v>1229</v>
      </c>
      <c r="I564" s="223"/>
      <c r="J564" s="224"/>
      <c r="K564" s="224"/>
      <c r="L564" s="224" t="s">
        <v>1837</v>
      </c>
      <c r="M564" s="224" t="s">
        <v>1230</v>
      </c>
      <c r="N564" s="696">
        <v>-103750.37</v>
      </c>
      <c r="O564" s="698"/>
      <c r="P564" s="698"/>
    </row>
    <row r="565" spans="1:16">
      <c r="A565" s="693" t="s">
        <v>2057</v>
      </c>
      <c r="B565" s="693" t="s">
        <v>1223</v>
      </c>
      <c r="C565" s="693" t="s">
        <v>2097</v>
      </c>
      <c r="D565" s="693" t="s">
        <v>2098</v>
      </c>
      <c r="E565" s="693" t="s">
        <v>1759</v>
      </c>
      <c r="F565" s="693" t="s">
        <v>1227</v>
      </c>
      <c r="G565" s="693" t="s">
        <v>1956</v>
      </c>
      <c r="H565" s="693" t="s">
        <v>1957</v>
      </c>
      <c r="I565" s="693"/>
      <c r="J565" s="694"/>
      <c r="K565" s="694"/>
      <c r="L565" s="694" t="s">
        <v>1841</v>
      </c>
      <c r="M565" s="694" t="s">
        <v>1230</v>
      </c>
      <c r="N565" s="697">
        <v>-20298.87</v>
      </c>
      <c r="O565" s="698"/>
      <c r="P565" s="698"/>
    </row>
    <row r="566" spans="1:16">
      <c r="A566" s="223" t="s">
        <v>2057</v>
      </c>
      <c r="B566" s="223" t="s">
        <v>1223</v>
      </c>
      <c r="C566" s="223" t="s">
        <v>2099</v>
      </c>
      <c r="D566" s="223" t="s">
        <v>2100</v>
      </c>
      <c r="E566" s="223" t="s">
        <v>1759</v>
      </c>
      <c r="F566" s="223" t="s">
        <v>1760</v>
      </c>
      <c r="G566" s="223" t="s">
        <v>1836</v>
      </c>
      <c r="H566" s="223" t="s">
        <v>1229</v>
      </c>
      <c r="I566" s="223"/>
      <c r="J566" s="224"/>
      <c r="K566" s="224"/>
      <c r="L566" s="224" t="s">
        <v>1841</v>
      </c>
      <c r="M566" s="224" t="s">
        <v>1230</v>
      </c>
      <c r="N566" s="696">
        <v>-686354.35</v>
      </c>
      <c r="O566" s="698"/>
      <c r="P566" s="698"/>
    </row>
    <row r="567" spans="1:16">
      <c r="A567" s="693" t="s">
        <v>2057</v>
      </c>
      <c r="B567" s="693" t="s">
        <v>1223</v>
      </c>
      <c r="C567" s="693" t="s">
        <v>2101</v>
      </c>
      <c r="D567" s="693" t="s">
        <v>2102</v>
      </c>
      <c r="E567" s="693" t="s">
        <v>1759</v>
      </c>
      <c r="F567" s="693" t="s">
        <v>1844</v>
      </c>
      <c r="G567" s="693" t="s">
        <v>1845</v>
      </c>
      <c r="H567" s="693" t="s">
        <v>1229</v>
      </c>
      <c r="I567" s="693"/>
      <c r="J567" s="694"/>
      <c r="K567" s="694"/>
      <c r="L567" s="694" t="s">
        <v>1846</v>
      </c>
      <c r="M567" s="694" t="s">
        <v>1230</v>
      </c>
      <c r="N567" s="695">
        <v>14927</v>
      </c>
      <c r="O567" s="698"/>
      <c r="P567" s="698"/>
    </row>
    <row r="568" spans="1:16">
      <c r="A568" s="223" t="s">
        <v>2057</v>
      </c>
      <c r="B568" s="223" t="s">
        <v>1223</v>
      </c>
      <c r="C568" s="223" t="s">
        <v>2101</v>
      </c>
      <c r="D568" s="223" t="s">
        <v>2102</v>
      </c>
      <c r="E568" s="223" t="s">
        <v>1759</v>
      </c>
      <c r="F568" s="223" t="s">
        <v>1227</v>
      </c>
      <c r="G568" s="223" t="s">
        <v>1847</v>
      </c>
      <c r="H568" s="223" t="s">
        <v>1229</v>
      </c>
      <c r="I568" s="223"/>
      <c r="J568" s="224"/>
      <c r="K568" s="224"/>
      <c r="L568" s="224" t="s">
        <v>1841</v>
      </c>
      <c r="M568" s="224" t="s">
        <v>1230</v>
      </c>
      <c r="N568" s="696">
        <v>-27017.86</v>
      </c>
      <c r="O568" s="698"/>
      <c r="P568" s="698"/>
    </row>
    <row r="569" spans="1:16">
      <c r="A569" s="693" t="s">
        <v>2057</v>
      </c>
      <c r="B569" s="693" t="s">
        <v>1223</v>
      </c>
      <c r="C569" s="693" t="s">
        <v>2101</v>
      </c>
      <c r="D569" s="693" t="s">
        <v>2102</v>
      </c>
      <c r="E569" s="693" t="s">
        <v>1759</v>
      </c>
      <c r="F569" s="693" t="s">
        <v>1760</v>
      </c>
      <c r="G569" s="693" t="s">
        <v>1836</v>
      </c>
      <c r="H569" s="693" t="s">
        <v>1229</v>
      </c>
      <c r="I569" s="693"/>
      <c r="J569" s="694"/>
      <c r="K569" s="694"/>
      <c r="L569" s="694" t="s">
        <v>1841</v>
      </c>
      <c r="M569" s="694" t="s">
        <v>1230</v>
      </c>
      <c r="N569" s="697">
        <v>-873577.65</v>
      </c>
      <c r="O569" s="698"/>
      <c r="P569" s="698"/>
    </row>
    <row r="570" spans="1:16">
      <c r="A570" s="223" t="s">
        <v>2057</v>
      </c>
      <c r="B570" s="223" t="s">
        <v>1223</v>
      </c>
      <c r="C570" s="223" t="s">
        <v>2101</v>
      </c>
      <c r="D570" s="223" t="s">
        <v>2102</v>
      </c>
      <c r="E570" s="223" t="s">
        <v>1759</v>
      </c>
      <c r="F570" s="223" t="s">
        <v>1760</v>
      </c>
      <c r="G570" s="223" t="s">
        <v>1836</v>
      </c>
      <c r="H570" s="223" t="s">
        <v>1229</v>
      </c>
      <c r="I570" s="223"/>
      <c r="J570" s="224"/>
      <c r="K570" s="224"/>
      <c r="L570" s="224" t="s">
        <v>1846</v>
      </c>
      <c r="M570" s="224" t="s">
        <v>1230</v>
      </c>
      <c r="N570" s="696">
        <v>-291.31</v>
      </c>
      <c r="O570" s="698"/>
      <c r="P570" s="698"/>
    </row>
    <row r="571" spans="1:16">
      <c r="A571" s="693" t="s">
        <v>2103</v>
      </c>
      <c r="B571" s="693" t="s">
        <v>1223</v>
      </c>
      <c r="C571" s="693" t="s">
        <v>2104</v>
      </c>
      <c r="D571" s="693" t="s">
        <v>2105</v>
      </c>
      <c r="E571" s="693" t="s">
        <v>1759</v>
      </c>
      <c r="F571" s="693" t="s">
        <v>1760</v>
      </c>
      <c r="G571" s="693" t="s">
        <v>1766</v>
      </c>
      <c r="H571" s="693" t="s">
        <v>1229</v>
      </c>
      <c r="I571" s="693"/>
      <c r="J571" s="694"/>
      <c r="K571" s="694"/>
      <c r="L571" s="694" t="s">
        <v>1763</v>
      </c>
      <c r="M571" s="694" t="s">
        <v>1230</v>
      </c>
      <c r="N571" s="695">
        <v>381630.69</v>
      </c>
      <c r="O571" s="698"/>
      <c r="P571" s="698"/>
    </row>
    <row r="572" spans="1:16">
      <c r="A572" s="223" t="s">
        <v>2103</v>
      </c>
      <c r="B572" s="223" t="s">
        <v>1223</v>
      </c>
      <c r="C572" s="223" t="s">
        <v>2106</v>
      </c>
      <c r="D572" s="223" t="s">
        <v>2107</v>
      </c>
      <c r="E572" s="223" t="s">
        <v>1759</v>
      </c>
      <c r="F572" s="223" t="s">
        <v>1760</v>
      </c>
      <c r="G572" s="223" t="s">
        <v>1761</v>
      </c>
      <c r="H572" s="223" t="s">
        <v>1762</v>
      </c>
      <c r="I572" s="223"/>
      <c r="J572" s="224"/>
      <c r="K572" s="224"/>
      <c r="L572" s="224" t="s">
        <v>1763</v>
      </c>
      <c r="M572" s="224" t="s">
        <v>1230</v>
      </c>
      <c r="N572" s="225">
        <v>95249.49</v>
      </c>
      <c r="O572" s="698"/>
      <c r="P572" s="698"/>
    </row>
    <row r="573" spans="1:16">
      <c r="A573" s="693" t="s">
        <v>2103</v>
      </c>
      <c r="B573" s="693" t="s">
        <v>1223</v>
      </c>
      <c r="C573" s="693" t="s">
        <v>2108</v>
      </c>
      <c r="D573" s="693" t="s">
        <v>2109</v>
      </c>
      <c r="E573" s="693" t="s">
        <v>1759</v>
      </c>
      <c r="F573" s="693" t="s">
        <v>1760</v>
      </c>
      <c r="G573" s="693" t="s">
        <v>1766</v>
      </c>
      <c r="H573" s="693" t="s">
        <v>1229</v>
      </c>
      <c r="I573" s="693"/>
      <c r="J573" s="694"/>
      <c r="K573" s="694"/>
      <c r="L573" s="694" t="s">
        <v>1763</v>
      </c>
      <c r="M573" s="694" t="s">
        <v>1230</v>
      </c>
      <c r="N573" s="697">
        <v>-381068.09</v>
      </c>
      <c r="O573" s="698"/>
      <c r="P573" s="698"/>
    </row>
    <row r="574" spans="1:16">
      <c r="A574" s="223" t="s">
        <v>2103</v>
      </c>
      <c r="B574" s="223" t="s">
        <v>1223</v>
      </c>
      <c r="C574" s="223" t="s">
        <v>2110</v>
      </c>
      <c r="D574" s="223" t="s">
        <v>2111</v>
      </c>
      <c r="E574" s="223" t="s">
        <v>1759</v>
      </c>
      <c r="F574" s="223" t="s">
        <v>1760</v>
      </c>
      <c r="G574" s="223" t="s">
        <v>1761</v>
      </c>
      <c r="H574" s="223" t="s">
        <v>1762</v>
      </c>
      <c r="I574" s="223"/>
      <c r="J574" s="224"/>
      <c r="K574" s="224"/>
      <c r="L574" s="224" t="s">
        <v>1763</v>
      </c>
      <c r="M574" s="224" t="s">
        <v>1230</v>
      </c>
      <c r="N574" s="696">
        <v>-74969.25</v>
      </c>
      <c r="O574" s="698"/>
      <c r="P574" s="698"/>
    </row>
    <row r="575" spans="1:16">
      <c r="A575" s="693" t="s">
        <v>2103</v>
      </c>
      <c r="B575" s="693" t="s">
        <v>1223</v>
      </c>
      <c r="C575" s="693" t="s">
        <v>2112</v>
      </c>
      <c r="D575" s="693" t="s">
        <v>2113</v>
      </c>
      <c r="E575" s="693" t="s">
        <v>1759</v>
      </c>
      <c r="F575" s="693" t="s">
        <v>1760</v>
      </c>
      <c r="G575" s="693" t="s">
        <v>1769</v>
      </c>
      <c r="H575" s="693" t="s">
        <v>1229</v>
      </c>
      <c r="I575" s="693"/>
      <c r="J575" s="694"/>
      <c r="K575" s="694"/>
      <c r="L575" s="694" t="s">
        <v>1770</v>
      </c>
      <c r="M575" s="694" t="s">
        <v>1230</v>
      </c>
      <c r="N575" s="695">
        <v>193157.92</v>
      </c>
      <c r="O575" s="698"/>
      <c r="P575" s="698"/>
    </row>
    <row r="576" spans="1:16">
      <c r="A576" s="223" t="s">
        <v>2103</v>
      </c>
      <c r="B576" s="223" t="s">
        <v>1223</v>
      </c>
      <c r="C576" s="223" t="s">
        <v>2114</v>
      </c>
      <c r="D576" s="223" t="s">
        <v>2115</v>
      </c>
      <c r="E576" s="223" t="s">
        <v>1759</v>
      </c>
      <c r="F576" s="223" t="s">
        <v>1923</v>
      </c>
      <c r="G576" s="223" t="s">
        <v>2116</v>
      </c>
      <c r="H576" s="223" t="s">
        <v>1229</v>
      </c>
      <c r="I576" s="223"/>
      <c r="J576" s="224"/>
      <c r="K576" s="224"/>
      <c r="L576" s="224" t="s">
        <v>1925</v>
      </c>
      <c r="M576" s="224" t="s">
        <v>1918</v>
      </c>
      <c r="N576" s="696">
        <v>-321.7</v>
      </c>
      <c r="O576" s="698"/>
      <c r="P576" s="698"/>
    </row>
    <row r="577" spans="1:16">
      <c r="A577" s="693" t="s">
        <v>2103</v>
      </c>
      <c r="B577" s="693" t="s">
        <v>1223</v>
      </c>
      <c r="C577" s="693" t="s">
        <v>2117</v>
      </c>
      <c r="D577" s="693" t="s">
        <v>2118</v>
      </c>
      <c r="E577" s="693" t="s">
        <v>1759</v>
      </c>
      <c r="F577" s="693" t="s">
        <v>1923</v>
      </c>
      <c r="G577" s="693" t="s">
        <v>1924</v>
      </c>
      <c r="H577" s="693" t="s">
        <v>1229</v>
      </c>
      <c r="I577" s="693"/>
      <c r="J577" s="694"/>
      <c r="K577" s="694"/>
      <c r="L577" s="694" t="s">
        <v>1925</v>
      </c>
      <c r="M577" s="694" t="s">
        <v>1918</v>
      </c>
      <c r="N577" s="697">
        <v>-4135.34</v>
      </c>
      <c r="O577" s="698"/>
      <c r="P577" s="698"/>
    </row>
    <row r="578" spans="1:16">
      <c r="A578" s="223" t="s">
        <v>2103</v>
      </c>
      <c r="B578" s="223" t="s">
        <v>1223</v>
      </c>
      <c r="C578" s="223" t="s">
        <v>2119</v>
      </c>
      <c r="D578" s="223" t="s">
        <v>2120</v>
      </c>
      <c r="E578" s="223" t="s">
        <v>1759</v>
      </c>
      <c r="F578" s="223" t="s">
        <v>1760</v>
      </c>
      <c r="G578" s="223" t="s">
        <v>1766</v>
      </c>
      <c r="H578" s="223" t="s">
        <v>1229</v>
      </c>
      <c r="I578" s="223"/>
      <c r="J578" s="224"/>
      <c r="K578" s="224"/>
      <c r="L578" s="224" t="s">
        <v>1763</v>
      </c>
      <c r="M578" s="224" t="s">
        <v>1230</v>
      </c>
      <c r="N578" s="696">
        <v>-1525460.81</v>
      </c>
      <c r="O578" s="698"/>
      <c r="P578" s="698"/>
    </row>
    <row r="579" spans="1:16">
      <c r="A579" s="693" t="s">
        <v>2103</v>
      </c>
      <c r="B579" s="693" t="s">
        <v>1223</v>
      </c>
      <c r="C579" s="693" t="s">
        <v>2121</v>
      </c>
      <c r="D579" s="693" t="s">
        <v>2122</v>
      </c>
      <c r="E579" s="693" t="s">
        <v>1759</v>
      </c>
      <c r="F579" s="693" t="s">
        <v>1760</v>
      </c>
      <c r="G579" s="693" t="s">
        <v>1761</v>
      </c>
      <c r="H579" s="693" t="s">
        <v>1762</v>
      </c>
      <c r="I579" s="693"/>
      <c r="J579" s="694"/>
      <c r="K579" s="694"/>
      <c r="L579" s="694" t="s">
        <v>1763</v>
      </c>
      <c r="M579" s="694" t="s">
        <v>1230</v>
      </c>
      <c r="N579" s="695">
        <v>154716.29999999999</v>
      </c>
      <c r="O579" s="698"/>
      <c r="P579" s="698"/>
    </row>
    <row r="580" spans="1:16">
      <c r="A580" s="223" t="s">
        <v>2103</v>
      </c>
      <c r="B580" s="223" t="s">
        <v>1223</v>
      </c>
      <c r="C580" s="223" t="s">
        <v>2123</v>
      </c>
      <c r="D580" s="223" t="s">
        <v>2124</v>
      </c>
      <c r="E580" s="223" t="s">
        <v>1759</v>
      </c>
      <c r="F580" s="223" t="s">
        <v>1760</v>
      </c>
      <c r="G580" s="223" t="s">
        <v>1766</v>
      </c>
      <c r="H580" s="223" t="s">
        <v>1229</v>
      </c>
      <c r="I580" s="223"/>
      <c r="J580" s="224"/>
      <c r="K580" s="224"/>
      <c r="L580" s="224" t="s">
        <v>1792</v>
      </c>
      <c r="M580" s="224" t="s">
        <v>1230</v>
      </c>
      <c r="N580" s="225">
        <v>1131127.47</v>
      </c>
      <c r="O580" s="698"/>
      <c r="P580" s="698"/>
    </row>
    <row r="581" spans="1:16">
      <c r="A581" s="693" t="s">
        <v>2103</v>
      </c>
      <c r="B581" s="693" t="s">
        <v>1223</v>
      </c>
      <c r="C581" s="693" t="s">
        <v>2125</v>
      </c>
      <c r="D581" s="693" t="s">
        <v>2126</v>
      </c>
      <c r="E581" s="693" t="s">
        <v>1759</v>
      </c>
      <c r="F581" s="693" t="s">
        <v>1760</v>
      </c>
      <c r="G581" s="693" t="s">
        <v>1777</v>
      </c>
      <c r="H581" s="693" t="s">
        <v>1229</v>
      </c>
      <c r="I581" s="693"/>
      <c r="J581" s="694"/>
      <c r="K581" s="694"/>
      <c r="L581" s="694" t="s">
        <v>1778</v>
      </c>
      <c r="M581" s="694" t="s">
        <v>1230</v>
      </c>
      <c r="N581" s="697">
        <v>-211041.02</v>
      </c>
      <c r="O581" s="698"/>
      <c r="P581" s="698"/>
    </row>
    <row r="582" spans="1:16">
      <c r="A582" s="223" t="s">
        <v>2103</v>
      </c>
      <c r="B582" s="223" t="s">
        <v>1223</v>
      </c>
      <c r="C582" s="223" t="s">
        <v>2127</v>
      </c>
      <c r="D582" s="223" t="s">
        <v>2128</v>
      </c>
      <c r="E582" s="223" t="s">
        <v>1759</v>
      </c>
      <c r="F582" s="223" t="s">
        <v>1760</v>
      </c>
      <c r="G582" s="223" t="s">
        <v>1836</v>
      </c>
      <c r="H582" s="223" t="s">
        <v>1229</v>
      </c>
      <c r="I582" s="223"/>
      <c r="J582" s="224"/>
      <c r="K582" s="224"/>
      <c r="L582" s="224" t="s">
        <v>1837</v>
      </c>
      <c r="M582" s="224" t="s">
        <v>1230</v>
      </c>
      <c r="N582" s="696">
        <v>-2243.83</v>
      </c>
      <c r="O582" s="698"/>
      <c r="P582" s="698"/>
    </row>
    <row r="583" spans="1:16">
      <c r="A583" s="693" t="s">
        <v>2103</v>
      </c>
      <c r="B583" s="693" t="s">
        <v>1223</v>
      </c>
      <c r="C583" s="693" t="s">
        <v>2127</v>
      </c>
      <c r="D583" s="693" t="s">
        <v>2128</v>
      </c>
      <c r="E583" s="693" t="s">
        <v>1759</v>
      </c>
      <c r="F583" s="693" t="s">
        <v>1760</v>
      </c>
      <c r="G583" s="693" t="s">
        <v>1838</v>
      </c>
      <c r="H583" s="693" t="s">
        <v>1229</v>
      </c>
      <c r="I583" s="693"/>
      <c r="J583" s="694"/>
      <c r="K583" s="694"/>
      <c r="L583" s="694" t="s">
        <v>1837</v>
      </c>
      <c r="M583" s="694" t="s">
        <v>1230</v>
      </c>
      <c r="N583" s="697">
        <v>-72550.44</v>
      </c>
      <c r="O583" s="698"/>
      <c r="P583" s="698"/>
    </row>
    <row r="584" spans="1:16">
      <c r="A584" s="223" t="s">
        <v>2103</v>
      </c>
      <c r="B584" s="223" t="s">
        <v>1223</v>
      </c>
      <c r="C584" s="223" t="s">
        <v>2129</v>
      </c>
      <c r="D584" s="223" t="s">
        <v>2130</v>
      </c>
      <c r="E584" s="223" t="s">
        <v>1759</v>
      </c>
      <c r="F584" s="223" t="s">
        <v>1760</v>
      </c>
      <c r="G584" s="223" t="s">
        <v>1836</v>
      </c>
      <c r="H584" s="223" t="s">
        <v>1229</v>
      </c>
      <c r="I584" s="223"/>
      <c r="J584" s="224"/>
      <c r="K584" s="224"/>
      <c r="L584" s="224" t="s">
        <v>1841</v>
      </c>
      <c r="M584" s="224" t="s">
        <v>1230</v>
      </c>
      <c r="N584" s="696">
        <v>-829.94</v>
      </c>
      <c r="O584" s="698"/>
      <c r="P584" s="698"/>
    </row>
    <row r="585" spans="1:16">
      <c r="A585" s="693" t="s">
        <v>2103</v>
      </c>
      <c r="B585" s="693" t="s">
        <v>1223</v>
      </c>
      <c r="C585" s="693" t="s">
        <v>2131</v>
      </c>
      <c r="D585" s="693" t="s">
        <v>2132</v>
      </c>
      <c r="E585" s="693" t="s">
        <v>1759</v>
      </c>
      <c r="F585" s="693" t="s">
        <v>1760</v>
      </c>
      <c r="G585" s="693" t="s">
        <v>1826</v>
      </c>
      <c r="H585" s="693" t="s">
        <v>1229</v>
      </c>
      <c r="I585" s="693"/>
      <c r="J585" s="694"/>
      <c r="K585" s="694"/>
      <c r="L585" s="694" t="s">
        <v>1778</v>
      </c>
      <c r="M585" s="694" t="s">
        <v>1230</v>
      </c>
      <c r="N585" s="697">
        <v>-74337.990000000005</v>
      </c>
      <c r="O585" s="698"/>
      <c r="P585" s="698"/>
    </row>
    <row r="586" spans="1:16">
      <c r="A586" s="223" t="s">
        <v>2103</v>
      </c>
      <c r="B586" s="223" t="s">
        <v>1223</v>
      </c>
      <c r="C586" s="223" t="s">
        <v>2133</v>
      </c>
      <c r="D586" s="223" t="s">
        <v>2134</v>
      </c>
      <c r="E586" s="223" t="s">
        <v>1759</v>
      </c>
      <c r="F586" s="223" t="s">
        <v>1227</v>
      </c>
      <c r="G586" s="223" t="s">
        <v>1832</v>
      </c>
      <c r="H586" s="223" t="s">
        <v>1229</v>
      </c>
      <c r="I586" s="223"/>
      <c r="J586" s="224"/>
      <c r="K586" s="224"/>
      <c r="L586" s="224" t="s">
        <v>1778</v>
      </c>
      <c r="M586" s="224" t="s">
        <v>1230</v>
      </c>
      <c r="N586" s="696">
        <v>-4820</v>
      </c>
      <c r="O586" s="698"/>
      <c r="P586" s="698"/>
    </row>
    <row r="587" spans="1:16">
      <c r="A587" s="693" t="s">
        <v>2103</v>
      </c>
      <c r="B587" s="693" t="s">
        <v>1223</v>
      </c>
      <c r="C587" s="693" t="s">
        <v>2133</v>
      </c>
      <c r="D587" s="693" t="s">
        <v>2134</v>
      </c>
      <c r="E587" s="693" t="s">
        <v>1759</v>
      </c>
      <c r="F587" s="693" t="s">
        <v>1760</v>
      </c>
      <c r="G587" s="693" t="s">
        <v>1833</v>
      </c>
      <c r="H587" s="693" t="s">
        <v>1229</v>
      </c>
      <c r="I587" s="693"/>
      <c r="J587" s="694"/>
      <c r="K587" s="694"/>
      <c r="L587" s="694" t="s">
        <v>1778</v>
      </c>
      <c r="M587" s="694" t="s">
        <v>1230</v>
      </c>
      <c r="N587" s="695">
        <v>6089</v>
      </c>
      <c r="O587" s="698"/>
      <c r="P587" s="698"/>
    </row>
    <row r="588" spans="1:16">
      <c r="A588" s="223" t="s">
        <v>2103</v>
      </c>
      <c r="B588" s="223" t="s">
        <v>1223</v>
      </c>
      <c r="C588" s="223" t="s">
        <v>2135</v>
      </c>
      <c r="D588" s="223" t="s">
        <v>2136</v>
      </c>
      <c r="E588" s="223" t="s">
        <v>1759</v>
      </c>
      <c r="F588" s="223" t="s">
        <v>1844</v>
      </c>
      <c r="G588" s="223" t="s">
        <v>1845</v>
      </c>
      <c r="H588" s="223" t="s">
        <v>1229</v>
      </c>
      <c r="I588" s="223"/>
      <c r="J588" s="224"/>
      <c r="K588" s="224"/>
      <c r="L588" s="224" t="s">
        <v>1846</v>
      </c>
      <c r="M588" s="224" t="s">
        <v>1230</v>
      </c>
      <c r="N588" s="225">
        <v>11361.42</v>
      </c>
      <c r="O588" s="698"/>
      <c r="P588" s="698"/>
    </row>
    <row r="589" spans="1:16">
      <c r="A589" s="693" t="s">
        <v>2103</v>
      </c>
      <c r="B589" s="693" t="s">
        <v>1223</v>
      </c>
      <c r="C589" s="693" t="s">
        <v>2135</v>
      </c>
      <c r="D589" s="693" t="s">
        <v>2136</v>
      </c>
      <c r="E589" s="693" t="s">
        <v>1759</v>
      </c>
      <c r="F589" s="693" t="s">
        <v>1227</v>
      </c>
      <c r="G589" s="693" t="s">
        <v>1847</v>
      </c>
      <c r="H589" s="693" t="s">
        <v>1229</v>
      </c>
      <c r="I589" s="693"/>
      <c r="J589" s="694"/>
      <c r="K589" s="694"/>
      <c r="L589" s="694" t="s">
        <v>1841</v>
      </c>
      <c r="M589" s="694" t="s">
        <v>1230</v>
      </c>
      <c r="N589" s="697">
        <v>-4829.91</v>
      </c>
      <c r="O589" s="698"/>
      <c r="P589" s="698"/>
    </row>
    <row r="590" spans="1:16">
      <c r="A590" s="223" t="s">
        <v>2103</v>
      </c>
      <c r="B590" s="223" t="s">
        <v>1223</v>
      </c>
      <c r="C590" s="223" t="s">
        <v>2135</v>
      </c>
      <c r="D590" s="223" t="s">
        <v>2136</v>
      </c>
      <c r="E590" s="223" t="s">
        <v>1759</v>
      </c>
      <c r="F590" s="223" t="s">
        <v>1760</v>
      </c>
      <c r="G590" s="223" t="s">
        <v>1836</v>
      </c>
      <c r="H590" s="223" t="s">
        <v>1229</v>
      </c>
      <c r="I590" s="223"/>
      <c r="J590" s="224"/>
      <c r="K590" s="224"/>
      <c r="L590" s="224" t="s">
        <v>1841</v>
      </c>
      <c r="M590" s="224" t="s">
        <v>1230</v>
      </c>
      <c r="N590" s="696">
        <v>-156167.1</v>
      </c>
      <c r="O590" s="698"/>
      <c r="P590" s="698"/>
    </row>
    <row r="591" spans="1:16">
      <c r="A591" s="693" t="s">
        <v>2103</v>
      </c>
      <c r="B591" s="693" t="s">
        <v>1223</v>
      </c>
      <c r="C591" s="693" t="s">
        <v>2135</v>
      </c>
      <c r="D591" s="693" t="s">
        <v>2136</v>
      </c>
      <c r="E591" s="693" t="s">
        <v>1759</v>
      </c>
      <c r="F591" s="693" t="s">
        <v>1760</v>
      </c>
      <c r="G591" s="693" t="s">
        <v>1836</v>
      </c>
      <c r="H591" s="693" t="s">
        <v>1229</v>
      </c>
      <c r="I591" s="693"/>
      <c r="J591" s="694"/>
      <c r="K591" s="694"/>
      <c r="L591" s="694" t="s">
        <v>1846</v>
      </c>
      <c r="M591" s="694" t="s">
        <v>1230</v>
      </c>
      <c r="N591" s="697">
        <v>-110.3</v>
      </c>
      <c r="O591" s="698"/>
      <c r="P591" s="698"/>
    </row>
    <row r="592" spans="1:16">
      <c r="A592" s="223" t="s">
        <v>2103</v>
      </c>
      <c r="B592" s="223" t="s">
        <v>1223</v>
      </c>
      <c r="C592" s="223" t="s">
        <v>2137</v>
      </c>
      <c r="D592" s="223" t="s">
        <v>2138</v>
      </c>
      <c r="E592" s="223" t="s">
        <v>1759</v>
      </c>
      <c r="F592" s="223" t="s">
        <v>1227</v>
      </c>
      <c r="G592" s="223" t="s">
        <v>1956</v>
      </c>
      <c r="H592" s="223" t="s">
        <v>1957</v>
      </c>
      <c r="I592" s="223"/>
      <c r="J592" s="224"/>
      <c r="K592" s="224"/>
      <c r="L592" s="224" t="s">
        <v>1841</v>
      </c>
      <c r="M592" s="224" t="s">
        <v>1230</v>
      </c>
      <c r="N592" s="696">
        <v>-82096.75</v>
      </c>
      <c r="O592" s="698"/>
      <c r="P592" s="698"/>
    </row>
    <row r="593" spans="1:16">
      <c r="A593" s="693" t="s">
        <v>2139</v>
      </c>
      <c r="B593" s="693" t="s">
        <v>1223</v>
      </c>
      <c r="C593" s="693" t="s">
        <v>2140</v>
      </c>
      <c r="D593" s="693" t="s">
        <v>2141</v>
      </c>
      <c r="E593" s="693" t="s">
        <v>1759</v>
      </c>
      <c r="F593" s="693" t="s">
        <v>1760</v>
      </c>
      <c r="G593" s="693" t="s">
        <v>1766</v>
      </c>
      <c r="H593" s="693" t="s">
        <v>1229</v>
      </c>
      <c r="I593" s="693"/>
      <c r="J593" s="694"/>
      <c r="K593" s="694"/>
      <c r="L593" s="694" t="s">
        <v>1763</v>
      </c>
      <c r="M593" s="694" t="s">
        <v>1230</v>
      </c>
      <c r="N593" s="695">
        <v>1525460.81</v>
      </c>
      <c r="O593" s="698"/>
      <c r="P593" s="698"/>
    </row>
    <row r="594" spans="1:16">
      <c r="A594" s="223" t="s">
        <v>2139</v>
      </c>
      <c r="B594" s="223" t="s">
        <v>1223</v>
      </c>
      <c r="C594" s="223" t="s">
        <v>2142</v>
      </c>
      <c r="D594" s="223" t="s">
        <v>2143</v>
      </c>
      <c r="E594" s="223" t="s">
        <v>1759</v>
      </c>
      <c r="F594" s="223" t="s">
        <v>1760</v>
      </c>
      <c r="G594" s="223" t="s">
        <v>1761</v>
      </c>
      <c r="H594" s="223" t="s">
        <v>1762</v>
      </c>
      <c r="I594" s="223"/>
      <c r="J594" s="224"/>
      <c r="K594" s="224"/>
      <c r="L594" s="224" t="s">
        <v>1763</v>
      </c>
      <c r="M594" s="224" t="s">
        <v>1230</v>
      </c>
      <c r="N594" s="696">
        <v>-154716.29999999999</v>
      </c>
      <c r="O594" s="698"/>
      <c r="P594" s="698"/>
    </row>
    <row r="595" spans="1:16">
      <c r="A595" s="693" t="s">
        <v>2139</v>
      </c>
      <c r="B595" s="693" t="s">
        <v>1223</v>
      </c>
      <c r="C595" s="693" t="s">
        <v>2144</v>
      </c>
      <c r="D595" s="693" t="s">
        <v>2145</v>
      </c>
      <c r="E595" s="693" t="s">
        <v>1759</v>
      </c>
      <c r="F595" s="693" t="s">
        <v>1760</v>
      </c>
      <c r="G595" s="693" t="s">
        <v>1769</v>
      </c>
      <c r="H595" s="693" t="s">
        <v>1229</v>
      </c>
      <c r="I595" s="693"/>
      <c r="J595" s="694"/>
      <c r="K595" s="694"/>
      <c r="L595" s="694" t="s">
        <v>1770</v>
      </c>
      <c r="M595" s="694" t="s">
        <v>1230</v>
      </c>
      <c r="N595" s="697">
        <v>-222764.43</v>
      </c>
      <c r="O595" s="698"/>
      <c r="P595" s="698"/>
    </row>
    <row r="596" spans="1:16">
      <c r="A596" s="223" t="s">
        <v>2139</v>
      </c>
      <c r="B596" s="223" t="s">
        <v>1223</v>
      </c>
      <c r="C596" s="223" t="s">
        <v>2146</v>
      </c>
      <c r="D596" s="223" t="s">
        <v>2147</v>
      </c>
      <c r="E596" s="223" t="s">
        <v>1759</v>
      </c>
      <c r="F596" s="223" t="s">
        <v>1923</v>
      </c>
      <c r="G596" s="223" t="s">
        <v>1924</v>
      </c>
      <c r="H596" s="223" t="s">
        <v>1229</v>
      </c>
      <c r="I596" s="223"/>
      <c r="J596" s="224"/>
      <c r="K596" s="224"/>
      <c r="L596" s="224" t="s">
        <v>1925</v>
      </c>
      <c r="M596" s="224" t="s">
        <v>1918</v>
      </c>
      <c r="N596" s="696">
        <v>-832</v>
      </c>
      <c r="O596" s="698"/>
      <c r="P596" s="698"/>
    </row>
    <row r="597" spans="1:16">
      <c r="A597" s="693" t="s">
        <v>2139</v>
      </c>
      <c r="B597" s="693" t="s">
        <v>1223</v>
      </c>
      <c r="C597" s="693" t="s">
        <v>2148</v>
      </c>
      <c r="D597" s="693" t="s">
        <v>2149</v>
      </c>
      <c r="E597" s="693" t="s">
        <v>1759</v>
      </c>
      <c r="F597" s="693" t="s">
        <v>1760</v>
      </c>
      <c r="G597" s="693" t="s">
        <v>1766</v>
      </c>
      <c r="H597" s="693" t="s">
        <v>1229</v>
      </c>
      <c r="I597" s="693"/>
      <c r="J597" s="694"/>
      <c r="K597" s="694"/>
      <c r="L597" s="694" t="s">
        <v>1763</v>
      </c>
      <c r="M597" s="694" t="s">
        <v>1230</v>
      </c>
      <c r="N597" s="697">
        <v>-1304881.22</v>
      </c>
      <c r="O597" s="698"/>
      <c r="P597" s="698"/>
    </row>
    <row r="598" spans="1:16">
      <c r="A598" s="223" t="s">
        <v>2139</v>
      </c>
      <c r="B598" s="223" t="s">
        <v>1223</v>
      </c>
      <c r="C598" s="223" t="s">
        <v>2150</v>
      </c>
      <c r="D598" s="223" t="s">
        <v>2151</v>
      </c>
      <c r="E598" s="223" t="s">
        <v>1759</v>
      </c>
      <c r="F598" s="223" t="s">
        <v>1760</v>
      </c>
      <c r="G598" s="223" t="s">
        <v>1761</v>
      </c>
      <c r="H598" s="223" t="s">
        <v>1762</v>
      </c>
      <c r="I598" s="223"/>
      <c r="J598" s="224"/>
      <c r="K598" s="224"/>
      <c r="L598" s="224" t="s">
        <v>1763</v>
      </c>
      <c r="M598" s="224" t="s">
        <v>1230</v>
      </c>
      <c r="N598" s="696">
        <v>-49959.17</v>
      </c>
      <c r="O598" s="698"/>
      <c r="P598" s="698"/>
    </row>
    <row r="599" spans="1:16">
      <c r="A599" s="693" t="s">
        <v>2139</v>
      </c>
      <c r="B599" s="693" t="s">
        <v>1223</v>
      </c>
      <c r="C599" s="693" t="s">
        <v>2152</v>
      </c>
      <c r="D599" s="693" t="s">
        <v>2153</v>
      </c>
      <c r="E599" s="693" t="s">
        <v>1759</v>
      </c>
      <c r="F599" s="693" t="s">
        <v>1760</v>
      </c>
      <c r="G599" s="693" t="s">
        <v>1766</v>
      </c>
      <c r="H599" s="693" t="s">
        <v>1229</v>
      </c>
      <c r="I599" s="693"/>
      <c r="J599" s="694"/>
      <c r="K599" s="694"/>
      <c r="L599" s="694" t="s">
        <v>1763</v>
      </c>
      <c r="M599" s="694" t="s">
        <v>1230</v>
      </c>
      <c r="N599" s="697">
        <v>-1304881.22</v>
      </c>
      <c r="O599" s="698"/>
      <c r="P599" s="698"/>
    </row>
    <row r="600" spans="1:16">
      <c r="A600" s="223" t="s">
        <v>2139</v>
      </c>
      <c r="B600" s="223" t="s">
        <v>1223</v>
      </c>
      <c r="C600" s="223" t="s">
        <v>2154</v>
      </c>
      <c r="D600" s="223" t="s">
        <v>2155</v>
      </c>
      <c r="E600" s="223" t="s">
        <v>1759</v>
      </c>
      <c r="F600" s="223" t="s">
        <v>1760</v>
      </c>
      <c r="G600" s="223" t="s">
        <v>1761</v>
      </c>
      <c r="H600" s="223" t="s">
        <v>1762</v>
      </c>
      <c r="I600" s="223"/>
      <c r="J600" s="224"/>
      <c r="K600" s="224"/>
      <c r="L600" s="224" t="s">
        <v>1763</v>
      </c>
      <c r="M600" s="224" t="s">
        <v>1230</v>
      </c>
      <c r="N600" s="696">
        <v>-49959.17</v>
      </c>
      <c r="O600" s="698"/>
      <c r="P600" s="698"/>
    </row>
    <row r="601" spans="1:16">
      <c r="A601" s="693" t="s">
        <v>2139</v>
      </c>
      <c r="B601" s="693" t="s">
        <v>1223</v>
      </c>
      <c r="C601" s="693" t="s">
        <v>2156</v>
      </c>
      <c r="D601" s="693" t="s">
        <v>2157</v>
      </c>
      <c r="E601" s="693" t="s">
        <v>1759</v>
      </c>
      <c r="F601" s="693" t="s">
        <v>1760</v>
      </c>
      <c r="G601" s="693" t="s">
        <v>1766</v>
      </c>
      <c r="H601" s="693" t="s">
        <v>1229</v>
      </c>
      <c r="I601" s="693"/>
      <c r="J601" s="694"/>
      <c r="K601" s="694"/>
      <c r="L601" s="694" t="s">
        <v>1792</v>
      </c>
      <c r="M601" s="694" t="s">
        <v>1230</v>
      </c>
      <c r="N601" s="695">
        <v>1131096.92</v>
      </c>
      <c r="O601" s="698"/>
      <c r="P601" s="698"/>
    </row>
    <row r="602" spans="1:16">
      <c r="A602" s="223" t="s">
        <v>2139</v>
      </c>
      <c r="B602" s="223" t="s">
        <v>1223</v>
      </c>
      <c r="C602" s="223" t="s">
        <v>2158</v>
      </c>
      <c r="D602" s="223" t="s">
        <v>2159</v>
      </c>
      <c r="E602" s="223" t="s">
        <v>1759</v>
      </c>
      <c r="F602" s="223" t="s">
        <v>1760</v>
      </c>
      <c r="G602" s="223" t="s">
        <v>1766</v>
      </c>
      <c r="H602" s="223" t="s">
        <v>1229</v>
      </c>
      <c r="I602" s="223"/>
      <c r="J602" s="224"/>
      <c r="K602" s="224"/>
      <c r="L602" s="224" t="s">
        <v>1763</v>
      </c>
      <c r="M602" s="224" t="s">
        <v>1230</v>
      </c>
      <c r="N602" s="696">
        <v>-290361.36</v>
      </c>
      <c r="O602" s="698"/>
      <c r="P602" s="698"/>
    </row>
    <row r="603" spans="1:16">
      <c r="A603" s="693" t="s">
        <v>2139</v>
      </c>
      <c r="B603" s="693" t="s">
        <v>1223</v>
      </c>
      <c r="C603" s="693" t="s">
        <v>2160</v>
      </c>
      <c r="D603" s="693" t="s">
        <v>2161</v>
      </c>
      <c r="E603" s="693" t="s">
        <v>1759</v>
      </c>
      <c r="F603" s="693" t="s">
        <v>1760</v>
      </c>
      <c r="G603" s="693" t="s">
        <v>1761</v>
      </c>
      <c r="H603" s="693" t="s">
        <v>1762</v>
      </c>
      <c r="I603" s="693"/>
      <c r="J603" s="694"/>
      <c r="K603" s="694"/>
      <c r="L603" s="694" t="s">
        <v>1763</v>
      </c>
      <c r="M603" s="694" t="s">
        <v>1230</v>
      </c>
      <c r="N603" s="695">
        <v>215426.48</v>
      </c>
      <c r="O603" s="698"/>
      <c r="P603" s="698"/>
    </row>
    <row r="604" spans="1:16" hidden="1">
      <c r="A604" s="708" t="s">
        <v>2139</v>
      </c>
      <c r="B604" s="708" t="s">
        <v>1223</v>
      </c>
      <c r="C604" s="708" t="s">
        <v>2162</v>
      </c>
      <c r="D604" s="708" t="s">
        <v>2163</v>
      </c>
      <c r="E604" s="708" t="s">
        <v>1759</v>
      </c>
      <c r="F604" s="708" t="s">
        <v>1760</v>
      </c>
      <c r="G604" s="708" t="s">
        <v>1869</v>
      </c>
      <c r="H604" s="708" t="s">
        <v>1229</v>
      </c>
      <c r="I604" s="708"/>
      <c r="J604" s="709"/>
      <c r="K604" s="709"/>
      <c r="L604" s="709" t="s">
        <v>1796</v>
      </c>
      <c r="M604" s="709" t="s">
        <v>1797</v>
      </c>
      <c r="N604" s="712">
        <v>7194.07</v>
      </c>
      <c r="O604" s="707"/>
      <c r="P604" s="689" t="s">
        <v>1755</v>
      </c>
    </row>
    <row r="605" spans="1:16">
      <c r="A605" s="693" t="s">
        <v>2139</v>
      </c>
      <c r="B605" s="693" t="s">
        <v>1223</v>
      </c>
      <c r="C605" s="693" t="s">
        <v>2164</v>
      </c>
      <c r="D605" s="693" t="s">
        <v>2165</v>
      </c>
      <c r="E605" s="693" t="s">
        <v>1759</v>
      </c>
      <c r="F605" s="693" t="s">
        <v>1227</v>
      </c>
      <c r="G605" s="693" t="s">
        <v>1832</v>
      </c>
      <c r="H605" s="693" t="s">
        <v>1229</v>
      </c>
      <c r="I605" s="693"/>
      <c r="J605" s="694"/>
      <c r="K605" s="694"/>
      <c r="L605" s="694" t="s">
        <v>1778</v>
      </c>
      <c r="M605" s="694" t="s">
        <v>1230</v>
      </c>
      <c r="N605" s="697">
        <v>-4441</v>
      </c>
      <c r="O605" s="698"/>
      <c r="P605" s="698"/>
    </row>
    <row r="606" spans="1:16">
      <c r="A606" s="223" t="s">
        <v>2139</v>
      </c>
      <c r="B606" s="223" t="s">
        <v>1223</v>
      </c>
      <c r="C606" s="223" t="s">
        <v>2164</v>
      </c>
      <c r="D606" s="223" t="s">
        <v>2165</v>
      </c>
      <c r="E606" s="223" t="s">
        <v>1759</v>
      </c>
      <c r="F606" s="223" t="s">
        <v>1760</v>
      </c>
      <c r="G606" s="223" t="s">
        <v>1833</v>
      </c>
      <c r="H606" s="223" t="s">
        <v>1229</v>
      </c>
      <c r="I606" s="223"/>
      <c r="J606" s="224"/>
      <c r="K606" s="224"/>
      <c r="L606" s="224" t="s">
        <v>1778</v>
      </c>
      <c r="M606" s="224" t="s">
        <v>1230</v>
      </c>
      <c r="N606" s="225">
        <v>5764</v>
      </c>
      <c r="O606" s="698"/>
      <c r="P606" s="698"/>
    </row>
    <row r="607" spans="1:16">
      <c r="A607" s="693" t="s">
        <v>2139</v>
      </c>
      <c r="B607" s="693" t="s">
        <v>1223</v>
      </c>
      <c r="C607" s="693" t="s">
        <v>2166</v>
      </c>
      <c r="D607" s="693" t="s">
        <v>2167</v>
      </c>
      <c r="E607" s="693" t="s">
        <v>1759</v>
      </c>
      <c r="F607" s="693" t="s">
        <v>1760</v>
      </c>
      <c r="G607" s="693" t="s">
        <v>1826</v>
      </c>
      <c r="H607" s="693" t="s">
        <v>1229</v>
      </c>
      <c r="I607" s="693"/>
      <c r="J607" s="694"/>
      <c r="K607" s="694"/>
      <c r="L607" s="694" t="s">
        <v>1778</v>
      </c>
      <c r="M607" s="694" t="s">
        <v>1230</v>
      </c>
      <c r="N607" s="697">
        <v>-43369.13</v>
      </c>
      <c r="O607" s="698"/>
      <c r="P607" s="698"/>
    </row>
    <row r="608" spans="1:16">
      <c r="A608" s="223" t="s">
        <v>2139</v>
      </c>
      <c r="B608" s="223" t="s">
        <v>1223</v>
      </c>
      <c r="C608" s="223" t="s">
        <v>2168</v>
      </c>
      <c r="D608" s="223" t="s">
        <v>2169</v>
      </c>
      <c r="E608" s="223" t="s">
        <v>1759</v>
      </c>
      <c r="F608" s="223" t="s">
        <v>1760</v>
      </c>
      <c r="G608" s="223" t="s">
        <v>1777</v>
      </c>
      <c r="H608" s="223" t="s">
        <v>1229</v>
      </c>
      <c r="I608" s="223"/>
      <c r="J608" s="224"/>
      <c r="K608" s="224"/>
      <c r="L608" s="224" t="s">
        <v>1778</v>
      </c>
      <c r="M608" s="224" t="s">
        <v>1230</v>
      </c>
      <c r="N608" s="225">
        <v>208893.36</v>
      </c>
      <c r="O608" s="698"/>
      <c r="P608" s="698"/>
    </row>
    <row r="609" spans="1:16">
      <c r="A609" s="693" t="s">
        <v>2139</v>
      </c>
      <c r="B609" s="693" t="s">
        <v>1223</v>
      </c>
      <c r="C609" s="693" t="s">
        <v>2170</v>
      </c>
      <c r="D609" s="693" t="s">
        <v>2171</v>
      </c>
      <c r="E609" s="693" t="s">
        <v>1759</v>
      </c>
      <c r="F609" s="693" t="s">
        <v>1844</v>
      </c>
      <c r="G609" s="693" t="s">
        <v>1845</v>
      </c>
      <c r="H609" s="693" t="s">
        <v>1229</v>
      </c>
      <c r="I609" s="693"/>
      <c r="J609" s="694"/>
      <c r="K609" s="694"/>
      <c r="L609" s="694" t="s">
        <v>1846</v>
      </c>
      <c r="M609" s="694" t="s">
        <v>1230</v>
      </c>
      <c r="N609" s="695">
        <v>10232</v>
      </c>
      <c r="O609" s="698"/>
      <c r="P609" s="698"/>
    </row>
    <row r="610" spans="1:16">
      <c r="A610" s="223" t="s">
        <v>2139</v>
      </c>
      <c r="B610" s="223" t="s">
        <v>1223</v>
      </c>
      <c r="C610" s="223" t="s">
        <v>2170</v>
      </c>
      <c r="D610" s="223" t="s">
        <v>2171</v>
      </c>
      <c r="E610" s="223" t="s">
        <v>1759</v>
      </c>
      <c r="F610" s="223" t="s">
        <v>1227</v>
      </c>
      <c r="G610" s="223" t="s">
        <v>1847</v>
      </c>
      <c r="H610" s="223" t="s">
        <v>1229</v>
      </c>
      <c r="I610" s="223"/>
      <c r="J610" s="224"/>
      <c r="K610" s="224"/>
      <c r="L610" s="224" t="s">
        <v>1841</v>
      </c>
      <c r="M610" s="224" t="s">
        <v>1230</v>
      </c>
      <c r="N610" s="696">
        <v>-15912.38</v>
      </c>
      <c r="O610" s="698"/>
      <c r="P610" s="698"/>
    </row>
    <row r="611" spans="1:16">
      <c r="A611" s="693" t="s">
        <v>2139</v>
      </c>
      <c r="B611" s="693" t="s">
        <v>1223</v>
      </c>
      <c r="C611" s="693" t="s">
        <v>2170</v>
      </c>
      <c r="D611" s="693" t="s">
        <v>2171</v>
      </c>
      <c r="E611" s="693" t="s">
        <v>1759</v>
      </c>
      <c r="F611" s="693" t="s">
        <v>1760</v>
      </c>
      <c r="G611" s="693" t="s">
        <v>1836</v>
      </c>
      <c r="H611" s="693" t="s">
        <v>1229</v>
      </c>
      <c r="I611" s="693"/>
      <c r="J611" s="694"/>
      <c r="K611" s="694"/>
      <c r="L611" s="694" t="s">
        <v>1841</v>
      </c>
      <c r="M611" s="694" t="s">
        <v>1230</v>
      </c>
      <c r="N611" s="697">
        <v>-514500.32</v>
      </c>
      <c r="O611" s="698"/>
      <c r="P611" s="698"/>
    </row>
    <row r="612" spans="1:16">
      <c r="A612" s="223" t="s">
        <v>2139</v>
      </c>
      <c r="B612" s="223" t="s">
        <v>1223</v>
      </c>
      <c r="C612" s="223" t="s">
        <v>2170</v>
      </c>
      <c r="D612" s="223" t="s">
        <v>2171</v>
      </c>
      <c r="E612" s="223" t="s">
        <v>1759</v>
      </c>
      <c r="F612" s="223" t="s">
        <v>1760</v>
      </c>
      <c r="G612" s="223" t="s">
        <v>1836</v>
      </c>
      <c r="H612" s="223" t="s">
        <v>1229</v>
      </c>
      <c r="I612" s="223"/>
      <c r="J612" s="224"/>
      <c r="K612" s="224"/>
      <c r="L612" s="224" t="s">
        <v>1846</v>
      </c>
      <c r="M612" s="224" t="s">
        <v>1230</v>
      </c>
      <c r="N612" s="696">
        <v>-27.18</v>
      </c>
      <c r="O612" s="698"/>
      <c r="P612" s="698"/>
    </row>
    <row r="613" spans="1:16">
      <c r="A613" s="693" t="s">
        <v>2139</v>
      </c>
      <c r="B613" s="693" t="s">
        <v>1223</v>
      </c>
      <c r="C613" s="693" t="s">
        <v>2172</v>
      </c>
      <c r="D613" s="693" t="s">
        <v>2173</v>
      </c>
      <c r="E613" s="693" t="s">
        <v>1759</v>
      </c>
      <c r="F613" s="693" t="s">
        <v>1760</v>
      </c>
      <c r="G613" s="693" t="s">
        <v>1836</v>
      </c>
      <c r="H613" s="693" t="s">
        <v>1229</v>
      </c>
      <c r="I613" s="693"/>
      <c r="J613" s="694"/>
      <c r="K613" s="694"/>
      <c r="L613" s="694" t="s">
        <v>1841</v>
      </c>
      <c r="M613" s="694" t="s">
        <v>1230</v>
      </c>
      <c r="N613" s="697">
        <v>-126016.43</v>
      </c>
      <c r="O613" s="698"/>
      <c r="P613" s="698"/>
    </row>
    <row r="614" spans="1:16">
      <c r="A614" s="223" t="s">
        <v>2139</v>
      </c>
      <c r="B614" s="223" t="s">
        <v>1223</v>
      </c>
      <c r="C614" s="223" t="s">
        <v>2174</v>
      </c>
      <c r="D614" s="223" t="s">
        <v>2175</v>
      </c>
      <c r="E614" s="223" t="s">
        <v>1759</v>
      </c>
      <c r="F614" s="223" t="s">
        <v>1760</v>
      </c>
      <c r="G614" s="223" t="s">
        <v>1836</v>
      </c>
      <c r="H614" s="223" t="s">
        <v>1229</v>
      </c>
      <c r="I614" s="223"/>
      <c r="J614" s="224"/>
      <c r="K614" s="224"/>
      <c r="L614" s="224" t="s">
        <v>1837</v>
      </c>
      <c r="M614" s="224" t="s">
        <v>1230</v>
      </c>
      <c r="N614" s="696">
        <v>-786.55</v>
      </c>
      <c r="O614" s="698"/>
      <c r="P614" s="698"/>
    </row>
    <row r="615" spans="1:16">
      <c r="A615" s="693" t="s">
        <v>2139</v>
      </c>
      <c r="B615" s="693" t="s">
        <v>1223</v>
      </c>
      <c r="C615" s="693" t="s">
        <v>2174</v>
      </c>
      <c r="D615" s="693" t="s">
        <v>2175</v>
      </c>
      <c r="E615" s="693" t="s">
        <v>1759</v>
      </c>
      <c r="F615" s="693" t="s">
        <v>1760</v>
      </c>
      <c r="G615" s="693" t="s">
        <v>1838</v>
      </c>
      <c r="H615" s="693" t="s">
        <v>1229</v>
      </c>
      <c r="I615" s="693"/>
      <c r="J615" s="694"/>
      <c r="K615" s="694"/>
      <c r="L615" s="694" t="s">
        <v>1837</v>
      </c>
      <c r="M615" s="694" t="s">
        <v>1230</v>
      </c>
      <c r="N615" s="697">
        <v>-25431.81</v>
      </c>
      <c r="O615" s="698"/>
      <c r="P615" s="698"/>
    </row>
    <row r="616" spans="1:16">
      <c r="A616" s="223" t="s">
        <v>2139</v>
      </c>
      <c r="B616" s="223" t="s">
        <v>1223</v>
      </c>
      <c r="C616" s="223" t="s">
        <v>2176</v>
      </c>
      <c r="D616" s="223" t="s">
        <v>2177</v>
      </c>
      <c r="E616" s="223" t="s">
        <v>1759</v>
      </c>
      <c r="F616" s="223" t="s">
        <v>1227</v>
      </c>
      <c r="G616" s="223" t="s">
        <v>1956</v>
      </c>
      <c r="H616" s="223" t="s">
        <v>1957</v>
      </c>
      <c r="I616" s="223"/>
      <c r="J616" s="224"/>
      <c r="K616" s="224"/>
      <c r="L616" s="224" t="s">
        <v>1841</v>
      </c>
      <c r="M616" s="224" t="s">
        <v>1230</v>
      </c>
      <c r="N616" s="696">
        <v>-22548.49</v>
      </c>
      <c r="O616" s="698"/>
      <c r="P616" s="698"/>
    </row>
    <row r="617" spans="1:16">
      <c r="A617" s="693" t="s">
        <v>2178</v>
      </c>
      <c r="B617" s="693" t="s">
        <v>1223</v>
      </c>
      <c r="C617" s="693" t="s">
        <v>2179</v>
      </c>
      <c r="D617" s="693" t="s">
        <v>2180</v>
      </c>
      <c r="E617" s="693" t="s">
        <v>1759</v>
      </c>
      <c r="F617" s="693" t="s">
        <v>1760</v>
      </c>
      <c r="G617" s="693" t="s">
        <v>1766</v>
      </c>
      <c r="H617" s="693" t="s">
        <v>1229</v>
      </c>
      <c r="I617" s="693"/>
      <c r="J617" s="694"/>
      <c r="K617" s="694"/>
      <c r="L617" s="694" t="s">
        <v>1763</v>
      </c>
      <c r="M617" s="694" t="s">
        <v>1230</v>
      </c>
      <c r="N617" s="695">
        <v>1304881.22</v>
      </c>
      <c r="O617" s="698"/>
      <c r="P617" s="698"/>
    </row>
    <row r="618" spans="1:16">
      <c r="A618" s="223" t="s">
        <v>2178</v>
      </c>
      <c r="B618" s="223" t="s">
        <v>1223</v>
      </c>
      <c r="C618" s="223" t="s">
        <v>2181</v>
      </c>
      <c r="D618" s="223" t="s">
        <v>2182</v>
      </c>
      <c r="E618" s="223" t="s">
        <v>1759</v>
      </c>
      <c r="F618" s="223" t="s">
        <v>1760</v>
      </c>
      <c r="G618" s="223" t="s">
        <v>1761</v>
      </c>
      <c r="H618" s="223" t="s">
        <v>1762</v>
      </c>
      <c r="I618" s="223"/>
      <c r="J618" s="224"/>
      <c r="K618" s="224"/>
      <c r="L618" s="224" t="s">
        <v>1763</v>
      </c>
      <c r="M618" s="224" t="s">
        <v>1230</v>
      </c>
      <c r="N618" s="225">
        <v>49959.17</v>
      </c>
      <c r="O618" s="698"/>
      <c r="P618" s="698"/>
    </row>
    <row r="619" spans="1:16">
      <c r="A619" s="693" t="s">
        <v>2178</v>
      </c>
      <c r="B619" s="693" t="s">
        <v>1223</v>
      </c>
      <c r="C619" s="693" t="s">
        <v>2183</v>
      </c>
      <c r="D619" s="693" t="s">
        <v>1858</v>
      </c>
      <c r="E619" s="693" t="s">
        <v>1759</v>
      </c>
      <c r="F619" s="693" t="s">
        <v>1760</v>
      </c>
      <c r="G619" s="693" t="s">
        <v>1769</v>
      </c>
      <c r="H619" s="693" t="s">
        <v>1229</v>
      </c>
      <c r="I619" s="693"/>
      <c r="J619" s="694"/>
      <c r="K619" s="694"/>
      <c r="L619" s="694" t="s">
        <v>1770</v>
      </c>
      <c r="M619" s="694" t="s">
        <v>1230</v>
      </c>
      <c r="N619" s="697">
        <v>-200814.68</v>
      </c>
      <c r="O619" s="698"/>
      <c r="P619" s="698"/>
    </row>
    <row r="620" spans="1:16">
      <c r="A620" s="223" t="s">
        <v>2178</v>
      </c>
      <c r="B620" s="223" t="s">
        <v>1223</v>
      </c>
      <c r="C620" s="223" t="s">
        <v>2184</v>
      </c>
      <c r="D620" s="223" t="s">
        <v>2185</v>
      </c>
      <c r="E620" s="223" t="s">
        <v>1759</v>
      </c>
      <c r="F620" s="223" t="s">
        <v>1760</v>
      </c>
      <c r="G620" s="223" t="s">
        <v>1766</v>
      </c>
      <c r="H620" s="223" t="s">
        <v>1229</v>
      </c>
      <c r="I620" s="223"/>
      <c r="J620" s="224"/>
      <c r="K620" s="224"/>
      <c r="L620" s="224" t="s">
        <v>1763</v>
      </c>
      <c r="M620" s="224" t="s">
        <v>1230</v>
      </c>
      <c r="N620" s="696">
        <v>-1272828.19</v>
      </c>
      <c r="O620" s="698"/>
      <c r="P620" s="698"/>
    </row>
    <row r="621" spans="1:16">
      <c r="A621" s="693" t="s">
        <v>2178</v>
      </c>
      <c r="B621" s="693" t="s">
        <v>1223</v>
      </c>
      <c r="C621" s="693" t="s">
        <v>2186</v>
      </c>
      <c r="D621" s="693" t="s">
        <v>2187</v>
      </c>
      <c r="E621" s="693" t="s">
        <v>1759</v>
      </c>
      <c r="F621" s="693" t="s">
        <v>1760</v>
      </c>
      <c r="G621" s="693" t="s">
        <v>1761</v>
      </c>
      <c r="H621" s="693" t="s">
        <v>1762</v>
      </c>
      <c r="I621" s="693"/>
      <c r="J621" s="694"/>
      <c r="K621" s="694"/>
      <c r="L621" s="694" t="s">
        <v>1763</v>
      </c>
      <c r="M621" s="694" t="s">
        <v>1230</v>
      </c>
      <c r="N621" s="697">
        <v>-58465.61</v>
      </c>
      <c r="O621" s="698"/>
      <c r="P621" s="698"/>
    </row>
    <row r="622" spans="1:16">
      <c r="A622" s="223" t="s">
        <v>2178</v>
      </c>
      <c r="B622" s="223" t="s">
        <v>1223</v>
      </c>
      <c r="C622" s="223" t="s">
        <v>2188</v>
      </c>
      <c r="D622" s="223" t="s">
        <v>2189</v>
      </c>
      <c r="E622" s="223" t="s">
        <v>1759</v>
      </c>
      <c r="F622" s="223" t="s">
        <v>1760</v>
      </c>
      <c r="G622" s="223" t="s">
        <v>1836</v>
      </c>
      <c r="H622" s="223" t="s">
        <v>1229</v>
      </c>
      <c r="I622" s="223"/>
      <c r="J622" s="224"/>
      <c r="K622" s="224"/>
      <c r="L622" s="224" t="s">
        <v>1841</v>
      </c>
      <c r="M622" s="224" t="s">
        <v>1230</v>
      </c>
      <c r="N622" s="225">
        <v>17500000</v>
      </c>
      <c r="O622" s="698"/>
      <c r="P622" s="698"/>
    </row>
    <row r="623" spans="1:16">
      <c r="A623" s="693" t="s">
        <v>2178</v>
      </c>
      <c r="B623" s="693" t="s">
        <v>1223</v>
      </c>
      <c r="C623" s="693" t="s">
        <v>2190</v>
      </c>
      <c r="D623" s="693" t="s">
        <v>2191</v>
      </c>
      <c r="E623" s="693" t="s">
        <v>1759</v>
      </c>
      <c r="F623" s="693" t="s">
        <v>1760</v>
      </c>
      <c r="G623" s="693" t="s">
        <v>1777</v>
      </c>
      <c r="H623" s="693" t="s">
        <v>1229</v>
      </c>
      <c r="I623" s="693"/>
      <c r="J623" s="694"/>
      <c r="K623" s="694"/>
      <c r="L623" s="694" t="s">
        <v>1778</v>
      </c>
      <c r="M623" s="694" t="s">
        <v>1230</v>
      </c>
      <c r="N623" s="695">
        <v>192003.72</v>
      </c>
      <c r="O623" s="698"/>
      <c r="P623" s="698"/>
    </row>
    <row r="624" spans="1:16">
      <c r="A624" s="223" t="s">
        <v>2178</v>
      </c>
      <c r="B624" s="223" t="s">
        <v>1223</v>
      </c>
      <c r="C624" s="223" t="s">
        <v>2192</v>
      </c>
      <c r="D624" s="223" t="s">
        <v>2193</v>
      </c>
      <c r="E624" s="223" t="s">
        <v>1759</v>
      </c>
      <c r="F624" s="223" t="s">
        <v>1760</v>
      </c>
      <c r="G624" s="223" t="s">
        <v>1789</v>
      </c>
      <c r="H624" s="223" t="s">
        <v>1229</v>
      </c>
      <c r="I624" s="223"/>
      <c r="J624" s="224"/>
      <c r="K624" s="224"/>
      <c r="L624" s="224" t="s">
        <v>1928</v>
      </c>
      <c r="M624" s="224" t="s">
        <v>1797</v>
      </c>
      <c r="N624" s="225">
        <v>129941.31</v>
      </c>
      <c r="O624" s="698"/>
      <c r="P624" s="698"/>
    </row>
    <row r="625" spans="1:16">
      <c r="A625" s="693" t="s">
        <v>2178</v>
      </c>
      <c r="B625" s="693" t="s">
        <v>1223</v>
      </c>
      <c r="C625" s="693" t="s">
        <v>2194</v>
      </c>
      <c r="D625" s="693" t="s">
        <v>2195</v>
      </c>
      <c r="E625" s="693" t="s">
        <v>1759</v>
      </c>
      <c r="F625" s="693" t="s">
        <v>1760</v>
      </c>
      <c r="G625" s="693" t="s">
        <v>1789</v>
      </c>
      <c r="H625" s="693" t="s">
        <v>1229</v>
      </c>
      <c r="I625" s="693"/>
      <c r="J625" s="694"/>
      <c r="K625" s="694"/>
      <c r="L625" s="694" t="s">
        <v>1763</v>
      </c>
      <c r="M625" s="694" t="s">
        <v>1230</v>
      </c>
      <c r="N625" s="697">
        <v>-142860</v>
      </c>
      <c r="O625" s="698"/>
      <c r="P625" s="698"/>
    </row>
    <row r="626" spans="1:16">
      <c r="A626" s="223" t="s">
        <v>2178</v>
      </c>
      <c r="B626" s="223" t="s">
        <v>1223</v>
      </c>
      <c r="C626" s="223" t="s">
        <v>2196</v>
      </c>
      <c r="D626" s="223" t="s">
        <v>2197</v>
      </c>
      <c r="E626" s="223" t="s">
        <v>1759</v>
      </c>
      <c r="F626" s="223" t="s">
        <v>1760</v>
      </c>
      <c r="G626" s="223" t="s">
        <v>1766</v>
      </c>
      <c r="H626" s="223" t="s">
        <v>1229</v>
      </c>
      <c r="I626" s="223"/>
      <c r="J626" s="224"/>
      <c r="K626" s="224"/>
      <c r="L626" s="224" t="s">
        <v>1763</v>
      </c>
      <c r="M626" s="224" t="s">
        <v>1230</v>
      </c>
      <c r="N626" s="696">
        <v>-754245.11</v>
      </c>
      <c r="O626" s="698"/>
      <c r="P626" s="698"/>
    </row>
    <row r="627" spans="1:16">
      <c r="A627" s="693" t="s">
        <v>2178</v>
      </c>
      <c r="B627" s="693" t="s">
        <v>1223</v>
      </c>
      <c r="C627" s="693" t="s">
        <v>2198</v>
      </c>
      <c r="D627" s="693" t="s">
        <v>2199</v>
      </c>
      <c r="E627" s="693" t="s">
        <v>1759</v>
      </c>
      <c r="F627" s="693" t="s">
        <v>1760</v>
      </c>
      <c r="G627" s="693" t="s">
        <v>1761</v>
      </c>
      <c r="H627" s="693" t="s">
        <v>1762</v>
      </c>
      <c r="I627" s="693"/>
      <c r="J627" s="694"/>
      <c r="K627" s="694"/>
      <c r="L627" s="694" t="s">
        <v>1763</v>
      </c>
      <c r="M627" s="694" t="s">
        <v>1230</v>
      </c>
      <c r="N627" s="697">
        <v>-48751.47</v>
      </c>
      <c r="O627" s="698"/>
      <c r="P627" s="698"/>
    </row>
    <row r="628" spans="1:16" hidden="1">
      <c r="A628" s="708" t="s">
        <v>2178</v>
      </c>
      <c r="B628" s="708" t="s">
        <v>1223</v>
      </c>
      <c r="C628" s="708" t="s">
        <v>2200</v>
      </c>
      <c r="D628" s="708" t="s">
        <v>2201</v>
      </c>
      <c r="E628" s="708" t="s">
        <v>1759</v>
      </c>
      <c r="F628" s="708" t="s">
        <v>1760</v>
      </c>
      <c r="G628" s="708" t="s">
        <v>1869</v>
      </c>
      <c r="H628" s="708" t="s">
        <v>1229</v>
      </c>
      <c r="I628" s="708"/>
      <c r="J628" s="709"/>
      <c r="K628" s="709"/>
      <c r="L628" s="709" t="s">
        <v>1796</v>
      </c>
      <c r="M628" s="709" t="s">
        <v>1797</v>
      </c>
      <c r="N628" s="712">
        <v>3964.97</v>
      </c>
      <c r="O628" s="707"/>
      <c r="P628" s="689" t="s">
        <v>1755</v>
      </c>
    </row>
    <row r="629" spans="1:16">
      <c r="A629" s="693" t="s">
        <v>2178</v>
      </c>
      <c r="B629" s="693" t="s">
        <v>1223</v>
      </c>
      <c r="C629" s="693" t="s">
        <v>2202</v>
      </c>
      <c r="D629" s="693" t="s">
        <v>2203</v>
      </c>
      <c r="E629" s="693" t="s">
        <v>1759</v>
      </c>
      <c r="F629" s="693" t="s">
        <v>1760</v>
      </c>
      <c r="G629" s="693" t="s">
        <v>1766</v>
      </c>
      <c r="H629" s="693" t="s">
        <v>1229</v>
      </c>
      <c r="I629" s="693"/>
      <c r="J629" s="694"/>
      <c r="K629" s="694"/>
      <c r="L629" s="694" t="s">
        <v>1792</v>
      </c>
      <c r="M629" s="694" t="s">
        <v>1230</v>
      </c>
      <c r="N629" s="695">
        <v>663906.02</v>
      </c>
      <c r="O629" s="698"/>
      <c r="P629" s="698"/>
    </row>
    <row r="630" spans="1:16">
      <c r="A630" s="223" t="s">
        <v>2178</v>
      </c>
      <c r="B630" s="223" t="s">
        <v>1223</v>
      </c>
      <c r="C630" s="223" t="s">
        <v>2204</v>
      </c>
      <c r="D630" s="223" t="s">
        <v>2205</v>
      </c>
      <c r="E630" s="223" t="s">
        <v>1759</v>
      </c>
      <c r="F630" s="223" t="s">
        <v>1760</v>
      </c>
      <c r="G630" s="223" t="s">
        <v>1826</v>
      </c>
      <c r="H630" s="223" t="s">
        <v>1229</v>
      </c>
      <c r="I630" s="223"/>
      <c r="J630" s="224"/>
      <c r="K630" s="224"/>
      <c r="L630" s="224" t="s">
        <v>1778</v>
      </c>
      <c r="M630" s="224" t="s">
        <v>1230</v>
      </c>
      <c r="N630" s="696">
        <v>-56324.32</v>
      </c>
      <c r="O630" s="698"/>
      <c r="P630" s="698"/>
    </row>
    <row r="631" spans="1:16">
      <c r="A631" s="693" t="s">
        <v>2178</v>
      </c>
      <c r="B631" s="693" t="s">
        <v>1223</v>
      </c>
      <c r="C631" s="693" t="s">
        <v>2206</v>
      </c>
      <c r="D631" s="693" t="s">
        <v>2207</v>
      </c>
      <c r="E631" s="693" t="s">
        <v>1759</v>
      </c>
      <c r="F631" s="693" t="s">
        <v>1227</v>
      </c>
      <c r="G631" s="693" t="s">
        <v>1832</v>
      </c>
      <c r="H631" s="693" t="s">
        <v>1229</v>
      </c>
      <c r="I631" s="693"/>
      <c r="J631" s="694"/>
      <c r="K631" s="694"/>
      <c r="L631" s="694" t="s">
        <v>1778</v>
      </c>
      <c r="M631" s="694" t="s">
        <v>1230</v>
      </c>
      <c r="N631" s="697">
        <v>-4542</v>
      </c>
      <c r="O631" s="698"/>
      <c r="P631" s="698"/>
    </row>
    <row r="632" spans="1:16">
      <c r="A632" s="223" t="s">
        <v>2178</v>
      </c>
      <c r="B632" s="223" t="s">
        <v>1223</v>
      </c>
      <c r="C632" s="223" t="s">
        <v>2206</v>
      </c>
      <c r="D632" s="223" t="s">
        <v>2207</v>
      </c>
      <c r="E632" s="223" t="s">
        <v>1759</v>
      </c>
      <c r="F632" s="223" t="s">
        <v>1760</v>
      </c>
      <c r="G632" s="223" t="s">
        <v>1833</v>
      </c>
      <c r="H632" s="223" t="s">
        <v>1229</v>
      </c>
      <c r="I632" s="223"/>
      <c r="J632" s="224"/>
      <c r="K632" s="224"/>
      <c r="L632" s="224" t="s">
        <v>1778</v>
      </c>
      <c r="M632" s="224" t="s">
        <v>1230</v>
      </c>
      <c r="N632" s="225">
        <v>5922</v>
      </c>
      <c r="O632" s="698"/>
      <c r="P632" s="698"/>
    </row>
    <row r="633" spans="1:16">
      <c r="A633" s="693" t="s">
        <v>2178</v>
      </c>
      <c r="B633" s="693" t="s">
        <v>1223</v>
      </c>
      <c r="C633" s="693" t="s">
        <v>2208</v>
      </c>
      <c r="D633" s="693" t="s">
        <v>2209</v>
      </c>
      <c r="E633" s="693" t="s">
        <v>1759</v>
      </c>
      <c r="F633" s="693" t="s">
        <v>1844</v>
      </c>
      <c r="G633" s="693" t="s">
        <v>1845</v>
      </c>
      <c r="H633" s="693" t="s">
        <v>1229</v>
      </c>
      <c r="I633" s="693"/>
      <c r="J633" s="694"/>
      <c r="K633" s="694"/>
      <c r="L633" s="694" t="s">
        <v>1846</v>
      </c>
      <c r="M633" s="694" t="s">
        <v>1230</v>
      </c>
      <c r="N633" s="695">
        <v>10874</v>
      </c>
      <c r="O633" s="698"/>
      <c r="P633" s="698"/>
    </row>
    <row r="634" spans="1:16">
      <c r="A634" s="223" t="s">
        <v>2178</v>
      </c>
      <c r="B634" s="223" t="s">
        <v>1223</v>
      </c>
      <c r="C634" s="223" t="s">
        <v>2208</v>
      </c>
      <c r="D634" s="223" t="s">
        <v>2209</v>
      </c>
      <c r="E634" s="223" t="s">
        <v>1759</v>
      </c>
      <c r="F634" s="223" t="s">
        <v>1227</v>
      </c>
      <c r="G634" s="223" t="s">
        <v>1847</v>
      </c>
      <c r="H634" s="223" t="s">
        <v>1229</v>
      </c>
      <c r="I634" s="223"/>
      <c r="J634" s="224"/>
      <c r="K634" s="224"/>
      <c r="L634" s="224" t="s">
        <v>1841</v>
      </c>
      <c r="M634" s="224" t="s">
        <v>1230</v>
      </c>
      <c r="N634" s="696">
        <v>-16978.05</v>
      </c>
      <c r="O634" s="698"/>
      <c r="P634" s="698"/>
    </row>
    <row r="635" spans="1:16">
      <c r="A635" s="693" t="s">
        <v>2178</v>
      </c>
      <c r="B635" s="693" t="s">
        <v>1223</v>
      </c>
      <c r="C635" s="693" t="s">
        <v>2208</v>
      </c>
      <c r="D635" s="693" t="s">
        <v>2209</v>
      </c>
      <c r="E635" s="693" t="s">
        <v>1759</v>
      </c>
      <c r="F635" s="693" t="s">
        <v>1760</v>
      </c>
      <c r="G635" s="693" t="s">
        <v>1836</v>
      </c>
      <c r="H635" s="693" t="s">
        <v>1229</v>
      </c>
      <c r="I635" s="693"/>
      <c r="J635" s="694"/>
      <c r="K635" s="694"/>
      <c r="L635" s="694" t="s">
        <v>1841</v>
      </c>
      <c r="M635" s="694" t="s">
        <v>1230</v>
      </c>
      <c r="N635" s="697">
        <v>-548956.93000000005</v>
      </c>
      <c r="O635" s="698"/>
      <c r="P635" s="698"/>
    </row>
    <row r="636" spans="1:16">
      <c r="A636" s="223" t="s">
        <v>2178</v>
      </c>
      <c r="B636" s="223" t="s">
        <v>1223</v>
      </c>
      <c r="C636" s="223" t="s">
        <v>2208</v>
      </c>
      <c r="D636" s="223" t="s">
        <v>2209</v>
      </c>
      <c r="E636" s="223" t="s">
        <v>1759</v>
      </c>
      <c r="F636" s="223" t="s">
        <v>1760</v>
      </c>
      <c r="G636" s="223" t="s">
        <v>1836</v>
      </c>
      <c r="H636" s="223" t="s">
        <v>1229</v>
      </c>
      <c r="I636" s="223"/>
      <c r="J636" s="224"/>
      <c r="K636" s="224"/>
      <c r="L636" s="224" t="s">
        <v>1846</v>
      </c>
      <c r="M636" s="224" t="s">
        <v>1230</v>
      </c>
      <c r="N636" s="696">
        <v>-30.02</v>
      </c>
      <c r="O636" s="698"/>
      <c r="P636" s="698"/>
    </row>
    <row r="637" spans="1:16">
      <c r="A637" s="693" t="s">
        <v>2178</v>
      </c>
      <c r="B637" s="693" t="s">
        <v>1223</v>
      </c>
      <c r="C637" s="693" t="s">
        <v>2210</v>
      </c>
      <c r="D637" s="693" t="s">
        <v>2211</v>
      </c>
      <c r="E637" s="693" t="s">
        <v>1759</v>
      </c>
      <c r="F637" s="693" t="s">
        <v>1760</v>
      </c>
      <c r="G637" s="693" t="s">
        <v>1836</v>
      </c>
      <c r="H637" s="693" t="s">
        <v>1229</v>
      </c>
      <c r="I637" s="693"/>
      <c r="J637" s="694"/>
      <c r="K637" s="694"/>
      <c r="L637" s="694" t="s">
        <v>1841</v>
      </c>
      <c r="M637" s="694" t="s">
        <v>1230</v>
      </c>
      <c r="N637" s="697">
        <v>-300256.26</v>
      </c>
      <c r="O637" s="698"/>
      <c r="P637" s="698"/>
    </row>
    <row r="638" spans="1:16">
      <c r="A638" s="223" t="s">
        <v>2178</v>
      </c>
      <c r="B638" s="223" t="s">
        <v>1223</v>
      </c>
      <c r="C638" s="223" t="s">
        <v>2212</v>
      </c>
      <c r="D638" s="223" t="s">
        <v>2213</v>
      </c>
      <c r="E638" s="223" t="s">
        <v>1759</v>
      </c>
      <c r="F638" s="223" t="s">
        <v>1760</v>
      </c>
      <c r="G638" s="223" t="s">
        <v>1836</v>
      </c>
      <c r="H638" s="223" t="s">
        <v>1229</v>
      </c>
      <c r="I638" s="223"/>
      <c r="J638" s="224"/>
      <c r="K638" s="224"/>
      <c r="L638" s="224" t="s">
        <v>1837</v>
      </c>
      <c r="M638" s="224" t="s">
        <v>1230</v>
      </c>
      <c r="N638" s="696">
        <v>-4581.59</v>
      </c>
      <c r="O638" s="698"/>
      <c r="P638" s="698"/>
    </row>
    <row r="639" spans="1:16">
      <c r="A639" s="693" t="s">
        <v>2178</v>
      </c>
      <c r="B639" s="693" t="s">
        <v>1223</v>
      </c>
      <c r="C639" s="693" t="s">
        <v>2212</v>
      </c>
      <c r="D639" s="693" t="s">
        <v>2213</v>
      </c>
      <c r="E639" s="693" t="s">
        <v>1759</v>
      </c>
      <c r="F639" s="693" t="s">
        <v>1760</v>
      </c>
      <c r="G639" s="693" t="s">
        <v>1838</v>
      </c>
      <c r="H639" s="693" t="s">
        <v>1229</v>
      </c>
      <c r="I639" s="693"/>
      <c r="J639" s="694"/>
      <c r="K639" s="694"/>
      <c r="L639" s="694" t="s">
        <v>1837</v>
      </c>
      <c r="M639" s="694" t="s">
        <v>1230</v>
      </c>
      <c r="N639" s="697">
        <v>-148137.97</v>
      </c>
      <c r="O639" s="698"/>
      <c r="P639" s="698"/>
    </row>
    <row r="640" spans="1:16">
      <c r="A640" s="223" t="s">
        <v>2178</v>
      </c>
      <c r="B640" s="223" t="s">
        <v>1223</v>
      </c>
      <c r="C640" s="223" t="s">
        <v>2214</v>
      </c>
      <c r="D640" s="223" t="s">
        <v>2215</v>
      </c>
      <c r="E640" s="223" t="s">
        <v>1759</v>
      </c>
      <c r="F640" s="223" t="s">
        <v>1227</v>
      </c>
      <c r="G640" s="223" t="s">
        <v>1956</v>
      </c>
      <c r="H640" s="223" t="s">
        <v>1957</v>
      </c>
      <c r="I640" s="223"/>
      <c r="J640" s="224"/>
      <c r="K640" s="224"/>
      <c r="L640" s="224" t="s">
        <v>1841</v>
      </c>
      <c r="M640" s="224" t="s">
        <v>1230</v>
      </c>
      <c r="N640" s="696">
        <v>-12173.06</v>
      </c>
      <c r="O640" s="698"/>
      <c r="P640" s="698"/>
    </row>
    <row r="641" spans="1:16">
      <c r="A641" s="693" t="s">
        <v>2216</v>
      </c>
      <c r="B641" s="693" t="s">
        <v>1223</v>
      </c>
      <c r="C641" s="693" t="s">
        <v>2217</v>
      </c>
      <c r="D641" s="693" t="s">
        <v>2218</v>
      </c>
      <c r="E641" s="693" t="s">
        <v>1759</v>
      </c>
      <c r="F641" s="693" t="s">
        <v>1760</v>
      </c>
      <c r="G641" s="693" t="s">
        <v>1766</v>
      </c>
      <c r="H641" s="693" t="s">
        <v>1229</v>
      </c>
      <c r="I641" s="693"/>
      <c r="J641" s="694"/>
      <c r="K641" s="694"/>
      <c r="L641" s="694" t="s">
        <v>1763</v>
      </c>
      <c r="M641" s="694" t="s">
        <v>1230</v>
      </c>
      <c r="N641" s="695">
        <v>754245.11</v>
      </c>
      <c r="O641" s="698"/>
      <c r="P641" s="698"/>
    </row>
    <row r="642" spans="1:16">
      <c r="A642" s="223" t="s">
        <v>2216</v>
      </c>
      <c r="B642" s="223" t="s">
        <v>1223</v>
      </c>
      <c r="C642" s="223" t="s">
        <v>2219</v>
      </c>
      <c r="D642" s="223" t="s">
        <v>2220</v>
      </c>
      <c r="E642" s="223" t="s">
        <v>1759</v>
      </c>
      <c r="F642" s="223" t="s">
        <v>1760</v>
      </c>
      <c r="G642" s="223" t="s">
        <v>1761</v>
      </c>
      <c r="H642" s="223" t="s">
        <v>1762</v>
      </c>
      <c r="I642" s="223"/>
      <c r="J642" s="224"/>
      <c r="K642" s="224"/>
      <c r="L642" s="224" t="s">
        <v>1763</v>
      </c>
      <c r="M642" s="224" t="s">
        <v>1230</v>
      </c>
      <c r="N642" s="225">
        <v>48751.47</v>
      </c>
      <c r="O642" s="698"/>
      <c r="P642" s="698"/>
    </row>
    <row r="643" spans="1:16">
      <c r="A643" s="693" t="s">
        <v>2216</v>
      </c>
      <c r="B643" s="693" t="s">
        <v>1223</v>
      </c>
      <c r="C643" s="693" t="s">
        <v>2221</v>
      </c>
      <c r="D643" s="693" t="s">
        <v>2222</v>
      </c>
      <c r="E643" s="693" t="s">
        <v>1759</v>
      </c>
      <c r="F643" s="693" t="s">
        <v>1760</v>
      </c>
      <c r="G643" s="693" t="s">
        <v>1769</v>
      </c>
      <c r="H643" s="693" t="s">
        <v>1229</v>
      </c>
      <c r="I643" s="693"/>
      <c r="J643" s="694"/>
      <c r="K643" s="694"/>
      <c r="L643" s="694" t="s">
        <v>1770</v>
      </c>
      <c r="M643" s="694" t="s">
        <v>1230</v>
      </c>
      <c r="N643" s="697">
        <v>-212168.11</v>
      </c>
      <c r="O643" s="698"/>
      <c r="P643" s="698"/>
    </row>
    <row r="644" spans="1:16">
      <c r="A644" s="223" t="s">
        <v>2216</v>
      </c>
      <c r="B644" s="223" t="s">
        <v>1223</v>
      </c>
      <c r="C644" s="223" t="s">
        <v>2223</v>
      </c>
      <c r="D644" s="223" t="s">
        <v>2224</v>
      </c>
      <c r="E644" s="223" t="s">
        <v>1759</v>
      </c>
      <c r="F644" s="223" t="s">
        <v>1760</v>
      </c>
      <c r="G644" s="223" t="s">
        <v>1761</v>
      </c>
      <c r="H644" s="223" t="s">
        <v>1762</v>
      </c>
      <c r="I644" s="223"/>
      <c r="J644" s="224"/>
      <c r="K644" s="224"/>
      <c r="L644" s="224" t="s">
        <v>1763</v>
      </c>
      <c r="M644" s="224" t="s">
        <v>1230</v>
      </c>
      <c r="N644" s="696">
        <v>-33664.769999999997</v>
      </c>
      <c r="O644" s="698"/>
      <c r="P644" s="698"/>
    </row>
    <row r="645" spans="1:16">
      <c r="A645" s="693" t="s">
        <v>2216</v>
      </c>
      <c r="B645" s="693" t="s">
        <v>1223</v>
      </c>
      <c r="C645" s="693" t="s">
        <v>2225</v>
      </c>
      <c r="D645" s="693" t="s">
        <v>2226</v>
      </c>
      <c r="E645" s="693" t="s">
        <v>1759</v>
      </c>
      <c r="F645" s="693" t="s">
        <v>1760</v>
      </c>
      <c r="G645" s="693" t="s">
        <v>1766</v>
      </c>
      <c r="H645" s="693" t="s">
        <v>1229</v>
      </c>
      <c r="I645" s="693"/>
      <c r="J645" s="694"/>
      <c r="K645" s="694"/>
      <c r="L645" s="694" t="s">
        <v>1763</v>
      </c>
      <c r="M645" s="694" t="s">
        <v>1230</v>
      </c>
      <c r="N645" s="697">
        <v>-766658.21</v>
      </c>
      <c r="O645" s="698"/>
      <c r="P645" s="698"/>
    </row>
    <row r="646" spans="1:16">
      <c r="A646" s="223" t="s">
        <v>2216</v>
      </c>
      <c r="B646" s="223" t="s">
        <v>1223</v>
      </c>
      <c r="C646" s="223" t="s">
        <v>2227</v>
      </c>
      <c r="D646" s="223" t="s">
        <v>2228</v>
      </c>
      <c r="E646" s="223" t="s">
        <v>1759</v>
      </c>
      <c r="F646" s="223" t="s">
        <v>1923</v>
      </c>
      <c r="G646" s="223" t="s">
        <v>1924</v>
      </c>
      <c r="H646" s="223" t="s">
        <v>1229</v>
      </c>
      <c r="I646" s="223"/>
      <c r="J646" s="224"/>
      <c r="K646" s="224"/>
      <c r="L646" s="224" t="s">
        <v>1925</v>
      </c>
      <c r="M646" s="224" t="s">
        <v>1918</v>
      </c>
      <c r="N646" s="225">
        <v>7643.57</v>
      </c>
      <c r="O646" s="698"/>
      <c r="P646" s="698"/>
    </row>
    <row r="647" spans="1:16">
      <c r="A647" s="693" t="s">
        <v>2216</v>
      </c>
      <c r="B647" s="693" t="s">
        <v>1223</v>
      </c>
      <c r="C647" s="693" t="s">
        <v>2229</v>
      </c>
      <c r="D647" s="693" t="s">
        <v>2230</v>
      </c>
      <c r="E647" s="693" t="s">
        <v>1759</v>
      </c>
      <c r="F647" s="693" t="s">
        <v>1923</v>
      </c>
      <c r="G647" s="693" t="s">
        <v>1924</v>
      </c>
      <c r="H647" s="693" t="s">
        <v>1229</v>
      </c>
      <c r="I647" s="693"/>
      <c r="J647" s="694"/>
      <c r="K647" s="694"/>
      <c r="L647" s="694" t="s">
        <v>1925</v>
      </c>
      <c r="M647" s="694" t="s">
        <v>1918</v>
      </c>
      <c r="N647" s="695">
        <v>0</v>
      </c>
      <c r="O647" s="698"/>
      <c r="P647" s="698"/>
    </row>
    <row r="648" spans="1:16">
      <c r="A648" s="223" t="s">
        <v>2216</v>
      </c>
      <c r="B648" s="223" t="s">
        <v>1223</v>
      </c>
      <c r="C648" s="223" t="s">
        <v>2231</v>
      </c>
      <c r="D648" s="223" t="s">
        <v>2232</v>
      </c>
      <c r="E648" s="223" t="s">
        <v>1759</v>
      </c>
      <c r="F648" s="223" t="s">
        <v>1923</v>
      </c>
      <c r="G648" s="223" t="s">
        <v>1924</v>
      </c>
      <c r="H648" s="223" t="s">
        <v>1229</v>
      </c>
      <c r="I648" s="223"/>
      <c r="J648" s="224"/>
      <c r="K648" s="224"/>
      <c r="L648" s="224" t="s">
        <v>1925</v>
      </c>
      <c r="M648" s="224" t="s">
        <v>1918</v>
      </c>
      <c r="N648" s="696">
        <v>-7643.57</v>
      </c>
      <c r="O648" s="698"/>
      <c r="P648" s="698"/>
    </row>
    <row r="649" spans="1:16">
      <c r="A649" s="693" t="s">
        <v>2216</v>
      </c>
      <c r="B649" s="693" t="s">
        <v>1223</v>
      </c>
      <c r="C649" s="693" t="s">
        <v>2233</v>
      </c>
      <c r="D649" s="693" t="s">
        <v>2234</v>
      </c>
      <c r="E649" s="693" t="s">
        <v>1759</v>
      </c>
      <c r="F649" s="693" t="s">
        <v>1760</v>
      </c>
      <c r="G649" s="693" t="s">
        <v>1766</v>
      </c>
      <c r="H649" s="693" t="s">
        <v>1229</v>
      </c>
      <c r="I649" s="693"/>
      <c r="J649" s="694"/>
      <c r="K649" s="694"/>
      <c r="L649" s="694" t="s">
        <v>1763</v>
      </c>
      <c r="M649" s="694" t="s">
        <v>1230</v>
      </c>
      <c r="N649" s="697">
        <v>-310091.99</v>
      </c>
      <c r="O649" s="698"/>
      <c r="P649" s="698"/>
    </row>
    <row r="650" spans="1:16">
      <c r="A650" s="223" t="s">
        <v>2216</v>
      </c>
      <c r="B650" s="223" t="s">
        <v>1223</v>
      </c>
      <c r="C650" s="223" t="s">
        <v>2235</v>
      </c>
      <c r="D650" s="223" t="s">
        <v>2236</v>
      </c>
      <c r="E650" s="223" t="s">
        <v>1759</v>
      </c>
      <c r="F650" s="223" t="s">
        <v>1760</v>
      </c>
      <c r="G650" s="223" t="s">
        <v>1761</v>
      </c>
      <c r="H650" s="223" t="s">
        <v>1762</v>
      </c>
      <c r="I650" s="223"/>
      <c r="J650" s="224"/>
      <c r="K650" s="224"/>
      <c r="L650" s="224" t="s">
        <v>1763</v>
      </c>
      <c r="M650" s="224" t="s">
        <v>1230</v>
      </c>
      <c r="N650" s="696">
        <v>-43122.12</v>
      </c>
      <c r="O650" s="698"/>
      <c r="P650" s="698"/>
    </row>
    <row r="651" spans="1:16">
      <c r="A651" s="693" t="s">
        <v>2216</v>
      </c>
      <c r="B651" s="693" t="s">
        <v>1223</v>
      </c>
      <c r="C651" s="693" t="s">
        <v>2237</v>
      </c>
      <c r="D651" s="693" t="s">
        <v>2238</v>
      </c>
      <c r="E651" s="693" t="s">
        <v>1759</v>
      </c>
      <c r="F651" s="693" t="s">
        <v>1760</v>
      </c>
      <c r="G651" s="693" t="s">
        <v>1766</v>
      </c>
      <c r="H651" s="693" t="s">
        <v>1229</v>
      </c>
      <c r="I651" s="693"/>
      <c r="J651" s="694"/>
      <c r="K651" s="694"/>
      <c r="L651" s="694" t="s">
        <v>1792</v>
      </c>
      <c r="M651" s="694" t="s">
        <v>1230</v>
      </c>
      <c r="N651" s="695">
        <v>315486.46000000002</v>
      </c>
      <c r="O651" s="698"/>
      <c r="P651" s="698"/>
    </row>
    <row r="652" spans="1:16">
      <c r="A652" s="223" t="s">
        <v>2216</v>
      </c>
      <c r="B652" s="223" t="s">
        <v>1223</v>
      </c>
      <c r="C652" s="223" t="s">
        <v>2239</v>
      </c>
      <c r="D652" s="223" t="s">
        <v>2240</v>
      </c>
      <c r="E652" s="223" t="s">
        <v>1759</v>
      </c>
      <c r="F652" s="223" t="s">
        <v>1760</v>
      </c>
      <c r="G652" s="223" t="s">
        <v>1777</v>
      </c>
      <c r="H652" s="223" t="s">
        <v>1229</v>
      </c>
      <c r="I652" s="223"/>
      <c r="J652" s="224"/>
      <c r="K652" s="224"/>
      <c r="L652" s="224" t="s">
        <v>1778</v>
      </c>
      <c r="M652" s="224" t="s">
        <v>1230</v>
      </c>
      <c r="N652" s="225">
        <v>212960.37</v>
      </c>
      <c r="O652" s="698"/>
      <c r="P652" s="698"/>
    </row>
    <row r="653" spans="1:16">
      <c r="A653" s="693" t="s">
        <v>2216</v>
      </c>
      <c r="B653" s="693" t="s">
        <v>1223</v>
      </c>
      <c r="C653" s="693" t="s">
        <v>2241</v>
      </c>
      <c r="D653" s="693" t="s">
        <v>2242</v>
      </c>
      <c r="E653" s="693" t="s">
        <v>1759</v>
      </c>
      <c r="F653" s="693" t="s">
        <v>1760</v>
      </c>
      <c r="G653" s="693" t="s">
        <v>1826</v>
      </c>
      <c r="H653" s="693" t="s">
        <v>1229</v>
      </c>
      <c r="I653" s="693"/>
      <c r="J653" s="694"/>
      <c r="K653" s="694"/>
      <c r="L653" s="694" t="s">
        <v>1778</v>
      </c>
      <c r="M653" s="694" t="s">
        <v>1230</v>
      </c>
      <c r="N653" s="697">
        <v>-89282.06</v>
      </c>
      <c r="O653" s="698"/>
      <c r="P653" s="698"/>
    </row>
    <row r="654" spans="1:16">
      <c r="A654" s="223" t="s">
        <v>2216</v>
      </c>
      <c r="B654" s="223" t="s">
        <v>1223</v>
      </c>
      <c r="C654" s="223" t="s">
        <v>2243</v>
      </c>
      <c r="D654" s="223" t="s">
        <v>2244</v>
      </c>
      <c r="E654" s="223" t="s">
        <v>1759</v>
      </c>
      <c r="F654" s="223" t="s">
        <v>1760</v>
      </c>
      <c r="G654" s="223" t="s">
        <v>1836</v>
      </c>
      <c r="H654" s="223" t="s">
        <v>1229</v>
      </c>
      <c r="I654" s="223"/>
      <c r="J654" s="224"/>
      <c r="K654" s="224"/>
      <c r="L654" s="224" t="s">
        <v>1837</v>
      </c>
      <c r="M654" s="224" t="s">
        <v>1230</v>
      </c>
      <c r="N654" s="225">
        <v>34360.160000000003</v>
      </c>
      <c r="O654" s="698"/>
      <c r="P654" s="698"/>
    </row>
    <row r="655" spans="1:16">
      <c r="A655" s="693" t="s">
        <v>2216</v>
      </c>
      <c r="B655" s="693" t="s">
        <v>1223</v>
      </c>
      <c r="C655" s="693" t="s">
        <v>2243</v>
      </c>
      <c r="D655" s="693" t="s">
        <v>2244</v>
      </c>
      <c r="E655" s="693" t="s">
        <v>1759</v>
      </c>
      <c r="F655" s="693" t="s">
        <v>1760</v>
      </c>
      <c r="G655" s="693" t="s">
        <v>1838</v>
      </c>
      <c r="H655" s="693" t="s">
        <v>1229</v>
      </c>
      <c r="I655" s="693"/>
      <c r="J655" s="694"/>
      <c r="K655" s="694"/>
      <c r="L655" s="694" t="s">
        <v>1837</v>
      </c>
      <c r="M655" s="694" t="s">
        <v>1230</v>
      </c>
      <c r="N655" s="695">
        <v>1110978.46</v>
      </c>
      <c r="O655" s="698"/>
      <c r="P655" s="698"/>
    </row>
    <row r="656" spans="1:16">
      <c r="A656" s="223" t="s">
        <v>2216</v>
      </c>
      <c r="B656" s="223" t="s">
        <v>1223</v>
      </c>
      <c r="C656" s="223" t="s">
        <v>2245</v>
      </c>
      <c r="D656" s="223" t="s">
        <v>2246</v>
      </c>
      <c r="E656" s="223" t="s">
        <v>1759</v>
      </c>
      <c r="F656" s="223" t="s">
        <v>1844</v>
      </c>
      <c r="G656" s="223" t="s">
        <v>1845</v>
      </c>
      <c r="H656" s="223" t="s">
        <v>1229</v>
      </c>
      <c r="I656" s="223"/>
      <c r="J656" s="224"/>
      <c r="K656" s="224"/>
      <c r="L656" s="224" t="s">
        <v>1846</v>
      </c>
      <c r="M656" s="224" t="s">
        <v>1230</v>
      </c>
      <c r="N656" s="225">
        <v>14761</v>
      </c>
      <c r="O656" s="698"/>
      <c r="P656" s="698"/>
    </row>
    <row r="657" spans="1:16">
      <c r="A657" s="693" t="s">
        <v>2216</v>
      </c>
      <c r="B657" s="693" t="s">
        <v>1223</v>
      </c>
      <c r="C657" s="693" t="s">
        <v>2245</v>
      </c>
      <c r="D657" s="693" t="s">
        <v>2246</v>
      </c>
      <c r="E657" s="693" t="s">
        <v>1759</v>
      </c>
      <c r="F657" s="693" t="s">
        <v>1227</v>
      </c>
      <c r="G657" s="693" t="s">
        <v>1847</v>
      </c>
      <c r="H657" s="693" t="s">
        <v>1229</v>
      </c>
      <c r="I657" s="693"/>
      <c r="J657" s="694"/>
      <c r="K657" s="694"/>
      <c r="L657" s="694" t="s">
        <v>1841</v>
      </c>
      <c r="M657" s="694" t="s">
        <v>1230</v>
      </c>
      <c r="N657" s="697">
        <v>-14846.95</v>
      </c>
      <c r="O657" s="698"/>
      <c r="P657" s="698"/>
    </row>
    <row r="658" spans="1:16">
      <c r="A658" s="223" t="s">
        <v>2216</v>
      </c>
      <c r="B658" s="223" t="s">
        <v>1223</v>
      </c>
      <c r="C658" s="223" t="s">
        <v>2245</v>
      </c>
      <c r="D658" s="223" t="s">
        <v>2246</v>
      </c>
      <c r="E658" s="223" t="s">
        <v>1759</v>
      </c>
      <c r="F658" s="223" t="s">
        <v>1760</v>
      </c>
      <c r="G658" s="223" t="s">
        <v>1836</v>
      </c>
      <c r="H658" s="223" t="s">
        <v>1229</v>
      </c>
      <c r="I658" s="223"/>
      <c r="J658" s="224"/>
      <c r="K658" s="224"/>
      <c r="L658" s="224" t="s">
        <v>1841</v>
      </c>
      <c r="M658" s="224" t="s">
        <v>1230</v>
      </c>
      <c r="N658" s="696">
        <v>-480051.3</v>
      </c>
      <c r="O658" s="698"/>
      <c r="P658" s="698"/>
    </row>
    <row r="659" spans="1:16">
      <c r="A659" s="693" t="s">
        <v>2216</v>
      </c>
      <c r="B659" s="693" t="s">
        <v>1223</v>
      </c>
      <c r="C659" s="693" t="s">
        <v>2245</v>
      </c>
      <c r="D659" s="693" t="s">
        <v>2246</v>
      </c>
      <c r="E659" s="693" t="s">
        <v>1759</v>
      </c>
      <c r="F659" s="693" t="s">
        <v>1760</v>
      </c>
      <c r="G659" s="693" t="s">
        <v>1836</v>
      </c>
      <c r="H659" s="693" t="s">
        <v>1229</v>
      </c>
      <c r="I659" s="693"/>
      <c r="J659" s="694"/>
      <c r="K659" s="694"/>
      <c r="L659" s="694" t="s">
        <v>1846</v>
      </c>
      <c r="M659" s="694" t="s">
        <v>1230</v>
      </c>
      <c r="N659" s="695">
        <v>47.54</v>
      </c>
      <c r="O659" s="698"/>
      <c r="P659" s="698"/>
    </row>
    <row r="660" spans="1:16">
      <c r="A660" s="223" t="s">
        <v>2216</v>
      </c>
      <c r="B660" s="223" t="s">
        <v>1223</v>
      </c>
      <c r="C660" s="223" t="s">
        <v>2247</v>
      </c>
      <c r="D660" s="223" t="s">
        <v>2248</v>
      </c>
      <c r="E660" s="223" t="s">
        <v>1759</v>
      </c>
      <c r="F660" s="223" t="s">
        <v>1227</v>
      </c>
      <c r="G660" s="223" t="s">
        <v>1832</v>
      </c>
      <c r="H660" s="223" t="s">
        <v>1229</v>
      </c>
      <c r="I660" s="223"/>
      <c r="J660" s="224"/>
      <c r="K660" s="224"/>
      <c r="L660" s="224" t="s">
        <v>1778</v>
      </c>
      <c r="M660" s="224" t="s">
        <v>1230</v>
      </c>
      <c r="N660" s="696">
        <v>-5270</v>
      </c>
      <c r="O660" s="698"/>
      <c r="P660" s="698"/>
    </row>
    <row r="661" spans="1:16">
      <c r="A661" s="693" t="s">
        <v>2216</v>
      </c>
      <c r="B661" s="693" t="s">
        <v>1223</v>
      </c>
      <c r="C661" s="693" t="s">
        <v>2247</v>
      </c>
      <c r="D661" s="693" t="s">
        <v>2248</v>
      </c>
      <c r="E661" s="693" t="s">
        <v>1759</v>
      </c>
      <c r="F661" s="693" t="s">
        <v>1760</v>
      </c>
      <c r="G661" s="693" t="s">
        <v>1833</v>
      </c>
      <c r="H661" s="693" t="s">
        <v>1229</v>
      </c>
      <c r="I661" s="693"/>
      <c r="J661" s="694"/>
      <c r="K661" s="694"/>
      <c r="L661" s="694" t="s">
        <v>1778</v>
      </c>
      <c r="M661" s="694" t="s">
        <v>1230</v>
      </c>
      <c r="N661" s="695">
        <v>6658</v>
      </c>
      <c r="O661" s="698"/>
      <c r="P661" s="698"/>
    </row>
    <row r="662" spans="1:16">
      <c r="A662" s="223" t="s">
        <v>2216</v>
      </c>
      <c r="B662" s="223" t="s">
        <v>1223</v>
      </c>
      <c r="C662" s="223" t="s">
        <v>2249</v>
      </c>
      <c r="D662" s="223" t="s">
        <v>2250</v>
      </c>
      <c r="E662" s="223" t="s">
        <v>1759</v>
      </c>
      <c r="F662" s="223" t="s">
        <v>1760</v>
      </c>
      <c r="G662" s="223" t="s">
        <v>1836</v>
      </c>
      <c r="H662" s="223" t="s">
        <v>1229</v>
      </c>
      <c r="I662" s="223"/>
      <c r="J662" s="224"/>
      <c r="K662" s="224"/>
      <c r="L662" s="224" t="s">
        <v>1841</v>
      </c>
      <c r="M662" s="224" t="s">
        <v>1230</v>
      </c>
      <c r="N662" s="225">
        <v>2129831.1800000002</v>
      </c>
      <c r="O662" s="698"/>
      <c r="P662" s="698"/>
    </row>
    <row r="663" spans="1:16">
      <c r="A663" s="693" t="s">
        <v>2216</v>
      </c>
      <c r="B663" s="693" t="s">
        <v>1223</v>
      </c>
      <c r="C663" s="693" t="s">
        <v>2251</v>
      </c>
      <c r="D663" s="693" t="s">
        <v>2252</v>
      </c>
      <c r="E663" s="693" t="s">
        <v>1759</v>
      </c>
      <c r="F663" s="693" t="s">
        <v>1227</v>
      </c>
      <c r="G663" s="693" t="s">
        <v>1956</v>
      </c>
      <c r="H663" s="693" t="s">
        <v>1957</v>
      </c>
      <c r="I663" s="693"/>
      <c r="J663" s="694"/>
      <c r="K663" s="694"/>
      <c r="L663" s="694" t="s">
        <v>1841</v>
      </c>
      <c r="M663" s="694" t="s">
        <v>1230</v>
      </c>
      <c r="N663" s="697">
        <v>-46442.15</v>
      </c>
      <c r="O663" s="698"/>
      <c r="P663" s="698"/>
    </row>
    <row r="664" spans="1:16">
      <c r="A664" s="223" t="s">
        <v>2253</v>
      </c>
      <c r="B664" s="223" t="s">
        <v>1223</v>
      </c>
      <c r="C664" s="223" t="s">
        <v>2254</v>
      </c>
      <c r="D664" s="223" t="s">
        <v>2255</v>
      </c>
      <c r="E664" s="223" t="s">
        <v>1759</v>
      </c>
      <c r="F664" s="223" t="s">
        <v>1760</v>
      </c>
      <c r="G664" s="223" t="s">
        <v>1766</v>
      </c>
      <c r="H664" s="223" t="s">
        <v>1229</v>
      </c>
      <c r="I664" s="223"/>
      <c r="J664" s="224"/>
      <c r="K664" s="224"/>
      <c r="L664" s="224" t="s">
        <v>1763</v>
      </c>
      <c r="M664" s="224" t="s">
        <v>1230</v>
      </c>
      <c r="N664" s="225">
        <v>310091.99</v>
      </c>
      <c r="O664" s="698"/>
      <c r="P664" s="698"/>
    </row>
    <row r="665" spans="1:16">
      <c r="A665" s="693" t="s">
        <v>2253</v>
      </c>
      <c r="B665" s="693" t="s">
        <v>1223</v>
      </c>
      <c r="C665" s="693" t="s">
        <v>2256</v>
      </c>
      <c r="D665" s="693" t="s">
        <v>2257</v>
      </c>
      <c r="E665" s="693" t="s">
        <v>1759</v>
      </c>
      <c r="F665" s="693" t="s">
        <v>1760</v>
      </c>
      <c r="G665" s="693" t="s">
        <v>1761</v>
      </c>
      <c r="H665" s="693" t="s">
        <v>1762</v>
      </c>
      <c r="I665" s="693"/>
      <c r="J665" s="694"/>
      <c r="K665" s="694"/>
      <c r="L665" s="694" t="s">
        <v>1763</v>
      </c>
      <c r="M665" s="694" t="s">
        <v>1230</v>
      </c>
      <c r="N665" s="695">
        <v>43122.12</v>
      </c>
      <c r="O665" s="698"/>
      <c r="P665" s="698"/>
    </row>
    <row r="666" spans="1:16">
      <c r="A666" s="223" t="s">
        <v>2253</v>
      </c>
      <c r="B666" s="223" t="s">
        <v>1223</v>
      </c>
      <c r="C666" s="223" t="s">
        <v>2258</v>
      </c>
      <c r="D666" s="223" t="s">
        <v>2259</v>
      </c>
      <c r="E666" s="223" t="s">
        <v>1759</v>
      </c>
      <c r="F666" s="223" t="s">
        <v>1760</v>
      </c>
      <c r="G666" s="223" t="s">
        <v>1761</v>
      </c>
      <c r="H666" s="223" t="s">
        <v>1762</v>
      </c>
      <c r="I666" s="223"/>
      <c r="J666" s="224"/>
      <c r="K666" s="224"/>
      <c r="L666" s="224" t="s">
        <v>1763</v>
      </c>
      <c r="M666" s="224" t="s">
        <v>1230</v>
      </c>
      <c r="N666" s="696">
        <v>-39116.720000000001</v>
      </c>
      <c r="O666" s="698"/>
      <c r="P666" s="698"/>
    </row>
    <row r="667" spans="1:16">
      <c r="A667" s="693" t="s">
        <v>2253</v>
      </c>
      <c r="B667" s="693" t="s">
        <v>1223</v>
      </c>
      <c r="C667" s="693" t="s">
        <v>2260</v>
      </c>
      <c r="D667" s="693" t="s">
        <v>2261</v>
      </c>
      <c r="E667" s="693" t="s">
        <v>1759</v>
      </c>
      <c r="F667" s="693" t="s">
        <v>1760</v>
      </c>
      <c r="G667" s="693" t="s">
        <v>1766</v>
      </c>
      <c r="H667" s="693" t="s">
        <v>1229</v>
      </c>
      <c r="I667" s="693"/>
      <c r="J667" s="694"/>
      <c r="K667" s="694"/>
      <c r="L667" s="694" t="s">
        <v>1763</v>
      </c>
      <c r="M667" s="694" t="s">
        <v>1230</v>
      </c>
      <c r="N667" s="697">
        <v>-339564.55</v>
      </c>
      <c r="O667" s="698"/>
      <c r="P667" s="698"/>
    </row>
    <row r="668" spans="1:16">
      <c r="A668" s="223" t="s">
        <v>2253</v>
      </c>
      <c r="B668" s="223" t="s">
        <v>1223</v>
      </c>
      <c r="C668" s="223" t="s">
        <v>2262</v>
      </c>
      <c r="D668" s="223" t="s">
        <v>2263</v>
      </c>
      <c r="E668" s="223" t="s">
        <v>1759</v>
      </c>
      <c r="F668" s="223" t="s">
        <v>1760</v>
      </c>
      <c r="G668" s="223" t="s">
        <v>2264</v>
      </c>
      <c r="H668" s="223" t="s">
        <v>1229</v>
      </c>
      <c r="I668" s="223"/>
      <c r="J668" s="224"/>
      <c r="K668" s="224"/>
      <c r="L668" s="224" t="s">
        <v>1778</v>
      </c>
      <c r="M668" s="224" t="s">
        <v>1230</v>
      </c>
      <c r="N668" s="225">
        <v>174045.36</v>
      </c>
      <c r="O668" s="698"/>
      <c r="P668" s="698"/>
    </row>
    <row r="669" spans="1:16">
      <c r="A669" s="693" t="s">
        <v>2253</v>
      </c>
      <c r="B669" s="693" t="s">
        <v>1223</v>
      </c>
      <c r="C669" s="693" t="s">
        <v>2265</v>
      </c>
      <c r="D669" s="693" t="s">
        <v>2266</v>
      </c>
      <c r="E669" s="693" t="s">
        <v>1759</v>
      </c>
      <c r="F669" s="693" t="s">
        <v>1760</v>
      </c>
      <c r="G669" s="693" t="s">
        <v>1836</v>
      </c>
      <c r="H669" s="693" t="s">
        <v>1229</v>
      </c>
      <c r="I669" s="693"/>
      <c r="J669" s="694"/>
      <c r="K669" s="694"/>
      <c r="L669" s="694" t="s">
        <v>1841</v>
      </c>
      <c r="M669" s="694" t="s">
        <v>1230</v>
      </c>
      <c r="N669" s="697">
        <v>-17499584.16</v>
      </c>
      <c r="O669" s="698"/>
      <c r="P669" s="698"/>
    </row>
    <row r="670" spans="1:16">
      <c r="A670" s="223" t="s">
        <v>2253</v>
      </c>
      <c r="B670" s="223" t="s">
        <v>1223</v>
      </c>
      <c r="C670" s="223" t="s">
        <v>2267</v>
      </c>
      <c r="D670" s="223" t="s">
        <v>2268</v>
      </c>
      <c r="E670" s="223" t="s">
        <v>1759</v>
      </c>
      <c r="F670" s="223" t="s">
        <v>1760</v>
      </c>
      <c r="G670" s="223" t="s">
        <v>1769</v>
      </c>
      <c r="H670" s="223" t="s">
        <v>1229</v>
      </c>
      <c r="I670" s="223"/>
      <c r="J670" s="224"/>
      <c r="K670" s="224"/>
      <c r="L670" s="224" t="s">
        <v>1770</v>
      </c>
      <c r="M670" s="224" t="s">
        <v>2269</v>
      </c>
      <c r="N670" s="696">
        <v>-228279.74</v>
      </c>
      <c r="O670" s="698"/>
      <c r="P670" s="698"/>
    </row>
    <row r="671" spans="1:16">
      <c r="A671" s="693" t="s">
        <v>2253</v>
      </c>
      <c r="B671" s="693" t="s">
        <v>1223</v>
      </c>
      <c r="C671" s="693" t="s">
        <v>2270</v>
      </c>
      <c r="D671" s="693" t="s">
        <v>2271</v>
      </c>
      <c r="E671" s="693" t="s">
        <v>1759</v>
      </c>
      <c r="F671" s="693" t="s">
        <v>1760</v>
      </c>
      <c r="G671" s="693" t="s">
        <v>1766</v>
      </c>
      <c r="H671" s="693" t="s">
        <v>1229</v>
      </c>
      <c r="I671" s="693"/>
      <c r="J671" s="694"/>
      <c r="K671" s="694"/>
      <c r="L671" s="694" t="s">
        <v>1763</v>
      </c>
      <c r="M671" s="694" t="s">
        <v>1230</v>
      </c>
      <c r="N671" s="697">
        <v>-2182978.19</v>
      </c>
      <c r="O671" s="698"/>
      <c r="P671" s="698"/>
    </row>
    <row r="672" spans="1:16">
      <c r="A672" s="223" t="s">
        <v>2253</v>
      </c>
      <c r="B672" s="223" t="s">
        <v>1223</v>
      </c>
      <c r="C672" s="223" t="s">
        <v>2272</v>
      </c>
      <c r="D672" s="223" t="s">
        <v>2273</v>
      </c>
      <c r="E672" s="223" t="s">
        <v>1759</v>
      </c>
      <c r="F672" s="223" t="s">
        <v>1760</v>
      </c>
      <c r="G672" s="223" t="s">
        <v>1761</v>
      </c>
      <c r="H672" s="223" t="s">
        <v>1762</v>
      </c>
      <c r="I672" s="223"/>
      <c r="J672" s="224"/>
      <c r="K672" s="224"/>
      <c r="L672" s="224" t="s">
        <v>1763</v>
      </c>
      <c r="M672" s="224" t="s">
        <v>1230</v>
      </c>
      <c r="N672" s="225">
        <v>476702.05</v>
      </c>
      <c r="O672" s="698"/>
      <c r="P672" s="698"/>
    </row>
    <row r="673" spans="1:16">
      <c r="A673" s="693" t="s">
        <v>2253</v>
      </c>
      <c r="B673" s="693" t="s">
        <v>1223</v>
      </c>
      <c r="C673" s="693" t="s">
        <v>2274</v>
      </c>
      <c r="D673" s="693" t="s">
        <v>2275</v>
      </c>
      <c r="E673" s="693" t="s">
        <v>1759</v>
      </c>
      <c r="F673" s="693" t="s">
        <v>1227</v>
      </c>
      <c r="G673" s="693" t="s">
        <v>1956</v>
      </c>
      <c r="H673" s="693" t="s">
        <v>1957</v>
      </c>
      <c r="I673" s="693"/>
      <c r="J673" s="694"/>
      <c r="K673" s="694"/>
      <c r="L673" s="694" t="s">
        <v>1841</v>
      </c>
      <c r="M673" s="694" t="s">
        <v>1230</v>
      </c>
      <c r="N673" s="697">
        <v>-131317</v>
      </c>
      <c r="O673" s="698"/>
      <c r="P673" s="698"/>
    </row>
    <row r="674" spans="1:16">
      <c r="A674" s="223" t="s">
        <v>2253</v>
      </c>
      <c r="B674" s="223" t="s">
        <v>1223</v>
      </c>
      <c r="C674" s="223" t="s">
        <v>2276</v>
      </c>
      <c r="D674" s="223" t="s">
        <v>2277</v>
      </c>
      <c r="E674" s="223" t="s">
        <v>1759</v>
      </c>
      <c r="F674" s="223" t="s">
        <v>1760</v>
      </c>
      <c r="G674" s="223" t="s">
        <v>1766</v>
      </c>
      <c r="H674" s="223" t="s">
        <v>1229</v>
      </c>
      <c r="I674" s="223"/>
      <c r="J674" s="224"/>
      <c r="K674" s="224"/>
      <c r="L674" s="224" t="s">
        <v>1792</v>
      </c>
      <c r="M674" s="224" t="s">
        <v>1230</v>
      </c>
      <c r="N674" s="225">
        <v>1558568.98</v>
      </c>
      <c r="O674" s="698"/>
      <c r="P674" s="698"/>
    </row>
    <row r="675" spans="1:16">
      <c r="A675" s="693" t="s">
        <v>2253</v>
      </c>
      <c r="B675" s="693" t="s">
        <v>1223</v>
      </c>
      <c r="C675" s="693" t="s">
        <v>2278</v>
      </c>
      <c r="D675" s="693" t="s">
        <v>2279</v>
      </c>
      <c r="E675" s="693" t="s">
        <v>1759</v>
      </c>
      <c r="F675" s="693" t="s">
        <v>1760</v>
      </c>
      <c r="G675" s="693" t="s">
        <v>1833</v>
      </c>
      <c r="H675" s="693" t="s">
        <v>1229</v>
      </c>
      <c r="I675" s="693"/>
      <c r="J675" s="694"/>
      <c r="K675" s="694"/>
      <c r="L675" s="694" t="s">
        <v>1778</v>
      </c>
      <c r="M675" s="694" t="s">
        <v>1230</v>
      </c>
      <c r="N675" s="697">
        <v>-115526.75</v>
      </c>
      <c r="O675" s="698"/>
      <c r="P675" s="698"/>
    </row>
    <row r="676" spans="1:16">
      <c r="A676" s="223" t="s">
        <v>2253</v>
      </c>
      <c r="B676" s="223" t="s">
        <v>1223</v>
      </c>
      <c r="C676" s="223" t="s">
        <v>2280</v>
      </c>
      <c r="D676" s="223" t="s">
        <v>2281</v>
      </c>
      <c r="E676" s="223" t="s">
        <v>1759</v>
      </c>
      <c r="F676" s="223" t="s">
        <v>1760</v>
      </c>
      <c r="G676" s="223" t="s">
        <v>1826</v>
      </c>
      <c r="H676" s="223" t="s">
        <v>1229</v>
      </c>
      <c r="I676" s="223"/>
      <c r="J676" s="224"/>
      <c r="K676" s="224"/>
      <c r="L676" s="224" t="s">
        <v>1778</v>
      </c>
      <c r="M676" s="224" t="s">
        <v>1230</v>
      </c>
      <c r="N676" s="696">
        <v>-46211.8</v>
      </c>
      <c r="O676" s="698"/>
      <c r="P676" s="698"/>
    </row>
    <row r="677" spans="1:16">
      <c r="A677" s="693" t="s">
        <v>2253</v>
      </c>
      <c r="B677" s="693" t="s">
        <v>1223</v>
      </c>
      <c r="C677" s="693" t="s">
        <v>2282</v>
      </c>
      <c r="D677" s="693" t="s">
        <v>2283</v>
      </c>
      <c r="E677" s="693" t="s">
        <v>1759</v>
      </c>
      <c r="F677" s="693" t="s">
        <v>1760</v>
      </c>
      <c r="G677" s="693" t="s">
        <v>1777</v>
      </c>
      <c r="H677" s="693" t="s">
        <v>1229</v>
      </c>
      <c r="I677" s="693"/>
      <c r="J677" s="694"/>
      <c r="K677" s="694"/>
      <c r="L677" s="694" t="s">
        <v>1778</v>
      </c>
      <c r="M677" s="694" t="s">
        <v>1230</v>
      </c>
      <c r="N677" s="695">
        <v>230176.42</v>
      </c>
      <c r="O677" s="698"/>
      <c r="P677" s="698"/>
    </row>
    <row r="678" spans="1:16">
      <c r="A678" s="223" t="s">
        <v>2253</v>
      </c>
      <c r="B678" s="223" t="s">
        <v>1223</v>
      </c>
      <c r="C678" s="223" t="s">
        <v>2284</v>
      </c>
      <c r="D678" s="223" t="s">
        <v>2285</v>
      </c>
      <c r="E678" s="223" t="s">
        <v>1759</v>
      </c>
      <c r="F678" s="223" t="s">
        <v>1760</v>
      </c>
      <c r="G678" s="223" t="s">
        <v>1836</v>
      </c>
      <c r="H678" s="223" t="s">
        <v>1229</v>
      </c>
      <c r="I678" s="223"/>
      <c r="J678" s="224"/>
      <c r="K678" s="224"/>
      <c r="L678" s="224" t="s">
        <v>1837</v>
      </c>
      <c r="M678" s="224" t="s">
        <v>1230</v>
      </c>
      <c r="N678" s="225">
        <v>96266.66</v>
      </c>
      <c r="O678" s="698"/>
      <c r="P678" s="698"/>
    </row>
    <row r="679" spans="1:16">
      <c r="A679" s="693" t="s">
        <v>2253</v>
      </c>
      <c r="B679" s="693" t="s">
        <v>1223</v>
      </c>
      <c r="C679" s="693" t="s">
        <v>2284</v>
      </c>
      <c r="D679" s="693" t="s">
        <v>2285</v>
      </c>
      <c r="E679" s="693" t="s">
        <v>1759</v>
      </c>
      <c r="F679" s="693" t="s">
        <v>1760</v>
      </c>
      <c r="G679" s="693" t="s">
        <v>1838</v>
      </c>
      <c r="H679" s="693" t="s">
        <v>1229</v>
      </c>
      <c r="I679" s="693"/>
      <c r="J679" s="694"/>
      <c r="K679" s="694"/>
      <c r="L679" s="694" t="s">
        <v>1837</v>
      </c>
      <c r="M679" s="694" t="s">
        <v>1230</v>
      </c>
      <c r="N679" s="695">
        <v>3112621.85</v>
      </c>
      <c r="O679" s="698"/>
      <c r="P679" s="698"/>
    </row>
    <row r="680" spans="1:16">
      <c r="A680" s="223" t="s">
        <v>2253</v>
      </c>
      <c r="B680" s="223" t="s">
        <v>1223</v>
      </c>
      <c r="C680" s="223" t="s">
        <v>2286</v>
      </c>
      <c r="D680" s="223" t="s">
        <v>2287</v>
      </c>
      <c r="E680" s="223" t="s">
        <v>1759</v>
      </c>
      <c r="F680" s="223" t="s">
        <v>1227</v>
      </c>
      <c r="G680" s="223" t="s">
        <v>1832</v>
      </c>
      <c r="H680" s="223" t="s">
        <v>1229</v>
      </c>
      <c r="I680" s="223"/>
      <c r="J680" s="224"/>
      <c r="K680" s="224"/>
      <c r="L680" s="224" t="s">
        <v>1778</v>
      </c>
      <c r="M680" s="224" t="s">
        <v>1230</v>
      </c>
      <c r="N680" s="696">
        <v>-10034</v>
      </c>
      <c r="O680" s="698"/>
      <c r="P680" s="698"/>
    </row>
    <row r="681" spans="1:16">
      <c r="A681" s="693" t="s">
        <v>2253</v>
      </c>
      <c r="B681" s="693" t="s">
        <v>1223</v>
      </c>
      <c r="C681" s="693" t="s">
        <v>2286</v>
      </c>
      <c r="D681" s="693" t="s">
        <v>2287</v>
      </c>
      <c r="E681" s="693" t="s">
        <v>1759</v>
      </c>
      <c r="F681" s="693" t="s">
        <v>1760</v>
      </c>
      <c r="G681" s="693" t="s">
        <v>1833</v>
      </c>
      <c r="H681" s="693" t="s">
        <v>1229</v>
      </c>
      <c r="I681" s="693"/>
      <c r="J681" s="694"/>
      <c r="K681" s="694"/>
      <c r="L681" s="694" t="s">
        <v>1778</v>
      </c>
      <c r="M681" s="694" t="s">
        <v>1230</v>
      </c>
      <c r="N681" s="695">
        <v>10212</v>
      </c>
      <c r="O681" s="698"/>
      <c r="P681" s="698"/>
    </row>
    <row r="682" spans="1:16">
      <c r="A682" s="223" t="s">
        <v>2253</v>
      </c>
      <c r="B682" s="223" t="s">
        <v>1223</v>
      </c>
      <c r="C682" s="223" t="s">
        <v>2288</v>
      </c>
      <c r="D682" s="223" t="s">
        <v>2289</v>
      </c>
      <c r="E682" s="223" t="s">
        <v>1759</v>
      </c>
      <c r="F682" s="223" t="s">
        <v>1760</v>
      </c>
      <c r="G682" s="223" t="s">
        <v>1836</v>
      </c>
      <c r="H682" s="223" t="s">
        <v>1229</v>
      </c>
      <c r="I682" s="223"/>
      <c r="J682" s="224"/>
      <c r="K682" s="224"/>
      <c r="L682" s="224" t="s">
        <v>1841</v>
      </c>
      <c r="M682" s="224" t="s">
        <v>1230</v>
      </c>
      <c r="N682" s="225">
        <v>4259270.1900000004</v>
      </c>
      <c r="O682" s="698"/>
      <c r="P682" s="698"/>
    </row>
    <row r="683" spans="1:16">
      <c r="A683" s="693" t="s">
        <v>2253</v>
      </c>
      <c r="B683" s="693" t="s">
        <v>1223</v>
      </c>
      <c r="C683" s="693" t="s">
        <v>2290</v>
      </c>
      <c r="D683" s="693" t="s">
        <v>2291</v>
      </c>
      <c r="E683" s="693" t="s">
        <v>1759</v>
      </c>
      <c r="F683" s="693" t="s">
        <v>1227</v>
      </c>
      <c r="G683" s="693" t="s">
        <v>1847</v>
      </c>
      <c r="H683" s="693" t="s">
        <v>1229</v>
      </c>
      <c r="I683" s="693"/>
      <c r="J683" s="694"/>
      <c r="K683" s="694"/>
      <c r="L683" s="694" t="s">
        <v>1841</v>
      </c>
      <c r="M683" s="694" t="s">
        <v>1230</v>
      </c>
      <c r="N683" s="697">
        <v>-48421.23</v>
      </c>
      <c r="O683" s="698"/>
      <c r="P683" s="698"/>
    </row>
    <row r="684" spans="1:16">
      <c r="A684" s="223" t="s">
        <v>2253</v>
      </c>
      <c r="B684" s="223" t="s">
        <v>1223</v>
      </c>
      <c r="C684" s="223" t="s">
        <v>2290</v>
      </c>
      <c r="D684" s="223" t="s">
        <v>2291</v>
      </c>
      <c r="E684" s="223" t="s">
        <v>1759</v>
      </c>
      <c r="F684" s="223" t="s">
        <v>1760</v>
      </c>
      <c r="G684" s="223" t="s">
        <v>1836</v>
      </c>
      <c r="H684" s="223" t="s">
        <v>1229</v>
      </c>
      <c r="I684" s="223"/>
      <c r="J684" s="224"/>
      <c r="K684" s="224"/>
      <c r="L684" s="224" t="s">
        <v>1841</v>
      </c>
      <c r="M684" s="224" t="s">
        <v>1230</v>
      </c>
      <c r="N684" s="696">
        <v>-1537926.2</v>
      </c>
      <c r="O684" s="698"/>
      <c r="P684" s="698"/>
    </row>
    <row r="685" spans="1:16">
      <c r="A685" s="693" t="s">
        <v>2253</v>
      </c>
      <c r="B685" s="693" t="s">
        <v>1223</v>
      </c>
      <c r="C685" s="693" t="s">
        <v>2290</v>
      </c>
      <c r="D685" s="693" t="s">
        <v>2291</v>
      </c>
      <c r="E685" s="693" t="s">
        <v>1759</v>
      </c>
      <c r="F685" s="693" t="s">
        <v>1760</v>
      </c>
      <c r="G685" s="693" t="s">
        <v>1836</v>
      </c>
      <c r="H685" s="693" t="s">
        <v>1229</v>
      </c>
      <c r="I685" s="693"/>
      <c r="J685" s="694"/>
      <c r="K685" s="694"/>
      <c r="L685" s="694" t="s">
        <v>1846</v>
      </c>
      <c r="M685" s="694" t="s">
        <v>1230</v>
      </c>
      <c r="N685" s="695">
        <v>197054.31</v>
      </c>
      <c r="O685" s="698"/>
      <c r="P685" s="698"/>
    </row>
    <row r="686" spans="1:16">
      <c r="A686" s="223" t="s">
        <v>2253</v>
      </c>
      <c r="B686" s="223" t="s">
        <v>1223</v>
      </c>
      <c r="C686" s="223" t="s">
        <v>2292</v>
      </c>
      <c r="D686" s="223" t="s">
        <v>2293</v>
      </c>
      <c r="E686" s="223" t="s">
        <v>1759</v>
      </c>
      <c r="F686" s="223" t="s">
        <v>1760</v>
      </c>
      <c r="G686" s="223" t="s">
        <v>2294</v>
      </c>
      <c r="H686" s="223" t="s">
        <v>1229</v>
      </c>
      <c r="I686" s="223"/>
      <c r="J686" s="224"/>
      <c r="K686" s="224"/>
      <c r="L686" s="224" t="s">
        <v>1792</v>
      </c>
      <c r="M686" s="224" t="s">
        <v>1230</v>
      </c>
      <c r="N686" s="696">
        <v>-516649.58</v>
      </c>
      <c r="O686" s="698"/>
      <c r="P686" s="698"/>
    </row>
    <row r="687" spans="1:16">
      <c r="A687" s="693" t="s">
        <v>2295</v>
      </c>
      <c r="B687" s="693" t="s">
        <v>1223</v>
      </c>
      <c r="C687" s="693" t="s">
        <v>2296</v>
      </c>
      <c r="D687" s="693" t="s">
        <v>2297</v>
      </c>
      <c r="E687" s="693" t="s">
        <v>1759</v>
      </c>
      <c r="F687" s="693" t="s">
        <v>1760</v>
      </c>
      <c r="G687" s="693" t="s">
        <v>1766</v>
      </c>
      <c r="H687" s="693" t="s">
        <v>1229</v>
      </c>
      <c r="I687" s="693"/>
      <c r="J687" s="694"/>
      <c r="K687" s="694"/>
      <c r="L687" s="694" t="s">
        <v>1763</v>
      </c>
      <c r="M687" s="694" t="s">
        <v>1230</v>
      </c>
      <c r="N687" s="695">
        <v>2182978.19</v>
      </c>
      <c r="O687" s="698"/>
      <c r="P687" s="698"/>
    </row>
    <row r="688" spans="1:16">
      <c r="A688" s="223" t="s">
        <v>2295</v>
      </c>
      <c r="B688" s="223" t="s">
        <v>1223</v>
      </c>
      <c r="C688" s="223" t="s">
        <v>2298</v>
      </c>
      <c r="D688" s="223" t="s">
        <v>2299</v>
      </c>
      <c r="E688" s="223" t="s">
        <v>1759</v>
      </c>
      <c r="F688" s="223" t="s">
        <v>1760</v>
      </c>
      <c r="G688" s="223" t="s">
        <v>1761</v>
      </c>
      <c r="H688" s="223" t="s">
        <v>1762</v>
      </c>
      <c r="I688" s="223"/>
      <c r="J688" s="224"/>
      <c r="K688" s="224"/>
      <c r="L688" s="224" t="s">
        <v>1763</v>
      </c>
      <c r="M688" s="224" t="s">
        <v>1230</v>
      </c>
      <c r="N688" s="696">
        <v>-476702.05</v>
      </c>
      <c r="O688" s="698"/>
      <c r="P688" s="698"/>
    </row>
    <row r="689" spans="1:16">
      <c r="A689" s="693" t="s">
        <v>2295</v>
      </c>
      <c r="B689" s="693" t="s">
        <v>1223</v>
      </c>
      <c r="C689" s="693" t="s">
        <v>2300</v>
      </c>
      <c r="D689" s="693" t="s">
        <v>2301</v>
      </c>
      <c r="E689" s="693" t="s">
        <v>1759</v>
      </c>
      <c r="F689" s="693" t="s">
        <v>1760</v>
      </c>
      <c r="G689" s="693" t="s">
        <v>1769</v>
      </c>
      <c r="H689" s="693" t="s">
        <v>1229</v>
      </c>
      <c r="I689" s="693"/>
      <c r="J689" s="694"/>
      <c r="K689" s="694"/>
      <c r="L689" s="694" t="s">
        <v>1770</v>
      </c>
      <c r="M689" s="694" t="s">
        <v>1230</v>
      </c>
      <c r="N689" s="697">
        <v>-201788.26</v>
      </c>
      <c r="O689" s="698"/>
      <c r="P689" s="698"/>
    </row>
    <row r="690" spans="1:16">
      <c r="A690" s="223" t="s">
        <v>2295</v>
      </c>
      <c r="B690" s="223" t="s">
        <v>1223</v>
      </c>
      <c r="C690" s="223" t="s">
        <v>2302</v>
      </c>
      <c r="D690" s="223" t="s">
        <v>2303</v>
      </c>
      <c r="E690" s="223" t="s">
        <v>1759</v>
      </c>
      <c r="F690" s="223" t="s">
        <v>1760</v>
      </c>
      <c r="G690" s="223" t="s">
        <v>1761</v>
      </c>
      <c r="H690" s="223" t="s">
        <v>1762</v>
      </c>
      <c r="I690" s="223"/>
      <c r="J690" s="224"/>
      <c r="K690" s="224"/>
      <c r="L690" s="224" t="s">
        <v>1763</v>
      </c>
      <c r="M690" s="224" t="s">
        <v>1230</v>
      </c>
      <c r="N690" s="225">
        <v>330857.23</v>
      </c>
      <c r="O690" s="698"/>
      <c r="P690" s="698"/>
    </row>
    <row r="691" spans="1:16">
      <c r="A691" s="693" t="s">
        <v>2295</v>
      </c>
      <c r="B691" s="693" t="s">
        <v>1223</v>
      </c>
      <c r="C691" s="693" t="s">
        <v>2304</v>
      </c>
      <c r="D691" s="693" t="s">
        <v>2305</v>
      </c>
      <c r="E691" s="693" t="s">
        <v>1759</v>
      </c>
      <c r="F691" s="693" t="s">
        <v>1760</v>
      </c>
      <c r="G691" s="693" t="s">
        <v>1766</v>
      </c>
      <c r="H691" s="693" t="s">
        <v>1229</v>
      </c>
      <c r="I691" s="693"/>
      <c r="J691" s="694"/>
      <c r="K691" s="694"/>
      <c r="L691" s="694" t="s">
        <v>1763</v>
      </c>
      <c r="M691" s="694" t="s">
        <v>1230</v>
      </c>
      <c r="N691" s="697">
        <v>-1960478.08</v>
      </c>
      <c r="O691" s="698"/>
      <c r="P691" s="698"/>
    </row>
    <row r="692" spans="1:16">
      <c r="A692" s="223" t="s">
        <v>2295</v>
      </c>
      <c r="B692" s="223" t="s">
        <v>1223</v>
      </c>
      <c r="C692" s="223" t="s">
        <v>2306</v>
      </c>
      <c r="D692" s="223" t="s">
        <v>2307</v>
      </c>
      <c r="E692" s="223" t="s">
        <v>1759</v>
      </c>
      <c r="F692" s="223" t="s">
        <v>1760</v>
      </c>
      <c r="G692" s="223" t="s">
        <v>1769</v>
      </c>
      <c r="H692" s="223" t="s">
        <v>1229</v>
      </c>
      <c r="I692" s="223"/>
      <c r="J692" s="224"/>
      <c r="K692" s="224"/>
      <c r="L692" s="224" t="s">
        <v>1770</v>
      </c>
      <c r="M692" s="224" t="s">
        <v>1230</v>
      </c>
      <c r="N692" s="696">
        <v>-0.79</v>
      </c>
      <c r="O692" s="698"/>
      <c r="P692" s="698"/>
    </row>
    <row r="693" spans="1:16">
      <c r="A693" s="693" t="s">
        <v>2295</v>
      </c>
      <c r="B693" s="693" t="s">
        <v>1223</v>
      </c>
      <c r="C693" s="693" t="s">
        <v>2308</v>
      </c>
      <c r="D693" s="693" t="s">
        <v>2309</v>
      </c>
      <c r="E693" s="693" t="s">
        <v>1759</v>
      </c>
      <c r="F693" s="693" t="s">
        <v>1760</v>
      </c>
      <c r="G693" s="693" t="s">
        <v>1766</v>
      </c>
      <c r="H693" s="693" t="s">
        <v>1229</v>
      </c>
      <c r="I693" s="693"/>
      <c r="J693" s="694"/>
      <c r="K693" s="694"/>
      <c r="L693" s="694" t="s">
        <v>1763</v>
      </c>
      <c r="M693" s="694" t="s">
        <v>1230</v>
      </c>
      <c r="N693" s="697">
        <v>-1925844.46</v>
      </c>
      <c r="O693" s="698"/>
      <c r="P693" s="698"/>
    </row>
    <row r="694" spans="1:16">
      <c r="A694" s="223" t="s">
        <v>2295</v>
      </c>
      <c r="B694" s="223" t="s">
        <v>1223</v>
      </c>
      <c r="C694" s="223" t="s">
        <v>2310</v>
      </c>
      <c r="D694" s="223" t="s">
        <v>2311</v>
      </c>
      <c r="E694" s="223" t="s">
        <v>1759</v>
      </c>
      <c r="F694" s="223" t="s">
        <v>1760</v>
      </c>
      <c r="G694" s="223" t="s">
        <v>1761</v>
      </c>
      <c r="H694" s="223" t="s">
        <v>1762</v>
      </c>
      <c r="I694" s="223"/>
      <c r="J694" s="224"/>
      <c r="K694" s="224"/>
      <c r="L694" s="224" t="s">
        <v>1763</v>
      </c>
      <c r="M694" s="224" t="s">
        <v>1230</v>
      </c>
      <c r="N694" s="696">
        <v>-1138762.26</v>
      </c>
      <c r="O694" s="698"/>
      <c r="P694" s="698"/>
    </row>
    <row r="695" spans="1:16" hidden="1">
      <c r="A695" s="704" t="s">
        <v>2295</v>
      </c>
      <c r="B695" s="704" t="s">
        <v>1223</v>
      </c>
      <c r="C695" s="704" t="s">
        <v>2312</v>
      </c>
      <c r="D695" s="704" t="s">
        <v>2313</v>
      </c>
      <c r="E695" s="704" t="s">
        <v>1759</v>
      </c>
      <c r="F695" s="704" t="s">
        <v>1760</v>
      </c>
      <c r="G695" s="704" t="s">
        <v>1869</v>
      </c>
      <c r="H695" s="704" t="s">
        <v>1229</v>
      </c>
      <c r="I695" s="704"/>
      <c r="J695" s="705"/>
      <c r="K695" s="705"/>
      <c r="L695" s="705" t="s">
        <v>1796</v>
      </c>
      <c r="M695" s="705" t="s">
        <v>1797</v>
      </c>
      <c r="N695" s="706">
        <v>10890.43</v>
      </c>
      <c r="O695" s="707"/>
      <c r="P695" s="689" t="s">
        <v>1755</v>
      </c>
    </row>
    <row r="696" spans="1:16">
      <c r="A696" s="223" t="s">
        <v>2295</v>
      </c>
      <c r="B696" s="223" t="s">
        <v>1223</v>
      </c>
      <c r="C696" s="223" t="s">
        <v>2314</v>
      </c>
      <c r="D696" s="223" t="s">
        <v>2315</v>
      </c>
      <c r="E696" s="223" t="s">
        <v>1759</v>
      </c>
      <c r="F696" s="223" t="s">
        <v>1760</v>
      </c>
      <c r="G696" s="223" t="s">
        <v>1789</v>
      </c>
      <c r="H696" s="223" t="s">
        <v>1229</v>
      </c>
      <c r="I696" s="223"/>
      <c r="J696" s="224"/>
      <c r="K696" s="224"/>
      <c r="L696" s="224" t="s">
        <v>1763</v>
      </c>
      <c r="M696" s="224" t="s">
        <v>1230</v>
      </c>
      <c r="N696" s="225">
        <v>35200</v>
      </c>
      <c r="O696" s="698"/>
      <c r="P696" s="698"/>
    </row>
    <row r="697" spans="1:16">
      <c r="A697" s="693" t="s">
        <v>2295</v>
      </c>
      <c r="B697" s="693" t="s">
        <v>1223</v>
      </c>
      <c r="C697" s="693" t="s">
        <v>2316</v>
      </c>
      <c r="D697" s="693" t="s">
        <v>2317</v>
      </c>
      <c r="E697" s="693" t="s">
        <v>1759</v>
      </c>
      <c r="F697" s="693" t="s">
        <v>1760</v>
      </c>
      <c r="G697" s="693" t="s">
        <v>1766</v>
      </c>
      <c r="H697" s="693" t="s">
        <v>1229</v>
      </c>
      <c r="I697" s="693"/>
      <c r="J697" s="694"/>
      <c r="K697" s="694"/>
      <c r="L697" s="694" t="s">
        <v>1792</v>
      </c>
      <c r="M697" s="694" t="s">
        <v>1230</v>
      </c>
      <c r="N697" s="695">
        <v>2783560.42</v>
      </c>
      <c r="O697" s="698"/>
      <c r="P697" s="698"/>
    </row>
    <row r="698" spans="1:16">
      <c r="A698" s="223" t="s">
        <v>2295</v>
      </c>
      <c r="B698" s="223" t="s">
        <v>1223</v>
      </c>
      <c r="C698" s="223" t="s">
        <v>2318</v>
      </c>
      <c r="D698" s="223" t="s">
        <v>2319</v>
      </c>
      <c r="E698" s="223" t="s">
        <v>1759</v>
      </c>
      <c r="F698" s="223" t="s">
        <v>1760</v>
      </c>
      <c r="G698" s="223" t="s">
        <v>1789</v>
      </c>
      <c r="H698" s="223" t="s">
        <v>1229</v>
      </c>
      <c r="I698" s="223"/>
      <c r="J698" s="224"/>
      <c r="K698" s="224"/>
      <c r="L698" s="224" t="s">
        <v>1928</v>
      </c>
      <c r="M698" s="224" t="s">
        <v>1797</v>
      </c>
      <c r="N698" s="696">
        <v>-119870.53</v>
      </c>
      <c r="O698" s="698"/>
      <c r="P698" s="698"/>
    </row>
    <row r="699" spans="1:16">
      <c r="A699" s="693" t="s">
        <v>2295</v>
      </c>
      <c r="B699" s="693" t="s">
        <v>1223</v>
      </c>
      <c r="C699" s="693" t="s">
        <v>2320</v>
      </c>
      <c r="D699" s="693" t="s">
        <v>2321</v>
      </c>
      <c r="E699" s="693" t="s">
        <v>1759</v>
      </c>
      <c r="F699" s="693" t="s">
        <v>1760</v>
      </c>
      <c r="G699" s="693" t="s">
        <v>1777</v>
      </c>
      <c r="H699" s="693" t="s">
        <v>1229</v>
      </c>
      <c r="I699" s="693"/>
      <c r="J699" s="694"/>
      <c r="K699" s="694"/>
      <c r="L699" s="694" t="s">
        <v>1778</v>
      </c>
      <c r="M699" s="694" t="s">
        <v>1230</v>
      </c>
      <c r="N699" s="695">
        <v>207926.05</v>
      </c>
      <c r="O699" s="698"/>
      <c r="P699" s="698"/>
    </row>
    <row r="700" spans="1:16">
      <c r="A700" s="223" t="s">
        <v>2295</v>
      </c>
      <c r="B700" s="223" t="s">
        <v>1223</v>
      </c>
      <c r="C700" s="223" t="s">
        <v>2322</v>
      </c>
      <c r="D700" s="223" t="s">
        <v>2323</v>
      </c>
      <c r="E700" s="223" t="s">
        <v>1759</v>
      </c>
      <c r="F700" s="223" t="s">
        <v>1760</v>
      </c>
      <c r="G700" s="223" t="s">
        <v>1836</v>
      </c>
      <c r="H700" s="223" t="s">
        <v>1229</v>
      </c>
      <c r="I700" s="223"/>
      <c r="J700" s="224"/>
      <c r="K700" s="224"/>
      <c r="L700" s="224" t="s">
        <v>1837</v>
      </c>
      <c r="M700" s="224" t="s">
        <v>1230</v>
      </c>
      <c r="N700" s="225">
        <v>216063.81</v>
      </c>
      <c r="O700" s="698"/>
      <c r="P700" s="698"/>
    </row>
    <row r="701" spans="1:16">
      <c r="A701" s="693" t="s">
        <v>2295</v>
      </c>
      <c r="B701" s="693" t="s">
        <v>1223</v>
      </c>
      <c r="C701" s="693" t="s">
        <v>2322</v>
      </c>
      <c r="D701" s="693" t="s">
        <v>2323</v>
      </c>
      <c r="E701" s="693" t="s">
        <v>1759</v>
      </c>
      <c r="F701" s="693" t="s">
        <v>1760</v>
      </c>
      <c r="G701" s="693" t="s">
        <v>1838</v>
      </c>
      <c r="H701" s="693" t="s">
        <v>1229</v>
      </c>
      <c r="I701" s="693"/>
      <c r="J701" s="694"/>
      <c r="K701" s="694"/>
      <c r="L701" s="694" t="s">
        <v>1837</v>
      </c>
      <c r="M701" s="694" t="s">
        <v>1230</v>
      </c>
      <c r="N701" s="695">
        <v>6986063.25</v>
      </c>
      <c r="O701" s="698"/>
      <c r="P701" s="698"/>
    </row>
    <row r="702" spans="1:16">
      <c r="A702" s="223" t="s">
        <v>2295</v>
      </c>
      <c r="B702" s="223" t="s">
        <v>1223</v>
      </c>
      <c r="C702" s="223" t="s">
        <v>2324</v>
      </c>
      <c r="D702" s="223" t="s">
        <v>2325</v>
      </c>
      <c r="E702" s="223" t="s">
        <v>1759</v>
      </c>
      <c r="F702" s="223" t="s">
        <v>1760</v>
      </c>
      <c r="G702" s="223" t="s">
        <v>1826</v>
      </c>
      <c r="H702" s="223" t="s">
        <v>1229</v>
      </c>
      <c r="I702" s="223"/>
      <c r="J702" s="224"/>
      <c r="K702" s="224"/>
      <c r="L702" s="224" t="s">
        <v>1778</v>
      </c>
      <c r="M702" s="224" t="s">
        <v>1230</v>
      </c>
      <c r="N702" s="225">
        <v>39298.82</v>
      </c>
      <c r="O702" s="698"/>
      <c r="P702" s="698"/>
    </row>
    <row r="703" spans="1:16">
      <c r="A703" s="693" t="s">
        <v>2295</v>
      </c>
      <c r="B703" s="693" t="s">
        <v>1223</v>
      </c>
      <c r="C703" s="693" t="s">
        <v>2326</v>
      </c>
      <c r="D703" s="693" t="s">
        <v>2327</v>
      </c>
      <c r="E703" s="693" t="s">
        <v>1759</v>
      </c>
      <c r="F703" s="693" t="s">
        <v>1227</v>
      </c>
      <c r="G703" s="693" t="s">
        <v>1847</v>
      </c>
      <c r="H703" s="693" t="s">
        <v>1229</v>
      </c>
      <c r="I703" s="693"/>
      <c r="J703" s="694"/>
      <c r="K703" s="694"/>
      <c r="L703" s="694" t="s">
        <v>1841</v>
      </c>
      <c r="M703" s="694" t="s">
        <v>1230</v>
      </c>
      <c r="N703" s="697">
        <v>-80811.66</v>
      </c>
      <c r="O703" s="698"/>
      <c r="P703" s="698"/>
    </row>
    <row r="704" spans="1:16">
      <c r="A704" s="223" t="s">
        <v>2295</v>
      </c>
      <c r="B704" s="223" t="s">
        <v>1223</v>
      </c>
      <c r="C704" s="223" t="s">
        <v>2326</v>
      </c>
      <c r="D704" s="223" t="s">
        <v>2327</v>
      </c>
      <c r="E704" s="223" t="s">
        <v>1759</v>
      </c>
      <c r="F704" s="223" t="s">
        <v>1760</v>
      </c>
      <c r="G704" s="223" t="s">
        <v>1836</v>
      </c>
      <c r="H704" s="223" t="s">
        <v>1229</v>
      </c>
      <c r="I704" s="223"/>
      <c r="J704" s="224"/>
      <c r="K704" s="224"/>
      <c r="L704" s="224" t="s">
        <v>1841</v>
      </c>
      <c r="M704" s="224" t="s">
        <v>1230</v>
      </c>
      <c r="N704" s="696">
        <v>-2612910.29</v>
      </c>
      <c r="O704" s="698"/>
      <c r="P704" s="698"/>
    </row>
    <row r="705" spans="1:16">
      <c r="A705" s="693" t="s">
        <v>2295</v>
      </c>
      <c r="B705" s="693" t="s">
        <v>1223</v>
      </c>
      <c r="C705" s="693" t="s">
        <v>2326</v>
      </c>
      <c r="D705" s="693" t="s">
        <v>2327</v>
      </c>
      <c r="E705" s="693" t="s">
        <v>1759</v>
      </c>
      <c r="F705" s="693" t="s">
        <v>1760</v>
      </c>
      <c r="G705" s="693" t="s">
        <v>1836</v>
      </c>
      <c r="H705" s="693" t="s">
        <v>1229</v>
      </c>
      <c r="I705" s="693"/>
      <c r="J705" s="694"/>
      <c r="K705" s="694"/>
      <c r="L705" s="694" t="s">
        <v>1846</v>
      </c>
      <c r="M705" s="694" t="s">
        <v>1230</v>
      </c>
      <c r="N705" s="695">
        <v>795985.92000000004</v>
      </c>
      <c r="O705" s="698"/>
      <c r="P705" s="698"/>
    </row>
    <row r="706" spans="1:16">
      <c r="A706" s="223" t="s">
        <v>2295</v>
      </c>
      <c r="B706" s="223" t="s">
        <v>1223</v>
      </c>
      <c r="C706" s="223" t="s">
        <v>2328</v>
      </c>
      <c r="D706" s="223" t="s">
        <v>2329</v>
      </c>
      <c r="E706" s="223" t="s">
        <v>1759</v>
      </c>
      <c r="F706" s="223" t="s">
        <v>1227</v>
      </c>
      <c r="G706" s="223" t="s">
        <v>1956</v>
      </c>
      <c r="H706" s="223" t="s">
        <v>1957</v>
      </c>
      <c r="I706" s="223"/>
      <c r="J706" s="224"/>
      <c r="K706" s="224"/>
      <c r="L706" s="224" t="s">
        <v>1841</v>
      </c>
      <c r="M706" s="224" t="s">
        <v>1230</v>
      </c>
      <c r="N706" s="696">
        <v>-71726.66</v>
      </c>
      <c r="O706" s="698"/>
      <c r="P706" s="698"/>
    </row>
    <row r="707" spans="1:16">
      <c r="A707" s="693" t="s">
        <v>2295</v>
      </c>
      <c r="B707" s="693" t="s">
        <v>1223</v>
      </c>
      <c r="C707" s="693" t="s">
        <v>2330</v>
      </c>
      <c r="D707" s="693" t="s">
        <v>2331</v>
      </c>
      <c r="E707" s="693" t="s">
        <v>1759</v>
      </c>
      <c r="F707" s="693" t="s">
        <v>1227</v>
      </c>
      <c r="G707" s="693" t="s">
        <v>1832</v>
      </c>
      <c r="H707" s="693" t="s">
        <v>1229</v>
      </c>
      <c r="I707" s="693"/>
      <c r="J707" s="694"/>
      <c r="K707" s="694"/>
      <c r="L707" s="694" t="s">
        <v>1778</v>
      </c>
      <c r="M707" s="694" t="s">
        <v>1230</v>
      </c>
      <c r="N707" s="697">
        <v>-17970</v>
      </c>
      <c r="O707" s="698"/>
      <c r="P707" s="698"/>
    </row>
    <row r="708" spans="1:16">
      <c r="A708" s="223" t="s">
        <v>2295</v>
      </c>
      <c r="B708" s="223" t="s">
        <v>1223</v>
      </c>
      <c r="C708" s="223" t="s">
        <v>2330</v>
      </c>
      <c r="D708" s="223" t="s">
        <v>2331</v>
      </c>
      <c r="E708" s="223" t="s">
        <v>1759</v>
      </c>
      <c r="F708" s="223" t="s">
        <v>1760</v>
      </c>
      <c r="G708" s="223" t="s">
        <v>1833</v>
      </c>
      <c r="H708" s="223" t="s">
        <v>1229</v>
      </c>
      <c r="I708" s="223"/>
      <c r="J708" s="224"/>
      <c r="K708" s="224"/>
      <c r="L708" s="224" t="s">
        <v>1778</v>
      </c>
      <c r="M708" s="224" t="s">
        <v>1230</v>
      </c>
      <c r="N708" s="225">
        <v>9111</v>
      </c>
      <c r="O708" s="698"/>
      <c r="P708" s="698"/>
    </row>
    <row r="709" spans="1:16">
      <c r="A709" s="693" t="s">
        <v>2295</v>
      </c>
      <c r="B709" s="693" t="s">
        <v>1223</v>
      </c>
      <c r="C709" s="693" t="s">
        <v>2332</v>
      </c>
      <c r="D709" s="693" t="s">
        <v>2333</v>
      </c>
      <c r="E709" s="693" t="s">
        <v>1759</v>
      </c>
      <c r="F709" s="693" t="s">
        <v>1760</v>
      </c>
      <c r="G709" s="693" t="s">
        <v>1836</v>
      </c>
      <c r="H709" s="693" t="s">
        <v>1229</v>
      </c>
      <c r="I709" s="693"/>
      <c r="J709" s="694"/>
      <c r="K709" s="694"/>
      <c r="L709" s="694" t="s">
        <v>1841</v>
      </c>
      <c r="M709" s="694" t="s">
        <v>1230</v>
      </c>
      <c r="N709" s="695">
        <v>7030952.1900000004</v>
      </c>
      <c r="O709" s="698"/>
      <c r="P709" s="698"/>
    </row>
  </sheetData>
  <autoFilter ref="A398:P709" xr:uid="{CDABE207-FDEE-4D00-A009-0FE3F9FA967D}">
    <filterColumn colId="15">
      <filters blank="1"/>
    </filterColumn>
  </autoFilter>
  <pageMargins left="0.7" right="0.7" top="0.75" bottom="0.75" header="0.3" footer="0.3"/>
  <pageSetup orientation="portrait" horizontalDpi="1200" verticalDpi="1200"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E7773D-BFA5-480D-823C-5E56F918DDA6}">
  <sheetPr>
    <tabColor rgb="FFFF0000"/>
  </sheetPr>
  <dimension ref="A3:O512"/>
  <sheetViews>
    <sheetView workbookViewId="0"/>
  </sheetViews>
  <sheetFormatPr defaultColWidth="9.140625" defaultRowHeight="14.25"/>
  <cols>
    <col min="1" max="1" width="20.42578125" style="428" bestFit="1" customWidth="1"/>
    <col min="2" max="2" width="25.7109375" style="428" bestFit="1" customWidth="1"/>
    <col min="3" max="3" width="33" style="428" bestFit="1" customWidth="1"/>
    <col min="4" max="4" width="44.5703125" style="428" bestFit="1" customWidth="1"/>
    <col min="5" max="5" width="38.7109375" style="428" bestFit="1" customWidth="1"/>
    <col min="6" max="6" width="24" style="428" bestFit="1" customWidth="1"/>
    <col min="7" max="7" width="20.42578125" style="428" bestFit="1" customWidth="1"/>
    <col min="8" max="8" width="15.42578125" style="428" customWidth="1"/>
    <col min="9" max="9" width="9.140625" style="428" customWidth="1"/>
    <col min="10" max="11" width="9.140625" style="428"/>
    <col min="12" max="12" width="18.140625" style="428" bestFit="1" customWidth="1"/>
    <col min="13" max="13" width="13.85546875" style="428" customWidth="1"/>
    <col min="14" max="14" width="13.5703125" style="428" bestFit="1" customWidth="1"/>
    <col min="15" max="16384" width="9.140625" style="428"/>
  </cols>
  <sheetData>
    <row r="3" spans="1:8" ht="15">
      <c r="A3" s="449" t="s">
        <v>1233</v>
      </c>
      <c r="B3" s="449" t="s">
        <v>989</v>
      </c>
      <c r="C3" s="449" t="s">
        <v>993</v>
      </c>
      <c r="D3" s="449" t="s">
        <v>1047</v>
      </c>
      <c r="E3" s="449" t="s">
        <v>1048</v>
      </c>
      <c r="F3" s="449" t="s">
        <v>990</v>
      </c>
    </row>
    <row r="4" spans="1:8" ht="15">
      <c r="A4" s="447" t="s">
        <v>1317</v>
      </c>
      <c r="B4" s="447" t="s">
        <v>1318</v>
      </c>
      <c r="C4" s="428" t="s">
        <v>2334</v>
      </c>
      <c r="D4" s="447" t="s">
        <v>2334</v>
      </c>
      <c r="E4" s="428" t="s">
        <v>1329</v>
      </c>
      <c r="F4" s="439">
        <v>17707.560000000001</v>
      </c>
      <c r="G4" s="429" t="s">
        <v>148</v>
      </c>
      <c r="H4" s="429" t="s">
        <v>300</v>
      </c>
    </row>
    <row r="5" spans="1:8" ht="15">
      <c r="A5" s="447"/>
      <c r="B5" s="447"/>
      <c r="C5" s="428" t="s">
        <v>1319</v>
      </c>
      <c r="D5" s="447" t="s">
        <v>1320</v>
      </c>
      <c r="E5" s="428" t="s">
        <v>1321</v>
      </c>
      <c r="F5" s="439">
        <v>-144687.62</v>
      </c>
      <c r="G5" s="429" t="s">
        <v>148</v>
      </c>
      <c r="H5" s="429" t="s">
        <v>300</v>
      </c>
    </row>
    <row r="6" spans="1:8" ht="15">
      <c r="A6" s="447"/>
      <c r="B6" s="447"/>
      <c r="C6" s="428" t="s">
        <v>2335</v>
      </c>
      <c r="D6" s="447" t="s">
        <v>2335</v>
      </c>
      <c r="E6" s="428" t="s">
        <v>1329</v>
      </c>
      <c r="F6" s="439">
        <v>-57582.57</v>
      </c>
      <c r="G6" s="429" t="s">
        <v>148</v>
      </c>
      <c r="H6" s="429" t="s">
        <v>300</v>
      </c>
    </row>
    <row r="7" spans="1:8" ht="15">
      <c r="A7" s="447"/>
      <c r="B7" s="447"/>
      <c r="D7" s="447"/>
      <c r="E7" s="428" t="s">
        <v>1321</v>
      </c>
      <c r="F7" s="439">
        <v>57582.57</v>
      </c>
      <c r="G7" s="429" t="s">
        <v>148</v>
      </c>
      <c r="H7" s="429" t="s">
        <v>300</v>
      </c>
    </row>
    <row r="8" spans="1:8" ht="15">
      <c r="A8" s="447"/>
      <c r="B8" s="447"/>
      <c r="C8" s="428" t="s">
        <v>2336</v>
      </c>
      <c r="D8" s="447" t="s">
        <v>2336</v>
      </c>
      <c r="E8" s="428" t="s">
        <v>1321</v>
      </c>
      <c r="F8" s="439">
        <v>45939.75</v>
      </c>
      <c r="G8" s="429" t="s">
        <v>148</v>
      </c>
      <c r="H8" s="429" t="s">
        <v>300</v>
      </c>
    </row>
    <row r="9" spans="1:8" ht="15">
      <c r="A9" s="447"/>
      <c r="B9" s="447"/>
      <c r="C9" s="428" t="s">
        <v>2337</v>
      </c>
      <c r="D9" s="447" t="s">
        <v>2338</v>
      </c>
      <c r="E9" s="428" t="s">
        <v>1321</v>
      </c>
      <c r="F9" s="439">
        <v>-45939.75</v>
      </c>
      <c r="G9" s="429" t="s">
        <v>148</v>
      </c>
      <c r="H9" s="429" t="s">
        <v>300</v>
      </c>
    </row>
    <row r="10" spans="1:8" ht="15">
      <c r="A10" s="447"/>
      <c r="B10" s="447"/>
      <c r="C10" s="428" t="s">
        <v>1334</v>
      </c>
      <c r="D10" s="447" t="s">
        <v>1336</v>
      </c>
      <c r="E10" s="428" t="s">
        <v>1335</v>
      </c>
      <c r="F10" s="439">
        <v>-423148.1</v>
      </c>
      <c r="G10" s="429" t="s">
        <v>148</v>
      </c>
      <c r="H10" s="429" t="s">
        <v>300</v>
      </c>
    </row>
    <row r="11" spans="1:8" ht="15">
      <c r="A11" s="447"/>
      <c r="B11" s="447"/>
      <c r="C11" s="428" t="s">
        <v>1338</v>
      </c>
      <c r="D11" s="447" t="s">
        <v>1339</v>
      </c>
      <c r="E11" s="428" t="s">
        <v>1340</v>
      </c>
      <c r="F11" s="439">
        <v>-647718.37000000034</v>
      </c>
      <c r="G11" s="429" t="s">
        <v>148</v>
      </c>
      <c r="H11" s="429" t="s">
        <v>300</v>
      </c>
    </row>
    <row r="12" spans="1:8" ht="15">
      <c r="A12" s="447"/>
      <c r="B12" s="447"/>
      <c r="C12" s="428" t="s">
        <v>1341</v>
      </c>
      <c r="D12" s="447" t="s">
        <v>1342</v>
      </c>
      <c r="E12" s="428" t="s">
        <v>1343</v>
      </c>
      <c r="F12" s="439">
        <v>-9607028.129999999</v>
      </c>
      <c r="G12" s="429" t="s">
        <v>148</v>
      </c>
      <c r="H12" s="429" t="s">
        <v>300</v>
      </c>
    </row>
    <row r="13" spans="1:8" ht="15">
      <c r="A13" s="447"/>
      <c r="B13" s="447"/>
      <c r="C13" s="428" t="s">
        <v>1345</v>
      </c>
      <c r="D13" s="447" t="s">
        <v>1346</v>
      </c>
      <c r="E13" s="428" t="s">
        <v>1347</v>
      </c>
      <c r="F13" s="439">
        <v>-571808.60999999987</v>
      </c>
      <c r="G13" s="429" t="s">
        <v>148</v>
      </c>
      <c r="H13" s="429" t="s">
        <v>300</v>
      </c>
    </row>
    <row r="14" spans="1:8" ht="15">
      <c r="A14" s="447"/>
      <c r="B14" s="447"/>
      <c r="C14" s="428" t="s">
        <v>1348</v>
      </c>
      <c r="D14" s="447" t="s">
        <v>1349</v>
      </c>
      <c r="E14" s="428" t="s">
        <v>1350</v>
      </c>
      <c r="F14" s="439">
        <v>-296094.87</v>
      </c>
      <c r="G14" s="429" t="s">
        <v>148</v>
      </c>
      <c r="H14" s="429" t="s">
        <v>300</v>
      </c>
    </row>
    <row r="15" spans="1:8" ht="15">
      <c r="A15" s="447"/>
      <c r="B15" s="447"/>
      <c r="C15" s="428" t="s">
        <v>2339</v>
      </c>
      <c r="D15" s="447" t="s">
        <v>2340</v>
      </c>
      <c r="E15" s="428" t="s">
        <v>1329</v>
      </c>
      <c r="F15" s="439">
        <v>182381.56</v>
      </c>
      <c r="G15" s="429" t="s">
        <v>148</v>
      </c>
      <c r="H15" s="429" t="s">
        <v>300</v>
      </c>
    </row>
    <row r="16" spans="1:8" ht="15">
      <c r="A16" s="448"/>
      <c r="B16" s="447"/>
      <c r="D16" s="447" t="s">
        <v>2341</v>
      </c>
      <c r="E16" s="428" t="s">
        <v>1329</v>
      </c>
      <c r="F16" s="439">
        <v>-182381.56</v>
      </c>
      <c r="G16" s="429" t="s">
        <v>148</v>
      </c>
      <c r="H16" s="429" t="s">
        <v>300</v>
      </c>
    </row>
    <row r="17" spans="1:8" ht="15">
      <c r="A17" s="447" t="s">
        <v>1355</v>
      </c>
      <c r="B17" s="447" t="s">
        <v>1356</v>
      </c>
      <c r="C17" s="428" t="s">
        <v>1357</v>
      </c>
      <c r="D17" s="447" t="s">
        <v>1358</v>
      </c>
      <c r="E17" s="428" t="s">
        <v>1359</v>
      </c>
      <c r="F17" s="439">
        <v>-129173.81</v>
      </c>
      <c r="G17" s="429" t="s">
        <v>150</v>
      </c>
      <c r="H17" s="429" t="s">
        <v>301</v>
      </c>
    </row>
    <row r="18" spans="1:8" ht="15">
      <c r="A18" s="447"/>
      <c r="B18" s="447"/>
      <c r="D18" s="447" t="s">
        <v>1360</v>
      </c>
      <c r="E18" s="428" t="s">
        <v>1359</v>
      </c>
      <c r="F18" s="439">
        <v>129480.53</v>
      </c>
      <c r="G18" s="429" t="s">
        <v>150</v>
      </c>
      <c r="H18" s="429" t="s">
        <v>301</v>
      </c>
    </row>
    <row r="19" spans="1:8" ht="15">
      <c r="A19" s="448"/>
      <c r="B19" s="447"/>
      <c r="C19" s="428" t="s">
        <v>1361</v>
      </c>
      <c r="D19" s="447" t="s">
        <v>1362</v>
      </c>
      <c r="E19" s="428" t="s">
        <v>1363</v>
      </c>
      <c r="F19" s="439">
        <v>129173.81</v>
      </c>
      <c r="G19" s="429" t="s">
        <v>150</v>
      </c>
      <c r="H19" s="429" t="s">
        <v>301</v>
      </c>
    </row>
    <row r="20" spans="1:8" ht="15">
      <c r="A20" s="447" t="s">
        <v>1364</v>
      </c>
      <c r="B20" s="447" t="s">
        <v>1365</v>
      </c>
      <c r="C20" s="428" t="s">
        <v>2342</v>
      </c>
      <c r="D20" s="447" t="s">
        <v>2343</v>
      </c>
      <c r="E20" s="428" t="s">
        <v>2344</v>
      </c>
      <c r="F20" s="439">
        <v>0</v>
      </c>
      <c r="H20" s="429" t="s">
        <v>1366</v>
      </c>
    </row>
    <row r="21" spans="1:8" ht="15">
      <c r="A21" s="447"/>
      <c r="B21" s="447"/>
      <c r="C21" s="428" t="s">
        <v>1054</v>
      </c>
      <c r="D21" s="447" t="s">
        <v>1054</v>
      </c>
      <c r="E21" s="428" t="s">
        <v>1153</v>
      </c>
      <c r="F21" s="439">
        <v>-1.6</v>
      </c>
      <c r="H21" s="429" t="s">
        <v>1366</v>
      </c>
    </row>
    <row r="22" spans="1:8" ht="15">
      <c r="A22" s="447"/>
      <c r="B22" s="447"/>
      <c r="D22" s="447" t="s">
        <v>1056</v>
      </c>
      <c r="E22" s="428" t="s">
        <v>1055</v>
      </c>
      <c r="F22" s="439">
        <v>-0.8</v>
      </c>
      <c r="H22" s="429" t="s">
        <v>1366</v>
      </c>
    </row>
    <row r="23" spans="1:8" ht="15">
      <c r="A23" s="448"/>
      <c r="B23" s="447"/>
      <c r="C23" s="428" t="s">
        <v>941</v>
      </c>
      <c r="D23" s="447" t="s">
        <v>1367</v>
      </c>
      <c r="E23" s="428" t="s">
        <v>1061</v>
      </c>
      <c r="F23" s="439">
        <v>2577106.0499999998</v>
      </c>
      <c r="H23" s="429" t="s">
        <v>1366</v>
      </c>
    </row>
    <row r="24" spans="1:8" ht="15">
      <c r="A24" s="447" t="s">
        <v>1368</v>
      </c>
      <c r="B24" s="447" t="s">
        <v>1369</v>
      </c>
      <c r="C24" s="428" t="s">
        <v>1005</v>
      </c>
      <c r="D24" s="447" t="s">
        <v>1005</v>
      </c>
      <c r="E24" s="428" t="s">
        <v>2345</v>
      </c>
      <c r="F24" s="439">
        <v>2251.64</v>
      </c>
      <c r="H24" s="429" t="s">
        <v>1366</v>
      </c>
    </row>
    <row r="25" spans="1:8" ht="15">
      <c r="A25" s="447"/>
      <c r="B25" s="447"/>
      <c r="D25" s="447"/>
      <c r="E25" s="428" t="s">
        <v>2346</v>
      </c>
      <c r="F25" s="439">
        <v>2654.02</v>
      </c>
      <c r="H25" s="429" t="s">
        <v>1366</v>
      </c>
    </row>
    <row r="26" spans="1:8" ht="15">
      <c r="A26" s="447"/>
      <c r="B26" s="447"/>
      <c r="D26" s="447"/>
      <c r="E26" s="428" t="s">
        <v>2347</v>
      </c>
      <c r="F26" s="439">
        <v>1003.7</v>
      </c>
      <c r="H26" s="429" t="s">
        <v>1366</v>
      </c>
    </row>
    <row r="27" spans="1:8" ht="15">
      <c r="A27" s="447"/>
      <c r="B27" s="447"/>
      <c r="D27" s="447"/>
      <c r="E27" s="428" t="s">
        <v>2348</v>
      </c>
      <c r="F27" s="439">
        <v>1163.1099999999999</v>
      </c>
      <c r="H27" s="429" t="s">
        <v>1366</v>
      </c>
    </row>
    <row r="28" spans="1:8" ht="15">
      <c r="A28" s="447"/>
      <c r="B28" s="447"/>
      <c r="D28" s="447"/>
      <c r="E28" s="428" t="s">
        <v>2349</v>
      </c>
      <c r="F28" s="439">
        <v>100</v>
      </c>
      <c r="H28" s="429" t="s">
        <v>1366</v>
      </c>
    </row>
    <row r="29" spans="1:8" ht="15">
      <c r="A29" s="447"/>
      <c r="B29" s="447"/>
      <c r="D29" s="447"/>
      <c r="E29" s="428" t="s">
        <v>2350</v>
      </c>
      <c r="F29" s="439">
        <v>2735.34</v>
      </c>
      <c r="H29" s="429" t="s">
        <v>1366</v>
      </c>
    </row>
    <row r="30" spans="1:8" ht="15">
      <c r="A30" s="447"/>
      <c r="B30" s="447"/>
      <c r="D30" s="447"/>
      <c r="E30" s="428" t="s">
        <v>2351</v>
      </c>
      <c r="F30" s="439">
        <v>2067.87</v>
      </c>
      <c r="H30" s="429" t="s">
        <v>1366</v>
      </c>
    </row>
    <row r="31" spans="1:8" ht="15">
      <c r="A31" s="447"/>
      <c r="B31" s="447"/>
      <c r="D31" s="447"/>
      <c r="E31" s="428" t="s">
        <v>2352</v>
      </c>
      <c r="F31" s="439">
        <v>13031.79</v>
      </c>
      <c r="H31" s="429" t="s">
        <v>1366</v>
      </c>
    </row>
    <row r="32" spans="1:8" ht="15">
      <c r="A32" s="447"/>
      <c r="B32" s="447"/>
      <c r="D32" s="447"/>
      <c r="E32" s="428" t="s">
        <v>2353</v>
      </c>
      <c r="F32" s="439">
        <v>2167.88</v>
      </c>
      <c r="H32" s="429" t="s">
        <v>1366</v>
      </c>
    </row>
    <row r="33" spans="1:8" ht="15">
      <c r="A33" s="447"/>
      <c r="B33" s="447"/>
      <c r="D33" s="447"/>
      <c r="E33" s="428" t="s">
        <v>2354</v>
      </c>
      <c r="F33" s="439">
        <v>1220.0899999999999</v>
      </c>
      <c r="H33" s="429" t="s">
        <v>1366</v>
      </c>
    </row>
    <row r="34" spans="1:8" ht="15">
      <c r="A34" s="447"/>
      <c r="B34" s="447"/>
      <c r="D34" s="447"/>
      <c r="E34" s="428" t="s">
        <v>2355</v>
      </c>
      <c r="F34" s="439">
        <v>-1207</v>
      </c>
      <c r="H34" s="429" t="s">
        <v>1366</v>
      </c>
    </row>
    <row r="35" spans="1:8" ht="15">
      <c r="A35" s="447"/>
      <c r="B35" s="447"/>
      <c r="D35" s="447"/>
      <c r="E35" s="428" t="s">
        <v>2356</v>
      </c>
      <c r="F35" s="439">
        <v>-1331.78</v>
      </c>
      <c r="H35" s="429" t="s">
        <v>1366</v>
      </c>
    </row>
    <row r="36" spans="1:8" ht="15">
      <c r="A36" s="447"/>
      <c r="B36" s="447"/>
      <c r="D36" s="447"/>
      <c r="E36" s="428" t="s">
        <v>2357</v>
      </c>
      <c r="F36" s="439">
        <v>-1865.68</v>
      </c>
      <c r="H36" s="429" t="s">
        <v>1366</v>
      </c>
    </row>
    <row r="37" spans="1:8" ht="15">
      <c r="A37" s="447"/>
      <c r="B37" s="447"/>
      <c r="D37" s="447"/>
      <c r="E37" s="428" t="s">
        <v>2358</v>
      </c>
      <c r="F37" s="439">
        <v>-1299</v>
      </c>
      <c r="H37" s="429" t="s">
        <v>1366</v>
      </c>
    </row>
    <row r="38" spans="1:8" ht="15">
      <c r="A38" s="447"/>
      <c r="B38" s="447"/>
      <c r="D38" s="447"/>
      <c r="E38" s="428" t="s">
        <v>2359</v>
      </c>
      <c r="F38" s="439">
        <v>-986.68</v>
      </c>
      <c r="H38" s="429" t="s">
        <v>1366</v>
      </c>
    </row>
    <row r="39" spans="1:8" ht="15">
      <c r="A39" s="447"/>
      <c r="B39" s="447"/>
      <c r="D39" s="447"/>
      <c r="E39" s="428" t="s">
        <v>2360</v>
      </c>
      <c r="F39" s="439">
        <v>-2167.88</v>
      </c>
      <c r="H39" s="429" t="s">
        <v>1366</v>
      </c>
    </row>
    <row r="40" spans="1:8" ht="15">
      <c r="A40" s="447"/>
      <c r="B40" s="447"/>
      <c r="D40" s="447"/>
      <c r="E40" s="428" t="s">
        <v>2361</v>
      </c>
      <c r="F40" s="439">
        <v>-2128.06</v>
      </c>
      <c r="H40" s="429" t="s">
        <v>1366</v>
      </c>
    </row>
    <row r="41" spans="1:8" ht="15">
      <c r="A41" s="447"/>
      <c r="B41" s="447"/>
      <c r="D41" s="447"/>
      <c r="E41" s="428" t="s">
        <v>2362</v>
      </c>
      <c r="F41" s="439">
        <v>-2523.62</v>
      </c>
      <c r="H41" s="429" t="s">
        <v>1366</v>
      </c>
    </row>
    <row r="42" spans="1:8" ht="15">
      <c r="A42" s="447"/>
      <c r="B42" s="447"/>
      <c r="D42" s="447"/>
      <c r="E42" s="428" t="s">
        <v>2363</v>
      </c>
      <c r="F42" s="439">
        <v>-2628.67</v>
      </c>
      <c r="H42" s="429" t="s">
        <v>1366</v>
      </c>
    </row>
    <row r="43" spans="1:8" ht="15">
      <c r="A43" s="447"/>
      <c r="B43" s="447"/>
      <c r="D43" s="447"/>
      <c r="E43" s="428" t="s">
        <v>2364</v>
      </c>
      <c r="F43" s="439">
        <v>-1157.71</v>
      </c>
      <c r="H43" s="429" t="s">
        <v>1366</v>
      </c>
    </row>
    <row r="44" spans="1:8" ht="15">
      <c r="A44" s="447"/>
      <c r="B44" s="447"/>
      <c r="D44" s="447"/>
      <c r="E44" s="428" t="s">
        <v>2365</v>
      </c>
      <c r="F44" s="439">
        <v>-2248.63</v>
      </c>
      <c r="H44" s="429" t="s">
        <v>1366</v>
      </c>
    </row>
    <row r="45" spans="1:8" ht="15">
      <c r="A45" s="447"/>
      <c r="B45" s="447"/>
      <c r="D45" s="447"/>
      <c r="E45" s="428" t="s">
        <v>2366</v>
      </c>
      <c r="F45" s="439">
        <v>-2949</v>
      </c>
      <c r="H45" s="429" t="s">
        <v>1366</v>
      </c>
    </row>
    <row r="46" spans="1:8" ht="15">
      <c r="A46" s="447"/>
      <c r="B46" s="447"/>
      <c r="D46" s="447"/>
      <c r="E46" s="428" t="s">
        <v>2367</v>
      </c>
      <c r="F46" s="439">
        <v>-30162.6</v>
      </c>
      <c r="H46" s="429" t="s">
        <v>1366</v>
      </c>
    </row>
    <row r="47" spans="1:8" ht="15">
      <c r="A47" s="447"/>
      <c r="B47" s="447"/>
      <c r="D47" s="447"/>
      <c r="E47" s="428" t="s">
        <v>2368</v>
      </c>
      <c r="F47" s="439">
        <v>-46870</v>
      </c>
      <c r="H47" s="429" t="s">
        <v>1366</v>
      </c>
    </row>
    <row r="48" spans="1:8" ht="15">
      <c r="A48" s="447"/>
      <c r="B48" s="447"/>
      <c r="D48" s="447"/>
      <c r="E48" s="428" t="s">
        <v>2369</v>
      </c>
      <c r="F48" s="439">
        <v>-5982.85</v>
      </c>
      <c r="H48" s="429" t="s">
        <v>1366</v>
      </c>
    </row>
    <row r="49" spans="1:8" ht="15">
      <c r="A49" s="447"/>
      <c r="B49" s="447"/>
      <c r="D49" s="447"/>
      <c r="E49" s="428" t="s">
        <v>2370</v>
      </c>
      <c r="F49" s="439">
        <v>-6500</v>
      </c>
      <c r="H49" s="429" t="s">
        <v>1366</v>
      </c>
    </row>
    <row r="50" spans="1:8" ht="15">
      <c r="A50" s="447"/>
      <c r="B50" s="447"/>
      <c r="D50" s="447"/>
      <c r="E50" s="428" t="s">
        <v>2371</v>
      </c>
      <c r="F50" s="439">
        <v>-519.97</v>
      </c>
      <c r="H50" s="429" t="s">
        <v>1366</v>
      </c>
    </row>
    <row r="51" spans="1:8" ht="15">
      <c r="A51" s="447"/>
      <c r="B51" s="447"/>
      <c r="D51" s="447"/>
      <c r="E51" s="428" t="s">
        <v>2372</v>
      </c>
      <c r="F51" s="439">
        <v>-2795.36</v>
      </c>
      <c r="H51" s="429" t="s">
        <v>1366</v>
      </c>
    </row>
    <row r="52" spans="1:8" ht="15">
      <c r="A52" s="447"/>
      <c r="B52" s="447"/>
      <c r="D52" s="447"/>
      <c r="E52" s="428" t="s">
        <v>2373</v>
      </c>
      <c r="F52" s="439">
        <v>-2735.34</v>
      </c>
      <c r="H52" s="429" t="s">
        <v>1366</v>
      </c>
    </row>
    <row r="53" spans="1:8" ht="15">
      <c r="A53" s="447"/>
      <c r="B53" s="447"/>
      <c r="D53" s="447"/>
      <c r="E53" s="428" t="s">
        <v>2374</v>
      </c>
      <c r="F53" s="439">
        <v>-1220.0899999999999</v>
      </c>
      <c r="H53" s="429" t="s">
        <v>1366</v>
      </c>
    </row>
    <row r="54" spans="1:8" ht="15">
      <c r="A54" s="447"/>
      <c r="B54" s="447"/>
      <c r="D54" s="447"/>
      <c r="E54" s="428" t="s">
        <v>2375</v>
      </c>
      <c r="F54" s="439">
        <v>-2408.84</v>
      </c>
      <c r="H54" s="429" t="s">
        <v>1366</v>
      </c>
    </row>
    <row r="55" spans="1:8" ht="15">
      <c r="A55" s="447"/>
      <c r="B55" s="447"/>
      <c r="D55" s="447"/>
      <c r="E55" s="428" t="s">
        <v>2376</v>
      </c>
      <c r="F55" s="439">
        <v>-4551.58</v>
      </c>
      <c r="H55" s="429" t="s">
        <v>1366</v>
      </c>
    </row>
    <row r="56" spans="1:8" ht="15">
      <c r="A56" s="447"/>
      <c r="B56" s="447"/>
      <c r="D56" s="447"/>
      <c r="E56" s="428" t="s">
        <v>2377</v>
      </c>
      <c r="F56" s="439">
        <v>-2167.88</v>
      </c>
      <c r="H56" s="429" t="s">
        <v>1366</v>
      </c>
    </row>
    <row r="57" spans="1:8" ht="15">
      <c r="A57" s="447"/>
      <c r="B57" s="447"/>
      <c r="D57" s="447"/>
      <c r="E57" s="428" t="s">
        <v>2378</v>
      </c>
      <c r="F57" s="439">
        <v>-2437.4299999999998</v>
      </c>
      <c r="H57" s="429" t="s">
        <v>1366</v>
      </c>
    </row>
    <row r="58" spans="1:8" ht="15">
      <c r="A58" s="447"/>
      <c r="B58" s="447"/>
      <c r="D58" s="447"/>
      <c r="E58" s="428" t="s">
        <v>2379</v>
      </c>
      <c r="F58" s="439">
        <v>-1890.69</v>
      </c>
      <c r="H58" s="429" t="s">
        <v>1366</v>
      </c>
    </row>
    <row r="59" spans="1:8" ht="15">
      <c r="A59" s="447"/>
      <c r="B59" s="447"/>
      <c r="D59" s="447"/>
      <c r="E59" s="428" t="s">
        <v>2380</v>
      </c>
      <c r="F59" s="439">
        <v>-2399</v>
      </c>
      <c r="H59" s="429" t="s">
        <v>1366</v>
      </c>
    </row>
    <row r="60" spans="1:8" ht="15">
      <c r="A60" s="447"/>
      <c r="B60" s="447"/>
      <c r="D60" s="447"/>
      <c r="E60" s="428" t="s">
        <v>2381</v>
      </c>
      <c r="F60" s="439">
        <v>-1353.71</v>
      </c>
      <c r="H60" s="429" t="s">
        <v>1366</v>
      </c>
    </row>
    <row r="61" spans="1:8" ht="15">
      <c r="A61" s="447"/>
      <c r="B61" s="447"/>
      <c r="D61" s="447"/>
      <c r="E61" s="428" t="s">
        <v>2382</v>
      </c>
      <c r="F61" s="439">
        <v>-1381</v>
      </c>
      <c r="H61" s="429" t="s">
        <v>1366</v>
      </c>
    </row>
    <row r="62" spans="1:8" ht="15">
      <c r="A62" s="447"/>
      <c r="B62" s="447"/>
      <c r="D62" s="447"/>
      <c r="E62" s="428" t="s">
        <v>2383</v>
      </c>
      <c r="F62" s="439">
        <v>-63423</v>
      </c>
      <c r="H62" s="429" t="s">
        <v>1366</v>
      </c>
    </row>
    <row r="63" spans="1:8" ht="15">
      <c r="A63" s="447"/>
      <c r="B63" s="447"/>
      <c r="D63" s="447"/>
      <c r="E63" s="428" t="s">
        <v>2384</v>
      </c>
      <c r="F63" s="439">
        <v>-19571.599999999999</v>
      </c>
      <c r="H63" s="429" t="s">
        <v>1366</v>
      </c>
    </row>
    <row r="64" spans="1:8" ht="15">
      <c r="A64" s="447"/>
      <c r="B64" s="447"/>
      <c r="D64" s="447"/>
      <c r="E64" s="428" t="s">
        <v>2385</v>
      </c>
      <c r="F64" s="439">
        <v>-3616</v>
      </c>
      <c r="H64" s="429" t="s">
        <v>1366</v>
      </c>
    </row>
    <row r="65" spans="1:8" ht="15">
      <c r="A65" s="447"/>
      <c r="B65" s="447"/>
      <c r="D65" s="447"/>
      <c r="E65" s="428" t="s">
        <v>2386</v>
      </c>
      <c r="F65" s="439">
        <v>-3473.51</v>
      </c>
      <c r="H65" s="429" t="s">
        <v>1366</v>
      </c>
    </row>
    <row r="66" spans="1:8" ht="15">
      <c r="A66" s="447"/>
      <c r="B66" s="447"/>
      <c r="D66" s="447"/>
      <c r="E66" s="428" t="s">
        <v>2387</v>
      </c>
      <c r="F66" s="439">
        <v>-2584.8200000000002</v>
      </c>
      <c r="H66" s="429" t="s">
        <v>1366</v>
      </c>
    </row>
    <row r="67" spans="1:8" ht="15">
      <c r="A67" s="447"/>
      <c r="B67" s="447"/>
      <c r="D67" s="447"/>
      <c r="E67" s="428" t="s">
        <v>2388</v>
      </c>
      <c r="F67" s="439">
        <v>-2976</v>
      </c>
      <c r="H67" s="429" t="s">
        <v>1366</v>
      </c>
    </row>
    <row r="68" spans="1:8" ht="15">
      <c r="A68" s="447"/>
      <c r="B68" s="447"/>
      <c r="D68" s="447"/>
      <c r="E68" s="428" t="s">
        <v>2389</v>
      </c>
      <c r="F68" s="439">
        <v>-1678</v>
      </c>
      <c r="H68" s="429" t="s">
        <v>1366</v>
      </c>
    </row>
    <row r="69" spans="1:8" ht="15">
      <c r="A69" s="447"/>
      <c r="B69" s="447"/>
      <c r="D69" s="447"/>
      <c r="E69" s="428" t="s">
        <v>2390</v>
      </c>
      <c r="F69" s="439">
        <v>-1288.47</v>
      </c>
      <c r="H69" s="429" t="s">
        <v>1366</v>
      </c>
    </row>
    <row r="70" spans="1:8" ht="15">
      <c r="A70" s="447"/>
      <c r="B70" s="447"/>
      <c r="D70" s="447"/>
      <c r="E70" s="428" t="s">
        <v>2391</v>
      </c>
      <c r="F70" s="439">
        <v>-3051</v>
      </c>
      <c r="H70" s="429" t="s">
        <v>1366</v>
      </c>
    </row>
    <row r="71" spans="1:8" ht="15">
      <c r="A71" s="447"/>
      <c r="B71" s="447"/>
      <c r="D71" s="447"/>
      <c r="E71" s="428" t="s">
        <v>2392</v>
      </c>
      <c r="F71" s="439">
        <v>-1029.5</v>
      </c>
      <c r="H71" s="429" t="s">
        <v>1366</v>
      </c>
    </row>
    <row r="72" spans="1:8" ht="15">
      <c r="A72" s="447"/>
      <c r="B72" s="447"/>
      <c r="D72" s="447"/>
      <c r="E72" s="428" t="s">
        <v>2393</v>
      </c>
      <c r="F72" s="439">
        <v>-1750</v>
      </c>
      <c r="H72" s="429" t="s">
        <v>1366</v>
      </c>
    </row>
    <row r="73" spans="1:8" ht="15">
      <c r="A73" s="447"/>
      <c r="B73" s="447"/>
      <c r="D73" s="447"/>
      <c r="E73" s="428" t="s">
        <v>2394</v>
      </c>
      <c r="F73" s="439">
        <v>-585.57000000000005</v>
      </c>
      <c r="H73" s="429" t="s">
        <v>1366</v>
      </c>
    </row>
    <row r="74" spans="1:8" ht="15">
      <c r="A74" s="447"/>
      <c r="B74" s="447"/>
      <c r="D74" s="447"/>
      <c r="E74" s="428" t="s">
        <v>2395</v>
      </c>
      <c r="F74" s="439">
        <v>-1437.95</v>
      </c>
      <c r="H74" s="429" t="s">
        <v>1366</v>
      </c>
    </row>
    <row r="75" spans="1:8" ht="15">
      <c r="A75" s="447"/>
      <c r="B75" s="447"/>
      <c r="D75" s="447"/>
      <c r="E75" s="428" t="s">
        <v>2396</v>
      </c>
      <c r="F75" s="439">
        <v>-1122.77</v>
      </c>
      <c r="H75" s="429" t="s">
        <v>1366</v>
      </c>
    </row>
    <row r="76" spans="1:8" ht="15">
      <c r="A76" s="447"/>
      <c r="B76" s="447"/>
      <c r="D76" s="447"/>
      <c r="E76" s="428" t="s">
        <v>2397</v>
      </c>
      <c r="F76" s="439">
        <v>-2795.36</v>
      </c>
      <c r="H76" s="429" t="s">
        <v>1366</v>
      </c>
    </row>
    <row r="77" spans="1:8" ht="15">
      <c r="A77" s="447"/>
      <c r="B77" s="447"/>
      <c r="D77" s="447"/>
      <c r="E77" s="428" t="s">
        <v>2398</v>
      </c>
      <c r="F77" s="439">
        <v>-1435.43</v>
      </c>
      <c r="H77" s="429" t="s">
        <v>1366</v>
      </c>
    </row>
    <row r="78" spans="1:8" ht="15">
      <c r="A78" s="447"/>
      <c r="B78" s="447"/>
      <c r="D78" s="447"/>
      <c r="E78" s="428" t="s">
        <v>2399</v>
      </c>
      <c r="F78" s="439">
        <v>-1688.41</v>
      </c>
      <c r="H78" s="429" t="s">
        <v>1366</v>
      </c>
    </row>
    <row r="79" spans="1:8" ht="15">
      <c r="A79" s="447"/>
      <c r="B79" s="447"/>
      <c r="D79" s="447"/>
      <c r="E79" s="428" t="s">
        <v>2400</v>
      </c>
      <c r="F79" s="439">
        <v>-2795.36</v>
      </c>
      <c r="H79" s="429" t="s">
        <v>1366</v>
      </c>
    </row>
    <row r="80" spans="1:8" ht="15">
      <c r="A80" s="447"/>
      <c r="B80" s="447"/>
      <c r="D80" s="447"/>
      <c r="E80" s="428" t="s">
        <v>2401</v>
      </c>
      <c r="F80" s="439">
        <v>-1031.1500000000001</v>
      </c>
      <c r="H80" s="429" t="s">
        <v>1366</v>
      </c>
    </row>
    <row r="81" spans="1:8" ht="15">
      <c r="A81" s="447"/>
      <c r="B81" s="447"/>
      <c r="D81" s="447"/>
      <c r="E81" s="428" t="s">
        <v>2402</v>
      </c>
      <c r="F81" s="439">
        <v>-1900</v>
      </c>
      <c r="H81" s="429" t="s">
        <v>1366</v>
      </c>
    </row>
    <row r="82" spans="1:8" ht="15">
      <c r="A82" s="447"/>
      <c r="B82" s="447"/>
      <c r="D82" s="447"/>
      <c r="E82" s="428" t="s">
        <v>2403</v>
      </c>
      <c r="F82" s="439">
        <v>-1357.97</v>
      </c>
      <c r="H82" s="429" t="s">
        <v>1366</v>
      </c>
    </row>
    <row r="83" spans="1:8" ht="15">
      <c r="A83" s="447"/>
      <c r="B83" s="447"/>
      <c r="D83" s="447"/>
      <c r="E83" s="428" t="s">
        <v>2404</v>
      </c>
      <c r="F83" s="439">
        <v>-39.76</v>
      </c>
      <c r="H83" s="429" t="s">
        <v>1366</v>
      </c>
    </row>
    <row r="84" spans="1:8" ht="15">
      <c r="A84" s="447"/>
      <c r="B84" s="447"/>
      <c r="D84" s="447"/>
      <c r="E84" s="428" t="s">
        <v>2405</v>
      </c>
      <c r="F84" s="439">
        <v>-1946.45</v>
      </c>
      <c r="H84" s="429" t="s">
        <v>1366</v>
      </c>
    </row>
    <row r="85" spans="1:8" ht="15">
      <c r="A85" s="447"/>
      <c r="B85" s="447"/>
      <c r="D85" s="447"/>
      <c r="E85" s="428" t="s">
        <v>2406</v>
      </c>
      <c r="F85" s="439">
        <v>-32982</v>
      </c>
      <c r="H85" s="429" t="s">
        <v>1366</v>
      </c>
    </row>
    <row r="86" spans="1:8" ht="15">
      <c r="A86" s="447"/>
      <c r="B86" s="447"/>
      <c r="D86" s="447"/>
      <c r="E86" s="428" t="s">
        <v>2407</v>
      </c>
      <c r="F86" s="439">
        <v>-1220.0899999999999</v>
      </c>
      <c r="H86" s="429" t="s">
        <v>1366</v>
      </c>
    </row>
    <row r="87" spans="1:8" ht="15">
      <c r="A87" s="447"/>
      <c r="B87" s="447"/>
      <c r="D87" s="447"/>
      <c r="E87" s="428" t="s">
        <v>2408</v>
      </c>
      <c r="F87" s="439">
        <v>-4456.1000000000004</v>
      </c>
      <c r="H87" s="429" t="s">
        <v>1366</v>
      </c>
    </row>
    <row r="88" spans="1:8" ht="15">
      <c r="A88" s="447"/>
      <c r="B88" s="447"/>
      <c r="D88" s="447"/>
      <c r="E88" s="428" t="s">
        <v>2409</v>
      </c>
      <c r="F88" s="439">
        <v>-7939.42</v>
      </c>
      <c r="H88" s="429" t="s">
        <v>1366</v>
      </c>
    </row>
    <row r="89" spans="1:8" ht="15">
      <c r="A89" s="447"/>
      <c r="B89" s="447"/>
      <c r="D89" s="447"/>
      <c r="E89" s="428" t="s">
        <v>2410</v>
      </c>
      <c r="F89" s="439">
        <v>-2599.29</v>
      </c>
      <c r="H89" s="429" t="s">
        <v>1366</v>
      </c>
    </row>
    <row r="90" spans="1:8" ht="15">
      <c r="A90" s="447"/>
      <c r="B90" s="447"/>
      <c r="D90" s="447"/>
      <c r="E90" s="428" t="s">
        <v>2411</v>
      </c>
      <c r="F90" s="439">
        <v>-4912.3500000000004</v>
      </c>
      <c r="H90" s="429" t="s">
        <v>1366</v>
      </c>
    </row>
    <row r="91" spans="1:8" ht="15">
      <c r="A91" s="447"/>
      <c r="B91" s="447"/>
      <c r="D91" s="447"/>
      <c r="E91" s="428" t="s">
        <v>2412</v>
      </c>
      <c r="F91" s="439">
        <v>-4773.67</v>
      </c>
      <c r="H91" s="429" t="s">
        <v>1366</v>
      </c>
    </row>
    <row r="92" spans="1:8" ht="15">
      <c r="A92" s="447"/>
      <c r="B92" s="447"/>
      <c r="D92" s="447"/>
      <c r="E92" s="428" t="s">
        <v>2413</v>
      </c>
      <c r="F92" s="439">
        <v>-6488</v>
      </c>
      <c r="H92" s="429" t="s">
        <v>1366</v>
      </c>
    </row>
    <row r="93" spans="1:8" ht="15">
      <c r="A93" s="447"/>
      <c r="B93" s="447"/>
      <c r="D93" s="447"/>
      <c r="E93" s="428" t="s">
        <v>2414</v>
      </c>
      <c r="F93" s="439">
        <v>-6488</v>
      </c>
      <c r="H93" s="429" t="s">
        <v>1366</v>
      </c>
    </row>
    <row r="94" spans="1:8" ht="15">
      <c r="A94" s="447"/>
      <c r="B94" s="447"/>
      <c r="D94" s="447"/>
      <c r="E94" s="428" t="s">
        <v>2415</v>
      </c>
      <c r="F94" s="439">
        <v>-8735</v>
      </c>
      <c r="H94" s="429" t="s">
        <v>1366</v>
      </c>
    </row>
    <row r="95" spans="1:8" ht="15">
      <c r="A95" s="447"/>
      <c r="B95" s="447"/>
      <c r="D95" s="447"/>
      <c r="E95" s="428" t="s">
        <v>2416</v>
      </c>
      <c r="F95" s="439">
        <v>-6488</v>
      </c>
      <c r="H95" s="429" t="s">
        <v>1366</v>
      </c>
    </row>
    <row r="96" spans="1:8" ht="15">
      <c r="A96" s="447"/>
      <c r="B96" s="447"/>
      <c r="D96" s="447"/>
      <c r="E96" s="428" t="s">
        <v>2417</v>
      </c>
      <c r="F96" s="439">
        <v>-1958.86</v>
      </c>
      <c r="H96" s="429" t="s">
        <v>1366</v>
      </c>
    </row>
    <row r="97" spans="1:8" ht="15">
      <c r="A97" s="447"/>
      <c r="B97" s="447"/>
      <c r="D97" s="447"/>
      <c r="E97" s="428" t="s">
        <v>2418</v>
      </c>
      <c r="F97" s="439">
        <v>-2586.34</v>
      </c>
      <c r="H97" s="429" t="s">
        <v>1366</v>
      </c>
    </row>
    <row r="98" spans="1:8" ht="15">
      <c r="A98" s="447"/>
      <c r="B98" s="447"/>
      <c r="D98" s="447"/>
      <c r="E98" s="428" t="s">
        <v>2419</v>
      </c>
      <c r="F98" s="439">
        <v>-2092.89</v>
      </c>
      <c r="H98" s="429" t="s">
        <v>1366</v>
      </c>
    </row>
    <row r="99" spans="1:8" ht="15">
      <c r="A99" s="447"/>
      <c r="B99" s="447"/>
      <c r="D99" s="447"/>
      <c r="E99" s="428" t="s">
        <v>2420</v>
      </c>
      <c r="F99" s="439">
        <v>-3720.73</v>
      </c>
      <c r="H99" s="429" t="s">
        <v>1366</v>
      </c>
    </row>
    <row r="100" spans="1:8" ht="15">
      <c r="A100" s="447"/>
      <c r="B100" s="447"/>
      <c r="D100" s="447"/>
      <c r="E100" s="428" t="s">
        <v>2421</v>
      </c>
      <c r="F100" s="439">
        <v>-61313</v>
      </c>
      <c r="H100" s="429" t="s">
        <v>1366</v>
      </c>
    </row>
    <row r="101" spans="1:8" ht="15">
      <c r="A101" s="447"/>
      <c r="B101" s="447"/>
      <c r="D101" s="447"/>
      <c r="E101" s="428" t="s">
        <v>2422</v>
      </c>
      <c r="F101" s="439">
        <v>-2917.51</v>
      </c>
      <c r="H101" s="429" t="s">
        <v>1366</v>
      </c>
    </row>
    <row r="102" spans="1:8" ht="15">
      <c r="A102" s="447"/>
      <c r="B102" s="447"/>
      <c r="D102" s="447"/>
      <c r="E102" s="428" t="s">
        <v>2423</v>
      </c>
      <c r="F102" s="439">
        <v>-5174.59</v>
      </c>
      <c r="H102" s="429" t="s">
        <v>1366</v>
      </c>
    </row>
    <row r="103" spans="1:8" ht="15">
      <c r="A103" s="447"/>
      <c r="B103" s="447"/>
      <c r="D103" s="447"/>
      <c r="E103" s="428" t="s">
        <v>2424</v>
      </c>
      <c r="F103" s="439">
        <v>-1364.22</v>
      </c>
      <c r="H103" s="429" t="s">
        <v>1366</v>
      </c>
    </row>
    <row r="104" spans="1:8" ht="15">
      <c r="A104" s="447"/>
      <c r="B104" s="447"/>
      <c r="D104" s="447"/>
      <c r="E104" s="428" t="s">
        <v>2425</v>
      </c>
      <c r="F104" s="439">
        <v>-26367.53</v>
      </c>
      <c r="H104" s="429" t="s">
        <v>1366</v>
      </c>
    </row>
    <row r="105" spans="1:8" ht="15">
      <c r="A105" s="447"/>
      <c r="B105" s="447"/>
      <c r="D105" s="447"/>
      <c r="E105" s="428" t="s">
        <v>2426</v>
      </c>
      <c r="F105" s="439">
        <v>-1161.0999999999999</v>
      </c>
      <c r="H105" s="429" t="s">
        <v>1366</v>
      </c>
    </row>
    <row r="106" spans="1:8" ht="15">
      <c r="A106" s="447"/>
      <c r="B106" s="447"/>
      <c r="D106" s="447"/>
      <c r="E106" s="428" t="s">
        <v>2427</v>
      </c>
      <c r="F106" s="439">
        <v>-12087.48</v>
      </c>
      <c r="H106" s="429" t="s">
        <v>1366</v>
      </c>
    </row>
    <row r="107" spans="1:8" ht="15">
      <c r="A107" s="447"/>
      <c r="B107" s="447"/>
      <c r="D107" s="447"/>
      <c r="E107" s="428" t="s">
        <v>2428</v>
      </c>
      <c r="F107" s="439">
        <v>-2460.58</v>
      </c>
      <c r="H107" s="429" t="s">
        <v>1366</v>
      </c>
    </row>
    <row r="108" spans="1:8" ht="15">
      <c r="A108" s="447"/>
      <c r="B108" s="447"/>
      <c r="D108" s="447"/>
      <c r="E108" s="428" t="s">
        <v>2429</v>
      </c>
      <c r="F108" s="439">
        <v>-3213.4</v>
      </c>
      <c r="H108" s="429" t="s">
        <v>1366</v>
      </c>
    </row>
    <row r="109" spans="1:8" ht="15">
      <c r="A109" s="447"/>
      <c r="B109" s="447"/>
      <c r="D109" s="447"/>
      <c r="E109" s="428" t="s">
        <v>2430</v>
      </c>
      <c r="F109" s="439">
        <v>-5286.51</v>
      </c>
      <c r="H109" s="429" t="s">
        <v>1366</v>
      </c>
    </row>
    <row r="110" spans="1:8" ht="15">
      <c r="A110" s="447"/>
      <c r="B110" s="447"/>
      <c r="D110" s="447"/>
      <c r="E110" s="428" t="s">
        <v>2431</v>
      </c>
      <c r="F110" s="439">
        <v>-1477.89</v>
      </c>
      <c r="H110" s="429" t="s">
        <v>1366</v>
      </c>
    </row>
    <row r="111" spans="1:8" ht="15">
      <c r="A111" s="447"/>
      <c r="B111" s="447"/>
      <c r="D111" s="447"/>
      <c r="E111" s="428" t="s">
        <v>2432</v>
      </c>
      <c r="F111" s="439">
        <v>-800</v>
      </c>
      <c r="H111" s="429" t="s">
        <v>1366</v>
      </c>
    </row>
    <row r="112" spans="1:8" ht="15">
      <c r="A112" s="447"/>
      <c r="B112" s="447"/>
      <c r="D112" s="447"/>
      <c r="E112" s="428" t="s">
        <v>2433</v>
      </c>
      <c r="F112" s="439">
        <v>-3383.79</v>
      </c>
      <c r="H112" s="429" t="s">
        <v>1366</v>
      </c>
    </row>
    <row r="113" spans="1:8" ht="15">
      <c r="A113" s="447"/>
      <c r="B113" s="447"/>
      <c r="D113" s="447"/>
      <c r="E113" s="428" t="s">
        <v>2434</v>
      </c>
      <c r="F113" s="439">
        <v>-3022.89</v>
      </c>
      <c r="H113" s="429" t="s">
        <v>1366</v>
      </c>
    </row>
    <row r="114" spans="1:8" ht="15">
      <c r="A114" s="447"/>
      <c r="B114" s="447"/>
      <c r="D114" s="447"/>
      <c r="E114" s="428" t="s">
        <v>2435</v>
      </c>
      <c r="F114" s="439">
        <v>-1220.0899999999999</v>
      </c>
      <c r="H114" s="429" t="s">
        <v>1366</v>
      </c>
    </row>
    <row r="115" spans="1:8" ht="15">
      <c r="A115" s="447"/>
      <c r="B115" s="447"/>
      <c r="D115" s="447"/>
      <c r="E115" s="428" t="s">
        <v>2436</v>
      </c>
      <c r="F115" s="439">
        <v>-3882</v>
      </c>
      <c r="H115" s="429" t="s">
        <v>1366</v>
      </c>
    </row>
    <row r="116" spans="1:8" ht="15">
      <c r="A116" s="447"/>
      <c r="B116" s="447"/>
      <c r="D116" s="447"/>
      <c r="E116" s="428" t="s">
        <v>2437</v>
      </c>
      <c r="F116" s="439">
        <v>-869.74</v>
      </c>
      <c r="H116" s="429" t="s">
        <v>1366</v>
      </c>
    </row>
    <row r="117" spans="1:8" ht="15">
      <c r="A117" s="447"/>
      <c r="B117" s="447"/>
      <c r="D117" s="447"/>
      <c r="E117" s="428" t="s">
        <v>2438</v>
      </c>
      <c r="F117" s="439">
        <v>-3830.6</v>
      </c>
      <c r="H117" s="429" t="s">
        <v>1366</v>
      </c>
    </row>
    <row r="118" spans="1:8" ht="15">
      <c r="A118" s="447"/>
      <c r="B118" s="447"/>
      <c r="D118" s="447"/>
      <c r="E118" s="428" t="s">
        <v>2439</v>
      </c>
      <c r="F118" s="439">
        <v>-751.54</v>
      </c>
      <c r="H118" s="429" t="s">
        <v>1366</v>
      </c>
    </row>
    <row r="119" spans="1:8" ht="15">
      <c r="A119" s="447"/>
      <c r="B119" s="447"/>
      <c r="D119" s="447"/>
      <c r="E119" s="428" t="s">
        <v>2440</v>
      </c>
      <c r="F119" s="439">
        <v>-2666.68</v>
      </c>
      <c r="H119" s="429" t="s">
        <v>1366</v>
      </c>
    </row>
    <row r="120" spans="1:8" ht="15">
      <c r="A120" s="447"/>
      <c r="B120" s="447"/>
      <c r="D120" s="447"/>
      <c r="E120" s="428" t="s">
        <v>2441</v>
      </c>
      <c r="F120" s="439">
        <v>-3779.07</v>
      </c>
      <c r="H120" s="429" t="s">
        <v>1366</v>
      </c>
    </row>
    <row r="121" spans="1:8" ht="15">
      <c r="A121" s="447"/>
      <c r="B121" s="447"/>
      <c r="D121" s="447"/>
      <c r="E121" s="428" t="s">
        <v>2442</v>
      </c>
      <c r="F121" s="439">
        <v>-1000</v>
      </c>
      <c r="H121" s="429" t="s">
        <v>1366</v>
      </c>
    </row>
    <row r="122" spans="1:8" ht="15">
      <c r="A122" s="447"/>
      <c r="B122" s="447"/>
      <c r="D122" s="447"/>
      <c r="E122" s="428" t="s">
        <v>2443</v>
      </c>
      <c r="F122" s="439">
        <v>-5145.22</v>
      </c>
      <c r="H122" s="429" t="s">
        <v>1366</v>
      </c>
    </row>
    <row r="123" spans="1:8" ht="15">
      <c r="A123" s="447"/>
      <c r="B123" s="447"/>
      <c r="D123" s="447"/>
      <c r="E123" s="428" t="s">
        <v>2444</v>
      </c>
      <c r="F123" s="439">
        <v>-3990.92</v>
      </c>
      <c r="H123" s="429" t="s">
        <v>1366</v>
      </c>
    </row>
    <row r="124" spans="1:8" ht="15">
      <c r="A124" s="447"/>
      <c r="B124" s="447"/>
      <c r="D124" s="447"/>
      <c r="E124" s="428" t="s">
        <v>2445</v>
      </c>
      <c r="F124" s="439">
        <v>-1441.52</v>
      </c>
      <c r="H124" s="429" t="s">
        <v>1366</v>
      </c>
    </row>
    <row r="125" spans="1:8" ht="15">
      <c r="A125" s="447"/>
      <c r="B125" s="447"/>
      <c r="D125" s="447"/>
      <c r="E125" s="428" t="s">
        <v>2446</v>
      </c>
      <c r="F125" s="439">
        <v>-3877.89</v>
      </c>
      <c r="H125" s="429" t="s">
        <v>1366</v>
      </c>
    </row>
    <row r="126" spans="1:8" ht="15">
      <c r="A126" s="447"/>
      <c r="B126" s="447"/>
      <c r="D126" s="447"/>
      <c r="E126" s="428" t="s">
        <v>2447</v>
      </c>
      <c r="F126" s="439">
        <v>-1220.0899999999999</v>
      </c>
      <c r="H126" s="429" t="s">
        <v>1366</v>
      </c>
    </row>
    <row r="127" spans="1:8" ht="15">
      <c r="A127" s="447"/>
      <c r="B127" s="447"/>
      <c r="D127" s="447"/>
      <c r="E127" s="428" t="s">
        <v>2448</v>
      </c>
      <c r="F127" s="439">
        <v>-1122.77</v>
      </c>
      <c r="H127" s="429" t="s">
        <v>1366</v>
      </c>
    </row>
    <row r="128" spans="1:8" ht="15">
      <c r="A128" s="447"/>
      <c r="B128" s="447"/>
      <c r="D128" s="447"/>
      <c r="E128" s="428" t="s">
        <v>2449</v>
      </c>
      <c r="F128" s="439">
        <v>-2785.49</v>
      </c>
      <c r="H128" s="429" t="s">
        <v>1366</v>
      </c>
    </row>
    <row r="129" spans="1:8" ht="15">
      <c r="A129" s="447"/>
      <c r="B129" s="447"/>
      <c r="D129" s="447"/>
      <c r="E129" s="428" t="s">
        <v>2450</v>
      </c>
      <c r="F129" s="439">
        <v>-2560.75</v>
      </c>
      <c r="H129" s="429" t="s">
        <v>1366</v>
      </c>
    </row>
    <row r="130" spans="1:8" ht="15">
      <c r="A130" s="447"/>
      <c r="B130" s="447"/>
      <c r="D130" s="447"/>
      <c r="E130" s="428" t="s">
        <v>2451</v>
      </c>
      <c r="F130" s="439">
        <v>-1908.41</v>
      </c>
      <c r="H130" s="429" t="s">
        <v>1366</v>
      </c>
    </row>
    <row r="131" spans="1:8" ht="15">
      <c r="A131" s="447"/>
      <c r="B131" s="447"/>
      <c r="D131" s="447"/>
      <c r="E131" s="428" t="s">
        <v>2452</v>
      </c>
      <c r="F131" s="439">
        <v>-1122.77</v>
      </c>
      <c r="H131" s="429" t="s">
        <v>1366</v>
      </c>
    </row>
    <row r="132" spans="1:8" ht="15">
      <c r="A132" s="447"/>
      <c r="B132" s="447"/>
      <c r="D132" s="447"/>
      <c r="E132" s="428" t="s">
        <v>2453</v>
      </c>
      <c r="F132" s="439">
        <v>-1220.0899999999999</v>
      </c>
      <c r="H132" s="429" t="s">
        <v>1366</v>
      </c>
    </row>
    <row r="133" spans="1:8" ht="15">
      <c r="A133" s="447"/>
      <c r="B133" s="447"/>
      <c r="D133" s="447"/>
      <c r="E133" s="428" t="s">
        <v>2454</v>
      </c>
      <c r="F133" s="439">
        <v>-6754.77</v>
      </c>
      <c r="H133" s="429" t="s">
        <v>1366</v>
      </c>
    </row>
    <row r="134" spans="1:8" ht="15">
      <c r="A134" s="447"/>
      <c r="B134" s="447"/>
      <c r="D134" s="447"/>
      <c r="E134" s="428" t="s">
        <v>2455</v>
      </c>
      <c r="F134" s="439">
        <v>-1251.0899999999999</v>
      </c>
      <c r="H134" s="429" t="s">
        <v>1366</v>
      </c>
    </row>
    <row r="135" spans="1:8" ht="15">
      <c r="A135" s="447"/>
      <c r="B135" s="447"/>
      <c r="D135" s="447"/>
      <c r="E135" s="428" t="s">
        <v>2456</v>
      </c>
      <c r="F135" s="439">
        <v>-14984.23</v>
      </c>
      <c r="H135" s="429" t="s">
        <v>1366</v>
      </c>
    </row>
    <row r="136" spans="1:8" ht="15">
      <c r="A136" s="447"/>
      <c r="B136" s="447"/>
      <c r="D136" s="447"/>
      <c r="E136" s="428" t="s">
        <v>2457</v>
      </c>
      <c r="F136" s="439">
        <v>-6000</v>
      </c>
      <c r="H136" s="429" t="s">
        <v>1366</v>
      </c>
    </row>
    <row r="137" spans="1:8" ht="15">
      <c r="A137" s="447"/>
      <c r="B137" s="447"/>
      <c r="D137" s="447"/>
      <c r="E137" s="428" t="s">
        <v>2458</v>
      </c>
      <c r="F137" s="439">
        <v>-36405.21</v>
      </c>
      <c r="H137" s="429" t="s">
        <v>1366</v>
      </c>
    </row>
    <row r="138" spans="1:8" ht="15">
      <c r="A138" s="447"/>
      <c r="B138" s="447"/>
      <c r="D138" s="447"/>
      <c r="E138" s="428" t="s">
        <v>2459</v>
      </c>
      <c r="F138" s="439">
        <v>-7066.51</v>
      </c>
      <c r="H138" s="429" t="s">
        <v>1366</v>
      </c>
    </row>
    <row r="139" spans="1:8" ht="15">
      <c r="A139" s="447"/>
      <c r="B139" s="447"/>
      <c r="D139" s="447"/>
      <c r="E139" s="428" t="s">
        <v>2460</v>
      </c>
      <c r="F139" s="439">
        <v>-1539.7</v>
      </c>
      <c r="H139" s="429" t="s">
        <v>1366</v>
      </c>
    </row>
    <row r="140" spans="1:8" ht="15">
      <c r="A140" s="447"/>
      <c r="B140" s="447"/>
      <c r="D140" s="447"/>
      <c r="E140" s="428" t="s">
        <v>2461</v>
      </c>
      <c r="F140" s="439">
        <v>-3176</v>
      </c>
      <c r="H140" s="429" t="s">
        <v>1366</v>
      </c>
    </row>
    <row r="141" spans="1:8" ht="15">
      <c r="A141" s="447"/>
      <c r="B141" s="447"/>
      <c r="D141" s="447"/>
      <c r="E141" s="428" t="s">
        <v>2462</v>
      </c>
      <c r="F141" s="439">
        <v>-2618.02</v>
      </c>
      <c r="H141" s="429" t="s">
        <v>1366</v>
      </c>
    </row>
    <row r="142" spans="1:8" ht="15">
      <c r="A142" s="447"/>
      <c r="B142" s="447"/>
      <c r="D142" s="447"/>
      <c r="E142" s="428" t="s">
        <v>2463</v>
      </c>
      <c r="F142" s="439">
        <v>-3318.56</v>
      </c>
      <c r="H142" s="429" t="s">
        <v>1366</v>
      </c>
    </row>
    <row r="143" spans="1:8" ht="15">
      <c r="A143" s="447"/>
      <c r="B143" s="447"/>
      <c r="D143" s="447"/>
      <c r="E143" s="428" t="s">
        <v>2464</v>
      </c>
      <c r="F143" s="439">
        <v>-9887.0300000000007</v>
      </c>
      <c r="H143" s="429" t="s">
        <v>1366</v>
      </c>
    </row>
    <row r="144" spans="1:8" ht="15">
      <c r="A144" s="447"/>
      <c r="B144" s="447"/>
      <c r="D144" s="447"/>
      <c r="E144" s="428" t="s">
        <v>2465</v>
      </c>
      <c r="F144" s="439">
        <v>-3237.45</v>
      </c>
      <c r="H144" s="429" t="s">
        <v>1366</v>
      </c>
    </row>
    <row r="145" spans="1:8" ht="15">
      <c r="A145" s="447"/>
      <c r="B145" s="447"/>
      <c r="D145" s="447"/>
      <c r="E145" s="428" t="s">
        <v>2466</v>
      </c>
      <c r="F145" s="439">
        <v>-1583.31</v>
      </c>
      <c r="H145" s="429" t="s">
        <v>1366</v>
      </c>
    </row>
    <row r="146" spans="1:8" ht="15">
      <c r="A146" s="447"/>
      <c r="B146" s="447"/>
      <c r="D146" s="447"/>
      <c r="E146" s="428" t="s">
        <v>2467</v>
      </c>
      <c r="F146" s="439">
        <v>-2618.02</v>
      </c>
      <c r="H146" s="429" t="s">
        <v>1366</v>
      </c>
    </row>
    <row r="147" spans="1:8" ht="15">
      <c r="A147" s="447"/>
      <c r="B147" s="447"/>
      <c r="D147" s="447"/>
      <c r="E147" s="428" t="s">
        <v>2468</v>
      </c>
      <c r="F147" s="439">
        <v>-6155.13</v>
      </c>
      <c r="H147" s="429" t="s">
        <v>1366</v>
      </c>
    </row>
    <row r="148" spans="1:8" ht="15">
      <c r="A148" s="447"/>
      <c r="B148" s="447"/>
      <c r="D148" s="447"/>
      <c r="E148" s="428" t="s">
        <v>2469</v>
      </c>
      <c r="F148" s="439">
        <v>-1530</v>
      </c>
      <c r="H148" s="429" t="s">
        <v>1366</v>
      </c>
    </row>
    <row r="149" spans="1:8" ht="15">
      <c r="A149" s="447"/>
      <c r="B149" s="447"/>
      <c r="D149" s="447"/>
      <c r="E149" s="428" t="s">
        <v>2470</v>
      </c>
      <c r="F149" s="439">
        <v>-1530.88</v>
      </c>
      <c r="H149" s="429" t="s">
        <v>1366</v>
      </c>
    </row>
    <row r="150" spans="1:8" ht="15">
      <c r="A150" s="447"/>
      <c r="B150" s="447"/>
      <c r="D150" s="447"/>
      <c r="E150" s="428" t="s">
        <v>2471</v>
      </c>
      <c r="F150" s="439">
        <v>-4835.21</v>
      </c>
      <c r="H150" s="429" t="s">
        <v>1366</v>
      </c>
    </row>
    <row r="151" spans="1:8" ht="15">
      <c r="A151" s="447"/>
      <c r="B151" s="447"/>
      <c r="D151" s="447"/>
      <c r="E151" s="428" t="s">
        <v>2472</v>
      </c>
      <c r="F151" s="439">
        <v>-1447.61</v>
      </c>
      <c r="H151" s="429" t="s">
        <v>1366</v>
      </c>
    </row>
    <row r="152" spans="1:8" ht="15">
      <c r="A152" s="447"/>
      <c r="B152" s="447"/>
      <c r="D152" s="447"/>
      <c r="E152" s="428" t="s">
        <v>2473</v>
      </c>
      <c r="F152" s="439">
        <v>-11962.2</v>
      </c>
      <c r="H152" s="429" t="s">
        <v>1366</v>
      </c>
    </row>
    <row r="153" spans="1:8" ht="15">
      <c r="A153" s="447"/>
      <c r="B153" s="447"/>
      <c r="D153" s="447"/>
      <c r="E153" s="428" t="s">
        <v>2474</v>
      </c>
      <c r="F153" s="439">
        <v>-1833</v>
      </c>
      <c r="H153" s="429" t="s">
        <v>1366</v>
      </c>
    </row>
    <row r="154" spans="1:8" ht="15">
      <c r="A154" s="447"/>
      <c r="B154" s="447"/>
      <c r="D154" s="447"/>
      <c r="E154" s="428" t="s">
        <v>2475</v>
      </c>
      <c r="F154" s="439">
        <v>-1877</v>
      </c>
      <c r="H154" s="429" t="s">
        <v>1366</v>
      </c>
    </row>
    <row r="155" spans="1:8" ht="15">
      <c r="A155" s="447"/>
      <c r="B155" s="447"/>
      <c r="D155" s="447"/>
      <c r="E155" s="428" t="s">
        <v>2476</v>
      </c>
      <c r="F155" s="439">
        <v>0</v>
      </c>
      <c r="H155" s="429" t="s">
        <v>1366</v>
      </c>
    </row>
    <row r="156" spans="1:8" ht="15">
      <c r="A156" s="447"/>
      <c r="B156" s="447"/>
      <c r="D156" s="447"/>
      <c r="E156" s="428" t="s">
        <v>2477</v>
      </c>
      <c r="F156" s="439">
        <v>-3443.66</v>
      </c>
      <c r="H156" s="429" t="s">
        <v>1366</v>
      </c>
    </row>
    <row r="157" spans="1:8" ht="15">
      <c r="A157" s="447"/>
      <c r="B157" s="447"/>
      <c r="D157" s="447"/>
      <c r="E157" s="428" t="s">
        <v>2478</v>
      </c>
      <c r="F157" s="439">
        <v>-1200.0899999999999</v>
      </c>
      <c r="H157" s="429" t="s">
        <v>1366</v>
      </c>
    </row>
    <row r="158" spans="1:8" ht="15">
      <c r="A158" s="447"/>
      <c r="B158" s="447"/>
      <c r="D158" s="447"/>
      <c r="E158" s="428" t="s">
        <v>2479</v>
      </c>
      <c r="F158" s="439">
        <v>-1770.84</v>
      </c>
      <c r="H158" s="429" t="s">
        <v>1366</v>
      </c>
    </row>
    <row r="159" spans="1:8" ht="15">
      <c r="A159" s="447"/>
      <c r="B159" s="447"/>
      <c r="D159" s="447"/>
      <c r="E159" s="428" t="s">
        <v>2480</v>
      </c>
      <c r="F159" s="439">
        <v>-13202.38</v>
      </c>
      <c r="H159" s="429" t="s">
        <v>1366</v>
      </c>
    </row>
    <row r="160" spans="1:8" ht="15">
      <c r="A160" s="447"/>
      <c r="B160" s="447"/>
      <c r="D160" s="447"/>
      <c r="E160" s="428" t="s">
        <v>2481</v>
      </c>
      <c r="F160" s="439">
        <v>-1220.0899999999999</v>
      </c>
      <c r="H160" s="429" t="s">
        <v>1366</v>
      </c>
    </row>
    <row r="161" spans="1:8" ht="15">
      <c r="A161" s="447"/>
      <c r="B161" s="447"/>
      <c r="D161" s="447"/>
      <c r="E161" s="428" t="s">
        <v>2482</v>
      </c>
      <c r="F161" s="439">
        <v>-872.12</v>
      </c>
      <c r="H161" s="429" t="s">
        <v>1366</v>
      </c>
    </row>
    <row r="162" spans="1:8" ht="15">
      <c r="A162" s="447"/>
      <c r="B162" s="447"/>
      <c r="D162" s="447"/>
      <c r="E162" s="428" t="s">
        <v>2483</v>
      </c>
      <c r="F162" s="439">
        <v>-3805.89</v>
      </c>
      <c r="H162" s="429" t="s">
        <v>1366</v>
      </c>
    </row>
    <row r="163" spans="1:8" ht="15">
      <c r="A163" s="447"/>
      <c r="B163" s="447"/>
      <c r="D163" s="447"/>
      <c r="E163" s="428" t="s">
        <v>2484</v>
      </c>
      <c r="F163" s="439">
        <v>11962.2</v>
      </c>
      <c r="H163" s="429" t="s">
        <v>1366</v>
      </c>
    </row>
    <row r="164" spans="1:8" ht="15">
      <c r="A164" s="447"/>
      <c r="B164" s="447"/>
      <c r="D164" s="447"/>
      <c r="E164" s="428" t="s">
        <v>2485</v>
      </c>
      <c r="F164" s="439">
        <v>-1894.3</v>
      </c>
      <c r="H164" s="429" t="s">
        <v>1366</v>
      </c>
    </row>
    <row r="165" spans="1:8" ht="15">
      <c r="A165" s="447"/>
      <c r="B165" s="447"/>
      <c r="D165" s="447"/>
      <c r="E165" s="428" t="s">
        <v>2486</v>
      </c>
      <c r="F165" s="439">
        <v>-2872.76</v>
      </c>
      <c r="H165" s="429" t="s">
        <v>1366</v>
      </c>
    </row>
    <row r="166" spans="1:8" ht="15">
      <c r="A166" s="447"/>
      <c r="B166" s="447"/>
      <c r="D166" s="447"/>
      <c r="E166" s="428" t="s">
        <v>2487</v>
      </c>
      <c r="F166" s="439">
        <v>-64.239999999999995</v>
      </c>
      <c r="H166" s="429" t="s">
        <v>1366</v>
      </c>
    </row>
    <row r="167" spans="1:8" ht="15">
      <c r="A167" s="447"/>
      <c r="B167" s="447"/>
      <c r="D167" s="447"/>
      <c r="E167" s="428" t="s">
        <v>2488</v>
      </c>
      <c r="F167" s="439">
        <v>-849.73</v>
      </c>
      <c r="H167" s="429" t="s">
        <v>1366</v>
      </c>
    </row>
    <row r="168" spans="1:8" ht="15">
      <c r="A168" s="447"/>
      <c r="B168" s="447"/>
      <c r="D168" s="447"/>
      <c r="E168" s="428" t="s">
        <v>2489</v>
      </c>
      <c r="F168" s="439">
        <v>-20730.400000000001</v>
      </c>
      <c r="H168" s="429" t="s">
        <v>1366</v>
      </c>
    </row>
    <row r="169" spans="1:8" ht="15">
      <c r="A169" s="447"/>
      <c r="B169" s="447"/>
      <c r="D169" s="447"/>
      <c r="E169" s="428" t="s">
        <v>2490</v>
      </c>
      <c r="F169" s="439">
        <v>2666.68</v>
      </c>
      <c r="H169" s="429" t="s">
        <v>1366</v>
      </c>
    </row>
    <row r="170" spans="1:8" ht="15">
      <c r="A170" s="447"/>
      <c r="B170" s="447"/>
      <c r="D170" s="447"/>
      <c r="E170" s="428" t="s">
        <v>2491</v>
      </c>
      <c r="F170" s="439">
        <v>2460.58</v>
      </c>
      <c r="H170" s="429" t="s">
        <v>1366</v>
      </c>
    </row>
    <row r="171" spans="1:8" ht="15">
      <c r="A171" s="447"/>
      <c r="B171" s="447"/>
      <c r="C171" s="428" t="s">
        <v>2492</v>
      </c>
      <c r="D171" s="447" t="s">
        <v>2492</v>
      </c>
      <c r="E171" s="428" t="s">
        <v>2493</v>
      </c>
      <c r="F171" s="439">
        <v>60000</v>
      </c>
      <c r="H171" s="429" t="s">
        <v>1366</v>
      </c>
    </row>
    <row r="172" spans="1:8" ht="15">
      <c r="A172" s="447"/>
      <c r="B172" s="447"/>
      <c r="C172" s="428" t="s">
        <v>2494</v>
      </c>
      <c r="D172" s="447" t="s">
        <v>2495</v>
      </c>
      <c r="E172" s="428" t="s">
        <v>2496</v>
      </c>
      <c r="F172" s="439">
        <v>23417.93</v>
      </c>
      <c r="H172" s="429" t="s">
        <v>1366</v>
      </c>
    </row>
    <row r="173" spans="1:8" ht="15">
      <c r="A173" s="448"/>
      <c r="B173" s="447"/>
      <c r="C173" s="428" t="s">
        <v>2497</v>
      </c>
      <c r="D173" s="447" t="s">
        <v>2498</v>
      </c>
      <c r="E173" s="428" t="s">
        <v>2499</v>
      </c>
      <c r="F173" s="439">
        <v>-60000</v>
      </c>
      <c r="H173" s="429" t="s">
        <v>1366</v>
      </c>
    </row>
    <row r="174" spans="1:8" ht="15">
      <c r="A174" s="447" t="s">
        <v>1528</v>
      </c>
      <c r="B174" s="447" t="s">
        <v>1369</v>
      </c>
      <c r="C174" s="428" t="s">
        <v>1005</v>
      </c>
      <c r="D174" s="447" t="s">
        <v>2500</v>
      </c>
      <c r="E174" s="428" t="s">
        <v>1005</v>
      </c>
      <c r="F174" s="439">
        <v>0</v>
      </c>
      <c r="H174" s="429" t="s">
        <v>1366</v>
      </c>
    </row>
    <row r="175" spans="1:8" ht="15">
      <c r="A175" s="447"/>
      <c r="B175" s="447"/>
      <c r="D175" s="447" t="s">
        <v>2501</v>
      </c>
      <c r="E175" s="428" t="s">
        <v>1005</v>
      </c>
      <c r="F175" s="439">
        <v>0</v>
      </c>
      <c r="H175" s="429" t="s">
        <v>1366</v>
      </c>
    </row>
    <row r="176" spans="1:8" ht="15">
      <c r="A176" s="447"/>
      <c r="B176" s="447"/>
      <c r="D176" s="447" t="s">
        <v>2502</v>
      </c>
      <c r="E176" s="428" t="s">
        <v>1005</v>
      </c>
      <c r="F176" s="439">
        <v>0</v>
      </c>
      <c r="H176" s="429" t="s">
        <v>1366</v>
      </c>
    </row>
    <row r="177" spans="1:8" ht="15">
      <c r="A177" s="447"/>
      <c r="B177" s="447"/>
      <c r="D177" s="447" t="s">
        <v>2503</v>
      </c>
      <c r="E177" s="428" t="s">
        <v>1005</v>
      </c>
      <c r="F177" s="439">
        <v>0</v>
      </c>
      <c r="H177" s="429" t="s">
        <v>1366</v>
      </c>
    </row>
    <row r="178" spans="1:8" ht="15">
      <c r="A178" s="447"/>
      <c r="B178" s="447"/>
      <c r="D178" s="447" t="s">
        <v>2504</v>
      </c>
      <c r="E178" s="428" t="s">
        <v>1005</v>
      </c>
      <c r="F178" s="439">
        <v>0</v>
      </c>
      <c r="H178" s="429" t="s">
        <v>1366</v>
      </c>
    </row>
    <row r="179" spans="1:8" ht="15">
      <c r="A179" s="447"/>
      <c r="B179" s="447"/>
      <c r="D179" s="447" t="s">
        <v>2505</v>
      </c>
      <c r="E179" s="428" t="s">
        <v>1005</v>
      </c>
      <c r="F179" s="439">
        <v>0</v>
      </c>
      <c r="H179" s="429" t="s">
        <v>1366</v>
      </c>
    </row>
    <row r="180" spans="1:8" ht="15">
      <c r="A180" s="447"/>
      <c r="B180" s="447"/>
      <c r="D180" s="447" t="s">
        <v>2506</v>
      </c>
      <c r="E180" s="428" t="s">
        <v>1005</v>
      </c>
      <c r="F180" s="439">
        <v>0</v>
      </c>
      <c r="H180" s="429" t="s">
        <v>1366</v>
      </c>
    </row>
    <row r="181" spans="1:8" ht="15">
      <c r="A181" s="447"/>
      <c r="B181" s="447"/>
      <c r="D181" s="447" t="s">
        <v>2507</v>
      </c>
      <c r="E181" s="428" t="s">
        <v>1005</v>
      </c>
      <c r="F181" s="439">
        <v>0</v>
      </c>
      <c r="H181" s="429" t="s">
        <v>1366</v>
      </c>
    </row>
    <row r="182" spans="1:8" ht="15">
      <c r="A182" s="447"/>
      <c r="B182" s="447"/>
      <c r="D182" s="447" t="s">
        <v>2508</v>
      </c>
      <c r="E182" s="428" t="s">
        <v>1005</v>
      </c>
      <c r="F182" s="439">
        <v>0</v>
      </c>
      <c r="H182" s="429" t="s">
        <v>1366</v>
      </c>
    </row>
    <row r="183" spans="1:8" ht="15">
      <c r="A183" s="447"/>
      <c r="B183" s="447"/>
      <c r="D183" s="447" t="s">
        <v>2509</v>
      </c>
      <c r="E183" s="428" t="s">
        <v>1005</v>
      </c>
      <c r="F183" s="439">
        <v>0</v>
      </c>
      <c r="H183" s="429" t="s">
        <v>1366</v>
      </c>
    </row>
    <row r="184" spans="1:8" ht="15">
      <c r="A184" s="447"/>
      <c r="B184" s="447"/>
      <c r="D184" s="447" t="s">
        <v>2510</v>
      </c>
      <c r="E184" s="428" t="s">
        <v>1005</v>
      </c>
      <c r="F184" s="439">
        <v>0</v>
      </c>
      <c r="H184" s="429" t="s">
        <v>1366</v>
      </c>
    </row>
    <row r="185" spans="1:8" ht="15">
      <c r="A185" s="447"/>
      <c r="B185" s="447"/>
      <c r="D185" s="447" t="s">
        <v>2511</v>
      </c>
      <c r="E185" s="428" t="s">
        <v>1005</v>
      </c>
      <c r="F185" s="439">
        <v>0</v>
      </c>
      <c r="H185" s="429" t="s">
        <v>1366</v>
      </c>
    </row>
    <row r="186" spans="1:8" ht="15">
      <c r="A186" s="447"/>
      <c r="B186" s="447"/>
      <c r="D186" s="447" t="s">
        <v>2512</v>
      </c>
      <c r="E186" s="428" t="s">
        <v>1005</v>
      </c>
      <c r="F186" s="439">
        <v>0</v>
      </c>
      <c r="H186" s="429" t="s">
        <v>1366</v>
      </c>
    </row>
    <row r="187" spans="1:8" ht="15">
      <c r="A187" s="447"/>
      <c r="B187" s="447"/>
      <c r="D187" s="447" t="s">
        <v>2513</v>
      </c>
      <c r="E187" s="428" t="s">
        <v>1005</v>
      </c>
      <c r="F187" s="439">
        <v>0</v>
      </c>
      <c r="H187" s="429" t="s">
        <v>1366</v>
      </c>
    </row>
    <row r="188" spans="1:8" ht="15">
      <c r="A188" s="447"/>
      <c r="B188" s="447"/>
      <c r="D188" s="447" t="s">
        <v>2514</v>
      </c>
      <c r="E188" s="428" t="s">
        <v>1005</v>
      </c>
      <c r="F188" s="439">
        <v>0</v>
      </c>
      <c r="H188" s="429" t="s">
        <v>1366</v>
      </c>
    </row>
    <row r="189" spans="1:8" ht="15">
      <c r="A189" s="447"/>
      <c r="B189" s="447"/>
      <c r="D189" s="447" t="s">
        <v>2515</v>
      </c>
      <c r="E189" s="428" t="s">
        <v>1005</v>
      </c>
      <c r="F189" s="439">
        <v>0</v>
      </c>
      <c r="H189" s="429" t="s">
        <v>1366</v>
      </c>
    </row>
    <row r="190" spans="1:8" ht="15">
      <c r="A190" s="447"/>
      <c r="B190" s="447"/>
      <c r="D190" s="447" t="s">
        <v>2516</v>
      </c>
      <c r="E190" s="428" t="s">
        <v>1005</v>
      </c>
      <c r="F190" s="439">
        <v>0</v>
      </c>
      <c r="H190" s="429" t="s">
        <v>1366</v>
      </c>
    </row>
    <row r="191" spans="1:8" ht="15">
      <c r="A191" s="447"/>
      <c r="B191" s="447"/>
      <c r="D191" s="447" t="s">
        <v>2517</v>
      </c>
      <c r="E191" s="428" t="s">
        <v>1005</v>
      </c>
      <c r="F191" s="439">
        <v>0</v>
      </c>
      <c r="H191" s="429" t="s">
        <v>1366</v>
      </c>
    </row>
    <row r="192" spans="1:8" ht="15">
      <c r="A192" s="447"/>
      <c r="B192" s="447"/>
      <c r="D192" s="447" t="s">
        <v>2518</v>
      </c>
      <c r="E192" s="428" t="s">
        <v>1005</v>
      </c>
      <c r="F192" s="439">
        <v>0</v>
      </c>
      <c r="H192" s="429" t="s">
        <v>1366</v>
      </c>
    </row>
    <row r="193" spans="1:8" ht="15">
      <c r="A193" s="447"/>
      <c r="B193" s="447"/>
      <c r="D193" s="447" t="s">
        <v>2519</v>
      </c>
      <c r="E193" s="428" t="s">
        <v>1005</v>
      </c>
      <c r="F193" s="439">
        <v>0</v>
      </c>
      <c r="H193" s="429" t="s">
        <v>1366</v>
      </c>
    </row>
    <row r="194" spans="1:8" ht="15">
      <c r="A194" s="447"/>
      <c r="B194" s="447"/>
      <c r="D194" s="447" t="s">
        <v>2520</v>
      </c>
      <c r="E194" s="428" t="s">
        <v>1005</v>
      </c>
      <c r="F194" s="439">
        <v>0</v>
      </c>
      <c r="H194" s="429" t="s">
        <v>1366</v>
      </c>
    </row>
    <row r="195" spans="1:8" ht="15">
      <c r="A195" s="447"/>
      <c r="B195" s="447"/>
      <c r="D195" s="447" t="s">
        <v>2521</v>
      </c>
      <c r="E195" s="428" t="s">
        <v>1005</v>
      </c>
      <c r="F195" s="439">
        <v>0</v>
      </c>
      <c r="H195" s="429" t="s">
        <v>1366</v>
      </c>
    </row>
    <row r="196" spans="1:8" ht="15">
      <c r="A196" s="447"/>
      <c r="B196" s="447"/>
      <c r="D196" s="447" t="s">
        <v>2522</v>
      </c>
      <c r="E196" s="428" t="s">
        <v>1005</v>
      </c>
      <c r="F196" s="439">
        <v>0</v>
      </c>
      <c r="H196" s="429" t="s">
        <v>1366</v>
      </c>
    </row>
    <row r="197" spans="1:8" ht="15">
      <c r="A197" s="447"/>
      <c r="B197" s="447"/>
      <c r="D197" s="447" t="s">
        <v>2523</v>
      </c>
      <c r="E197" s="428" t="s">
        <v>1005</v>
      </c>
      <c r="F197" s="439">
        <v>0</v>
      </c>
      <c r="H197" s="429" t="s">
        <v>1366</v>
      </c>
    </row>
    <row r="198" spans="1:8" ht="15">
      <c r="A198" s="447"/>
      <c r="B198" s="447"/>
      <c r="D198" s="447" t="s">
        <v>2524</v>
      </c>
      <c r="E198" s="428" t="s">
        <v>1005</v>
      </c>
      <c r="F198" s="439">
        <v>0</v>
      </c>
      <c r="H198" s="429" t="s">
        <v>1366</v>
      </c>
    </row>
    <row r="199" spans="1:8" ht="15">
      <c r="A199" s="447"/>
      <c r="B199" s="447"/>
      <c r="D199" s="447" t="s">
        <v>2525</v>
      </c>
      <c r="E199" s="428" t="s">
        <v>1005</v>
      </c>
      <c r="F199" s="439">
        <v>0</v>
      </c>
      <c r="H199" s="429" t="s">
        <v>1366</v>
      </c>
    </row>
    <row r="200" spans="1:8" ht="15">
      <c r="A200" s="447"/>
      <c r="B200" s="447"/>
      <c r="D200" s="447" t="s">
        <v>2526</v>
      </c>
      <c r="E200" s="428" t="s">
        <v>1005</v>
      </c>
      <c r="F200" s="439">
        <v>0</v>
      </c>
      <c r="H200" s="429" t="s">
        <v>1366</v>
      </c>
    </row>
    <row r="201" spans="1:8" ht="15">
      <c r="A201" s="447"/>
      <c r="B201" s="447"/>
      <c r="D201" s="447" t="s">
        <v>2527</v>
      </c>
      <c r="E201" s="428" t="s">
        <v>1005</v>
      </c>
      <c r="F201" s="439">
        <v>0</v>
      </c>
      <c r="H201" s="429" t="s">
        <v>1366</v>
      </c>
    </row>
    <row r="202" spans="1:8" ht="15">
      <c r="A202" s="447"/>
      <c r="B202" s="447"/>
      <c r="D202" s="447" t="s">
        <v>2528</v>
      </c>
      <c r="E202" s="428" t="s">
        <v>1005</v>
      </c>
      <c r="F202" s="439">
        <v>0</v>
      </c>
      <c r="H202" s="429" t="s">
        <v>1366</v>
      </c>
    </row>
    <row r="203" spans="1:8" ht="15">
      <c r="A203" s="447"/>
      <c r="B203" s="447"/>
      <c r="D203" s="447" t="s">
        <v>2529</v>
      </c>
      <c r="E203" s="428" t="s">
        <v>1005</v>
      </c>
      <c r="F203" s="439">
        <v>0</v>
      </c>
      <c r="H203" s="429" t="s">
        <v>1366</v>
      </c>
    </row>
    <row r="204" spans="1:8" ht="15">
      <c r="A204" s="447"/>
      <c r="B204" s="447"/>
      <c r="D204" s="447" t="s">
        <v>2530</v>
      </c>
      <c r="E204" s="428" t="s">
        <v>1005</v>
      </c>
      <c r="F204" s="439">
        <v>0</v>
      </c>
      <c r="H204" s="429" t="s">
        <v>1366</v>
      </c>
    </row>
    <row r="205" spans="1:8" ht="15">
      <c r="A205" s="447"/>
      <c r="B205" s="447"/>
      <c r="D205" s="447" t="s">
        <v>2531</v>
      </c>
      <c r="E205" s="428" t="s">
        <v>1005</v>
      </c>
      <c r="F205" s="439">
        <v>0</v>
      </c>
      <c r="H205" s="429" t="s">
        <v>1366</v>
      </c>
    </row>
    <row r="206" spans="1:8" ht="15">
      <c r="A206" s="447"/>
      <c r="B206" s="447"/>
      <c r="D206" s="447" t="s">
        <v>2532</v>
      </c>
      <c r="E206" s="428" t="s">
        <v>1005</v>
      </c>
      <c r="F206" s="439">
        <v>0</v>
      </c>
      <c r="H206" s="429" t="s">
        <v>1366</v>
      </c>
    </row>
    <row r="207" spans="1:8" ht="15">
      <c r="A207" s="447"/>
      <c r="B207" s="447"/>
      <c r="D207" s="447" t="s">
        <v>2533</v>
      </c>
      <c r="E207" s="428" t="s">
        <v>1005</v>
      </c>
      <c r="F207" s="439">
        <v>0</v>
      </c>
      <c r="H207" s="429" t="s">
        <v>1366</v>
      </c>
    </row>
    <row r="208" spans="1:8" ht="15">
      <c r="A208" s="447"/>
      <c r="B208" s="447"/>
      <c r="D208" s="447" t="s">
        <v>2534</v>
      </c>
      <c r="E208" s="428" t="s">
        <v>1005</v>
      </c>
      <c r="F208" s="439">
        <v>0</v>
      </c>
      <c r="H208" s="429" t="s">
        <v>1366</v>
      </c>
    </row>
    <row r="209" spans="1:8" ht="15">
      <c r="A209" s="447"/>
      <c r="B209" s="447"/>
      <c r="D209" s="447" t="s">
        <v>2535</v>
      </c>
      <c r="E209" s="428" t="s">
        <v>1005</v>
      </c>
      <c r="F209" s="439">
        <v>0</v>
      </c>
      <c r="H209" s="429" t="s">
        <v>1366</v>
      </c>
    </row>
    <row r="210" spans="1:8" ht="15">
      <c r="A210" s="447"/>
      <c r="B210" s="447"/>
      <c r="D210" s="447" t="s">
        <v>2536</v>
      </c>
      <c r="E210" s="428" t="s">
        <v>1005</v>
      </c>
      <c r="F210" s="439">
        <v>0</v>
      </c>
      <c r="H210" s="429" t="s">
        <v>1366</v>
      </c>
    </row>
    <row r="211" spans="1:8" ht="15">
      <c r="A211" s="447"/>
      <c r="B211" s="447"/>
      <c r="D211" s="447" t="s">
        <v>2537</v>
      </c>
      <c r="E211" s="428" t="s">
        <v>1005</v>
      </c>
      <c r="F211" s="439">
        <v>0</v>
      </c>
      <c r="H211" s="429" t="s">
        <v>1366</v>
      </c>
    </row>
    <row r="212" spans="1:8" ht="15">
      <c r="A212" s="447"/>
      <c r="B212" s="447"/>
      <c r="D212" s="447" t="s">
        <v>2538</v>
      </c>
      <c r="E212" s="428" t="s">
        <v>1005</v>
      </c>
      <c r="F212" s="439">
        <v>0</v>
      </c>
      <c r="H212" s="429" t="s">
        <v>1366</v>
      </c>
    </row>
    <row r="213" spans="1:8" ht="15">
      <c r="A213" s="447"/>
      <c r="B213" s="447"/>
      <c r="D213" s="447" t="s">
        <v>2539</v>
      </c>
      <c r="E213" s="428" t="s">
        <v>1005</v>
      </c>
      <c r="F213" s="439">
        <v>0</v>
      </c>
      <c r="H213" s="429" t="s">
        <v>1366</v>
      </c>
    </row>
    <row r="214" spans="1:8" ht="15">
      <c r="A214" s="447"/>
      <c r="B214" s="447"/>
      <c r="D214" s="447" t="s">
        <v>2540</v>
      </c>
      <c r="E214" s="428" t="s">
        <v>1005</v>
      </c>
      <c r="F214" s="439">
        <v>0</v>
      </c>
      <c r="H214" s="429" t="s">
        <v>1366</v>
      </c>
    </row>
    <row r="215" spans="1:8" ht="15">
      <c r="A215" s="447"/>
      <c r="B215" s="447"/>
      <c r="D215" s="447" t="s">
        <v>2541</v>
      </c>
      <c r="E215" s="428" t="s">
        <v>1005</v>
      </c>
      <c r="F215" s="439">
        <v>0</v>
      </c>
      <c r="H215" s="429" t="s">
        <v>1366</v>
      </c>
    </row>
    <row r="216" spans="1:8" ht="15">
      <c r="A216" s="447"/>
      <c r="B216" s="447"/>
      <c r="D216" s="447" t="s">
        <v>2542</v>
      </c>
      <c r="E216" s="428" t="s">
        <v>1005</v>
      </c>
      <c r="F216" s="439">
        <v>0</v>
      </c>
      <c r="H216" s="429" t="s">
        <v>1366</v>
      </c>
    </row>
    <row r="217" spans="1:8" ht="15">
      <c r="A217" s="447"/>
      <c r="B217" s="447"/>
      <c r="D217" s="447" t="s">
        <v>2543</v>
      </c>
      <c r="E217" s="428" t="s">
        <v>1005</v>
      </c>
      <c r="F217" s="439">
        <v>0</v>
      </c>
      <c r="H217" s="429" t="s">
        <v>1366</v>
      </c>
    </row>
    <row r="218" spans="1:8" ht="15">
      <c r="A218" s="447"/>
      <c r="B218" s="447"/>
      <c r="D218" s="447" t="s">
        <v>2544</v>
      </c>
      <c r="E218" s="428" t="s">
        <v>1005</v>
      </c>
      <c r="F218" s="439">
        <v>0</v>
      </c>
      <c r="H218" s="429" t="s">
        <v>1366</v>
      </c>
    </row>
    <row r="219" spans="1:8" ht="15">
      <c r="A219" s="447"/>
      <c r="B219" s="447"/>
      <c r="D219" s="447" t="s">
        <v>2545</v>
      </c>
      <c r="E219" s="428" t="s">
        <v>1005</v>
      </c>
      <c r="F219" s="439">
        <v>0</v>
      </c>
      <c r="H219" s="429" t="s">
        <v>1366</v>
      </c>
    </row>
    <row r="220" spans="1:8" ht="15">
      <c r="A220" s="447"/>
      <c r="B220" s="447"/>
      <c r="D220" s="447" t="s">
        <v>2546</v>
      </c>
      <c r="E220" s="428" t="s">
        <v>1005</v>
      </c>
      <c r="F220" s="439">
        <v>0</v>
      </c>
      <c r="H220" s="429" t="s">
        <v>1366</v>
      </c>
    </row>
    <row r="221" spans="1:8" ht="15">
      <c r="A221" s="447"/>
      <c r="B221" s="447"/>
      <c r="D221" s="447" t="s">
        <v>2547</v>
      </c>
      <c r="E221" s="428" t="s">
        <v>1005</v>
      </c>
      <c r="F221" s="439">
        <v>0</v>
      </c>
      <c r="H221" s="429" t="s">
        <v>1366</v>
      </c>
    </row>
    <row r="222" spans="1:8" ht="15">
      <c r="A222" s="447"/>
      <c r="B222" s="447"/>
      <c r="D222" s="447" t="s">
        <v>2548</v>
      </c>
      <c r="E222" s="428" t="s">
        <v>1005</v>
      </c>
      <c r="F222" s="439">
        <v>0</v>
      </c>
      <c r="H222" s="429" t="s">
        <v>1366</v>
      </c>
    </row>
    <row r="223" spans="1:8" ht="15">
      <c r="A223" s="447"/>
      <c r="B223" s="447"/>
      <c r="D223" s="447" t="s">
        <v>2549</v>
      </c>
      <c r="E223" s="428" t="s">
        <v>1005</v>
      </c>
      <c r="F223" s="439">
        <v>0</v>
      </c>
      <c r="H223" s="429" t="s">
        <v>1366</v>
      </c>
    </row>
    <row r="224" spans="1:8" ht="15">
      <c r="A224" s="447"/>
      <c r="B224" s="447"/>
      <c r="D224" s="447" t="s">
        <v>2550</v>
      </c>
      <c r="E224" s="428" t="s">
        <v>1005</v>
      </c>
      <c r="F224" s="439">
        <v>0</v>
      </c>
      <c r="H224" s="429" t="s">
        <v>1366</v>
      </c>
    </row>
    <row r="225" spans="1:8" ht="15">
      <c r="A225" s="447"/>
      <c r="B225" s="447"/>
      <c r="D225" s="447" t="s">
        <v>2551</v>
      </c>
      <c r="E225" s="428" t="s">
        <v>1005</v>
      </c>
      <c r="F225" s="439">
        <v>0</v>
      </c>
      <c r="H225" s="429" t="s">
        <v>1366</v>
      </c>
    </row>
    <row r="226" spans="1:8" ht="15">
      <c r="A226" s="447"/>
      <c r="B226" s="447"/>
      <c r="D226" s="447" t="s">
        <v>2552</v>
      </c>
      <c r="E226" s="428" t="s">
        <v>1005</v>
      </c>
      <c r="F226" s="439">
        <v>0</v>
      </c>
      <c r="H226" s="429" t="s">
        <v>1366</v>
      </c>
    </row>
    <row r="227" spans="1:8" ht="15">
      <c r="A227" s="447"/>
      <c r="B227" s="447"/>
      <c r="D227" s="447" t="s">
        <v>2553</v>
      </c>
      <c r="E227" s="428" t="s">
        <v>1005</v>
      </c>
      <c r="F227" s="439">
        <v>0</v>
      </c>
      <c r="H227" s="429" t="s">
        <v>1366</v>
      </c>
    </row>
    <row r="228" spans="1:8" ht="15">
      <c r="A228" s="447"/>
      <c r="B228" s="447"/>
      <c r="D228" s="447" t="s">
        <v>2554</v>
      </c>
      <c r="E228" s="428" t="s">
        <v>1005</v>
      </c>
      <c r="F228" s="439">
        <v>0</v>
      </c>
      <c r="H228" s="429" t="s">
        <v>1366</v>
      </c>
    </row>
    <row r="229" spans="1:8" ht="15">
      <c r="A229" s="447"/>
      <c r="B229" s="447"/>
      <c r="D229" s="447" t="s">
        <v>2555</v>
      </c>
      <c r="E229" s="428" t="s">
        <v>1005</v>
      </c>
      <c r="F229" s="439">
        <v>0</v>
      </c>
      <c r="H229" s="429" t="s">
        <v>1366</v>
      </c>
    </row>
    <row r="230" spans="1:8" ht="15">
      <c r="A230" s="447"/>
      <c r="B230" s="447"/>
      <c r="D230" s="447" t="s">
        <v>2556</v>
      </c>
      <c r="E230" s="428" t="s">
        <v>1005</v>
      </c>
      <c r="F230" s="439">
        <v>0</v>
      </c>
      <c r="H230" s="429" t="s">
        <v>1366</v>
      </c>
    </row>
    <row r="231" spans="1:8" ht="15">
      <c r="A231" s="447"/>
      <c r="B231" s="447"/>
      <c r="D231" s="447" t="s">
        <v>2557</v>
      </c>
      <c r="E231" s="428" t="s">
        <v>1005</v>
      </c>
      <c r="F231" s="439">
        <v>0</v>
      </c>
      <c r="H231" s="429" t="s">
        <v>1366</v>
      </c>
    </row>
    <row r="232" spans="1:8" ht="15">
      <c r="A232" s="447"/>
      <c r="B232" s="447"/>
      <c r="D232" s="447" t="s">
        <v>2558</v>
      </c>
      <c r="E232" s="428" t="s">
        <v>1005</v>
      </c>
      <c r="F232" s="439">
        <v>0</v>
      </c>
      <c r="H232" s="429" t="s">
        <v>1366</v>
      </c>
    </row>
    <row r="233" spans="1:8" ht="15">
      <c r="A233" s="447"/>
      <c r="B233" s="447"/>
      <c r="D233" s="447" t="s">
        <v>2559</v>
      </c>
      <c r="E233" s="428" t="s">
        <v>1005</v>
      </c>
      <c r="F233" s="439">
        <v>0</v>
      </c>
      <c r="H233" s="429" t="s">
        <v>1366</v>
      </c>
    </row>
    <row r="234" spans="1:8" ht="15">
      <c r="A234" s="447"/>
      <c r="B234" s="447"/>
      <c r="D234" s="447" t="s">
        <v>2560</v>
      </c>
      <c r="E234" s="428" t="s">
        <v>1005</v>
      </c>
      <c r="F234" s="439">
        <v>0</v>
      </c>
      <c r="H234" s="429" t="s">
        <v>1366</v>
      </c>
    </row>
    <row r="235" spans="1:8" ht="15">
      <c r="A235" s="447"/>
      <c r="B235" s="447"/>
      <c r="D235" s="447" t="s">
        <v>2561</v>
      </c>
      <c r="E235" s="428" t="s">
        <v>1005</v>
      </c>
      <c r="F235" s="439">
        <v>0</v>
      </c>
      <c r="H235" s="429" t="s">
        <v>1366</v>
      </c>
    </row>
    <row r="236" spans="1:8" ht="15">
      <c r="A236" s="447"/>
      <c r="B236" s="447"/>
      <c r="D236" s="447" t="s">
        <v>2562</v>
      </c>
      <c r="E236" s="428" t="s">
        <v>1005</v>
      </c>
      <c r="F236" s="439">
        <v>0</v>
      </c>
      <c r="H236" s="429" t="s">
        <v>1366</v>
      </c>
    </row>
    <row r="237" spans="1:8" ht="15">
      <c r="A237" s="447"/>
      <c r="B237" s="447"/>
      <c r="D237" s="447" t="s">
        <v>2563</v>
      </c>
      <c r="E237" s="428" t="s">
        <v>1005</v>
      </c>
      <c r="F237" s="439">
        <v>0</v>
      </c>
      <c r="H237" s="429" t="s">
        <v>1366</v>
      </c>
    </row>
    <row r="238" spans="1:8" ht="15">
      <c r="A238" s="447"/>
      <c r="B238" s="447"/>
      <c r="D238" s="447" t="s">
        <v>2564</v>
      </c>
      <c r="E238" s="428" t="s">
        <v>1005</v>
      </c>
      <c r="F238" s="439">
        <v>0</v>
      </c>
      <c r="H238" s="429" t="s">
        <v>1366</v>
      </c>
    </row>
    <row r="239" spans="1:8" ht="15">
      <c r="A239" s="447"/>
      <c r="B239" s="447"/>
      <c r="D239" s="447" t="s">
        <v>2565</v>
      </c>
      <c r="E239" s="428" t="s">
        <v>1005</v>
      </c>
      <c r="F239" s="439">
        <v>0</v>
      </c>
      <c r="H239" s="429" t="s">
        <v>1366</v>
      </c>
    </row>
    <row r="240" spans="1:8" ht="15">
      <c r="A240" s="447"/>
      <c r="B240" s="447"/>
      <c r="D240" s="447" t="s">
        <v>2566</v>
      </c>
      <c r="E240" s="428" t="s">
        <v>1005</v>
      </c>
      <c r="F240" s="439">
        <v>0</v>
      </c>
      <c r="H240" s="429" t="s">
        <v>1366</v>
      </c>
    </row>
    <row r="241" spans="1:8" ht="15">
      <c r="A241" s="447"/>
      <c r="B241" s="447"/>
      <c r="D241" s="447" t="s">
        <v>2567</v>
      </c>
      <c r="E241" s="428" t="s">
        <v>1005</v>
      </c>
      <c r="F241" s="439">
        <v>0</v>
      </c>
      <c r="H241" s="429" t="s">
        <v>1366</v>
      </c>
    </row>
    <row r="242" spans="1:8" ht="15">
      <c r="A242" s="447"/>
      <c r="B242" s="447"/>
      <c r="D242" s="447" t="s">
        <v>2568</v>
      </c>
      <c r="E242" s="428" t="s">
        <v>1005</v>
      </c>
      <c r="F242" s="439">
        <v>0</v>
      </c>
      <c r="H242" s="429" t="s">
        <v>1366</v>
      </c>
    </row>
    <row r="243" spans="1:8" ht="15">
      <c r="A243" s="447"/>
      <c r="B243" s="447"/>
      <c r="D243" s="447" t="s">
        <v>2569</v>
      </c>
      <c r="E243" s="428" t="s">
        <v>1005</v>
      </c>
      <c r="F243" s="439">
        <v>0</v>
      </c>
      <c r="H243" s="429" t="s">
        <v>1366</v>
      </c>
    </row>
    <row r="244" spans="1:8" ht="15">
      <c r="A244" s="447"/>
      <c r="B244" s="447"/>
      <c r="D244" s="447" t="s">
        <v>2570</v>
      </c>
      <c r="E244" s="428" t="s">
        <v>1005</v>
      </c>
      <c r="F244" s="439">
        <v>0</v>
      </c>
      <c r="H244" s="429" t="s">
        <v>1366</v>
      </c>
    </row>
    <row r="245" spans="1:8" ht="15">
      <c r="A245" s="447"/>
      <c r="B245" s="447"/>
      <c r="D245" s="447" t="s">
        <v>2571</v>
      </c>
      <c r="E245" s="428" t="s">
        <v>1005</v>
      </c>
      <c r="F245" s="439">
        <v>0</v>
      </c>
      <c r="H245" s="429" t="s">
        <v>1366</v>
      </c>
    </row>
    <row r="246" spans="1:8" ht="15">
      <c r="A246" s="447"/>
      <c r="B246" s="447"/>
      <c r="D246" s="447" t="s">
        <v>2572</v>
      </c>
      <c r="E246" s="428" t="s">
        <v>1005</v>
      </c>
      <c r="F246" s="439">
        <v>0</v>
      </c>
      <c r="H246" s="429" t="s">
        <v>1366</v>
      </c>
    </row>
    <row r="247" spans="1:8" ht="15">
      <c r="A247" s="447"/>
      <c r="B247" s="447"/>
      <c r="D247" s="447" t="s">
        <v>2573</v>
      </c>
      <c r="E247" s="428" t="s">
        <v>1005</v>
      </c>
      <c r="F247" s="439">
        <v>0</v>
      </c>
      <c r="H247" s="429" t="s">
        <v>1366</v>
      </c>
    </row>
    <row r="248" spans="1:8" ht="15">
      <c r="A248" s="447"/>
      <c r="B248" s="447"/>
      <c r="D248" s="447" t="s">
        <v>2574</v>
      </c>
      <c r="E248" s="428" t="s">
        <v>1005</v>
      </c>
      <c r="F248" s="439">
        <v>0</v>
      </c>
      <c r="H248" s="429" t="s">
        <v>1366</v>
      </c>
    </row>
    <row r="249" spans="1:8" ht="15">
      <c r="A249" s="447"/>
      <c r="B249" s="447"/>
      <c r="D249" s="447" t="s">
        <v>2575</v>
      </c>
      <c r="E249" s="428" t="s">
        <v>1005</v>
      </c>
      <c r="F249" s="439">
        <v>0</v>
      </c>
      <c r="H249" s="429" t="s">
        <v>1366</v>
      </c>
    </row>
    <row r="250" spans="1:8" ht="15">
      <c r="A250" s="447"/>
      <c r="B250" s="447"/>
      <c r="D250" s="447" t="s">
        <v>2576</v>
      </c>
      <c r="E250" s="428" t="s">
        <v>1005</v>
      </c>
      <c r="F250" s="439">
        <v>0</v>
      </c>
      <c r="H250" s="429" t="s">
        <v>1366</v>
      </c>
    </row>
    <row r="251" spans="1:8" ht="15">
      <c r="A251" s="447"/>
      <c r="B251" s="447"/>
      <c r="D251" s="447" t="s">
        <v>2577</v>
      </c>
      <c r="E251" s="428" t="s">
        <v>1005</v>
      </c>
      <c r="F251" s="439">
        <v>0</v>
      </c>
      <c r="H251" s="429" t="s">
        <v>1366</v>
      </c>
    </row>
    <row r="252" spans="1:8" ht="15">
      <c r="A252" s="447"/>
      <c r="B252" s="447"/>
      <c r="D252" s="447" t="s">
        <v>2578</v>
      </c>
      <c r="E252" s="428" t="s">
        <v>1005</v>
      </c>
      <c r="F252" s="439">
        <v>0</v>
      </c>
      <c r="H252" s="429" t="s">
        <v>1366</v>
      </c>
    </row>
    <row r="253" spans="1:8" ht="15">
      <c r="A253" s="447"/>
      <c r="B253" s="447"/>
      <c r="D253" s="447" t="s">
        <v>2579</v>
      </c>
      <c r="E253" s="428" t="s">
        <v>1005</v>
      </c>
      <c r="F253" s="439">
        <v>0</v>
      </c>
      <c r="H253" s="429" t="s">
        <v>1366</v>
      </c>
    </row>
    <row r="254" spans="1:8" ht="15">
      <c r="A254" s="447"/>
      <c r="B254" s="447"/>
      <c r="D254" s="447" t="s">
        <v>2580</v>
      </c>
      <c r="E254" s="428" t="s">
        <v>1005</v>
      </c>
      <c r="F254" s="439">
        <v>0</v>
      </c>
      <c r="H254" s="429" t="s">
        <v>1366</v>
      </c>
    </row>
    <row r="255" spans="1:8" ht="15">
      <c r="A255" s="447"/>
      <c r="B255" s="447"/>
      <c r="D255" s="447" t="s">
        <v>2581</v>
      </c>
      <c r="E255" s="428" t="s">
        <v>1005</v>
      </c>
      <c r="F255" s="439">
        <v>0</v>
      </c>
      <c r="H255" s="429" t="s">
        <v>1366</v>
      </c>
    </row>
    <row r="256" spans="1:8" ht="15">
      <c r="A256" s="447"/>
      <c r="B256" s="447"/>
      <c r="D256" s="447" t="s">
        <v>2582</v>
      </c>
      <c r="E256" s="428" t="s">
        <v>1005</v>
      </c>
      <c r="F256" s="439">
        <v>0</v>
      </c>
      <c r="H256" s="429" t="s">
        <v>1366</v>
      </c>
    </row>
    <row r="257" spans="1:8" ht="15">
      <c r="A257" s="447"/>
      <c r="B257" s="447"/>
      <c r="D257" s="447" t="s">
        <v>2583</v>
      </c>
      <c r="E257" s="428" t="s">
        <v>1005</v>
      </c>
      <c r="F257" s="439">
        <v>0</v>
      </c>
      <c r="H257" s="429" t="s">
        <v>1366</v>
      </c>
    </row>
    <row r="258" spans="1:8" ht="15">
      <c r="A258" s="447"/>
      <c r="B258" s="447"/>
      <c r="D258" s="447" t="s">
        <v>2584</v>
      </c>
      <c r="E258" s="428" t="s">
        <v>1005</v>
      </c>
      <c r="F258" s="439">
        <v>0</v>
      </c>
      <c r="H258" s="429" t="s">
        <v>1366</v>
      </c>
    </row>
    <row r="259" spans="1:8" ht="15">
      <c r="A259" s="447"/>
      <c r="B259" s="447"/>
      <c r="D259" s="447" t="s">
        <v>2585</v>
      </c>
      <c r="E259" s="428" t="s">
        <v>1005</v>
      </c>
      <c r="F259" s="439">
        <v>0</v>
      </c>
      <c r="H259" s="429" t="s">
        <v>1366</v>
      </c>
    </row>
    <row r="260" spans="1:8" ht="15">
      <c r="A260" s="447"/>
      <c r="B260" s="447"/>
      <c r="D260" s="447" t="s">
        <v>2586</v>
      </c>
      <c r="E260" s="428" t="s">
        <v>1005</v>
      </c>
      <c r="F260" s="439">
        <v>0</v>
      </c>
      <c r="H260" s="429" t="s">
        <v>1366</v>
      </c>
    </row>
    <row r="261" spans="1:8" ht="15">
      <c r="A261" s="447"/>
      <c r="B261" s="447"/>
      <c r="D261" s="447" t="s">
        <v>2587</v>
      </c>
      <c r="E261" s="428" t="s">
        <v>1005</v>
      </c>
      <c r="F261" s="439">
        <v>0</v>
      </c>
      <c r="H261" s="429" t="s">
        <v>1366</v>
      </c>
    </row>
    <row r="262" spans="1:8" ht="15">
      <c r="A262" s="447"/>
      <c r="B262" s="447"/>
      <c r="D262" s="447" t="s">
        <v>2588</v>
      </c>
      <c r="E262" s="428" t="s">
        <v>1005</v>
      </c>
      <c r="F262" s="439">
        <v>0</v>
      </c>
      <c r="H262" s="429" t="s">
        <v>1366</v>
      </c>
    </row>
    <row r="263" spans="1:8" ht="15">
      <c r="A263" s="447"/>
      <c r="B263" s="447"/>
      <c r="D263" s="447" t="s">
        <v>2589</v>
      </c>
      <c r="E263" s="428" t="s">
        <v>1005</v>
      </c>
      <c r="F263" s="439">
        <v>0</v>
      </c>
      <c r="H263" s="429" t="s">
        <v>1366</v>
      </c>
    </row>
    <row r="264" spans="1:8" ht="15">
      <c r="A264" s="447"/>
      <c r="B264" s="447"/>
      <c r="D264" s="447" t="s">
        <v>2590</v>
      </c>
      <c r="E264" s="428" t="s">
        <v>1005</v>
      </c>
      <c r="F264" s="439">
        <v>0</v>
      </c>
      <c r="H264" s="429" t="s">
        <v>1366</v>
      </c>
    </row>
    <row r="265" spans="1:8" ht="15">
      <c r="A265" s="447"/>
      <c r="B265" s="447"/>
      <c r="D265" s="447" t="s">
        <v>2591</v>
      </c>
      <c r="E265" s="428" t="s">
        <v>1005</v>
      </c>
      <c r="F265" s="439">
        <v>0</v>
      </c>
      <c r="H265" s="429" t="s">
        <v>1366</v>
      </c>
    </row>
    <row r="266" spans="1:8" ht="15">
      <c r="A266" s="447"/>
      <c r="B266" s="447"/>
      <c r="D266" s="447" t="s">
        <v>2592</v>
      </c>
      <c r="E266" s="428" t="s">
        <v>1005</v>
      </c>
      <c r="F266" s="439">
        <v>0</v>
      </c>
      <c r="H266" s="429" t="s">
        <v>1366</v>
      </c>
    </row>
    <row r="267" spans="1:8" ht="15">
      <c r="A267" s="447"/>
      <c r="B267" s="447"/>
      <c r="D267" s="447" t="s">
        <v>2593</v>
      </c>
      <c r="E267" s="428" t="s">
        <v>1005</v>
      </c>
      <c r="F267" s="439">
        <v>0</v>
      </c>
      <c r="H267" s="429" t="s">
        <v>1366</v>
      </c>
    </row>
    <row r="268" spans="1:8" ht="15">
      <c r="A268" s="447"/>
      <c r="B268" s="447"/>
      <c r="D268" s="447" t="s">
        <v>2594</v>
      </c>
      <c r="E268" s="428" t="s">
        <v>1005</v>
      </c>
      <c r="F268" s="439">
        <v>0</v>
      </c>
      <c r="H268" s="429" t="s">
        <v>1366</v>
      </c>
    </row>
    <row r="269" spans="1:8" ht="15">
      <c r="A269" s="447"/>
      <c r="B269" s="447"/>
      <c r="D269" s="447" t="s">
        <v>2595</v>
      </c>
      <c r="E269" s="428" t="s">
        <v>1005</v>
      </c>
      <c r="F269" s="439">
        <v>0</v>
      </c>
      <c r="H269" s="429" t="s">
        <v>1366</v>
      </c>
    </row>
    <row r="270" spans="1:8" ht="15">
      <c r="A270" s="447"/>
      <c r="B270" s="447"/>
      <c r="D270" s="447" t="s">
        <v>2596</v>
      </c>
      <c r="E270" s="428" t="s">
        <v>1005</v>
      </c>
      <c r="F270" s="439">
        <v>0</v>
      </c>
      <c r="H270" s="429" t="s">
        <v>1366</v>
      </c>
    </row>
    <row r="271" spans="1:8" ht="15">
      <c r="A271" s="447"/>
      <c r="B271" s="447"/>
      <c r="D271" s="447" t="s">
        <v>2597</v>
      </c>
      <c r="E271" s="428" t="s">
        <v>1005</v>
      </c>
      <c r="F271" s="439">
        <v>0</v>
      </c>
      <c r="H271" s="429" t="s">
        <v>1366</v>
      </c>
    </row>
    <row r="272" spans="1:8" ht="15">
      <c r="A272" s="447"/>
      <c r="B272" s="447"/>
      <c r="D272" s="447" t="s">
        <v>2598</v>
      </c>
      <c r="E272" s="428" t="s">
        <v>1005</v>
      </c>
      <c r="F272" s="439">
        <v>0</v>
      </c>
      <c r="H272" s="429" t="s">
        <v>1366</v>
      </c>
    </row>
    <row r="273" spans="1:8" ht="15">
      <c r="A273" s="447"/>
      <c r="B273" s="447"/>
      <c r="D273" s="447" t="s">
        <v>2599</v>
      </c>
      <c r="E273" s="428" t="s">
        <v>1005</v>
      </c>
      <c r="F273" s="439">
        <v>0</v>
      </c>
      <c r="H273" s="429" t="s">
        <v>1366</v>
      </c>
    </row>
    <row r="274" spans="1:8" ht="15">
      <c r="A274" s="447"/>
      <c r="B274" s="447"/>
      <c r="D274" s="447" t="s">
        <v>2600</v>
      </c>
      <c r="E274" s="428" t="s">
        <v>1005</v>
      </c>
      <c r="F274" s="439">
        <v>0</v>
      </c>
      <c r="H274" s="429" t="s">
        <v>1366</v>
      </c>
    </row>
    <row r="275" spans="1:8" ht="15">
      <c r="A275" s="447"/>
      <c r="B275" s="447"/>
      <c r="D275" s="447" t="s">
        <v>2601</v>
      </c>
      <c r="E275" s="428" t="s">
        <v>1005</v>
      </c>
      <c r="F275" s="439">
        <v>0</v>
      </c>
      <c r="H275" s="429" t="s">
        <v>1366</v>
      </c>
    </row>
    <row r="276" spans="1:8" ht="15">
      <c r="A276" s="447"/>
      <c r="B276" s="447"/>
      <c r="D276" s="447" t="s">
        <v>2602</v>
      </c>
      <c r="E276" s="428" t="s">
        <v>1005</v>
      </c>
      <c r="F276" s="439">
        <v>0</v>
      </c>
      <c r="H276" s="429" t="s">
        <v>1366</v>
      </c>
    </row>
    <row r="277" spans="1:8" ht="15">
      <c r="A277" s="447"/>
      <c r="B277" s="447"/>
      <c r="D277" s="447" t="s">
        <v>2603</v>
      </c>
      <c r="E277" s="428" t="s">
        <v>1005</v>
      </c>
      <c r="F277" s="439">
        <v>0</v>
      </c>
      <c r="H277" s="429" t="s">
        <v>1366</v>
      </c>
    </row>
    <row r="278" spans="1:8" ht="15">
      <c r="A278" s="447"/>
      <c r="B278" s="447"/>
      <c r="D278" s="447" t="s">
        <v>2604</v>
      </c>
      <c r="E278" s="428" t="s">
        <v>1005</v>
      </c>
      <c r="F278" s="439">
        <v>0</v>
      </c>
      <c r="H278" s="429" t="s">
        <v>1366</v>
      </c>
    </row>
    <row r="279" spans="1:8" ht="15">
      <c r="A279" s="447"/>
      <c r="B279" s="447"/>
      <c r="D279" s="447" t="s">
        <v>2605</v>
      </c>
      <c r="E279" s="428" t="s">
        <v>1005</v>
      </c>
      <c r="F279" s="439">
        <v>0</v>
      </c>
      <c r="H279" s="429" t="s">
        <v>1366</v>
      </c>
    </row>
    <row r="280" spans="1:8" ht="15">
      <c r="A280" s="447"/>
      <c r="B280" s="447"/>
      <c r="D280" s="447" t="s">
        <v>2606</v>
      </c>
      <c r="E280" s="428" t="s">
        <v>1005</v>
      </c>
      <c r="F280" s="439">
        <v>0</v>
      </c>
      <c r="H280" s="429" t="s">
        <v>1366</v>
      </c>
    </row>
    <row r="281" spans="1:8" ht="15">
      <c r="A281" s="447"/>
      <c r="B281" s="447"/>
      <c r="D281" s="447" t="s">
        <v>2607</v>
      </c>
      <c r="E281" s="428" t="s">
        <v>1005</v>
      </c>
      <c r="F281" s="439">
        <v>0</v>
      </c>
      <c r="H281" s="429" t="s">
        <v>1366</v>
      </c>
    </row>
    <row r="282" spans="1:8" ht="15">
      <c r="A282" s="447"/>
      <c r="B282" s="447"/>
      <c r="D282" s="447" t="s">
        <v>2608</v>
      </c>
      <c r="E282" s="428" t="s">
        <v>1005</v>
      </c>
      <c r="F282" s="439">
        <v>0</v>
      </c>
      <c r="H282" s="429" t="s">
        <v>1366</v>
      </c>
    </row>
    <row r="283" spans="1:8" ht="15">
      <c r="A283" s="447"/>
      <c r="B283" s="447"/>
      <c r="D283" s="447" t="s">
        <v>2609</v>
      </c>
      <c r="E283" s="428" t="s">
        <v>1005</v>
      </c>
      <c r="F283" s="439">
        <v>0</v>
      </c>
      <c r="H283" s="429" t="s">
        <v>1366</v>
      </c>
    </row>
    <row r="284" spans="1:8" ht="15">
      <c r="A284" s="447"/>
      <c r="B284" s="447"/>
      <c r="D284" s="447" t="s">
        <v>2610</v>
      </c>
      <c r="E284" s="428" t="s">
        <v>1005</v>
      </c>
      <c r="F284" s="439">
        <v>0</v>
      </c>
      <c r="H284" s="429" t="s">
        <v>1366</v>
      </c>
    </row>
    <row r="285" spans="1:8" ht="15">
      <c r="A285" s="447"/>
      <c r="B285" s="447"/>
      <c r="D285" s="447" t="s">
        <v>2611</v>
      </c>
      <c r="E285" s="428" t="s">
        <v>1005</v>
      </c>
      <c r="F285" s="439">
        <v>0</v>
      </c>
      <c r="H285" s="429" t="s">
        <v>1366</v>
      </c>
    </row>
    <row r="286" spans="1:8" ht="15">
      <c r="A286" s="447"/>
      <c r="B286" s="447"/>
      <c r="D286" s="447" t="s">
        <v>2612</v>
      </c>
      <c r="E286" s="428" t="s">
        <v>1005</v>
      </c>
      <c r="F286" s="439">
        <v>0</v>
      </c>
      <c r="H286" s="429" t="s">
        <v>1366</v>
      </c>
    </row>
    <row r="287" spans="1:8" ht="15">
      <c r="A287" s="447"/>
      <c r="B287" s="447"/>
      <c r="D287" s="447" t="s">
        <v>2613</v>
      </c>
      <c r="E287" s="428" t="s">
        <v>1005</v>
      </c>
      <c r="F287" s="439">
        <v>0</v>
      </c>
      <c r="H287" s="429" t="s">
        <v>1366</v>
      </c>
    </row>
    <row r="288" spans="1:8" ht="15">
      <c r="A288" s="447"/>
      <c r="B288" s="447"/>
      <c r="D288" s="447" t="s">
        <v>2614</v>
      </c>
      <c r="E288" s="428" t="s">
        <v>1005</v>
      </c>
      <c r="F288" s="439">
        <v>0</v>
      </c>
      <c r="H288" s="429" t="s">
        <v>1366</v>
      </c>
    </row>
    <row r="289" spans="1:8" ht="15">
      <c r="A289" s="447"/>
      <c r="B289" s="447"/>
      <c r="D289" s="447" t="s">
        <v>2615</v>
      </c>
      <c r="E289" s="428" t="s">
        <v>1005</v>
      </c>
      <c r="F289" s="439">
        <v>0</v>
      </c>
      <c r="H289" s="429" t="s">
        <v>1366</v>
      </c>
    </row>
    <row r="290" spans="1:8" ht="15">
      <c r="A290" s="447"/>
      <c r="B290" s="447"/>
      <c r="D290" s="447" t="s">
        <v>2616</v>
      </c>
      <c r="E290" s="428" t="s">
        <v>1005</v>
      </c>
      <c r="F290" s="439">
        <v>0</v>
      </c>
      <c r="H290" s="429" t="s">
        <v>1366</v>
      </c>
    </row>
    <row r="291" spans="1:8" ht="15">
      <c r="A291" s="447"/>
      <c r="B291" s="447"/>
      <c r="D291" s="447" t="s">
        <v>2617</v>
      </c>
      <c r="E291" s="428" t="s">
        <v>1005</v>
      </c>
      <c r="F291" s="439">
        <v>0</v>
      </c>
      <c r="H291" s="429" t="s">
        <v>1366</v>
      </c>
    </row>
    <row r="292" spans="1:8" ht="15">
      <c r="A292" s="447"/>
      <c r="B292" s="447"/>
      <c r="D292" s="447" t="s">
        <v>2618</v>
      </c>
      <c r="E292" s="428" t="s">
        <v>1005</v>
      </c>
      <c r="F292" s="439">
        <v>0</v>
      </c>
      <c r="H292" s="429" t="s">
        <v>1366</v>
      </c>
    </row>
    <row r="293" spans="1:8" ht="15">
      <c r="A293" s="447"/>
      <c r="B293" s="447"/>
      <c r="D293" s="447" t="s">
        <v>2619</v>
      </c>
      <c r="E293" s="428" t="s">
        <v>1005</v>
      </c>
      <c r="F293" s="439">
        <v>0</v>
      </c>
      <c r="H293" s="429" t="s">
        <v>1366</v>
      </c>
    </row>
    <row r="294" spans="1:8" ht="15">
      <c r="A294" s="447"/>
      <c r="B294" s="447"/>
      <c r="D294" s="447" t="s">
        <v>2620</v>
      </c>
      <c r="E294" s="428" t="s">
        <v>1005</v>
      </c>
      <c r="F294" s="439">
        <v>0</v>
      </c>
      <c r="H294" s="429" t="s">
        <v>1366</v>
      </c>
    </row>
    <row r="295" spans="1:8" ht="15">
      <c r="A295" s="447"/>
      <c r="B295" s="447"/>
      <c r="D295" s="447" t="s">
        <v>2621</v>
      </c>
      <c r="E295" s="428" t="s">
        <v>1005</v>
      </c>
      <c r="F295" s="439">
        <v>0</v>
      </c>
      <c r="H295" s="429" t="s">
        <v>1366</v>
      </c>
    </row>
    <row r="296" spans="1:8" ht="15">
      <c r="A296" s="447"/>
      <c r="B296" s="447"/>
      <c r="D296" s="447" t="s">
        <v>2622</v>
      </c>
      <c r="E296" s="428" t="s">
        <v>1005</v>
      </c>
      <c r="F296" s="439">
        <v>0</v>
      </c>
      <c r="H296" s="429" t="s">
        <v>1366</v>
      </c>
    </row>
    <row r="297" spans="1:8" ht="15">
      <c r="A297" s="447"/>
      <c r="B297" s="447"/>
      <c r="D297" s="447" t="s">
        <v>2623</v>
      </c>
      <c r="E297" s="428" t="s">
        <v>1005</v>
      </c>
      <c r="F297" s="439">
        <v>0</v>
      </c>
      <c r="H297" s="429" t="s">
        <v>1366</v>
      </c>
    </row>
    <row r="298" spans="1:8" ht="15">
      <c r="A298" s="447"/>
      <c r="B298" s="447"/>
      <c r="D298" s="447" t="s">
        <v>2624</v>
      </c>
      <c r="E298" s="428" t="s">
        <v>1005</v>
      </c>
      <c r="F298" s="439">
        <v>0</v>
      </c>
      <c r="H298" s="429" t="s">
        <v>1366</v>
      </c>
    </row>
    <row r="299" spans="1:8" ht="15">
      <c r="A299" s="447"/>
      <c r="B299" s="447"/>
      <c r="D299" s="447" t="s">
        <v>2625</v>
      </c>
      <c r="E299" s="428" t="s">
        <v>1005</v>
      </c>
      <c r="F299" s="439">
        <v>0</v>
      </c>
      <c r="H299" s="429" t="s">
        <v>1366</v>
      </c>
    </row>
    <row r="300" spans="1:8" ht="15">
      <c r="A300" s="447"/>
      <c r="B300" s="447"/>
      <c r="D300" s="447" t="s">
        <v>2626</v>
      </c>
      <c r="E300" s="428" t="s">
        <v>1005</v>
      </c>
      <c r="F300" s="439">
        <v>0</v>
      </c>
      <c r="H300" s="429" t="s">
        <v>1366</v>
      </c>
    </row>
    <row r="301" spans="1:8" ht="15">
      <c r="A301" s="447"/>
      <c r="B301" s="447"/>
      <c r="D301" s="447" t="s">
        <v>2627</v>
      </c>
      <c r="E301" s="428" t="s">
        <v>1005</v>
      </c>
      <c r="F301" s="439">
        <v>0</v>
      </c>
      <c r="H301" s="429" t="s">
        <v>1366</v>
      </c>
    </row>
    <row r="302" spans="1:8" ht="15">
      <c r="A302" s="447"/>
      <c r="B302" s="447"/>
      <c r="D302" s="447" t="s">
        <v>2628</v>
      </c>
      <c r="E302" s="428" t="s">
        <v>1005</v>
      </c>
      <c r="F302" s="439">
        <v>0</v>
      </c>
      <c r="H302" s="429" t="s">
        <v>1366</v>
      </c>
    </row>
    <row r="303" spans="1:8" ht="15">
      <c r="A303" s="447"/>
      <c r="B303" s="447"/>
      <c r="D303" s="447" t="s">
        <v>2629</v>
      </c>
      <c r="E303" s="428" t="s">
        <v>1005</v>
      </c>
      <c r="F303" s="439">
        <v>0</v>
      </c>
      <c r="H303" s="429" t="s">
        <v>1366</v>
      </c>
    </row>
    <row r="304" spans="1:8" ht="15">
      <c r="A304" s="447"/>
      <c r="B304" s="447"/>
      <c r="D304" s="447" t="s">
        <v>2630</v>
      </c>
      <c r="E304" s="428" t="s">
        <v>1005</v>
      </c>
      <c r="F304" s="439">
        <v>0</v>
      </c>
      <c r="H304" s="429" t="s">
        <v>1366</v>
      </c>
    </row>
    <row r="305" spans="1:8" ht="15">
      <c r="A305" s="447"/>
      <c r="B305" s="447"/>
      <c r="D305" s="447" t="s">
        <v>2631</v>
      </c>
      <c r="E305" s="428" t="s">
        <v>1005</v>
      </c>
      <c r="F305" s="439">
        <v>0</v>
      </c>
      <c r="H305" s="429" t="s">
        <v>1366</v>
      </c>
    </row>
    <row r="306" spans="1:8" ht="15">
      <c r="A306" s="447"/>
      <c r="B306" s="447"/>
      <c r="D306" s="447" t="s">
        <v>2632</v>
      </c>
      <c r="E306" s="428" t="s">
        <v>1005</v>
      </c>
      <c r="F306" s="439">
        <v>0</v>
      </c>
      <c r="H306" s="429" t="s">
        <v>1366</v>
      </c>
    </row>
    <row r="307" spans="1:8" ht="15">
      <c r="A307" s="447"/>
      <c r="B307" s="447"/>
      <c r="D307" s="447" t="s">
        <v>2633</v>
      </c>
      <c r="E307" s="428" t="s">
        <v>1005</v>
      </c>
      <c r="F307" s="439">
        <v>0</v>
      </c>
      <c r="H307" s="429" t="s">
        <v>1366</v>
      </c>
    </row>
    <row r="308" spans="1:8" ht="15">
      <c r="A308" s="447"/>
      <c r="B308" s="447"/>
      <c r="D308" s="447" t="s">
        <v>1647</v>
      </c>
      <c r="E308" s="428" t="s">
        <v>1005</v>
      </c>
      <c r="F308" s="439">
        <v>0</v>
      </c>
      <c r="H308" s="429" t="s">
        <v>1366</v>
      </c>
    </row>
    <row r="309" spans="1:8" ht="15">
      <c r="A309" s="447"/>
      <c r="B309" s="447"/>
      <c r="D309" s="447" t="s">
        <v>2634</v>
      </c>
      <c r="E309" s="428" t="s">
        <v>1005</v>
      </c>
      <c r="F309" s="439">
        <v>0</v>
      </c>
      <c r="H309" s="429" t="s">
        <v>1366</v>
      </c>
    </row>
    <row r="310" spans="1:8" ht="15">
      <c r="A310" s="447"/>
      <c r="B310" s="447"/>
      <c r="D310" s="447" t="s">
        <v>2635</v>
      </c>
      <c r="E310" s="428" t="s">
        <v>1005</v>
      </c>
      <c r="F310" s="439">
        <v>0</v>
      </c>
      <c r="H310" s="429" t="s">
        <v>1366</v>
      </c>
    </row>
    <row r="311" spans="1:8" ht="15">
      <c r="A311" s="447"/>
      <c r="B311" s="447"/>
      <c r="D311" s="447" t="s">
        <v>2636</v>
      </c>
      <c r="E311" s="428" t="s">
        <v>1005</v>
      </c>
      <c r="F311" s="439">
        <v>-60000</v>
      </c>
      <c r="H311" s="429" t="s">
        <v>1366</v>
      </c>
    </row>
    <row r="312" spans="1:8" ht="15">
      <c r="A312" s="447"/>
      <c r="B312" s="447"/>
      <c r="D312" s="447" t="s">
        <v>1670</v>
      </c>
      <c r="E312" s="428" t="s">
        <v>1005</v>
      </c>
      <c r="F312" s="439">
        <v>332976.22000000003</v>
      </c>
      <c r="H312" s="429" t="s">
        <v>1366</v>
      </c>
    </row>
    <row r="313" spans="1:8" ht="15">
      <c r="A313" s="447"/>
      <c r="B313" s="447"/>
      <c r="D313" s="447" t="s">
        <v>1672</v>
      </c>
      <c r="E313" s="428" t="s">
        <v>1005</v>
      </c>
      <c r="F313" s="439">
        <v>172925.21</v>
      </c>
      <c r="H313" s="429" t="s">
        <v>1366</v>
      </c>
    </row>
    <row r="314" spans="1:8" ht="15">
      <c r="A314" s="447"/>
      <c r="B314" s="447"/>
      <c r="D314" s="447" t="s">
        <v>1673</v>
      </c>
      <c r="E314" s="428" t="s">
        <v>1005</v>
      </c>
      <c r="F314" s="439">
        <v>149750.85</v>
      </c>
      <c r="H314" s="429" t="s">
        <v>1366</v>
      </c>
    </row>
    <row r="315" spans="1:8" ht="15">
      <c r="A315" s="447"/>
      <c r="B315" s="447"/>
      <c r="D315" s="447" t="s">
        <v>1674</v>
      </c>
      <c r="E315" s="428" t="s">
        <v>1005</v>
      </c>
      <c r="F315" s="439">
        <v>3158.6299999999997</v>
      </c>
      <c r="H315" s="429" t="s">
        <v>1366</v>
      </c>
    </row>
    <row r="316" spans="1:8" ht="15">
      <c r="A316" s="447"/>
      <c r="B316" s="447"/>
      <c r="D316" s="447" t="s">
        <v>1676</v>
      </c>
      <c r="E316" s="428" t="s">
        <v>1005</v>
      </c>
      <c r="F316" s="439">
        <v>0</v>
      </c>
      <c r="H316" s="429" t="s">
        <v>1366</v>
      </c>
    </row>
    <row r="317" spans="1:8" ht="15">
      <c r="A317" s="448"/>
      <c r="B317" s="447"/>
      <c r="D317" s="447" t="s">
        <v>2637</v>
      </c>
      <c r="E317" s="428" t="s">
        <v>1005</v>
      </c>
      <c r="F317" s="439">
        <v>0</v>
      </c>
      <c r="H317" s="429" t="s">
        <v>1366</v>
      </c>
    </row>
    <row r="318" spans="1:8" ht="15">
      <c r="A318" s="448" t="s">
        <v>2638</v>
      </c>
      <c r="B318" s="447" t="s">
        <v>1369</v>
      </c>
      <c r="C318" s="428" t="s">
        <v>1005</v>
      </c>
      <c r="D318" s="447" t="s">
        <v>2637</v>
      </c>
      <c r="E318" s="428" t="s">
        <v>1005</v>
      </c>
      <c r="F318" s="439">
        <v>0</v>
      </c>
      <c r="H318" s="429" t="s">
        <v>1366</v>
      </c>
    </row>
    <row r="319" spans="1:8" ht="15">
      <c r="A319" s="447" t="s">
        <v>1677</v>
      </c>
      <c r="B319" s="447" t="s">
        <v>1678</v>
      </c>
      <c r="C319" s="428" t="s">
        <v>1681</v>
      </c>
      <c r="D319" s="447" t="s">
        <v>1682</v>
      </c>
      <c r="E319" s="428" t="s">
        <v>1363</v>
      </c>
      <c r="F319" s="439">
        <v>8039177.6500000004</v>
      </c>
      <c r="G319" s="429" t="s">
        <v>144</v>
      </c>
      <c r="H319" s="429" t="s">
        <v>144</v>
      </c>
    </row>
    <row r="320" spans="1:8" ht="15">
      <c r="A320" s="447"/>
      <c r="B320" s="447"/>
      <c r="D320" s="447"/>
      <c r="E320" s="428" t="s">
        <v>1683</v>
      </c>
      <c r="F320" s="439">
        <v>10239978.18</v>
      </c>
      <c r="G320" s="429" t="s">
        <v>144</v>
      </c>
      <c r="H320" s="429" t="s">
        <v>144</v>
      </c>
    </row>
    <row r="321" spans="1:8" ht="15">
      <c r="A321" s="448"/>
      <c r="B321" s="447"/>
      <c r="D321" s="447" t="s">
        <v>1684</v>
      </c>
      <c r="E321" s="428" t="s">
        <v>1363</v>
      </c>
      <c r="F321" s="439">
        <v>-8038165.29</v>
      </c>
      <c r="G321" s="429" t="s">
        <v>144</v>
      </c>
      <c r="H321" s="429" t="s">
        <v>144</v>
      </c>
    </row>
    <row r="322" spans="1:8" ht="15">
      <c r="A322" s="447" t="s">
        <v>1685</v>
      </c>
      <c r="B322" s="447" t="s">
        <v>1686</v>
      </c>
      <c r="C322" s="428" t="s">
        <v>2639</v>
      </c>
      <c r="D322" s="447" t="s">
        <v>2639</v>
      </c>
      <c r="E322" s="428" t="s">
        <v>1163</v>
      </c>
      <c r="F322" s="439">
        <v>65651.77</v>
      </c>
      <c r="G322" s="429" t="s">
        <v>1687</v>
      </c>
      <c r="H322" s="429" t="s">
        <v>1688</v>
      </c>
    </row>
    <row r="323" spans="1:8" ht="15">
      <c r="A323" s="447"/>
      <c r="B323" s="447"/>
      <c r="C323" s="428" t="s">
        <v>2640</v>
      </c>
      <c r="D323" s="447" t="s">
        <v>2640</v>
      </c>
      <c r="E323" s="428" t="s">
        <v>1163</v>
      </c>
      <c r="F323" s="439">
        <v>-496234.04</v>
      </c>
      <c r="G323" s="429" t="s">
        <v>1687</v>
      </c>
      <c r="H323" s="429" t="s">
        <v>1688</v>
      </c>
    </row>
    <row r="324" spans="1:8" ht="15">
      <c r="A324" s="447"/>
      <c r="B324" s="447"/>
      <c r="C324" s="428" t="s">
        <v>999</v>
      </c>
      <c r="D324" s="447" t="s">
        <v>2641</v>
      </c>
      <c r="E324" s="428" t="s">
        <v>2642</v>
      </c>
      <c r="F324" s="439">
        <v>693537</v>
      </c>
      <c r="H324" s="429" t="s">
        <v>1688</v>
      </c>
    </row>
    <row r="325" spans="1:8" ht="15">
      <c r="A325" s="447"/>
      <c r="B325" s="447"/>
      <c r="D325" s="447" t="s">
        <v>2643</v>
      </c>
      <c r="E325" s="428" t="s">
        <v>2644</v>
      </c>
      <c r="F325" s="439">
        <v>589961.02</v>
      </c>
      <c r="H325" s="429" t="s">
        <v>1688</v>
      </c>
    </row>
    <row r="326" spans="1:8" ht="15">
      <c r="A326" s="447"/>
      <c r="B326" s="447"/>
      <c r="D326" s="447" t="s">
        <v>2645</v>
      </c>
      <c r="E326" s="428" t="s">
        <v>2646</v>
      </c>
      <c r="F326" s="439">
        <v>69619</v>
      </c>
      <c r="H326" s="429" t="s">
        <v>1688</v>
      </c>
    </row>
    <row r="327" spans="1:8" ht="15">
      <c r="A327" s="447"/>
      <c r="B327" s="447"/>
      <c r="D327" s="447" t="s">
        <v>1693</v>
      </c>
      <c r="E327" s="428" t="s">
        <v>1694</v>
      </c>
      <c r="F327" s="439">
        <v>-164142.46000000002</v>
      </c>
      <c r="H327" s="429" t="s">
        <v>1688</v>
      </c>
    </row>
    <row r="328" spans="1:8" ht="15">
      <c r="A328" s="447"/>
      <c r="B328" s="447"/>
      <c r="D328" s="447" t="s">
        <v>1696</v>
      </c>
      <c r="E328" s="428" t="s">
        <v>1694</v>
      </c>
      <c r="F328" s="439">
        <v>-5307273.29</v>
      </c>
      <c r="H328" s="429" t="s">
        <v>1688</v>
      </c>
    </row>
    <row r="329" spans="1:8" ht="15">
      <c r="A329" s="447"/>
      <c r="B329" s="447"/>
      <c r="C329" s="428" t="s">
        <v>1698</v>
      </c>
      <c r="D329" s="447" t="s">
        <v>1699</v>
      </c>
      <c r="E329" s="428" t="s">
        <v>1700</v>
      </c>
      <c r="F329" s="439">
        <v>-1536765.1099999994</v>
      </c>
      <c r="G329" s="26" t="s">
        <v>1701</v>
      </c>
      <c r="H329" s="429" t="s">
        <v>1688</v>
      </c>
    </row>
    <row r="330" spans="1:8" ht="15">
      <c r="A330" s="448"/>
      <c r="B330" s="447"/>
      <c r="D330" s="447" t="s">
        <v>1702</v>
      </c>
      <c r="E330" s="428" t="s">
        <v>1700</v>
      </c>
      <c r="F330" s="439">
        <v>-47528.829999999958</v>
      </c>
      <c r="H330" s="429" t="s">
        <v>1688</v>
      </c>
    </row>
    <row r="331" spans="1:8" ht="15">
      <c r="A331" s="447" t="s">
        <v>1703</v>
      </c>
      <c r="B331" s="447" t="s">
        <v>1704</v>
      </c>
      <c r="C331" s="428" t="s">
        <v>1705</v>
      </c>
      <c r="D331" s="447" t="s">
        <v>2647</v>
      </c>
      <c r="E331" s="428" t="s">
        <v>1707</v>
      </c>
      <c r="F331" s="439">
        <v>-527508.1</v>
      </c>
      <c r="G331" s="26" t="s">
        <v>1708</v>
      </c>
      <c r="H331" s="429" t="s">
        <v>1704</v>
      </c>
    </row>
    <row r="332" spans="1:8" ht="15">
      <c r="A332" s="447"/>
      <c r="B332" s="447"/>
      <c r="D332" s="447" t="s">
        <v>2648</v>
      </c>
      <c r="E332" s="428" t="s">
        <v>1707</v>
      </c>
      <c r="F332" s="439">
        <v>159334.70000000001</v>
      </c>
      <c r="G332" s="26" t="s">
        <v>1708</v>
      </c>
      <c r="H332" s="429" t="s">
        <v>1704</v>
      </c>
    </row>
    <row r="333" spans="1:8" ht="15">
      <c r="A333" s="447"/>
      <c r="B333" s="447"/>
      <c r="D333" s="447" t="s">
        <v>2649</v>
      </c>
      <c r="E333" s="428" t="s">
        <v>1707</v>
      </c>
      <c r="F333" s="439">
        <v>1220567.32</v>
      </c>
      <c r="G333" s="26" t="s">
        <v>1708</v>
      </c>
      <c r="H333" s="429" t="s">
        <v>1704</v>
      </c>
    </row>
    <row r="334" spans="1:8" ht="15">
      <c r="A334" s="447"/>
      <c r="B334" s="447"/>
      <c r="D334" s="447" t="s">
        <v>1710</v>
      </c>
      <c r="E334" s="428" t="s">
        <v>1707</v>
      </c>
      <c r="F334" s="439">
        <v>-712930.65</v>
      </c>
      <c r="G334" s="26" t="s">
        <v>1708</v>
      </c>
      <c r="H334" s="429" t="s">
        <v>1704</v>
      </c>
    </row>
    <row r="335" spans="1:8" ht="15">
      <c r="A335" s="447"/>
      <c r="B335" s="447"/>
      <c r="D335" s="447" t="s">
        <v>2650</v>
      </c>
      <c r="E335" s="428" t="s">
        <v>1707</v>
      </c>
      <c r="F335" s="439">
        <v>-16314.68</v>
      </c>
      <c r="H335" s="429" t="s">
        <v>1704</v>
      </c>
    </row>
    <row r="336" spans="1:8" ht="15">
      <c r="A336" s="447"/>
      <c r="B336" s="447"/>
      <c r="D336" s="447" t="s">
        <v>2651</v>
      </c>
      <c r="E336" s="428" t="s">
        <v>1707</v>
      </c>
      <c r="F336" s="439">
        <v>4927.88</v>
      </c>
      <c r="H336" s="429" t="s">
        <v>1704</v>
      </c>
    </row>
    <row r="337" spans="1:8" ht="15">
      <c r="A337" s="447"/>
      <c r="B337" s="447"/>
      <c r="D337" s="447" t="s">
        <v>2652</v>
      </c>
      <c r="E337" s="428" t="s">
        <v>1707</v>
      </c>
      <c r="F337" s="439">
        <v>37749.5</v>
      </c>
      <c r="H337" s="429" t="s">
        <v>1704</v>
      </c>
    </row>
    <row r="338" spans="1:8" ht="15">
      <c r="A338" s="447"/>
      <c r="B338" s="447"/>
      <c r="D338" s="447" t="s">
        <v>1713</v>
      </c>
      <c r="E338" s="428" t="s">
        <v>1707</v>
      </c>
      <c r="F338" s="439">
        <v>-22049.4</v>
      </c>
      <c r="H338" s="429" t="s">
        <v>1704</v>
      </c>
    </row>
    <row r="339" spans="1:8" ht="15">
      <c r="A339" s="447"/>
      <c r="B339" s="447"/>
      <c r="D339" s="447" t="s">
        <v>1714</v>
      </c>
      <c r="E339" s="428" t="s">
        <v>1707</v>
      </c>
      <c r="F339" s="439">
        <v>9351.66</v>
      </c>
      <c r="H339" s="429" t="s">
        <v>1704</v>
      </c>
    </row>
    <row r="340" spans="1:8" ht="15">
      <c r="A340" s="447"/>
      <c r="B340" s="447"/>
      <c r="D340" s="447" t="s">
        <v>2653</v>
      </c>
      <c r="E340" s="428" t="s">
        <v>1707</v>
      </c>
      <c r="F340" s="439">
        <v>9071.6699999999983</v>
      </c>
      <c r="H340" s="429" t="s">
        <v>1704</v>
      </c>
    </row>
    <row r="341" spans="1:8" ht="15">
      <c r="A341" s="447"/>
      <c r="B341" s="447"/>
      <c r="D341" s="447" t="s">
        <v>2654</v>
      </c>
      <c r="E341" s="428" t="s">
        <v>1707</v>
      </c>
      <c r="F341" s="439">
        <v>-6951.53</v>
      </c>
      <c r="H341" s="429" t="s">
        <v>1704</v>
      </c>
    </row>
    <row r="342" spans="1:8" ht="15">
      <c r="A342" s="447"/>
      <c r="B342" s="447"/>
      <c r="D342" s="447" t="s">
        <v>1717</v>
      </c>
      <c r="E342" s="428" t="s">
        <v>1707</v>
      </c>
      <c r="F342" s="439">
        <v>-13879.04</v>
      </c>
      <c r="H342" s="429" t="s">
        <v>1704</v>
      </c>
    </row>
    <row r="343" spans="1:8" ht="15">
      <c r="A343" s="447"/>
      <c r="B343" s="447"/>
      <c r="D343" s="447" t="s">
        <v>1718</v>
      </c>
      <c r="E343" s="428" t="s">
        <v>1707</v>
      </c>
      <c r="F343" s="439">
        <v>-1837.57</v>
      </c>
      <c r="H343" s="429" t="s">
        <v>1704</v>
      </c>
    </row>
    <row r="344" spans="1:8" ht="15">
      <c r="A344" s="447"/>
      <c r="B344" s="447"/>
      <c r="D344" s="447" t="s">
        <v>2655</v>
      </c>
      <c r="E344" s="428" t="s">
        <v>1707</v>
      </c>
      <c r="F344" s="439">
        <v>77135.490000000005</v>
      </c>
      <c r="H344" s="429" t="s">
        <v>1704</v>
      </c>
    </row>
    <row r="345" spans="1:8" ht="15">
      <c r="A345" s="447"/>
      <c r="B345" s="447"/>
      <c r="D345" s="447" t="s">
        <v>1720</v>
      </c>
      <c r="E345" s="428" t="s">
        <v>1707</v>
      </c>
      <c r="F345" s="439">
        <v>302370.3</v>
      </c>
      <c r="G345" s="26" t="s">
        <v>1708</v>
      </c>
      <c r="H345" s="429" t="s">
        <v>1704</v>
      </c>
    </row>
    <row r="346" spans="1:8" ht="15">
      <c r="A346" s="447"/>
      <c r="B346" s="447"/>
      <c r="D346" s="447" t="s">
        <v>2656</v>
      </c>
      <c r="E346" s="428" t="s">
        <v>1707</v>
      </c>
      <c r="F346" s="439">
        <v>293317.39</v>
      </c>
      <c r="G346" s="26" t="s">
        <v>1708</v>
      </c>
      <c r="H346" s="429" t="s">
        <v>1704</v>
      </c>
    </row>
    <row r="347" spans="1:8" ht="15">
      <c r="A347" s="447"/>
      <c r="B347" s="447"/>
      <c r="D347" s="447" t="s">
        <v>2657</v>
      </c>
      <c r="E347" s="428" t="s">
        <v>1707</v>
      </c>
      <c r="F347" s="439">
        <v>-224766.24</v>
      </c>
      <c r="G347" s="26" t="s">
        <v>1708</v>
      </c>
      <c r="H347" s="429" t="s">
        <v>1704</v>
      </c>
    </row>
    <row r="348" spans="1:8" ht="15">
      <c r="A348" s="447"/>
      <c r="B348" s="447"/>
      <c r="D348" s="447" t="s">
        <v>1723</v>
      </c>
      <c r="E348" s="428" t="s">
        <v>1707</v>
      </c>
      <c r="F348" s="439">
        <v>-448755.61</v>
      </c>
      <c r="G348" s="26" t="s">
        <v>1708</v>
      </c>
      <c r="H348" s="429" t="s">
        <v>1704</v>
      </c>
    </row>
    <row r="349" spans="1:8" ht="15">
      <c r="A349" s="447"/>
      <c r="B349" s="447"/>
      <c r="D349" s="447" t="s">
        <v>1724</v>
      </c>
      <c r="E349" s="428" t="s">
        <v>1707</v>
      </c>
      <c r="F349" s="439">
        <v>-59414.65</v>
      </c>
      <c r="G349" s="26" t="s">
        <v>1708</v>
      </c>
      <c r="H349" s="429" t="s">
        <v>1704</v>
      </c>
    </row>
    <row r="350" spans="1:8" ht="15">
      <c r="A350" s="448"/>
      <c r="B350" s="447"/>
      <c r="D350" s="447" t="s">
        <v>2658</v>
      </c>
      <c r="E350" s="428" t="s">
        <v>1707</v>
      </c>
      <c r="F350" s="439">
        <v>2494047.5499999998</v>
      </c>
      <c r="G350" s="26" t="s">
        <v>1708</v>
      </c>
      <c r="H350" s="429" t="s">
        <v>1704</v>
      </c>
    </row>
    <row r="351" spans="1:8" ht="15">
      <c r="A351" s="447" t="s">
        <v>1726</v>
      </c>
      <c r="B351" s="447" t="s">
        <v>1727</v>
      </c>
      <c r="C351" s="428" t="s">
        <v>999</v>
      </c>
      <c r="D351" s="447" t="s">
        <v>2659</v>
      </c>
      <c r="E351" s="428" t="s">
        <v>1694</v>
      </c>
      <c r="F351" s="439">
        <v>62619.24</v>
      </c>
      <c r="H351" s="429" t="s">
        <v>1688</v>
      </c>
    </row>
    <row r="352" spans="1:8" ht="15">
      <c r="A352" s="447"/>
      <c r="B352" s="447"/>
      <c r="D352" s="447" t="s">
        <v>2660</v>
      </c>
      <c r="E352" s="428" t="s">
        <v>1694</v>
      </c>
      <c r="F352" s="439">
        <v>-31121</v>
      </c>
      <c r="H352" s="429" t="s">
        <v>1688</v>
      </c>
    </row>
    <row r="353" spans="1:8" ht="15">
      <c r="A353" s="447"/>
      <c r="B353" s="447"/>
      <c r="D353" s="447" t="s">
        <v>1728</v>
      </c>
      <c r="E353" s="428" t="s">
        <v>1694</v>
      </c>
      <c r="F353" s="439">
        <v>-44376</v>
      </c>
      <c r="H353" s="429" t="s">
        <v>1688</v>
      </c>
    </row>
    <row r="354" spans="1:8" ht="15">
      <c r="A354" s="447"/>
      <c r="B354" s="447"/>
      <c r="D354" s="447" t="s">
        <v>1729</v>
      </c>
      <c r="E354" s="428" t="s">
        <v>1694</v>
      </c>
      <c r="F354" s="439">
        <v>1451274.24</v>
      </c>
      <c r="H354" s="429" t="s">
        <v>1688</v>
      </c>
    </row>
    <row r="355" spans="1:8" ht="15">
      <c r="A355" s="448"/>
      <c r="B355" s="447"/>
      <c r="D355" s="447" t="s">
        <v>2661</v>
      </c>
      <c r="E355" s="428" t="s">
        <v>1694</v>
      </c>
      <c r="F355" s="439">
        <v>-7964.28</v>
      </c>
      <c r="H355" s="429" t="s">
        <v>1688</v>
      </c>
    </row>
    <row r="356" spans="1:8" ht="15">
      <c r="A356" s="447" t="s">
        <v>1731</v>
      </c>
      <c r="B356" s="447" t="s">
        <v>1732</v>
      </c>
      <c r="C356" s="428" t="s">
        <v>1006</v>
      </c>
      <c r="D356" s="447" t="s">
        <v>1733</v>
      </c>
      <c r="E356" s="428" t="s">
        <v>1734</v>
      </c>
      <c r="F356" s="439">
        <v>-6276.48</v>
      </c>
      <c r="H356" s="429" t="s">
        <v>1732</v>
      </c>
    </row>
    <row r="357" spans="1:8" ht="15">
      <c r="A357" s="447"/>
      <c r="B357" s="447"/>
      <c r="D357" s="447" t="s">
        <v>1735</v>
      </c>
      <c r="E357" s="428" t="s">
        <v>1734</v>
      </c>
      <c r="F357" s="439">
        <v>-202939.66</v>
      </c>
      <c r="H357" s="429" t="s">
        <v>1732</v>
      </c>
    </row>
    <row r="358" spans="1:8" ht="15">
      <c r="A358" s="447"/>
      <c r="B358" s="447"/>
      <c r="C358" s="428" t="s">
        <v>995</v>
      </c>
      <c r="D358" s="447" t="s">
        <v>2662</v>
      </c>
      <c r="E358" s="428" t="s">
        <v>1105</v>
      </c>
      <c r="F358" s="439">
        <v>-58.69</v>
      </c>
      <c r="H358" s="429" t="s">
        <v>1732</v>
      </c>
    </row>
    <row r="359" spans="1:8" ht="15">
      <c r="A359" s="447"/>
      <c r="B359" s="447"/>
      <c r="D359" s="447" t="s">
        <v>1736</v>
      </c>
      <c r="E359" s="428" t="s">
        <v>1105</v>
      </c>
      <c r="F359" s="439">
        <v>526500</v>
      </c>
      <c r="H359" s="429" t="s">
        <v>1732</v>
      </c>
    </row>
    <row r="360" spans="1:8" ht="15">
      <c r="A360" s="447"/>
      <c r="B360" s="447"/>
      <c r="D360" s="447" t="s">
        <v>1737</v>
      </c>
      <c r="E360" s="428" t="s">
        <v>1105</v>
      </c>
      <c r="F360" s="439">
        <v>-21901</v>
      </c>
      <c r="H360" s="429" t="s">
        <v>1732</v>
      </c>
    </row>
    <row r="361" spans="1:8" ht="15">
      <c r="A361" s="447"/>
      <c r="B361" s="447"/>
      <c r="D361" s="447" t="s">
        <v>2663</v>
      </c>
      <c r="E361" s="428" t="s">
        <v>1105</v>
      </c>
      <c r="F361" s="439">
        <v>-22.69</v>
      </c>
      <c r="H361" s="429" t="s">
        <v>1732</v>
      </c>
    </row>
    <row r="362" spans="1:8" ht="15">
      <c r="A362" s="447"/>
      <c r="B362" s="447"/>
      <c r="C362" s="428" t="s">
        <v>2664</v>
      </c>
      <c r="D362" s="447" t="s">
        <v>2665</v>
      </c>
      <c r="E362" s="428" t="s">
        <v>2666</v>
      </c>
      <c r="F362" s="439">
        <v>-1016780.1100000002</v>
      </c>
      <c r="H362" s="429" t="s">
        <v>1732</v>
      </c>
    </row>
    <row r="363" spans="1:8" ht="15">
      <c r="A363" s="447"/>
      <c r="B363" s="447"/>
      <c r="D363" s="447" t="s">
        <v>2667</v>
      </c>
      <c r="E363" s="428" t="s">
        <v>2668</v>
      </c>
      <c r="F363" s="439">
        <v>407210.08</v>
      </c>
      <c r="H363" s="429" t="s">
        <v>1732</v>
      </c>
    </row>
    <row r="364" spans="1:8" ht="15">
      <c r="A364" s="447"/>
      <c r="B364" s="447"/>
      <c r="D364" s="447" t="s">
        <v>2669</v>
      </c>
      <c r="E364" s="428" t="s">
        <v>2666</v>
      </c>
      <c r="F364" s="439">
        <v>-168955.13</v>
      </c>
      <c r="H364" s="429" t="s">
        <v>1732</v>
      </c>
    </row>
    <row r="365" spans="1:8" ht="15">
      <c r="A365" s="447"/>
      <c r="B365" s="447"/>
      <c r="C365" s="428" t="s">
        <v>997</v>
      </c>
      <c r="D365" s="447" t="s">
        <v>1738</v>
      </c>
      <c r="E365" s="428" t="s">
        <v>1739</v>
      </c>
      <c r="F365" s="439">
        <v>-1674798.91</v>
      </c>
      <c r="H365" s="429" t="s">
        <v>1732</v>
      </c>
    </row>
    <row r="366" spans="1:8" ht="15">
      <c r="A366" s="447"/>
      <c r="B366" s="447"/>
      <c r="D366" s="447"/>
      <c r="E366" s="428" t="s">
        <v>2670</v>
      </c>
      <c r="F366" s="439">
        <v>-1002414.1</v>
      </c>
      <c r="H366" s="429" t="s">
        <v>1732</v>
      </c>
    </row>
    <row r="367" spans="1:8" ht="15">
      <c r="A367" s="447"/>
      <c r="B367" s="447"/>
      <c r="D367" s="447" t="s">
        <v>1741</v>
      </c>
      <c r="E367" s="428" t="s">
        <v>1739</v>
      </c>
      <c r="F367" s="439">
        <v>-51797.910000000018</v>
      </c>
      <c r="H367" s="429" t="s">
        <v>1732</v>
      </c>
    </row>
    <row r="368" spans="1:8" ht="15">
      <c r="A368" s="447"/>
      <c r="B368" s="447"/>
      <c r="D368" s="447"/>
      <c r="E368" s="428" t="s">
        <v>2670</v>
      </c>
      <c r="F368" s="439">
        <v>-31002.5</v>
      </c>
      <c r="H368" s="429" t="s">
        <v>1732</v>
      </c>
    </row>
    <row r="369" spans="1:8" ht="15">
      <c r="A369" s="447"/>
      <c r="B369" s="447"/>
      <c r="D369" s="447" t="s">
        <v>2671</v>
      </c>
      <c r="E369" s="428" t="s">
        <v>2670</v>
      </c>
      <c r="F369" s="439">
        <v>14.22</v>
      </c>
      <c r="H369" s="429" t="s">
        <v>1732</v>
      </c>
    </row>
    <row r="370" spans="1:8" ht="15">
      <c r="A370" s="447"/>
      <c r="B370" s="447"/>
      <c r="D370" s="447" t="s">
        <v>2672</v>
      </c>
      <c r="E370" s="428" t="s">
        <v>1739</v>
      </c>
      <c r="F370" s="439">
        <v>-103620.14</v>
      </c>
      <c r="H370" s="429" t="s">
        <v>1732</v>
      </c>
    </row>
    <row r="371" spans="1:8" ht="15">
      <c r="A371" s="447"/>
      <c r="B371" s="447"/>
      <c r="D371" s="447"/>
      <c r="E371" s="428" t="s">
        <v>2670</v>
      </c>
      <c r="F371" s="439">
        <v>-57052.99</v>
      </c>
      <c r="H371" s="429" t="s">
        <v>1732</v>
      </c>
    </row>
    <row r="372" spans="1:8" ht="15">
      <c r="A372" s="447"/>
      <c r="B372" s="447"/>
      <c r="D372" s="447" t="s">
        <v>2673</v>
      </c>
      <c r="E372" s="428" t="s">
        <v>1739</v>
      </c>
      <c r="F372" s="439">
        <v>1455.34</v>
      </c>
      <c r="H372" s="429" t="s">
        <v>1732</v>
      </c>
    </row>
    <row r="373" spans="1:8" ht="15">
      <c r="A373" s="447"/>
      <c r="B373" s="447"/>
      <c r="D373" s="447" t="s">
        <v>2674</v>
      </c>
      <c r="E373" s="428" t="s">
        <v>1739</v>
      </c>
      <c r="F373" s="439">
        <v>22921.89</v>
      </c>
      <c r="H373" s="429" t="s">
        <v>1732</v>
      </c>
    </row>
    <row r="374" spans="1:8" ht="15">
      <c r="A374" s="447"/>
      <c r="B374" s="447"/>
      <c r="D374" s="447" t="s">
        <v>2675</v>
      </c>
      <c r="E374" s="428" t="s">
        <v>2670</v>
      </c>
      <c r="F374" s="439">
        <v>11102.01</v>
      </c>
      <c r="H374" s="429" t="s">
        <v>1732</v>
      </c>
    </row>
    <row r="375" spans="1:8" ht="15">
      <c r="A375" s="447"/>
      <c r="B375" s="447"/>
      <c r="D375" s="447" t="s">
        <v>2676</v>
      </c>
      <c r="E375" s="428" t="s">
        <v>2670</v>
      </c>
      <c r="F375" s="439">
        <v>458.4</v>
      </c>
      <c r="H375" s="429" t="s">
        <v>1732</v>
      </c>
    </row>
    <row r="376" spans="1:8" ht="15">
      <c r="A376" s="447"/>
      <c r="B376" s="447"/>
      <c r="C376" s="428" t="s">
        <v>998</v>
      </c>
      <c r="D376" s="447" t="s">
        <v>2677</v>
      </c>
      <c r="E376" s="428" t="s">
        <v>1743</v>
      </c>
      <c r="F376" s="439">
        <v>-12754.940000000002</v>
      </c>
      <c r="H376" s="429" t="s">
        <v>1732</v>
      </c>
    </row>
    <row r="377" spans="1:8" ht="15">
      <c r="A377" s="447"/>
      <c r="B377" s="447"/>
      <c r="D377" s="447" t="s">
        <v>2678</v>
      </c>
      <c r="E377" s="428" t="s">
        <v>1743</v>
      </c>
      <c r="F377" s="439">
        <v>-412409.52</v>
      </c>
      <c r="H377" s="429" t="s">
        <v>1732</v>
      </c>
    </row>
    <row r="378" spans="1:8" ht="15">
      <c r="A378" s="447"/>
      <c r="B378" s="447"/>
      <c r="D378" s="447" t="s">
        <v>1742</v>
      </c>
      <c r="E378" s="428" t="s">
        <v>1743</v>
      </c>
      <c r="F378" s="439">
        <v>-5374.73</v>
      </c>
      <c r="H378" s="429" t="s">
        <v>1732</v>
      </c>
    </row>
    <row r="379" spans="1:8" ht="15">
      <c r="A379" s="447"/>
      <c r="B379" s="447"/>
      <c r="D379" s="447" t="s">
        <v>1744</v>
      </c>
      <c r="E379" s="428" t="s">
        <v>1743</v>
      </c>
      <c r="F379" s="439">
        <v>-173782.87</v>
      </c>
      <c r="H379" s="429" t="s">
        <v>1732</v>
      </c>
    </row>
    <row r="380" spans="1:8" ht="15">
      <c r="A380" s="447"/>
      <c r="B380" s="447"/>
      <c r="C380" s="428" t="s">
        <v>1745</v>
      </c>
      <c r="D380" s="447" t="s">
        <v>1746</v>
      </c>
      <c r="E380" s="428" t="s">
        <v>1747</v>
      </c>
      <c r="F380" s="439">
        <v>173714</v>
      </c>
      <c r="H380" s="429" t="s">
        <v>1732</v>
      </c>
    </row>
    <row r="381" spans="1:8" ht="15">
      <c r="A381" s="447"/>
      <c r="B381" s="447"/>
      <c r="D381" s="447" t="s">
        <v>1748</v>
      </c>
      <c r="E381" s="428" t="s">
        <v>1747</v>
      </c>
      <c r="F381" s="439">
        <v>5372.6</v>
      </c>
      <c r="H381" s="429" t="s">
        <v>1732</v>
      </c>
    </row>
    <row r="382" spans="1:8" ht="15">
      <c r="A382" s="447"/>
      <c r="B382" s="447"/>
      <c r="C382" s="428" t="s">
        <v>1000</v>
      </c>
      <c r="D382" s="447" t="s">
        <v>1749</v>
      </c>
      <c r="E382" s="428" t="s">
        <v>1143</v>
      </c>
      <c r="F382" s="439">
        <v>-4207680.75</v>
      </c>
      <c r="H382" s="429" t="s">
        <v>1732</v>
      </c>
    </row>
    <row r="383" spans="1:8" ht="15">
      <c r="A383" s="447"/>
      <c r="B383" s="447"/>
      <c r="C383" s="428" t="s">
        <v>2679</v>
      </c>
      <c r="D383" s="447" t="s">
        <v>2679</v>
      </c>
      <c r="E383" s="428" t="s">
        <v>2680</v>
      </c>
      <c r="F383" s="439">
        <v>118797.59</v>
      </c>
      <c r="H383" s="429" t="s">
        <v>1732</v>
      </c>
    </row>
    <row r="384" spans="1:8" ht="15">
      <c r="A384" s="447"/>
      <c r="B384" s="447"/>
      <c r="D384" s="447"/>
      <c r="E384" s="428" t="s">
        <v>2681</v>
      </c>
      <c r="F384" s="439">
        <v>198427</v>
      </c>
      <c r="H384" s="429" t="s">
        <v>1732</v>
      </c>
    </row>
    <row r="385" spans="1:15" ht="15">
      <c r="A385" s="447"/>
      <c r="B385" s="447"/>
      <c r="C385" s="428" t="s">
        <v>2682</v>
      </c>
      <c r="D385" s="447" t="s">
        <v>2678</v>
      </c>
      <c r="E385" s="428" t="s">
        <v>2683</v>
      </c>
      <c r="F385" s="439">
        <v>79651.78</v>
      </c>
      <c r="H385" s="429" t="s">
        <v>1732</v>
      </c>
    </row>
    <row r="386" spans="1:15" ht="15">
      <c r="A386" s="447"/>
      <c r="B386" s="447"/>
      <c r="D386" s="447" t="s">
        <v>2684</v>
      </c>
      <c r="E386" s="428" t="s">
        <v>2683</v>
      </c>
      <c r="F386" s="439">
        <v>1568.2700000000002</v>
      </c>
      <c r="H386" s="429" t="s">
        <v>1732</v>
      </c>
    </row>
    <row r="387" spans="1:15" ht="15">
      <c r="A387" s="448"/>
      <c r="B387" s="447"/>
      <c r="D387" s="447" t="s">
        <v>1737</v>
      </c>
      <c r="E387" s="428" t="s">
        <v>2683</v>
      </c>
      <c r="F387" s="439">
        <v>3503.42</v>
      </c>
      <c r="H387" s="429" t="s">
        <v>1732</v>
      </c>
    </row>
    <row r="388" spans="1:15" ht="15">
      <c r="A388" s="446" t="s">
        <v>986</v>
      </c>
      <c r="B388" s="446"/>
      <c r="C388" s="446"/>
      <c r="D388" s="446"/>
      <c r="E388" s="446"/>
      <c r="F388" s="445">
        <f>SUM(F4:F387)</f>
        <v>-8501545.3800000027</v>
      </c>
    </row>
    <row r="389" spans="1:15" ht="15">
      <c r="G389" s="444" t="s">
        <v>251</v>
      </c>
      <c r="H389" s="429" t="s">
        <v>1750</v>
      </c>
      <c r="L389" s="439">
        <f>SUM(F322:F323)</f>
        <v>-430582.26999999996</v>
      </c>
    </row>
    <row r="390" spans="1:15">
      <c r="H390" s="429" t="s">
        <v>1751</v>
      </c>
      <c r="L390" s="439">
        <v>129480.53</v>
      </c>
    </row>
    <row r="391" spans="1:15">
      <c r="H391" s="429" t="s">
        <v>1752</v>
      </c>
      <c r="L391" s="439">
        <v>10240990.539999999</v>
      </c>
    </row>
    <row r="392" spans="1:15" ht="15">
      <c r="E392" s="93" t="s">
        <v>987</v>
      </c>
      <c r="F392" s="687">
        <f>+'RIGASD PJ1 FERC IS CY21'!W53</f>
        <v>-8508307</v>
      </c>
      <c r="H392" s="429" t="s">
        <v>1753</v>
      </c>
      <c r="L392" s="439">
        <v>-11672778.139999999</v>
      </c>
    </row>
    <row r="393" spans="1:15">
      <c r="E393" s="443" t="s">
        <v>190</v>
      </c>
      <c r="F393" s="442">
        <f>F388-F392</f>
        <v>6761.6199999973178</v>
      </c>
    </row>
    <row r="394" spans="1:15">
      <c r="D394" s="441" t="s">
        <v>2685</v>
      </c>
      <c r="E394" s="429" t="s">
        <v>2686</v>
      </c>
      <c r="F394" s="440">
        <v>-6762.08</v>
      </c>
    </row>
    <row r="395" spans="1:15">
      <c r="F395" s="439">
        <f>+F393+F394</f>
        <v>-0.46000000268213626</v>
      </c>
    </row>
    <row r="397" spans="1:15" ht="60">
      <c r="A397" s="438" t="s">
        <v>1209</v>
      </c>
      <c r="B397" s="438" t="s">
        <v>1210</v>
      </c>
      <c r="C397" s="438" t="s">
        <v>1211</v>
      </c>
      <c r="D397" s="438" t="s">
        <v>1212</v>
      </c>
      <c r="E397" s="438" t="s">
        <v>1213</v>
      </c>
      <c r="F397" s="438" t="s">
        <v>1214</v>
      </c>
      <c r="G397" s="438" t="s">
        <v>1215</v>
      </c>
      <c r="H397" s="438" t="s">
        <v>978</v>
      </c>
      <c r="I397" s="438" t="s">
        <v>1216</v>
      </c>
      <c r="J397" s="438" t="s">
        <v>1217</v>
      </c>
      <c r="K397" s="438" t="s">
        <v>1218</v>
      </c>
      <c r="L397" s="438" t="s">
        <v>1219</v>
      </c>
      <c r="M397" s="438" t="s">
        <v>1220</v>
      </c>
      <c r="N397" s="438" t="s">
        <v>1221</v>
      </c>
    </row>
    <row r="398" spans="1:15">
      <c r="A398" s="432" t="s">
        <v>2687</v>
      </c>
      <c r="B398" s="432" t="s">
        <v>1223</v>
      </c>
      <c r="C398" s="432" t="s">
        <v>2688</v>
      </c>
      <c r="D398" s="432" t="s">
        <v>2689</v>
      </c>
      <c r="E398" s="432" t="s">
        <v>1759</v>
      </c>
      <c r="F398" s="432" t="s">
        <v>1760</v>
      </c>
      <c r="G398" s="432" t="s">
        <v>1785</v>
      </c>
      <c r="H398" s="432" t="s">
        <v>1229</v>
      </c>
      <c r="I398" s="432"/>
      <c r="J398" s="431"/>
      <c r="K398" s="431"/>
      <c r="L398" s="431" t="s">
        <v>1786</v>
      </c>
      <c r="M398" s="431" t="s">
        <v>1230</v>
      </c>
      <c r="N398" s="436">
        <v>6521.59</v>
      </c>
      <c r="O398" s="429" t="s">
        <v>1755</v>
      </c>
    </row>
    <row r="399" spans="1:15">
      <c r="A399" s="435" t="s">
        <v>2687</v>
      </c>
      <c r="B399" s="435" t="s">
        <v>1223</v>
      </c>
      <c r="C399" s="435" t="s">
        <v>2690</v>
      </c>
      <c r="D399" s="435" t="s">
        <v>2691</v>
      </c>
      <c r="E399" s="435" t="s">
        <v>1759</v>
      </c>
      <c r="F399" s="435" t="s">
        <v>1760</v>
      </c>
      <c r="G399" s="435" t="s">
        <v>1809</v>
      </c>
      <c r="H399" s="435" t="s">
        <v>1229</v>
      </c>
      <c r="I399" s="435"/>
      <c r="J399" s="434"/>
      <c r="K399" s="434"/>
      <c r="L399" s="434" t="s">
        <v>1796</v>
      </c>
      <c r="M399" s="434" t="s">
        <v>1797</v>
      </c>
      <c r="N399" s="433">
        <v>-645.11</v>
      </c>
      <c r="O399" s="429" t="s">
        <v>1755</v>
      </c>
    </row>
    <row r="400" spans="1:15">
      <c r="A400" s="432" t="s">
        <v>2687</v>
      </c>
      <c r="B400" s="432" t="s">
        <v>1223</v>
      </c>
      <c r="C400" s="432" t="s">
        <v>2692</v>
      </c>
      <c r="D400" s="432" t="s">
        <v>2693</v>
      </c>
      <c r="E400" s="432" t="s">
        <v>1759</v>
      </c>
      <c r="F400" s="432" t="s">
        <v>1760</v>
      </c>
      <c r="G400" s="432" t="s">
        <v>1800</v>
      </c>
      <c r="H400" s="432" t="s">
        <v>1229</v>
      </c>
      <c r="I400" s="432"/>
      <c r="J400" s="431"/>
      <c r="K400" s="431"/>
      <c r="L400" s="431" t="s">
        <v>1796</v>
      </c>
      <c r="M400" s="431" t="s">
        <v>1797</v>
      </c>
      <c r="N400" s="430">
        <v>-677.26</v>
      </c>
      <c r="O400" s="429" t="s">
        <v>1755</v>
      </c>
    </row>
    <row r="401" spans="1:15">
      <c r="A401" s="435" t="s">
        <v>2687</v>
      </c>
      <c r="B401" s="435" t="s">
        <v>1223</v>
      </c>
      <c r="C401" s="435" t="s">
        <v>2694</v>
      </c>
      <c r="D401" s="435" t="s">
        <v>2695</v>
      </c>
      <c r="E401" s="435" t="s">
        <v>1759</v>
      </c>
      <c r="F401" s="435" t="s">
        <v>1760</v>
      </c>
      <c r="G401" s="435" t="s">
        <v>1806</v>
      </c>
      <c r="H401" s="435" t="s">
        <v>1229</v>
      </c>
      <c r="I401" s="435"/>
      <c r="J401" s="434"/>
      <c r="K401" s="434"/>
      <c r="L401" s="434" t="s">
        <v>1796</v>
      </c>
      <c r="M401" s="434" t="s">
        <v>1797</v>
      </c>
      <c r="N401" s="433">
        <v>-262.26</v>
      </c>
      <c r="O401" s="429" t="s">
        <v>1755</v>
      </c>
    </row>
    <row r="402" spans="1:15">
      <c r="A402" s="432" t="s">
        <v>2687</v>
      </c>
      <c r="B402" s="432" t="s">
        <v>1223</v>
      </c>
      <c r="C402" s="432" t="s">
        <v>2696</v>
      </c>
      <c r="D402" s="432" t="s">
        <v>2697</v>
      </c>
      <c r="E402" s="432" t="s">
        <v>1759</v>
      </c>
      <c r="F402" s="432" t="s">
        <v>1760</v>
      </c>
      <c r="G402" s="432" t="s">
        <v>1812</v>
      </c>
      <c r="H402" s="432" t="s">
        <v>1229</v>
      </c>
      <c r="I402" s="432"/>
      <c r="J402" s="431"/>
      <c r="K402" s="431"/>
      <c r="L402" s="431" t="s">
        <v>1796</v>
      </c>
      <c r="M402" s="431" t="s">
        <v>1797</v>
      </c>
      <c r="N402" s="430">
        <v>-1028.75</v>
      </c>
      <c r="O402" s="429" t="s">
        <v>1755</v>
      </c>
    </row>
    <row r="403" spans="1:15">
      <c r="A403" s="435" t="s">
        <v>2687</v>
      </c>
      <c r="B403" s="435" t="s">
        <v>1223</v>
      </c>
      <c r="C403" s="435" t="s">
        <v>2698</v>
      </c>
      <c r="D403" s="435" t="s">
        <v>2699</v>
      </c>
      <c r="E403" s="435" t="s">
        <v>1759</v>
      </c>
      <c r="F403" s="435" t="s">
        <v>1760</v>
      </c>
      <c r="G403" s="435" t="s">
        <v>1818</v>
      </c>
      <c r="H403" s="435" t="s">
        <v>1229</v>
      </c>
      <c r="I403" s="435"/>
      <c r="J403" s="434"/>
      <c r="K403" s="434"/>
      <c r="L403" s="434" t="s">
        <v>1796</v>
      </c>
      <c r="M403" s="434" t="s">
        <v>1797</v>
      </c>
      <c r="N403" s="433">
        <v>-1813.27</v>
      </c>
      <c r="O403" s="429" t="s">
        <v>1755</v>
      </c>
    </row>
    <row r="404" spans="1:15">
      <c r="A404" s="432" t="s">
        <v>2687</v>
      </c>
      <c r="B404" s="432" t="s">
        <v>1223</v>
      </c>
      <c r="C404" s="432" t="s">
        <v>2700</v>
      </c>
      <c r="D404" s="432" t="s">
        <v>2701</v>
      </c>
      <c r="E404" s="432" t="s">
        <v>1759</v>
      </c>
      <c r="F404" s="432" t="s">
        <v>1760</v>
      </c>
      <c r="G404" s="432" t="s">
        <v>1795</v>
      </c>
      <c r="H404" s="432" t="s">
        <v>1229</v>
      </c>
      <c r="I404" s="432"/>
      <c r="J404" s="431"/>
      <c r="K404" s="431"/>
      <c r="L404" s="431" t="s">
        <v>1796</v>
      </c>
      <c r="M404" s="431" t="s">
        <v>1797</v>
      </c>
      <c r="N404" s="430">
        <v>-507.13</v>
      </c>
      <c r="O404" s="429" t="s">
        <v>1755</v>
      </c>
    </row>
    <row r="405" spans="1:15">
      <c r="A405" s="435" t="s">
        <v>2687</v>
      </c>
      <c r="B405" s="435" t="s">
        <v>1223</v>
      </c>
      <c r="C405" s="435" t="s">
        <v>2702</v>
      </c>
      <c r="D405" s="435" t="s">
        <v>2703</v>
      </c>
      <c r="E405" s="435" t="s">
        <v>1759</v>
      </c>
      <c r="F405" s="435" t="s">
        <v>1760</v>
      </c>
      <c r="G405" s="435" t="s">
        <v>1785</v>
      </c>
      <c r="H405" s="435" t="s">
        <v>1229</v>
      </c>
      <c r="I405" s="435"/>
      <c r="J405" s="434"/>
      <c r="K405" s="434"/>
      <c r="L405" s="434" t="s">
        <v>1796</v>
      </c>
      <c r="M405" s="434" t="s">
        <v>1797</v>
      </c>
      <c r="N405" s="437">
        <v>868.85</v>
      </c>
      <c r="O405" s="429" t="s">
        <v>1755</v>
      </c>
    </row>
    <row r="406" spans="1:15">
      <c r="A406" s="432" t="s">
        <v>2704</v>
      </c>
      <c r="B406" s="432" t="s">
        <v>1223</v>
      </c>
      <c r="C406" s="432" t="s">
        <v>2705</v>
      </c>
      <c r="D406" s="432" t="s">
        <v>2706</v>
      </c>
      <c r="E406" s="432" t="s">
        <v>1759</v>
      </c>
      <c r="F406" s="432" t="s">
        <v>1760</v>
      </c>
      <c r="G406" s="432" t="s">
        <v>1785</v>
      </c>
      <c r="H406" s="432" t="s">
        <v>1229</v>
      </c>
      <c r="I406" s="432"/>
      <c r="J406" s="431"/>
      <c r="K406" s="431"/>
      <c r="L406" s="431" t="s">
        <v>1786</v>
      </c>
      <c r="M406" s="431" t="s">
        <v>1230</v>
      </c>
      <c r="N406" s="436">
        <v>7137.13</v>
      </c>
      <c r="O406" s="429" t="s">
        <v>1755</v>
      </c>
    </row>
    <row r="407" spans="1:15">
      <c r="A407" s="435" t="s">
        <v>2704</v>
      </c>
      <c r="B407" s="435" t="s">
        <v>1223</v>
      </c>
      <c r="C407" s="435" t="s">
        <v>2707</v>
      </c>
      <c r="D407" s="435" t="s">
        <v>2708</v>
      </c>
      <c r="E407" s="435" t="s">
        <v>1759</v>
      </c>
      <c r="F407" s="435" t="s">
        <v>1760</v>
      </c>
      <c r="G407" s="435" t="s">
        <v>1785</v>
      </c>
      <c r="H407" s="435" t="s">
        <v>1229</v>
      </c>
      <c r="I407" s="435"/>
      <c r="J407" s="434"/>
      <c r="K407" s="434"/>
      <c r="L407" s="434" t="s">
        <v>1796</v>
      </c>
      <c r="M407" s="434" t="s">
        <v>1797</v>
      </c>
      <c r="N407" s="437">
        <v>935.45</v>
      </c>
      <c r="O407" s="429" t="s">
        <v>1755</v>
      </c>
    </row>
    <row r="408" spans="1:15">
      <c r="A408" s="432" t="s">
        <v>2704</v>
      </c>
      <c r="B408" s="432" t="s">
        <v>1223</v>
      </c>
      <c r="C408" s="432" t="s">
        <v>2709</v>
      </c>
      <c r="D408" s="432" t="s">
        <v>2710</v>
      </c>
      <c r="E408" s="432" t="s">
        <v>1759</v>
      </c>
      <c r="F408" s="432" t="s">
        <v>1760</v>
      </c>
      <c r="G408" s="432" t="s">
        <v>1795</v>
      </c>
      <c r="H408" s="432" t="s">
        <v>1229</v>
      </c>
      <c r="I408" s="432"/>
      <c r="J408" s="431"/>
      <c r="K408" s="431"/>
      <c r="L408" s="431" t="s">
        <v>1796</v>
      </c>
      <c r="M408" s="431" t="s">
        <v>1797</v>
      </c>
      <c r="N408" s="430">
        <v>-559.42999999999995</v>
      </c>
      <c r="O408" s="429" t="s">
        <v>1755</v>
      </c>
    </row>
    <row r="409" spans="1:15">
      <c r="A409" s="435" t="s">
        <v>2704</v>
      </c>
      <c r="B409" s="435" t="s">
        <v>1223</v>
      </c>
      <c r="C409" s="435" t="s">
        <v>2711</v>
      </c>
      <c r="D409" s="435" t="s">
        <v>2712</v>
      </c>
      <c r="E409" s="435" t="s">
        <v>1759</v>
      </c>
      <c r="F409" s="435" t="s">
        <v>1760</v>
      </c>
      <c r="G409" s="435" t="s">
        <v>1812</v>
      </c>
      <c r="H409" s="435" t="s">
        <v>1229</v>
      </c>
      <c r="I409" s="435"/>
      <c r="J409" s="434"/>
      <c r="K409" s="434"/>
      <c r="L409" s="434" t="s">
        <v>1796</v>
      </c>
      <c r="M409" s="434" t="s">
        <v>1797</v>
      </c>
      <c r="N409" s="433">
        <v>-1112.9000000000001</v>
      </c>
      <c r="O409" s="429" t="s">
        <v>1755</v>
      </c>
    </row>
    <row r="410" spans="1:15">
      <c r="A410" s="432" t="s">
        <v>2704</v>
      </c>
      <c r="B410" s="432" t="s">
        <v>1223</v>
      </c>
      <c r="C410" s="432" t="s">
        <v>2713</v>
      </c>
      <c r="D410" s="432" t="s">
        <v>2714</v>
      </c>
      <c r="E410" s="432" t="s">
        <v>1759</v>
      </c>
      <c r="F410" s="432" t="s">
        <v>1760</v>
      </c>
      <c r="G410" s="432" t="s">
        <v>1806</v>
      </c>
      <c r="H410" s="432" t="s">
        <v>1229</v>
      </c>
      <c r="I410" s="432"/>
      <c r="J410" s="431"/>
      <c r="K410" s="431"/>
      <c r="L410" s="431" t="s">
        <v>1796</v>
      </c>
      <c r="M410" s="431" t="s">
        <v>1797</v>
      </c>
      <c r="N410" s="430">
        <v>-261</v>
      </c>
      <c r="O410" s="429" t="s">
        <v>1755</v>
      </c>
    </row>
    <row r="411" spans="1:15">
      <c r="A411" s="435" t="s">
        <v>2704</v>
      </c>
      <c r="B411" s="435" t="s">
        <v>1223</v>
      </c>
      <c r="C411" s="435" t="s">
        <v>2715</v>
      </c>
      <c r="D411" s="435" t="s">
        <v>2716</v>
      </c>
      <c r="E411" s="435" t="s">
        <v>1759</v>
      </c>
      <c r="F411" s="435" t="s">
        <v>1760</v>
      </c>
      <c r="G411" s="435" t="s">
        <v>1800</v>
      </c>
      <c r="H411" s="435" t="s">
        <v>1229</v>
      </c>
      <c r="I411" s="435"/>
      <c r="J411" s="434"/>
      <c r="K411" s="434"/>
      <c r="L411" s="434" t="s">
        <v>1796</v>
      </c>
      <c r="M411" s="434" t="s">
        <v>1797</v>
      </c>
      <c r="N411" s="433">
        <v>-723.03</v>
      </c>
      <c r="O411" s="429" t="s">
        <v>1755</v>
      </c>
    </row>
    <row r="412" spans="1:15">
      <c r="A412" s="432" t="s">
        <v>2704</v>
      </c>
      <c r="B412" s="432" t="s">
        <v>1223</v>
      </c>
      <c r="C412" s="432" t="s">
        <v>2717</v>
      </c>
      <c r="D412" s="432" t="s">
        <v>2718</v>
      </c>
      <c r="E412" s="432" t="s">
        <v>1759</v>
      </c>
      <c r="F412" s="432" t="s">
        <v>1760</v>
      </c>
      <c r="G412" s="432" t="s">
        <v>1809</v>
      </c>
      <c r="H412" s="432" t="s">
        <v>1229</v>
      </c>
      <c r="I412" s="432"/>
      <c r="J412" s="431"/>
      <c r="K412" s="431"/>
      <c r="L412" s="431" t="s">
        <v>1796</v>
      </c>
      <c r="M412" s="431" t="s">
        <v>1797</v>
      </c>
      <c r="N412" s="430">
        <v>-727.86</v>
      </c>
      <c r="O412" s="429" t="s">
        <v>1755</v>
      </c>
    </row>
    <row r="413" spans="1:15">
      <c r="A413" s="435" t="s">
        <v>2704</v>
      </c>
      <c r="B413" s="435" t="s">
        <v>1223</v>
      </c>
      <c r="C413" s="435" t="s">
        <v>2719</v>
      </c>
      <c r="D413" s="435" t="s">
        <v>2720</v>
      </c>
      <c r="E413" s="435" t="s">
        <v>1759</v>
      </c>
      <c r="F413" s="435" t="s">
        <v>1760</v>
      </c>
      <c r="G413" s="435" t="s">
        <v>1818</v>
      </c>
      <c r="H413" s="435" t="s">
        <v>1229</v>
      </c>
      <c r="I413" s="435"/>
      <c r="J413" s="434"/>
      <c r="K413" s="434"/>
      <c r="L413" s="434" t="s">
        <v>1796</v>
      </c>
      <c r="M413" s="434" t="s">
        <v>1797</v>
      </c>
      <c r="N413" s="433">
        <v>-2122.88</v>
      </c>
      <c r="O413" s="429" t="s">
        <v>1755</v>
      </c>
    </row>
    <row r="414" spans="1:15">
      <c r="A414" s="432" t="s">
        <v>2721</v>
      </c>
      <c r="B414" s="432" t="s">
        <v>1223</v>
      </c>
      <c r="C414" s="432" t="s">
        <v>2722</v>
      </c>
      <c r="D414" s="432" t="s">
        <v>2723</v>
      </c>
      <c r="E414" s="432" t="s">
        <v>1759</v>
      </c>
      <c r="F414" s="432" t="s">
        <v>1760</v>
      </c>
      <c r="G414" s="432" t="s">
        <v>1785</v>
      </c>
      <c r="H414" s="432" t="s">
        <v>1229</v>
      </c>
      <c r="I414" s="432"/>
      <c r="J414" s="431"/>
      <c r="K414" s="431"/>
      <c r="L414" s="431" t="s">
        <v>1786</v>
      </c>
      <c r="M414" s="431" t="s">
        <v>1230</v>
      </c>
      <c r="N414" s="436">
        <v>7593.68</v>
      </c>
      <c r="O414" s="429" t="s">
        <v>1755</v>
      </c>
    </row>
    <row r="415" spans="1:15">
      <c r="A415" s="435" t="s">
        <v>2721</v>
      </c>
      <c r="B415" s="435" t="s">
        <v>1223</v>
      </c>
      <c r="C415" s="435" t="s">
        <v>2724</v>
      </c>
      <c r="D415" s="435" t="s">
        <v>2725</v>
      </c>
      <c r="E415" s="435" t="s">
        <v>1759</v>
      </c>
      <c r="F415" s="435" t="s">
        <v>1760</v>
      </c>
      <c r="G415" s="435" t="s">
        <v>1785</v>
      </c>
      <c r="H415" s="435" t="s">
        <v>1229</v>
      </c>
      <c r="I415" s="435"/>
      <c r="J415" s="434"/>
      <c r="K415" s="434"/>
      <c r="L415" s="434" t="s">
        <v>1796</v>
      </c>
      <c r="M415" s="434" t="s">
        <v>1797</v>
      </c>
      <c r="N415" s="437">
        <v>1170.81</v>
      </c>
      <c r="O415" s="429" t="s">
        <v>1755</v>
      </c>
    </row>
    <row r="416" spans="1:15">
      <c r="A416" s="432" t="s">
        <v>2721</v>
      </c>
      <c r="B416" s="432" t="s">
        <v>1223</v>
      </c>
      <c r="C416" s="432" t="s">
        <v>2726</v>
      </c>
      <c r="D416" s="432" t="s">
        <v>2727</v>
      </c>
      <c r="E416" s="432" t="s">
        <v>1759</v>
      </c>
      <c r="F416" s="432" t="s">
        <v>1760</v>
      </c>
      <c r="G416" s="432" t="s">
        <v>1809</v>
      </c>
      <c r="H416" s="432" t="s">
        <v>1229</v>
      </c>
      <c r="I416" s="432"/>
      <c r="J416" s="431"/>
      <c r="K416" s="431"/>
      <c r="L416" s="431" t="s">
        <v>1796</v>
      </c>
      <c r="M416" s="431" t="s">
        <v>1797</v>
      </c>
      <c r="N416" s="430">
        <v>-762.23</v>
      </c>
      <c r="O416" s="429" t="s">
        <v>1755</v>
      </c>
    </row>
    <row r="417" spans="1:15">
      <c r="A417" s="435" t="s">
        <v>2721</v>
      </c>
      <c r="B417" s="435" t="s">
        <v>1223</v>
      </c>
      <c r="C417" s="435" t="s">
        <v>2728</v>
      </c>
      <c r="D417" s="435" t="s">
        <v>2729</v>
      </c>
      <c r="E417" s="435" t="s">
        <v>1759</v>
      </c>
      <c r="F417" s="435" t="s">
        <v>1760</v>
      </c>
      <c r="G417" s="435" t="s">
        <v>1800</v>
      </c>
      <c r="H417" s="435" t="s">
        <v>1229</v>
      </c>
      <c r="I417" s="435"/>
      <c r="J417" s="434"/>
      <c r="K417" s="434"/>
      <c r="L417" s="434" t="s">
        <v>1796</v>
      </c>
      <c r="M417" s="434" t="s">
        <v>1797</v>
      </c>
      <c r="N417" s="433">
        <v>-859.57</v>
      </c>
      <c r="O417" s="429" t="s">
        <v>1755</v>
      </c>
    </row>
    <row r="418" spans="1:15">
      <c r="A418" s="432" t="s">
        <v>2721</v>
      </c>
      <c r="B418" s="432" t="s">
        <v>1223</v>
      </c>
      <c r="C418" s="432" t="s">
        <v>2730</v>
      </c>
      <c r="D418" s="432" t="s">
        <v>2731</v>
      </c>
      <c r="E418" s="432" t="s">
        <v>1759</v>
      </c>
      <c r="F418" s="432" t="s">
        <v>1760</v>
      </c>
      <c r="G418" s="432" t="s">
        <v>1806</v>
      </c>
      <c r="H418" s="432" t="s">
        <v>1229</v>
      </c>
      <c r="I418" s="432"/>
      <c r="J418" s="431"/>
      <c r="K418" s="431"/>
      <c r="L418" s="431" t="s">
        <v>1796</v>
      </c>
      <c r="M418" s="431" t="s">
        <v>1797</v>
      </c>
      <c r="N418" s="430">
        <v>-295.37</v>
      </c>
      <c r="O418" s="429" t="s">
        <v>1755</v>
      </c>
    </row>
    <row r="419" spans="1:15">
      <c r="A419" s="435" t="s">
        <v>2721</v>
      </c>
      <c r="B419" s="435" t="s">
        <v>1223</v>
      </c>
      <c r="C419" s="435" t="s">
        <v>2732</v>
      </c>
      <c r="D419" s="435" t="s">
        <v>2733</v>
      </c>
      <c r="E419" s="435" t="s">
        <v>1759</v>
      </c>
      <c r="F419" s="435" t="s">
        <v>1760</v>
      </c>
      <c r="G419" s="435" t="s">
        <v>1795</v>
      </c>
      <c r="H419" s="435" t="s">
        <v>1229</v>
      </c>
      <c r="I419" s="435"/>
      <c r="J419" s="434"/>
      <c r="K419" s="434"/>
      <c r="L419" s="434" t="s">
        <v>1796</v>
      </c>
      <c r="M419" s="434" t="s">
        <v>1797</v>
      </c>
      <c r="N419" s="433">
        <v>-515.66999999999996</v>
      </c>
      <c r="O419" s="429" t="s">
        <v>1755</v>
      </c>
    </row>
    <row r="420" spans="1:15">
      <c r="A420" s="432" t="s">
        <v>2721</v>
      </c>
      <c r="B420" s="432" t="s">
        <v>1223</v>
      </c>
      <c r="C420" s="432" t="s">
        <v>2734</v>
      </c>
      <c r="D420" s="432" t="s">
        <v>2735</v>
      </c>
      <c r="E420" s="432" t="s">
        <v>1759</v>
      </c>
      <c r="F420" s="432" t="s">
        <v>1760</v>
      </c>
      <c r="G420" s="432" t="s">
        <v>1812</v>
      </c>
      <c r="H420" s="432" t="s">
        <v>1229</v>
      </c>
      <c r="I420" s="432"/>
      <c r="J420" s="431"/>
      <c r="K420" s="431"/>
      <c r="L420" s="431" t="s">
        <v>1796</v>
      </c>
      <c r="M420" s="431" t="s">
        <v>1797</v>
      </c>
      <c r="N420" s="430">
        <v>-1134.27</v>
      </c>
      <c r="O420" s="429" t="s">
        <v>1755</v>
      </c>
    </row>
    <row r="421" spans="1:15">
      <c r="A421" s="435" t="s">
        <v>2721</v>
      </c>
      <c r="B421" s="435" t="s">
        <v>1223</v>
      </c>
      <c r="C421" s="435" t="s">
        <v>2736</v>
      </c>
      <c r="D421" s="435" t="s">
        <v>2737</v>
      </c>
      <c r="E421" s="435" t="s">
        <v>1759</v>
      </c>
      <c r="F421" s="435" t="s">
        <v>1760</v>
      </c>
      <c r="G421" s="435" t="s">
        <v>1818</v>
      </c>
      <c r="H421" s="435" t="s">
        <v>1229</v>
      </c>
      <c r="I421" s="435"/>
      <c r="J421" s="434"/>
      <c r="K421" s="434"/>
      <c r="L421" s="434" t="s">
        <v>1796</v>
      </c>
      <c r="M421" s="434" t="s">
        <v>1797</v>
      </c>
      <c r="N421" s="433">
        <v>-2346.6799999999998</v>
      </c>
      <c r="O421" s="429" t="s">
        <v>1755</v>
      </c>
    </row>
    <row r="422" spans="1:15">
      <c r="A422" s="432" t="s">
        <v>2721</v>
      </c>
      <c r="B422" s="432" t="s">
        <v>1223</v>
      </c>
      <c r="C422" s="432" t="s">
        <v>2738</v>
      </c>
      <c r="D422" s="432" t="s">
        <v>2739</v>
      </c>
      <c r="E422" s="432" t="s">
        <v>1759</v>
      </c>
      <c r="F422" s="432" t="s">
        <v>1760</v>
      </c>
      <c r="G422" s="432" t="s">
        <v>2740</v>
      </c>
      <c r="H422" s="432" t="s">
        <v>1229</v>
      </c>
      <c r="I422" s="432"/>
      <c r="J422" s="431"/>
      <c r="K422" s="431"/>
      <c r="L422" s="431" t="s">
        <v>1786</v>
      </c>
      <c r="M422" s="431" t="s">
        <v>1230</v>
      </c>
      <c r="N422" s="430">
        <v>-23417.93</v>
      </c>
      <c r="O422" s="429" t="s">
        <v>1755</v>
      </c>
    </row>
    <row r="423" spans="1:15">
      <c r="A423" s="432" t="s">
        <v>2741</v>
      </c>
      <c r="B423" s="432" t="s">
        <v>1223</v>
      </c>
      <c r="C423" s="432" t="s">
        <v>2742</v>
      </c>
      <c r="D423" s="432" t="s">
        <v>2743</v>
      </c>
      <c r="E423" s="432" t="s">
        <v>1759</v>
      </c>
      <c r="F423" s="432" t="s">
        <v>1760</v>
      </c>
      <c r="G423" s="432" t="s">
        <v>1785</v>
      </c>
      <c r="H423" s="432" t="s">
        <v>1229</v>
      </c>
      <c r="I423" s="432"/>
      <c r="J423" s="431"/>
      <c r="K423" s="431"/>
      <c r="L423" s="431" t="s">
        <v>1786</v>
      </c>
      <c r="M423" s="431" t="s">
        <v>1230</v>
      </c>
      <c r="N423" s="436">
        <v>5952.94</v>
      </c>
      <c r="O423" s="429" t="s">
        <v>1755</v>
      </c>
    </row>
    <row r="424" spans="1:15">
      <c r="A424" s="435" t="s">
        <v>2741</v>
      </c>
      <c r="B424" s="435" t="s">
        <v>1223</v>
      </c>
      <c r="C424" s="435" t="s">
        <v>2744</v>
      </c>
      <c r="D424" s="435" t="s">
        <v>2745</v>
      </c>
      <c r="E424" s="435" t="s">
        <v>1759</v>
      </c>
      <c r="F424" s="435" t="s">
        <v>1760</v>
      </c>
      <c r="G424" s="435" t="s">
        <v>1818</v>
      </c>
      <c r="H424" s="435" t="s">
        <v>1229</v>
      </c>
      <c r="I424" s="435"/>
      <c r="J424" s="434"/>
      <c r="K424" s="434"/>
      <c r="L424" s="434" t="s">
        <v>1796</v>
      </c>
      <c r="M424" s="434" t="s">
        <v>1797</v>
      </c>
      <c r="N424" s="433">
        <v>-1937.35</v>
      </c>
      <c r="O424" s="429" t="s">
        <v>1755</v>
      </c>
    </row>
    <row r="425" spans="1:15">
      <c r="A425" s="432" t="s">
        <v>2741</v>
      </c>
      <c r="B425" s="432" t="s">
        <v>1223</v>
      </c>
      <c r="C425" s="432" t="s">
        <v>2746</v>
      </c>
      <c r="D425" s="432" t="s">
        <v>2747</v>
      </c>
      <c r="E425" s="432" t="s">
        <v>1759</v>
      </c>
      <c r="F425" s="432" t="s">
        <v>1760</v>
      </c>
      <c r="G425" s="432" t="s">
        <v>1785</v>
      </c>
      <c r="H425" s="432" t="s">
        <v>1229</v>
      </c>
      <c r="I425" s="432"/>
      <c r="J425" s="431"/>
      <c r="K425" s="431"/>
      <c r="L425" s="431" t="s">
        <v>1796</v>
      </c>
      <c r="M425" s="431" t="s">
        <v>1797</v>
      </c>
      <c r="N425" s="436">
        <v>749.83</v>
      </c>
      <c r="O425" s="429" t="s">
        <v>1755</v>
      </c>
    </row>
    <row r="426" spans="1:15">
      <c r="A426" s="435" t="s">
        <v>2741</v>
      </c>
      <c r="B426" s="435" t="s">
        <v>1223</v>
      </c>
      <c r="C426" s="435" t="s">
        <v>2748</v>
      </c>
      <c r="D426" s="435" t="s">
        <v>2749</v>
      </c>
      <c r="E426" s="435" t="s">
        <v>1759</v>
      </c>
      <c r="F426" s="435" t="s">
        <v>1760</v>
      </c>
      <c r="G426" s="435" t="s">
        <v>1809</v>
      </c>
      <c r="H426" s="435" t="s">
        <v>1229</v>
      </c>
      <c r="I426" s="435"/>
      <c r="J426" s="434"/>
      <c r="K426" s="434"/>
      <c r="L426" s="434" t="s">
        <v>1796</v>
      </c>
      <c r="M426" s="434" t="s">
        <v>1797</v>
      </c>
      <c r="N426" s="433">
        <v>-966.06</v>
      </c>
      <c r="O426" s="429" t="s">
        <v>1755</v>
      </c>
    </row>
    <row r="427" spans="1:15">
      <c r="A427" s="432" t="s">
        <v>2741</v>
      </c>
      <c r="B427" s="432" t="s">
        <v>1223</v>
      </c>
      <c r="C427" s="432" t="s">
        <v>2750</v>
      </c>
      <c r="D427" s="432" t="s">
        <v>2751</v>
      </c>
      <c r="E427" s="432" t="s">
        <v>1759</v>
      </c>
      <c r="F427" s="432" t="s">
        <v>1760</v>
      </c>
      <c r="G427" s="432" t="s">
        <v>1800</v>
      </c>
      <c r="H427" s="432" t="s">
        <v>1229</v>
      </c>
      <c r="I427" s="432"/>
      <c r="J427" s="431"/>
      <c r="K427" s="431"/>
      <c r="L427" s="431" t="s">
        <v>1796</v>
      </c>
      <c r="M427" s="431" t="s">
        <v>1797</v>
      </c>
      <c r="N427" s="430">
        <v>-974.32</v>
      </c>
      <c r="O427" s="429" t="s">
        <v>1755</v>
      </c>
    </row>
    <row r="428" spans="1:15">
      <c r="A428" s="435" t="s">
        <v>2741</v>
      </c>
      <c r="B428" s="435" t="s">
        <v>1223</v>
      </c>
      <c r="C428" s="435" t="s">
        <v>2752</v>
      </c>
      <c r="D428" s="435" t="s">
        <v>2753</v>
      </c>
      <c r="E428" s="435" t="s">
        <v>1759</v>
      </c>
      <c r="F428" s="435" t="s">
        <v>1760</v>
      </c>
      <c r="G428" s="435" t="s">
        <v>1806</v>
      </c>
      <c r="H428" s="435" t="s">
        <v>1229</v>
      </c>
      <c r="I428" s="435"/>
      <c r="J428" s="434"/>
      <c r="K428" s="434"/>
      <c r="L428" s="434" t="s">
        <v>1796</v>
      </c>
      <c r="M428" s="434" t="s">
        <v>1797</v>
      </c>
      <c r="N428" s="433">
        <v>-365.41</v>
      </c>
      <c r="O428" s="429" t="s">
        <v>1755</v>
      </c>
    </row>
    <row r="429" spans="1:15">
      <c r="A429" s="432" t="s">
        <v>2741</v>
      </c>
      <c r="B429" s="432" t="s">
        <v>1223</v>
      </c>
      <c r="C429" s="432" t="s">
        <v>2754</v>
      </c>
      <c r="D429" s="432" t="s">
        <v>2755</v>
      </c>
      <c r="E429" s="432" t="s">
        <v>1759</v>
      </c>
      <c r="F429" s="432" t="s">
        <v>1760</v>
      </c>
      <c r="G429" s="432" t="s">
        <v>1812</v>
      </c>
      <c r="H429" s="432" t="s">
        <v>1229</v>
      </c>
      <c r="I429" s="432"/>
      <c r="J429" s="431"/>
      <c r="K429" s="431"/>
      <c r="L429" s="431" t="s">
        <v>1796</v>
      </c>
      <c r="M429" s="431" t="s">
        <v>1797</v>
      </c>
      <c r="N429" s="430">
        <v>-1020.89</v>
      </c>
      <c r="O429" s="429" t="s">
        <v>1755</v>
      </c>
    </row>
    <row r="430" spans="1:15">
      <c r="A430" s="435" t="s">
        <v>2741</v>
      </c>
      <c r="B430" s="435" t="s">
        <v>1223</v>
      </c>
      <c r="C430" s="435" t="s">
        <v>2756</v>
      </c>
      <c r="D430" s="435" t="s">
        <v>2757</v>
      </c>
      <c r="E430" s="435" t="s">
        <v>1759</v>
      </c>
      <c r="F430" s="435" t="s">
        <v>1760</v>
      </c>
      <c r="G430" s="435" t="s">
        <v>1795</v>
      </c>
      <c r="H430" s="435" t="s">
        <v>1229</v>
      </c>
      <c r="I430" s="435"/>
      <c r="J430" s="434"/>
      <c r="K430" s="434"/>
      <c r="L430" s="434" t="s">
        <v>1796</v>
      </c>
      <c r="M430" s="434" t="s">
        <v>1797</v>
      </c>
      <c r="N430" s="433">
        <v>-632.04999999999995</v>
      </c>
      <c r="O430" s="429" t="s">
        <v>1755</v>
      </c>
    </row>
    <row r="431" spans="1:15">
      <c r="A431" s="432" t="s">
        <v>2758</v>
      </c>
      <c r="B431" s="432" t="s">
        <v>1223</v>
      </c>
      <c r="C431" s="432" t="s">
        <v>2759</v>
      </c>
      <c r="D431" s="432" t="s">
        <v>2760</v>
      </c>
      <c r="E431" s="432" t="s">
        <v>1759</v>
      </c>
      <c r="F431" s="432" t="s">
        <v>2761</v>
      </c>
      <c r="G431" s="432" t="s">
        <v>2762</v>
      </c>
      <c r="H431" s="432" t="s">
        <v>2061</v>
      </c>
      <c r="I431" s="432"/>
      <c r="J431" s="431"/>
      <c r="K431" s="431"/>
      <c r="L431" s="431" t="s">
        <v>1917</v>
      </c>
      <c r="M431" s="431" t="s">
        <v>1797</v>
      </c>
      <c r="N431" s="430">
        <v>-735.46</v>
      </c>
      <c r="O431" s="429"/>
    </row>
    <row r="432" spans="1:15">
      <c r="A432" s="432" t="s">
        <v>2758</v>
      </c>
      <c r="B432" s="432" t="s">
        <v>1223</v>
      </c>
      <c r="C432" s="432" t="s">
        <v>2763</v>
      </c>
      <c r="D432" s="432" t="s">
        <v>2764</v>
      </c>
      <c r="E432" s="432" t="s">
        <v>1759</v>
      </c>
      <c r="F432" s="432" t="s">
        <v>1760</v>
      </c>
      <c r="G432" s="432" t="s">
        <v>1785</v>
      </c>
      <c r="H432" s="432" t="s">
        <v>1229</v>
      </c>
      <c r="I432" s="432"/>
      <c r="J432" s="431"/>
      <c r="K432" s="431"/>
      <c r="L432" s="431" t="s">
        <v>1786</v>
      </c>
      <c r="M432" s="431" t="s">
        <v>1230</v>
      </c>
      <c r="N432" s="436">
        <v>4868.37</v>
      </c>
      <c r="O432" s="429" t="s">
        <v>1755</v>
      </c>
    </row>
    <row r="433" spans="1:15">
      <c r="A433" s="435" t="s">
        <v>2758</v>
      </c>
      <c r="B433" s="435" t="s">
        <v>1223</v>
      </c>
      <c r="C433" s="435" t="s">
        <v>2765</v>
      </c>
      <c r="D433" s="435" t="s">
        <v>2766</v>
      </c>
      <c r="E433" s="435" t="s">
        <v>1759</v>
      </c>
      <c r="F433" s="435" t="s">
        <v>1760</v>
      </c>
      <c r="G433" s="435" t="s">
        <v>1785</v>
      </c>
      <c r="H433" s="435" t="s">
        <v>1229</v>
      </c>
      <c r="I433" s="435"/>
      <c r="J433" s="434"/>
      <c r="K433" s="434"/>
      <c r="L433" s="434" t="s">
        <v>1796</v>
      </c>
      <c r="M433" s="434" t="s">
        <v>1797</v>
      </c>
      <c r="N433" s="437">
        <v>545.46</v>
      </c>
      <c r="O433" s="429" t="s">
        <v>1755</v>
      </c>
    </row>
    <row r="434" spans="1:15">
      <c r="A434" s="435" t="s">
        <v>2758</v>
      </c>
      <c r="B434" s="435" t="s">
        <v>1223</v>
      </c>
      <c r="C434" s="435" t="s">
        <v>2767</v>
      </c>
      <c r="D434" s="435" t="s">
        <v>2768</v>
      </c>
      <c r="E434" s="435" t="s">
        <v>1759</v>
      </c>
      <c r="F434" s="435" t="s">
        <v>1760</v>
      </c>
      <c r="G434" s="435" t="s">
        <v>1795</v>
      </c>
      <c r="H434" s="435" t="s">
        <v>1229</v>
      </c>
      <c r="I434" s="435"/>
      <c r="J434" s="434"/>
      <c r="K434" s="434"/>
      <c r="L434" s="434" t="s">
        <v>1796</v>
      </c>
      <c r="M434" s="434" t="s">
        <v>1797</v>
      </c>
      <c r="N434" s="433">
        <v>-525.57000000000005</v>
      </c>
      <c r="O434" s="429" t="s">
        <v>1755</v>
      </c>
    </row>
    <row r="435" spans="1:15">
      <c r="A435" s="432" t="s">
        <v>2758</v>
      </c>
      <c r="B435" s="432" t="s">
        <v>1223</v>
      </c>
      <c r="C435" s="432" t="s">
        <v>2769</v>
      </c>
      <c r="D435" s="432" t="s">
        <v>2770</v>
      </c>
      <c r="E435" s="432" t="s">
        <v>1759</v>
      </c>
      <c r="F435" s="432" t="s">
        <v>1760</v>
      </c>
      <c r="G435" s="432" t="s">
        <v>1809</v>
      </c>
      <c r="H435" s="432" t="s">
        <v>1229</v>
      </c>
      <c r="I435" s="432"/>
      <c r="J435" s="431"/>
      <c r="K435" s="431"/>
      <c r="L435" s="431" t="s">
        <v>1796</v>
      </c>
      <c r="M435" s="431" t="s">
        <v>1797</v>
      </c>
      <c r="N435" s="430">
        <v>-760.61</v>
      </c>
      <c r="O435" s="429" t="s">
        <v>1755</v>
      </c>
    </row>
    <row r="436" spans="1:15">
      <c r="A436" s="435" t="s">
        <v>2758</v>
      </c>
      <c r="B436" s="435" t="s">
        <v>1223</v>
      </c>
      <c r="C436" s="435" t="s">
        <v>2771</v>
      </c>
      <c r="D436" s="435" t="s">
        <v>2772</v>
      </c>
      <c r="E436" s="435" t="s">
        <v>1759</v>
      </c>
      <c r="F436" s="435" t="s">
        <v>1760</v>
      </c>
      <c r="G436" s="435" t="s">
        <v>1800</v>
      </c>
      <c r="H436" s="435" t="s">
        <v>1229</v>
      </c>
      <c r="I436" s="435"/>
      <c r="J436" s="434"/>
      <c r="K436" s="434"/>
      <c r="L436" s="434" t="s">
        <v>1796</v>
      </c>
      <c r="M436" s="434" t="s">
        <v>1797</v>
      </c>
      <c r="N436" s="433">
        <v>-740.2</v>
      </c>
      <c r="O436" s="429" t="s">
        <v>1755</v>
      </c>
    </row>
    <row r="437" spans="1:15">
      <c r="A437" s="432" t="s">
        <v>2758</v>
      </c>
      <c r="B437" s="432" t="s">
        <v>1223</v>
      </c>
      <c r="C437" s="432" t="s">
        <v>2773</v>
      </c>
      <c r="D437" s="432" t="s">
        <v>2774</v>
      </c>
      <c r="E437" s="432" t="s">
        <v>1759</v>
      </c>
      <c r="F437" s="432" t="s">
        <v>1760</v>
      </c>
      <c r="G437" s="432" t="s">
        <v>1806</v>
      </c>
      <c r="H437" s="432" t="s">
        <v>1229</v>
      </c>
      <c r="I437" s="432"/>
      <c r="J437" s="431"/>
      <c r="K437" s="431"/>
      <c r="L437" s="431" t="s">
        <v>1796</v>
      </c>
      <c r="M437" s="431" t="s">
        <v>1797</v>
      </c>
      <c r="N437" s="430">
        <v>-290.55</v>
      </c>
      <c r="O437" s="429" t="s">
        <v>1755</v>
      </c>
    </row>
    <row r="438" spans="1:15">
      <c r="A438" s="435" t="s">
        <v>2758</v>
      </c>
      <c r="B438" s="435" t="s">
        <v>1223</v>
      </c>
      <c r="C438" s="435" t="s">
        <v>2775</v>
      </c>
      <c r="D438" s="435" t="s">
        <v>2776</v>
      </c>
      <c r="E438" s="435" t="s">
        <v>1759</v>
      </c>
      <c r="F438" s="435" t="s">
        <v>1760</v>
      </c>
      <c r="G438" s="435" t="s">
        <v>1812</v>
      </c>
      <c r="H438" s="435" t="s">
        <v>1229</v>
      </c>
      <c r="I438" s="435"/>
      <c r="J438" s="434"/>
      <c r="K438" s="434"/>
      <c r="L438" s="434" t="s">
        <v>1796</v>
      </c>
      <c r="M438" s="434" t="s">
        <v>1797</v>
      </c>
      <c r="N438" s="433">
        <v>-846.48</v>
      </c>
      <c r="O438" s="429" t="s">
        <v>1755</v>
      </c>
    </row>
    <row r="439" spans="1:15">
      <c r="A439" s="432" t="s">
        <v>2758</v>
      </c>
      <c r="B439" s="432" t="s">
        <v>1223</v>
      </c>
      <c r="C439" s="432" t="s">
        <v>2777</v>
      </c>
      <c r="D439" s="432" t="s">
        <v>2778</v>
      </c>
      <c r="E439" s="432" t="s">
        <v>1759</v>
      </c>
      <c r="F439" s="432" t="s">
        <v>1760</v>
      </c>
      <c r="G439" s="432" t="s">
        <v>1818</v>
      </c>
      <c r="H439" s="432" t="s">
        <v>1229</v>
      </c>
      <c r="I439" s="432"/>
      <c r="J439" s="431"/>
      <c r="K439" s="431"/>
      <c r="L439" s="431" t="s">
        <v>1796</v>
      </c>
      <c r="M439" s="431" t="s">
        <v>1797</v>
      </c>
      <c r="N439" s="430">
        <v>-1657.69</v>
      </c>
      <c r="O439" s="429" t="s">
        <v>1755</v>
      </c>
    </row>
    <row r="440" spans="1:15">
      <c r="A440" s="432" t="s">
        <v>2779</v>
      </c>
      <c r="B440" s="432" t="s">
        <v>1223</v>
      </c>
      <c r="C440" s="432" t="s">
        <v>2780</v>
      </c>
      <c r="D440" s="432" t="s">
        <v>2781</v>
      </c>
      <c r="E440" s="432" t="s">
        <v>1759</v>
      </c>
      <c r="F440" s="432" t="s">
        <v>1760</v>
      </c>
      <c r="G440" s="432" t="s">
        <v>1785</v>
      </c>
      <c r="H440" s="432" t="s">
        <v>1229</v>
      </c>
      <c r="I440" s="432"/>
      <c r="J440" s="431"/>
      <c r="K440" s="431"/>
      <c r="L440" s="431" t="s">
        <v>1786</v>
      </c>
      <c r="M440" s="431" t="s">
        <v>1230</v>
      </c>
      <c r="N440" s="436">
        <v>4477.92</v>
      </c>
      <c r="O440" s="429" t="s">
        <v>1755</v>
      </c>
    </row>
    <row r="441" spans="1:15">
      <c r="A441" s="435" t="s">
        <v>2779</v>
      </c>
      <c r="B441" s="435" t="s">
        <v>1223</v>
      </c>
      <c r="C441" s="435" t="s">
        <v>2782</v>
      </c>
      <c r="D441" s="435" t="s">
        <v>2783</v>
      </c>
      <c r="E441" s="435" t="s">
        <v>1759</v>
      </c>
      <c r="F441" s="435" t="s">
        <v>1760</v>
      </c>
      <c r="G441" s="435" t="s">
        <v>1785</v>
      </c>
      <c r="H441" s="435" t="s">
        <v>1229</v>
      </c>
      <c r="I441" s="435"/>
      <c r="J441" s="434"/>
      <c r="K441" s="434"/>
      <c r="L441" s="434" t="s">
        <v>1796</v>
      </c>
      <c r="M441" s="434" t="s">
        <v>1797</v>
      </c>
      <c r="N441" s="437">
        <v>519.38</v>
      </c>
      <c r="O441" s="429" t="s">
        <v>1755</v>
      </c>
    </row>
    <row r="442" spans="1:15">
      <c r="A442" s="432" t="s">
        <v>2779</v>
      </c>
      <c r="B442" s="432" t="s">
        <v>1223</v>
      </c>
      <c r="C442" s="432" t="s">
        <v>2784</v>
      </c>
      <c r="D442" s="432" t="s">
        <v>2785</v>
      </c>
      <c r="E442" s="432" t="s">
        <v>1759</v>
      </c>
      <c r="F442" s="432" t="s">
        <v>1760</v>
      </c>
      <c r="G442" s="432" t="s">
        <v>1795</v>
      </c>
      <c r="H442" s="432" t="s">
        <v>1229</v>
      </c>
      <c r="I442" s="432"/>
      <c r="J442" s="431"/>
      <c r="K442" s="431"/>
      <c r="L442" s="431" t="s">
        <v>1796</v>
      </c>
      <c r="M442" s="431" t="s">
        <v>1797</v>
      </c>
      <c r="N442" s="430">
        <v>-471.61</v>
      </c>
      <c r="O442" s="429" t="s">
        <v>1755</v>
      </c>
    </row>
    <row r="443" spans="1:15">
      <c r="A443" s="435" t="s">
        <v>2779</v>
      </c>
      <c r="B443" s="435" t="s">
        <v>1223</v>
      </c>
      <c r="C443" s="435" t="s">
        <v>2786</v>
      </c>
      <c r="D443" s="435" t="s">
        <v>2787</v>
      </c>
      <c r="E443" s="435" t="s">
        <v>1759</v>
      </c>
      <c r="F443" s="435" t="s">
        <v>1760</v>
      </c>
      <c r="G443" s="435" t="s">
        <v>1809</v>
      </c>
      <c r="H443" s="435" t="s">
        <v>1229</v>
      </c>
      <c r="I443" s="435"/>
      <c r="J443" s="434"/>
      <c r="K443" s="434"/>
      <c r="L443" s="434" t="s">
        <v>1796</v>
      </c>
      <c r="M443" s="434" t="s">
        <v>1797</v>
      </c>
      <c r="N443" s="433">
        <v>-676.47</v>
      </c>
      <c r="O443" s="429" t="s">
        <v>1755</v>
      </c>
    </row>
    <row r="444" spans="1:15">
      <c r="A444" s="432" t="s">
        <v>2779</v>
      </c>
      <c r="B444" s="432" t="s">
        <v>1223</v>
      </c>
      <c r="C444" s="432" t="s">
        <v>2788</v>
      </c>
      <c r="D444" s="432" t="s">
        <v>2789</v>
      </c>
      <c r="E444" s="432" t="s">
        <v>1759</v>
      </c>
      <c r="F444" s="432" t="s">
        <v>1760</v>
      </c>
      <c r="G444" s="432" t="s">
        <v>1800</v>
      </c>
      <c r="H444" s="432" t="s">
        <v>1229</v>
      </c>
      <c r="I444" s="432"/>
      <c r="J444" s="431"/>
      <c r="K444" s="431"/>
      <c r="L444" s="431" t="s">
        <v>1796</v>
      </c>
      <c r="M444" s="431" t="s">
        <v>1797</v>
      </c>
      <c r="N444" s="430">
        <v>-661.05</v>
      </c>
      <c r="O444" s="429" t="s">
        <v>1755</v>
      </c>
    </row>
    <row r="445" spans="1:15">
      <c r="A445" s="435" t="s">
        <v>2779</v>
      </c>
      <c r="B445" s="435" t="s">
        <v>1223</v>
      </c>
      <c r="C445" s="435" t="s">
        <v>2790</v>
      </c>
      <c r="D445" s="435" t="s">
        <v>2791</v>
      </c>
      <c r="E445" s="435" t="s">
        <v>1759</v>
      </c>
      <c r="F445" s="435" t="s">
        <v>1760</v>
      </c>
      <c r="G445" s="435" t="s">
        <v>1806</v>
      </c>
      <c r="H445" s="435" t="s">
        <v>1229</v>
      </c>
      <c r="I445" s="435"/>
      <c r="J445" s="434"/>
      <c r="K445" s="434"/>
      <c r="L445" s="434" t="s">
        <v>1796</v>
      </c>
      <c r="M445" s="434" t="s">
        <v>1797</v>
      </c>
      <c r="N445" s="433">
        <v>-255.09</v>
      </c>
      <c r="O445" s="429" t="s">
        <v>1755</v>
      </c>
    </row>
    <row r="446" spans="1:15">
      <c r="A446" s="432" t="s">
        <v>2779</v>
      </c>
      <c r="B446" s="432" t="s">
        <v>1223</v>
      </c>
      <c r="C446" s="432" t="s">
        <v>2792</v>
      </c>
      <c r="D446" s="432" t="s">
        <v>2793</v>
      </c>
      <c r="E446" s="432" t="s">
        <v>1759</v>
      </c>
      <c r="F446" s="432" t="s">
        <v>1760</v>
      </c>
      <c r="G446" s="432" t="s">
        <v>1812</v>
      </c>
      <c r="H446" s="432" t="s">
        <v>1229</v>
      </c>
      <c r="I446" s="432"/>
      <c r="J446" s="431"/>
      <c r="K446" s="431"/>
      <c r="L446" s="431" t="s">
        <v>1796</v>
      </c>
      <c r="M446" s="431" t="s">
        <v>1797</v>
      </c>
      <c r="N446" s="430">
        <v>-798.62</v>
      </c>
      <c r="O446" s="429" t="s">
        <v>1755</v>
      </c>
    </row>
    <row r="447" spans="1:15">
      <c r="A447" s="435" t="s">
        <v>2779</v>
      </c>
      <c r="B447" s="435" t="s">
        <v>1223</v>
      </c>
      <c r="C447" s="435" t="s">
        <v>2794</v>
      </c>
      <c r="D447" s="435" t="s">
        <v>2795</v>
      </c>
      <c r="E447" s="435" t="s">
        <v>1759</v>
      </c>
      <c r="F447" s="435" t="s">
        <v>1760</v>
      </c>
      <c r="G447" s="435" t="s">
        <v>1818</v>
      </c>
      <c r="H447" s="435" t="s">
        <v>1229</v>
      </c>
      <c r="I447" s="435"/>
      <c r="J447" s="434"/>
      <c r="K447" s="434"/>
      <c r="L447" s="434" t="s">
        <v>1796</v>
      </c>
      <c r="M447" s="434" t="s">
        <v>1797</v>
      </c>
      <c r="N447" s="433">
        <v>-1469.97</v>
      </c>
      <c r="O447" s="429" t="s">
        <v>1755</v>
      </c>
    </row>
    <row r="448" spans="1:15">
      <c r="A448" s="432" t="s">
        <v>2796</v>
      </c>
      <c r="B448" s="432" t="s">
        <v>1223</v>
      </c>
      <c r="C448" s="432" t="s">
        <v>2797</v>
      </c>
      <c r="D448" s="432" t="s">
        <v>2798</v>
      </c>
      <c r="E448" s="432" t="s">
        <v>1759</v>
      </c>
      <c r="F448" s="432" t="s">
        <v>1760</v>
      </c>
      <c r="G448" s="432" t="s">
        <v>1785</v>
      </c>
      <c r="H448" s="432" t="s">
        <v>1229</v>
      </c>
      <c r="I448" s="432"/>
      <c r="J448" s="431"/>
      <c r="K448" s="431"/>
      <c r="L448" s="431" t="s">
        <v>1786</v>
      </c>
      <c r="M448" s="431" t="s">
        <v>1230</v>
      </c>
      <c r="N448" s="436">
        <v>7776.21</v>
      </c>
      <c r="O448" s="429" t="s">
        <v>1755</v>
      </c>
    </row>
    <row r="449" spans="1:15">
      <c r="A449" s="435" t="s">
        <v>2796</v>
      </c>
      <c r="B449" s="435" t="s">
        <v>1223</v>
      </c>
      <c r="C449" s="435" t="s">
        <v>2799</v>
      </c>
      <c r="D449" s="435" t="s">
        <v>2800</v>
      </c>
      <c r="E449" s="435" t="s">
        <v>1759</v>
      </c>
      <c r="F449" s="435" t="s">
        <v>1760</v>
      </c>
      <c r="G449" s="435" t="s">
        <v>1800</v>
      </c>
      <c r="H449" s="435" t="s">
        <v>1229</v>
      </c>
      <c r="I449" s="435"/>
      <c r="J449" s="434"/>
      <c r="K449" s="434"/>
      <c r="L449" s="434" t="s">
        <v>1796</v>
      </c>
      <c r="M449" s="434" t="s">
        <v>1797</v>
      </c>
      <c r="N449" s="433">
        <v>-973.18</v>
      </c>
      <c r="O449" s="429" t="s">
        <v>1755</v>
      </c>
    </row>
    <row r="450" spans="1:15">
      <c r="A450" s="432" t="s">
        <v>2796</v>
      </c>
      <c r="B450" s="432" t="s">
        <v>1223</v>
      </c>
      <c r="C450" s="432" t="s">
        <v>2801</v>
      </c>
      <c r="D450" s="432" t="s">
        <v>2802</v>
      </c>
      <c r="E450" s="432" t="s">
        <v>1759</v>
      </c>
      <c r="F450" s="432" t="s">
        <v>1760</v>
      </c>
      <c r="G450" s="432" t="s">
        <v>1785</v>
      </c>
      <c r="H450" s="432" t="s">
        <v>1229</v>
      </c>
      <c r="I450" s="432"/>
      <c r="J450" s="431"/>
      <c r="K450" s="431"/>
      <c r="L450" s="431" t="s">
        <v>1796</v>
      </c>
      <c r="M450" s="431" t="s">
        <v>1797</v>
      </c>
      <c r="N450" s="436">
        <v>775.81</v>
      </c>
      <c r="O450" s="429" t="s">
        <v>1755</v>
      </c>
    </row>
    <row r="451" spans="1:15">
      <c r="A451" s="435" t="s">
        <v>2796</v>
      </c>
      <c r="B451" s="435" t="s">
        <v>1223</v>
      </c>
      <c r="C451" s="435" t="s">
        <v>2803</v>
      </c>
      <c r="D451" s="435" t="s">
        <v>2804</v>
      </c>
      <c r="E451" s="435" t="s">
        <v>1759</v>
      </c>
      <c r="F451" s="435" t="s">
        <v>1760</v>
      </c>
      <c r="G451" s="435" t="s">
        <v>1809</v>
      </c>
      <c r="H451" s="435" t="s">
        <v>1229</v>
      </c>
      <c r="I451" s="435"/>
      <c r="J451" s="434"/>
      <c r="K451" s="434"/>
      <c r="L451" s="434" t="s">
        <v>1796</v>
      </c>
      <c r="M451" s="434" t="s">
        <v>1797</v>
      </c>
      <c r="N451" s="437">
        <v>343.58</v>
      </c>
      <c r="O451" s="429" t="s">
        <v>1755</v>
      </c>
    </row>
    <row r="452" spans="1:15">
      <c r="A452" s="432" t="s">
        <v>2796</v>
      </c>
      <c r="B452" s="432" t="s">
        <v>1223</v>
      </c>
      <c r="C452" s="432" t="s">
        <v>2805</v>
      </c>
      <c r="D452" s="432" t="s">
        <v>2806</v>
      </c>
      <c r="E452" s="432" t="s">
        <v>1759</v>
      </c>
      <c r="F452" s="432" t="s">
        <v>1760</v>
      </c>
      <c r="G452" s="432" t="s">
        <v>1803</v>
      </c>
      <c r="H452" s="432" t="s">
        <v>1229</v>
      </c>
      <c r="I452" s="432"/>
      <c r="J452" s="431"/>
      <c r="K452" s="431"/>
      <c r="L452" s="431" t="s">
        <v>1796</v>
      </c>
      <c r="M452" s="431" t="s">
        <v>1797</v>
      </c>
      <c r="N452" s="430">
        <v>-1207.6199999999999</v>
      </c>
      <c r="O452" s="429" t="s">
        <v>1755</v>
      </c>
    </row>
    <row r="453" spans="1:15">
      <c r="A453" s="435" t="s">
        <v>2796</v>
      </c>
      <c r="B453" s="435" t="s">
        <v>1223</v>
      </c>
      <c r="C453" s="435" t="s">
        <v>2807</v>
      </c>
      <c r="D453" s="435" t="s">
        <v>2808</v>
      </c>
      <c r="E453" s="435" t="s">
        <v>1759</v>
      </c>
      <c r="F453" s="435" t="s">
        <v>1760</v>
      </c>
      <c r="G453" s="435" t="s">
        <v>1806</v>
      </c>
      <c r="H453" s="435" t="s">
        <v>1229</v>
      </c>
      <c r="I453" s="435"/>
      <c r="J453" s="434"/>
      <c r="K453" s="434"/>
      <c r="L453" s="434" t="s">
        <v>1796</v>
      </c>
      <c r="M453" s="434" t="s">
        <v>1797</v>
      </c>
      <c r="N453" s="437">
        <v>142.97</v>
      </c>
      <c r="O453" s="429" t="s">
        <v>1755</v>
      </c>
    </row>
    <row r="454" spans="1:15">
      <c r="A454" s="432" t="s">
        <v>2796</v>
      </c>
      <c r="B454" s="432" t="s">
        <v>1223</v>
      </c>
      <c r="C454" s="432" t="s">
        <v>2809</v>
      </c>
      <c r="D454" s="432" t="s">
        <v>2810</v>
      </c>
      <c r="E454" s="432" t="s">
        <v>1759</v>
      </c>
      <c r="F454" s="432" t="s">
        <v>1760</v>
      </c>
      <c r="G454" s="432" t="s">
        <v>1812</v>
      </c>
      <c r="H454" s="432" t="s">
        <v>1229</v>
      </c>
      <c r="I454" s="432"/>
      <c r="J454" s="431"/>
      <c r="K454" s="431"/>
      <c r="L454" s="431" t="s">
        <v>1796</v>
      </c>
      <c r="M454" s="431" t="s">
        <v>1797</v>
      </c>
      <c r="N454" s="436">
        <v>11.31</v>
      </c>
      <c r="O454" s="429" t="s">
        <v>1755</v>
      </c>
    </row>
    <row r="455" spans="1:15">
      <c r="A455" s="435" t="s">
        <v>2796</v>
      </c>
      <c r="B455" s="435" t="s">
        <v>1223</v>
      </c>
      <c r="C455" s="435" t="s">
        <v>2811</v>
      </c>
      <c r="D455" s="435" t="s">
        <v>2812</v>
      </c>
      <c r="E455" s="435" t="s">
        <v>1759</v>
      </c>
      <c r="F455" s="435" t="s">
        <v>1760</v>
      </c>
      <c r="G455" s="435" t="s">
        <v>1818</v>
      </c>
      <c r="H455" s="435" t="s">
        <v>1229</v>
      </c>
      <c r="I455" s="435"/>
      <c r="J455" s="434"/>
      <c r="K455" s="434"/>
      <c r="L455" s="434" t="s">
        <v>1796</v>
      </c>
      <c r="M455" s="434" t="s">
        <v>1797</v>
      </c>
      <c r="N455" s="433">
        <v>-1971.22</v>
      </c>
      <c r="O455" s="429" t="s">
        <v>1755</v>
      </c>
    </row>
    <row r="456" spans="1:15">
      <c r="A456" s="432" t="s">
        <v>2796</v>
      </c>
      <c r="B456" s="432" t="s">
        <v>1223</v>
      </c>
      <c r="C456" s="432" t="s">
        <v>2813</v>
      </c>
      <c r="D456" s="432" t="s">
        <v>2814</v>
      </c>
      <c r="E456" s="432" t="s">
        <v>1759</v>
      </c>
      <c r="F456" s="432" t="s">
        <v>1760</v>
      </c>
      <c r="G456" s="432" t="s">
        <v>1795</v>
      </c>
      <c r="H456" s="432" t="s">
        <v>1229</v>
      </c>
      <c r="I456" s="432"/>
      <c r="J456" s="431"/>
      <c r="K456" s="431"/>
      <c r="L456" s="431" t="s">
        <v>1796</v>
      </c>
      <c r="M456" s="431" t="s">
        <v>1797</v>
      </c>
      <c r="N456" s="430">
        <v>-566.66</v>
      </c>
      <c r="O456" s="429" t="s">
        <v>1755</v>
      </c>
    </row>
    <row r="457" spans="1:15">
      <c r="A457" s="435" t="s">
        <v>2815</v>
      </c>
      <c r="B457" s="435" t="s">
        <v>1223</v>
      </c>
      <c r="C457" s="435" t="s">
        <v>2816</v>
      </c>
      <c r="D457" s="435" t="s">
        <v>2817</v>
      </c>
      <c r="E457" s="435" t="s">
        <v>1759</v>
      </c>
      <c r="F457" s="435" t="s">
        <v>1760</v>
      </c>
      <c r="G457" s="435" t="s">
        <v>1785</v>
      </c>
      <c r="H457" s="435" t="s">
        <v>1229</v>
      </c>
      <c r="I457" s="435"/>
      <c r="J457" s="434"/>
      <c r="K457" s="434"/>
      <c r="L457" s="434" t="s">
        <v>1786</v>
      </c>
      <c r="M457" s="434" t="s">
        <v>1230</v>
      </c>
      <c r="N457" s="437">
        <v>7986.92</v>
      </c>
      <c r="O457" s="429" t="s">
        <v>1755</v>
      </c>
    </row>
    <row r="458" spans="1:15">
      <c r="A458" s="432" t="s">
        <v>2815</v>
      </c>
      <c r="B458" s="432" t="s">
        <v>1223</v>
      </c>
      <c r="C458" s="432" t="s">
        <v>2818</v>
      </c>
      <c r="D458" s="432" t="s">
        <v>2819</v>
      </c>
      <c r="E458" s="432" t="s">
        <v>1759</v>
      </c>
      <c r="F458" s="432" t="s">
        <v>1760</v>
      </c>
      <c r="G458" s="432" t="s">
        <v>1785</v>
      </c>
      <c r="H458" s="432" t="s">
        <v>1229</v>
      </c>
      <c r="I458" s="432"/>
      <c r="J458" s="431"/>
      <c r="K458" s="431"/>
      <c r="L458" s="431" t="s">
        <v>1796</v>
      </c>
      <c r="M458" s="431" t="s">
        <v>1797</v>
      </c>
      <c r="N458" s="436">
        <v>417.32</v>
      </c>
      <c r="O458" s="429" t="s">
        <v>1755</v>
      </c>
    </row>
    <row r="459" spans="1:15">
      <c r="A459" s="435" t="s">
        <v>2815</v>
      </c>
      <c r="B459" s="435" t="s">
        <v>1223</v>
      </c>
      <c r="C459" s="435" t="s">
        <v>2820</v>
      </c>
      <c r="D459" s="435" t="s">
        <v>2821</v>
      </c>
      <c r="E459" s="435" t="s">
        <v>1759</v>
      </c>
      <c r="F459" s="435" t="s">
        <v>1760</v>
      </c>
      <c r="G459" s="435" t="s">
        <v>1803</v>
      </c>
      <c r="H459" s="435" t="s">
        <v>1229</v>
      </c>
      <c r="I459" s="435"/>
      <c r="J459" s="434"/>
      <c r="K459" s="434"/>
      <c r="L459" s="434" t="s">
        <v>1796</v>
      </c>
      <c r="M459" s="434" t="s">
        <v>1797</v>
      </c>
      <c r="N459" s="433">
        <v>-275.8</v>
      </c>
      <c r="O459" s="429" t="s">
        <v>1755</v>
      </c>
    </row>
    <row r="460" spans="1:15">
      <c r="A460" s="432" t="s">
        <v>2815</v>
      </c>
      <c r="B460" s="432" t="s">
        <v>1223</v>
      </c>
      <c r="C460" s="432" t="s">
        <v>2822</v>
      </c>
      <c r="D460" s="432" t="s">
        <v>2823</v>
      </c>
      <c r="E460" s="432" t="s">
        <v>1759</v>
      </c>
      <c r="F460" s="432" t="s">
        <v>1760</v>
      </c>
      <c r="G460" s="432" t="s">
        <v>1800</v>
      </c>
      <c r="H460" s="432" t="s">
        <v>1229</v>
      </c>
      <c r="I460" s="432"/>
      <c r="J460" s="431"/>
      <c r="K460" s="431"/>
      <c r="L460" s="431" t="s">
        <v>1796</v>
      </c>
      <c r="M460" s="431" t="s">
        <v>1797</v>
      </c>
      <c r="N460" s="430">
        <v>-761.01</v>
      </c>
      <c r="O460" s="429" t="s">
        <v>1755</v>
      </c>
    </row>
    <row r="461" spans="1:15">
      <c r="A461" s="435" t="s">
        <v>2815</v>
      </c>
      <c r="B461" s="435" t="s">
        <v>1223</v>
      </c>
      <c r="C461" s="435" t="s">
        <v>2824</v>
      </c>
      <c r="D461" s="435" t="s">
        <v>2825</v>
      </c>
      <c r="E461" s="435" t="s">
        <v>1759</v>
      </c>
      <c r="F461" s="435" t="s">
        <v>1760</v>
      </c>
      <c r="G461" s="435" t="s">
        <v>1806</v>
      </c>
      <c r="H461" s="435" t="s">
        <v>1229</v>
      </c>
      <c r="I461" s="435"/>
      <c r="J461" s="434"/>
      <c r="K461" s="434"/>
      <c r="L461" s="434" t="s">
        <v>1796</v>
      </c>
      <c r="M461" s="434" t="s">
        <v>1797</v>
      </c>
      <c r="N461" s="433">
        <v>-164.31</v>
      </c>
      <c r="O461" s="429" t="s">
        <v>1755</v>
      </c>
    </row>
    <row r="462" spans="1:15">
      <c r="A462" s="432" t="s">
        <v>2815</v>
      </c>
      <c r="B462" s="432" t="s">
        <v>1223</v>
      </c>
      <c r="C462" s="432" t="s">
        <v>2826</v>
      </c>
      <c r="D462" s="432" t="s">
        <v>2827</v>
      </c>
      <c r="E462" s="432" t="s">
        <v>1759</v>
      </c>
      <c r="F462" s="432" t="s">
        <v>1760</v>
      </c>
      <c r="G462" s="432" t="s">
        <v>1812</v>
      </c>
      <c r="H462" s="432" t="s">
        <v>1229</v>
      </c>
      <c r="I462" s="432"/>
      <c r="J462" s="431"/>
      <c r="K462" s="431"/>
      <c r="L462" s="431" t="s">
        <v>1796</v>
      </c>
      <c r="M462" s="431" t="s">
        <v>1797</v>
      </c>
      <c r="N462" s="430">
        <v>-2115.8000000000002</v>
      </c>
      <c r="O462" s="429" t="s">
        <v>1755</v>
      </c>
    </row>
    <row r="463" spans="1:15">
      <c r="A463" s="435" t="s">
        <v>2815</v>
      </c>
      <c r="B463" s="435" t="s">
        <v>1223</v>
      </c>
      <c r="C463" s="435" t="s">
        <v>2828</v>
      </c>
      <c r="D463" s="435" t="s">
        <v>2829</v>
      </c>
      <c r="E463" s="435" t="s">
        <v>1759</v>
      </c>
      <c r="F463" s="435" t="s">
        <v>1760</v>
      </c>
      <c r="G463" s="435" t="s">
        <v>1815</v>
      </c>
      <c r="H463" s="435" t="s">
        <v>1229</v>
      </c>
      <c r="I463" s="435"/>
      <c r="J463" s="434"/>
      <c r="K463" s="434"/>
      <c r="L463" s="434" t="s">
        <v>1796</v>
      </c>
      <c r="M463" s="434" t="s">
        <v>1797</v>
      </c>
      <c r="N463" s="433">
        <v>-574.32000000000005</v>
      </c>
      <c r="O463" s="429" t="s">
        <v>1755</v>
      </c>
    </row>
    <row r="464" spans="1:15">
      <c r="A464" s="432" t="s">
        <v>2815</v>
      </c>
      <c r="B464" s="432" t="s">
        <v>1223</v>
      </c>
      <c r="C464" s="432" t="s">
        <v>2830</v>
      </c>
      <c r="D464" s="432" t="s">
        <v>2831</v>
      </c>
      <c r="E464" s="432" t="s">
        <v>1759</v>
      </c>
      <c r="F464" s="432" t="s">
        <v>1760</v>
      </c>
      <c r="G464" s="432" t="s">
        <v>1818</v>
      </c>
      <c r="H464" s="432" t="s">
        <v>1229</v>
      </c>
      <c r="I464" s="432"/>
      <c r="J464" s="431"/>
      <c r="K464" s="431"/>
      <c r="L464" s="431" t="s">
        <v>1796</v>
      </c>
      <c r="M464" s="431" t="s">
        <v>1797</v>
      </c>
      <c r="N464" s="430">
        <v>-2152.11</v>
      </c>
      <c r="O464" s="429" t="s">
        <v>1755</v>
      </c>
    </row>
    <row r="465" spans="1:15">
      <c r="A465" s="435" t="s">
        <v>2815</v>
      </c>
      <c r="B465" s="435" t="s">
        <v>1223</v>
      </c>
      <c r="C465" s="435" t="s">
        <v>2832</v>
      </c>
      <c r="D465" s="435" t="s">
        <v>2833</v>
      </c>
      <c r="E465" s="435" t="s">
        <v>1759</v>
      </c>
      <c r="F465" s="435" t="s">
        <v>1760</v>
      </c>
      <c r="G465" s="435" t="s">
        <v>1795</v>
      </c>
      <c r="H465" s="435" t="s">
        <v>1229</v>
      </c>
      <c r="I465" s="435"/>
      <c r="J465" s="434"/>
      <c r="K465" s="434"/>
      <c r="L465" s="434" t="s">
        <v>1796</v>
      </c>
      <c r="M465" s="434" t="s">
        <v>1797</v>
      </c>
      <c r="N465" s="433">
        <v>-453.02</v>
      </c>
      <c r="O465" s="429" t="s">
        <v>1755</v>
      </c>
    </row>
    <row r="466" spans="1:15">
      <c r="A466" s="432" t="s">
        <v>2815</v>
      </c>
      <c r="B466" s="432" t="s">
        <v>1223</v>
      </c>
      <c r="C466" s="432" t="s">
        <v>2834</v>
      </c>
      <c r="D466" s="432" t="s">
        <v>2835</v>
      </c>
      <c r="E466" s="432" t="s">
        <v>1759</v>
      </c>
      <c r="F466" s="432" t="s">
        <v>1760</v>
      </c>
      <c r="G466" s="432" t="s">
        <v>1809</v>
      </c>
      <c r="H466" s="432" t="s">
        <v>1229</v>
      </c>
      <c r="I466" s="432"/>
      <c r="J466" s="431"/>
      <c r="K466" s="431"/>
      <c r="L466" s="431" t="s">
        <v>1796</v>
      </c>
      <c r="M466" s="431" t="s">
        <v>1797</v>
      </c>
      <c r="N466" s="430">
        <v>-460.52</v>
      </c>
      <c r="O466" s="429" t="s">
        <v>1755</v>
      </c>
    </row>
    <row r="467" spans="1:15">
      <c r="A467" s="435" t="s">
        <v>2815</v>
      </c>
      <c r="B467" s="435" t="s">
        <v>1223</v>
      </c>
      <c r="C467" s="435" t="s">
        <v>2836</v>
      </c>
      <c r="D467" s="435" t="s">
        <v>2837</v>
      </c>
      <c r="E467" s="435" t="s">
        <v>1759</v>
      </c>
      <c r="F467" s="435" t="s">
        <v>1760</v>
      </c>
      <c r="G467" s="435" t="s">
        <v>1823</v>
      </c>
      <c r="H467" s="435" t="s">
        <v>1229</v>
      </c>
      <c r="I467" s="435"/>
      <c r="J467" s="434"/>
      <c r="K467" s="434"/>
      <c r="L467" s="434" t="s">
        <v>1796</v>
      </c>
      <c r="M467" s="434" t="s">
        <v>1797</v>
      </c>
      <c r="N467" s="433">
        <v>-1030.03</v>
      </c>
      <c r="O467" s="429" t="s">
        <v>1755</v>
      </c>
    </row>
    <row r="468" spans="1:15">
      <c r="A468" s="435" t="s">
        <v>2838</v>
      </c>
      <c r="B468" s="435" t="s">
        <v>1223</v>
      </c>
      <c r="C468" s="435" t="s">
        <v>2839</v>
      </c>
      <c r="D468" s="435" t="s">
        <v>2840</v>
      </c>
      <c r="E468" s="435" t="s">
        <v>1759</v>
      </c>
      <c r="F468" s="435" t="s">
        <v>1760</v>
      </c>
      <c r="G468" s="435" t="s">
        <v>1785</v>
      </c>
      <c r="H468" s="435" t="s">
        <v>1229</v>
      </c>
      <c r="I468" s="435"/>
      <c r="J468" s="434"/>
      <c r="K468" s="434"/>
      <c r="L468" s="434" t="s">
        <v>1786</v>
      </c>
      <c r="M468" s="434" t="s">
        <v>1230</v>
      </c>
      <c r="N468" s="437">
        <v>5969.95</v>
      </c>
      <c r="O468" s="429" t="s">
        <v>1755</v>
      </c>
    </row>
    <row r="469" spans="1:15">
      <c r="A469" s="432" t="s">
        <v>2838</v>
      </c>
      <c r="B469" s="432" t="s">
        <v>1223</v>
      </c>
      <c r="C469" s="432" t="s">
        <v>2841</v>
      </c>
      <c r="D469" s="432" t="s">
        <v>2842</v>
      </c>
      <c r="E469" s="432" t="s">
        <v>1759</v>
      </c>
      <c r="F469" s="432" t="s">
        <v>1760</v>
      </c>
      <c r="G469" s="432" t="s">
        <v>1823</v>
      </c>
      <c r="H469" s="432" t="s">
        <v>1229</v>
      </c>
      <c r="I469" s="432"/>
      <c r="J469" s="431"/>
      <c r="K469" s="431"/>
      <c r="L469" s="431" t="s">
        <v>1796</v>
      </c>
      <c r="M469" s="431" t="s">
        <v>1797</v>
      </c>
      <c r="N469" s="430">
        <v>-161.16999999999999</v>
      </c>
      <c r="O469" s="429" t="s">
        <v>1755</v>
      </c>
    </row>
    <row r="470" spans="1:15">
      <c r="A470" s="435" t="s">
        <v>2838</v>
      </c>
      <c r="B470" s="435" t="s">
        <v>1223</v>
      </c>
      <c r="C470" s="435" t="s">
        <v>2843</v>
      </c>
      <c r="D470" s="435" t="s">
        <v>2844</v>
      </c>
      <c r="E470" s="435" t="s">
        <v>1759</v>
      </c>
      <c r="F470" s="435" t="s">
        <v>1760</v>
      </c>
      <c r="G470" s="435" t="s">
        <v>1803</v>
      </c>
      <c r="H470" s="435" t="s">
        <v>1229</v>
      </c>
      <c r="I470" s="435"/>
      <c r="J470" s="434"/>
      <c r="K470" s="434"/>
      <c r="L470" s="434" t="s">
        <v>1796</v>
      </c>
      <c r="M470" s="434" t="s">
        <v>1797</v>
      </c>
      <c r="N470" s="433">
        <v>-316.77999999999997</v>
      </c>
      <c r="O470" s="429" t="s">
        <v>1755</v>
      </c>
    </row>
    <row r="471" spans="1:15">
      <c r="A471" s="432" t="s">
        <v>2838</v>
      </c>
      <c r="B471" s="432" t="s">
        <v>1223</v>
      </c>
      <c r="C471" s="432" t="s">
        <v>2845</v>
      </c>
      <c r="D471" s="432" t="s">
        <v>2846</v>
      </c>
      <c r="E471" s="432" t="s">
        <v>1759</v>
      </c>
      <c r="F471" s="432" t="s">
        <v>1760</v>
      </c>
      <c r="G471" s="432" t="s">
        <v>1800</v>
      </c>
      <c r="H471" s="432" t="s">
        <v>1229</v>
      </c>
      <c r="I471" s="432"/>
      <c r="J471" s="431"/>
      <c r="K471" s="431"/>
      <c r="L471" s="431" t="s">
        <v>1796</v>
      </c>
      <c r="M471" s="431" t="s">
        <v>1797</v>
      </c>
      <c r="N471" s="430">
        <v>-871.54</v>
      </c>
      <c r="O471" s="429" t="s">
        <v>1755</v>
      </c>
    </row>
    <row r="472" spans="1:15">
      <c r="A472" s="435" t="s">
        <v>2838</v>
      </c>
      <c r="B472" s="435" t="s">
        <v>1223</v>
      </c>
      <c r="C472" s="435" t="s">
        <v>2847</v>
      </c>
      <c r="D472" s="435" t="s">
        <v>2848</v>
      </c>
      <c r="E472" s="435" t="s">
        <v>1759</v>
      </c>
      <c r="F472" s="435" t="s">
        <v>1760</v>
      </c>
      <c r="G472" s="435" t="s">
        <v>1812</v>
      </c>
      <c r="H472" s="435" t="s">
        <v>1229</v>
      </c>
      <c r="I472" s="435"/>
      <c r="J472" s="434"/>
      <c r="K472" s="434"/>
      <c r="L472" s="434" t="s">
        <v>1796</v>
      </c>
      <c r="M472" s="434" t="s">
        <v>1797</v>
      </c>
      <c r="N472" s="433">
        <v>-1100.68</v>
      </c>
      <c r="O472" s="429" t="s">
        <v>1755</v>
      </c>
    </row>
    <row r="473" spans="1:15">
      <c r="A473" s="432" t="s">
        <v>2838</v>
      </c>
      <c r="B473" s="432" t="s">
        <v>1223</v>
      </c>
      <c r="C473" s="432" t="s">
        <v>2849</v>
      </c>
      <c r="D473" s="432" t="s">
        <v>2850</v>
      </c>
      <c r="E473" s="432" t="s">
        <v>1759</v>
      </c>
      <c r="F473" s="432" t="s">
        <v>1760</v>
      </c>
      <c r="G473" s="432" t="s">
        <v>1806</v>
      </c>
      <c r="H473" s="432" t="s">
        <v>1229</v>
      </c>
      <c r="I473" s="432"/>
      <c r="J473" s="431"/>
      <c r="K473" s="431"/>
      <c r="L473" s="431" t="s">
        <v>1796</v>
      </c>
      <c r="M473" s="431" t="s">
        <v>1797</v>
      </c>
      <c r="N473" s="430">
        <v>-179.86</v>
      </c>
      <c r="O473" s="429" t="s">
        <v>1755</v>
      </c>
    </row>
    <row r="474" spans="1:15">
      <c r="A474" s="435" t="s">
        <v>2838</v>
      </c>
      <c r="B474" s="435" t="s">
        <v>1223</v>
      </c>
      <c r="C474" s="435" t="s">
        <v>2851</v>
      </c>
      <c r="D474" s="435" t="s">
        <v>2852</v>
      </c>
      <c r="E474" s="435" t="s">
        <v>1759</v>
      </c>
      <c r="F474" s="435" t="s">
        <v>1760</v>
      </c>
      <c r="G474" s="435" t="s">
        <v>1815</v>
      </c>
      <c r="H474" s="435" t="s">
        <v>1229</v>
      </c>
      <c r="I474" s="435"/>
      <c r="J474" s="434"/>
      <c r="K474" s="434"/>
      <c r="L474" s="434" t="s">
        <v>1796</v>
      </c>
      <c r="M474" s="434" t="s">
        <v>1797</v>
      </c>
      <c r="N474" s="433">
        <v>-111.93</v>
      </c>
      <c r="O474" s="429" t="s">
        <v>1755</v>
      </c>
    </row>
    <row r="475" spans="1:15">
      <c r="A475" s="432" t="s">
        <v>2838</v>
      </c>
      <c r="B475" s="432" t="s">
        <v>1223</v>
      </c>
      <c r="C475" s="432" t="s">
        <v>2853</v>
      </c>
      <c r="D475" s="432" t="s">
        <v>2854</v>
      </c>
      <c r="E475" s="432" t="s">
        <v>1759</v>
      </c>
      <c r="F475" s="432" t="s">
        <v>1760</v>
      </c>
      <c r="G475" s="432" t="s">
        <v>1818</v>
      </c>
      <c r="H475" s="432" t="s">
        <v>1229</v>
      </c>
      <c r="I475" s="432"/>
      <c r="J475" s="431"/>
      <c r="K475" s="431"/>
      <c r="L475" s="431" t="s">
        <v>1796</v>
      </c>
      <c r="M475" s="431" t="s">
        <v>1797</v>
      </c>
      <c r="N475" s="430">
        <v>-2205.85</v>
      </c>
      <c r="O475" s="429" t="s">
        <v>1755</v>
      </c>
    </row>
    <row r="476" spans="1:15">
      <c r="A476" s="435" t="s">
        <v>2838</v>
      </c>
      <c r="B476" s="435" t="s">
        <v>1223</v>
      </c>
      <c r="C476" s="435" t="s">
        <v>2855</v>
      </c>
      <c r="D476" s="435" t="s">
        <v>2856</v>
      </c>
      <c r="E476" s="435" t="s">
        <v>1759</v>
      </c>
      <c r="F476" s="435" t="s">
        <v>1760</v>
      </c>
      <c r="G476" s="435" t="s">
        <v>1785</v>
      </c>
      <c r="H476" s="435" t="s">
        <v>1229</v>
      </c>
      <c r="I476" s="435"/>
      <c r="J476" s="434"/>
      <c r="K476" s="434"/>
      <c r="L476" s="434" t="s">
        <v>1796</v>
      </c>
      <c r="M476" s="434" t="s">
        <v>1797</v>
      </c>
      <c r="N476" s="437">
        <v>688.65</v>
      </c>
      <c r="O476" s="429" t="s">
        <v>1755</v>
      </c>
    </row>
    <row r="477" spans="1:15">
      <c r="A477" s="432" t="s">
        <v>2838</v>
      </c>
      <c r="B477" s="432" t="s">
        <v>1223</v>
      </c>
      <c r="C477" s="432" t="s">
        <v>2857</v>
      </c>
      <c r="D477" s="432" t="s">
        <v>2858</v>
      </c>
      <c r="E477" s="432" t="s">
        <v>1759</v>
      </c>
      <c r="F477" s="432" t="s">
        <v>1760</v>
      </c>
      <c r="G477" s="432" t="s">
        <v>1809</v>
      </c>
      <c r="H477" s="432" t="s">
        <v>1229</v>
      </c>
      <c r="I477" s="432"/>
      <c r="J477" s="431"/>
      <c r="K477" s="431"/>
      <c r="L477" s="431" t="s">
        <v>1796</v>
      </c>
      <c r="M477" s="431" t="s">
        <v>1797</v>
      </c>
      <c r="N477" s="430">
        <v>-517</v>
      </c>
      <c r="O477" s="429" t="s">
        <v>1755</v>
      </c>
    </row>
    <row r="478" spans="1:15">
      <c r="A478" s="435" t="s">
        <v>2838</v>
      </c>
      <c r="B478" s="435" t="s">
        <v>1223</v>
      </c>
      <c r="C478" s="435" t="s">
        <v>2859</v>
      </c>
      <c r="D478" s="435" t="s">
        <v>2860</v>
      </c>
      <c r="E478" s="435" t="s">
        <v>1759</v>
      </c>
      <c r="F478" s="435" t="s">
        <v>1760</v>
      </c>
      <c r="G478" s="435" t="s">
        <v>1795</v>
      </c>
      <c r="H478" s="435" t="s">
        <v>1229</v>
      </c>
      <c r="I478" s="435"/>
      <c r="J478" s="434"/>
      <c r="K478" s="434"/>
      <c r="L478" s="434" t="s">
        <v>1796</v>
      </c>
      <c r="M478" s="434" t="s">
        <v>1797</v>
      </c>
      <c r="N478" s="433">
        <v>-505.14</v>
      </c>
      <c r="O478" s="429" t="s">
        <v>1755</v>
      </c>
    </row>
    <row r="479" spans="1:15">
      <c r="A479" s="432" t="s">
        <v>2861</v>
      </c>
      <c r="B479" s="432" t="s">
        <v>1223</v>
      </c>
      <c r="C479" s="432" t="s">
        <v>2862</v>
      </c>
      <c r="D479" s="432" t="s">
        <v>2863</v>
      </c>
      <c r="E479" s="432" t="s">
        <v>1759</v>
      </c>
      <c r="F479" s="432" t="s">
        <v>1760</v>
      </c>
      <c r="G479" s="432" t="s">
        <v>1785</v>
      </c>
      <c r="H479" s="432" t="s">
        <v>1229</v>
      </c>
      <c r="I479" s="432"/>
      <c r="J479" s="431"/>
      <c r="K479" s="431"/>
      <c r="L479" s="431" t="s">
        <v>1786</v>
      </c>
      <c r="M479" s="431" t="s">
        <v>1230</v>
      </c>
      <c r="N479" s="436">
        <v>4786.7299999999996</v>
      </c>
      <c r="O479" s="429" t="s">
        <v>1755</v>
      </c>
    </row>
    <row r="480" spans="1:15">
      <c r="A480" s="432" t="s">
        <v>2861</v>
      </c>
      <c r="B480" s="432" t="s">
        <v>1223</v>
      </c>
      <c r="C480" s="432" t="s">
        <v>2864</v>
      </c>
      <c r="D480" s="432" t="s">
        <v>2865</v>
      </c>
      <c r="E480" s="432" t="s">
        <v>1759</v>
      </c>
      <c r="F480" s="432" t="s">
        <v>1760</v>
      </c>
      <c r="G480" s="432" t="s">
        <v>1785</v>
      </c>
      <c r="H480" s="432" t="s">
        <v>1229</v>
      </c>
      <c r="I480" s="432"/>
      <c r="J480" s="431"/>
      <c r="K480" s="431"/>
      <c r="L480" s="431" t="s">
        <v>1796</v>
      </c>
      <c r="M480" s="431" t="s">
        <v>1797</v>
      </c>
      <c r="N480" s="436">
        <v>679.86</v>
      </c>
      <c r="O480" s="429" t="s">
        <v>1755</v>
      </c>
    </row>
    <row r="481" spans="1:15">
      <c r="A481" s="435" t="s">
        <v>2861</v>
      </c>
      <c r="B481" s="435" t="s">
        <v>1223</v>
      </c>
      <c r="C481" s="435" t="s">
        <v>2866</v>
      </c>
      <c r="D481" s="435" t="s">
        <v>2867</v>
      </c>
      <c r="E481" s="435" t="s">
        <v>1759</v>
      </c>
      <c r="F481" s="435" t="s">
        <v>1760</v>
      </c>
      <c r="G481" s="435" t="s">
        <v>1823</v>
      </c>
      <c r="H481" s="435" t="s">
        <v>1229</v>
      </c>
      <c r="I481" s="435"/>
      <c r="J481" s="434"/>
      <c r="K481" s="434"/>
      <c r="L481" s="434" t="s">
        <v>1796</v>
      </c>
      <c r="M481" s="434" t="s">
        <v>1797</v>
      </c>
      <c r="N481" s="433">
        <v>-196.55</v>
      </c>
      <c r="O481" s="429" t="s">
        <v>1755</v>
      </c>
    </row>
    <row r="482" spans="1:15">
      <c r="A482" s="432" t="s">
        <v>2861</v>
      </c>
      <c r="B482" s="432" t="s">
        <v>1223</v>
      </c>
      <c r="C482" s="432" t="s">
        <v>2868</v>
      </c>
      <c r="D482" s="432" t="s">
        <v>2869</v>
      </c>
      <c r="E482" s="432" t="s">
        <v>1759</v>
      </c>
      <c r="F482" s="432" t="s">
        <v>1760</v>
      </c>
      <c r="G482" s="432" t="s">
        <v>1795</v>
      </c>
      <c r="H482" s="432" t="s">
        <v>1229</v>
      </c>
      <c r="I482" s="432"/>
      <c r="J482" s="431"/>
      <c r="K482" s="431"/>
      <c r="L482" s="431" t="s">
        <v>1796</v>
      </c>
      <c r="M482" s="431" t="s">
        <v>1797</v>
      </c>
      <c r="N482" s="430">
        <v>-424.27</v>
      </c>
      <c r="O482" s="429" t="s">
        <v>1755</v>
      </c>
    </row>
    <row r="483" spans="1:15">
      <c r="A483" s="435" t="s">
        <v>2861</v>
      </c>
      <c r="B483" s="435" t="s">
        <v>1223</v>
      </c>
      <c r="C483" s="435" t="s">
        <v>2870</v>
      </c>
      <c r="D483" s="435" t="s">
        <v>2871</v>
      </c>
      <c r="E483" s="435" t="s">
        <v>1759</v>
      </c>
      <c r="F483" s="435" t="s">
        <v>1760</v>
      </c>
      <c r="G483" s="435" t="s">
        <v>1809</v>
      </c>
      <c r="H483" s="435" t="s">
        <v>1229</v>
      </c>
      <c r="I483" s="435"/>
      <c r="J483" s="434"/>
      <c r="K483" s="434"/>
      <c r="L483" s="434" t="s">
        <v>1796</v>
      </c>
      <c r="M483" s="434" t="s">
        <v>1797</v>
      </c>
      <c r="N483" s="433">
        <v>-458.44</v>
      </c>
      <c r="O483" s="429" t="s">
        <v>1755</v>
      </c>
    </row>
    <row r="484" spans="1:15">
      <c r="A484" s="432" t="s">
        <v>2861</v>
      </c>
      <c r="B484" s="432" t="s">
        <v>1223</v>
      </c>
      <c r="C484" s="432" t="s">
        <v>2872</v>
      </c>
      <c r="D484" s="432" t="s">
        <v>2873</v>
      </c>
      <c r="E484" s="432" t="s">
        <v>1759</v>
      </c>
      <c r="F484" s="432" t="s">
        <v>1760</v>
      </c>
      <c r="G484" s="432" t="s">
        <v>1803</v>
      </c>
      <c r="H484" s="432" t="s">
        <v>1229</v>
      </c>
      <c r="I484" s="432"/>
      <c r="J484" s="431"/>
      <c r="K484" s="431"/>
      <c r="L484" s="431" t="s">
        <v>1796</v>
      </c>
      <c r="M484" s="431" t="s">
        <v>1797</v>
      </c>
      <c r="N484" s="430">
        <v>-229.17</v>
      </c>
      <c r="O484" s="429" t="s">
        <v>1755</v>
      </c>
    </row>
    <row r="485" spans="1:15">
      <c r="A485" s="435" t="s">
        <v>2861</v>
      </c>
      <c r="B485" s="435" t="s">
        <v>1223</v>
      </c>
      <c r="C485" s="435" t="s">
        <v>2874</v>
      </c>
      <c r="D485" s="435" t="s">
        <v>2875</v>
      </c>
      <c r="E485" s="435" t="s">
        <v>1759</v>
      </c>
      <c r="F485" s="435" t="s">
        <v>1760</v>
      </c>
      <c r="G485" s="435" t="s">
        <v>1800</v>
      </c>
      <c r="H485" s="435" t="s">
        <v>1229</v>
      </c>
      <c r="I485" s="435"/>
      <c r="J485" s="434"/>
      <c r="K485" s="434"/>
      <c r="L485" s="434" t="s">
        <v>1796</v>
      </c>
      <c r="M485" s="434" t="s">
        <v>1797</v>
      </c>
      <c r="N485" s="433">
        <v>-753.92</v>
      </c>
      <c r="O485" s="429" t="s">
        <v>1755</v>
      </c>
    </row>
    <row r="486" spans="1:15">
      <c r="A486" s="432" t="s">
        <v>2861</v>
      </c>
      <c r="B486" s="432" t="s">
        <v>1223</v>
      </c>
      <c r="C486" s="432" t="s">
        <v>2876</v>
      </c>
      <c r="D486" s="432" t="s">
        <v>2877</v>
      </c>
      <c r="E486" s="432" t="s">
        <v>1759</v>
      </c>
      <c r="F486" s="432" t="s">
        <v>1760</v>
      </c>
      <c r="G486" s="432" t="s">
        <v>1806</v>
      </c>
      <c r="H486" s="432" t="s">
        <v>1229</v>
      </c>
      <c r="I486" s="432"/>
      <c r="J486" s="431"/>
      <c r="K486" s="431"/>
      <c r="L486" s="431" t="s">
        <v>1796</v>
      </c>
      <c r="M486" s="431" t="s">
        <v>1797</v>
      </c>
      <c r="N486" s="430">
        <v>-161.54</v>
      </c>
      <c r="O486" s="429" t="s">
        <v>1755</v>
      </c>
    </row>
    <row r="487" spans="1:15">
      <c r="A487" s="435" t="s">
        <v>2861</v>
      </c>
      <c r="B487" s="435" t="s">
        <v>1223</v>
      </c>
      <c r="C487" s="435" t="s">
        <v>2878</v>
      </c>
      <c r="D487" s="435" t="s">
        <v>2879</v>
      </c>
      <c r="E487" s="435" t="s">
        <v>1759</v>
      </c>
      <c r="F487" s="435" t="s">
        <v>1760</v>
      </c>
      <c r="G487" s="435" t="s">
        <v>1812</v>
      </c>
      <c r="H487" s="435" t="s">
        <v>1229</v>
      </c>
      <c r="I487" s="435"/>
      <c r="J487" s="434"/>
      <c r="K487" s="434"/>
      <c r="L487" s="434" t="s">
        <v>1796</v>
      </c>
      <c r="M487" s="434" t="s">
        <v>1797</v>
      </c>
      <c r="N487" s="433">
        <v>-938.08</v>
      </c>
      <c r="O487" s="429" t="s">
        <v>1755</v>
      </c>
    </row>
    <row r="488" spans="1:15">
      <c r="A488" s="432" t="s">
        <v>2861</v>
      </c>
      <c r="B488" s="432" t="s">
        <v>1223</v>
      </c>
      <c r="C488" s="432" t="s">
        <v>2880</v>
      </c>
      <c r="D488" s="432" t="s">
        <v>2881</v>
      </c>
      <c r="E488" s="432" t="s">
        <v>1759</v>
      </c>
      <c r="F488" s="432" t="s">
        <v>1760</v>
      </c>
      <c r="G488" s="432" t="s">
        <v>1815</v>
      </c>
      <c r="H488" s="432" t="s">
        <v>1229</v>
      </c>
      <c r="I488" s="432"/>
      <c r="J488" s="431"/>
      <c r="K488" s="431"/>
      <c r="L488" s="431" t="s">
        <v>1796</v>
      </c>
      <c r="M488" s="431" t="s">
        <v>1797</v>
      </c>
      <c r="N488" s="430">
        <v>-88.1</v>
      </c>
      <c r="O488" s="429" t="s">
        <v>1755</v>
      </c>
    </row>
    <row r="489" spans="1:15">
      <c r="A489" s="435" t="s">
        <v>2861</v>
      </c>
      <c r="B489" s="435" t="s">
        <v>1223</v>
      </c>
      <c r="C489" s="435" t="s">
        <v>2882</v>
      </c>
      <c r="D489" s="435" t="s">
        <v>2883</v>
      </c>
      <c r="E489" s="435" t="s">
        <v>1759</v>
      </c>
      <c r="F489" s="435" t="s">
        <v>1760</v>
      </c>
      <c r="G489" s="435" t="s">
        <v>1818</v>
      </c>
      <c r="H489" s="435" t="s">
        <v>1229</v>
      </c>
      <c r="I489" s="435"/>
      <c r="J489" s="434"/>
      <c r="K489" s="434"/>
      <c r="L489" s="434" t="s">
        <v>1796</v>
      </c>
      <c r="M489" s="434" t="s">
        <v>1797</v>
      </c>
      <c r="N489" s="433">
        <v>-1536.67</v>
      </c>
      <c r="O489" s="429" t="s">
        <v>1755</v>
      </c>
    </row>
    <row r="490" spans="1:15">
      <c r="A490" s="435" t="s">
        <v>2884</v>
      </c>
      <c r="B490" s="435" t="s">
        <v>1223</v>
      </c>
      <c r="C490" s="435" t="s">
        <v>2885</v>
      </c>
      <c r="D490" s="435" t="s">
        <v>2886</v>
      </c>
      <c r="E490" s="435" t="s">
        <v>1759</v>
      </c>
      <c r="F490" s="435" t="s">
        <v>1760</v>
      </c>
      <c r="G490" s="435" t="s">
        <v>1785</v>
      </c>
      <c r="H490" s="435" t="s">
        <v>1229</v>
      </c>
      <c r="I490" s="435"/>
      <c r="J490" s="434"/>
      <c r="K490" s="434"/>
      <c r="L490" s="434" t="s">
        <v>1786</v>
      </c>
      <c r="M490" s="434" t="s">
        <v>1230</v>
      </c>
      <c r="N490" s="437">
        <v>4377.8900000000003</v>
      </c>
      <c r="O490" s="429" t="s">
        <v>1755</v>
      </c>
    </row>
    <row r="491" spans="1:15">
      <c r="A491" s="432" t="s">
        <v>2884</v>
      </c>
      <c r="B491" s="432" t="s">
        <v>1223</v>
      </c>
      <c r="C491" s="432" t="s">
        <v>2887</v>
      </c>
      <c r="D491" s="432" t="s">
        <v>2888</v>
      </c>
      <c r="E491" s="432" t="s">
        <v>1759</v>
      </c>
      <c r="F491" s="432" t="s">
        <v>1760</v>
      </c>
      <c r="G491" s="432" t="s">
        <v>1823</v>
      </c>
      <c r="H491" s="432" t="s">
        <v>1229</v>
      </c>
      <c r="I491" s="432"/>
      <c r="J491" s="431"/>
      <c r="K491" s="431"/>
      <c r="L491" s="431" t="s">
        <v>1796</v>
      </c>
      <c r="M491" s="431" t="s">
        <v>1797</v>
      </c>
      <c r="N491" s="430">
        <v>-162.37</v>
      </c>
      <c r="O491" s="429" t="s">
        <v>1755</v>
      </c>
    </row>
    <row r="492" spans="1:15">
      <c r="A492" s="435" t="s">
        <v>2884</v>
      </c>
      <c r="B492" s="435" t="s">
        <v>1223</v>
      </c>
      <c r="C492" s="435" t="s">
        <v>2889</v>
      </c>
      <c r="D492" s="435" t="s">
        <v>2890</v>
      </c>
      <c r="E492" s="435" t="s">
        <v>1759</v>
      </c>
      <c r="F492" s="435" t="s">
        <v>1760</v>
      </c>
      <c r="G492" s="435" t="s">
        <v>1795</v>
      </c>
      <c r="H492" s="435" t="s">
        <v>1229</v>
      </c>
      <c r="I492" s="435"/>
      <c r="J492" s="434"/>
      <c r="K492" s="434"/>
      <c r="L492" s="434" t="s">
        <v>1796</v>
      </c>
      <c r="M492" s="434" t="s">
        <v>1797</v>
      </c>
      <c r="N492" s="433">
        <v>-399.18</v>
      </c>
      <c r="O492" s="429" t="s">
        <v>1755</v>
      </c>
    </row>
    <row r="493" spans="1:15">
      <c r="A493" s="432" t="s">
        <v>2884</v>
      </c>
      <c r="B493" s="432" t="s">
        <v>1223</v>
      </c>
      <c r="C493" s="432" t="s">
        <v>2891</v>
      </c>
      <c r="D493" s="432" t="s">
        <v>2892</v>
      </c>
      <c r="E493" s="432" t="s">
        <v>1759</v>
      </c>
      <c r="F493" s="432" t="s">
        <v>1760</v>
      </c>
      <c r="G493" s="432" t="s">
        <v>1809</v>
      </c>
      <c r="H493" s="432" t="s">
        <v>1229</v>
      </c>
      <c r="I493" s="432"/>
      <c r="J493" s="431"/>
      <c r="K493" s="431"/>
      <c r="L493" s="431" t="s">
        <v>1796</v>
      </c>
      <c r="M493" s="431" t="s">
        <v>1797</v>
      </c>
      <c r="N493" s="430">
        <v>-404.44</v>
      </c>
      <c r="O493" s="429" t="s">
        <v>1755</v>
      </c>
    </row>
    <row r="494" spans="1:15">
      <c r="A494" s="435" t="s">
        <v>2884</v>
      </c>
      <c r="B494" s="435" t="s">
        <v>1223</v>
      </c>
      <c r="C494" s="435" t="s">
        <v>2893</v>
      </c>
      <c r="D494" s="435" t="s">
        <v>2894</v>
      </c>
      <c r="E494" s="435" t="s">
        <v>1759</v>
      </c>
      <c r="F494" s="435" t="s">
        <v>1760</v>
      </c>
      <c r="G494" s="435" t="s">
        <v>1803</v>
      </c>
      <c r="H494" s="435" t="s">
        <v>1229</v>
      </c>
      <c r="I494" s="435"/>
      <c r="J494" s="434"/>
      <c r="K494" s="434"/>
      <c r="L494" s="434" t="s">
        <v>1796</v>
      </c>
      <c r="M494" s="434" t="s">
        <v>1797</v>
      </c>
      <c r="N494" s="433">
        <v>-197.97</v>
      </c>
      <c r="O494" s="429" t="s">
        <v>1755</v>
      </c>
    </row>
    <row r="495" spans="1:15">
      <c r="A495" s="432" t="s">
        <v>2884</v>
      </c>
      <c r="B495" s="432" t="s">
        <v>1223</v>
      </c>
      <c r="C495" s="432" t="s">
        <v>2895</v>
      </c>
      <c r="D495" s="432" t="s">
        <v>2896</v>
      </c>
      <c r="E495" s="432" t="s">
        <v>1759</v>
      </c>
      <c r="F495" s="432" t="s">
        <v>1760</v>
      </c>
      <c r="G495" s="432" t="s">
        <v>1800</v>
      </c>
      <c r="H495" s="432" t="s">
        <v>1229</v>
      </c>
      <c r="I495" s="432"/>
      <c r="J495" s="431"/>
      <c r="K495" s="431"/>
      <c r="L495" s="431" t="s">
        <v>1796</v>
      </c>
      <c r="M495" s="431" t="s">
        <v>1797</v>
      </c>
      <c r="N495" s="430">
        <v>-736.9</v>
      </c>
      <c r="O495" s="429" t="s">
        <v>1755</v>
      </c>
    </row>
    <row r="496" spans="1:15">
      <c r="A496" s="435" t="s">
        <v>2884</v>
      </c>
      <c r="B496" s="435" t="s">
        <v>1223</v>
      </c>
      <c r="C496" s="435" t="s">
        <v>2897</v>
      </c>
      <c r="D496" s="435" t="s">
        <v>2898</v>
      </c>
      <c r="E496" s="435" t="s">
        <v>1759</v>
      </c>
      <c r="F496" s="435" t="s">
        <v>1760</v>
      </c>
      <c r="G496" s="435" t="s">
        <v>1806</v>
      </c>
      <c r="H496" s="435" t="s">
        <v>1229</v>
      </c>
      <c r="I496" s="435"/>
      <c r="J496" s="434"/>
      <c r="K496" s="434"/>
      <c r="L496" s="434" t="s">
        <v>1796</v>
      </c>
      <c r="M496" s="434" t="s">
        <v>1797</v>
      </c>
      <c r="N496" s="433">
        <v>-158.66999999999999</v>
      </c>
      <c r="O496" s="429" t="s">
        <v>1755</v>
      </c>
    </row>
    <row r="497" spans="1:15">
      <c r="A497" s="432" t="s">
        <v>2884</v>
      </c>
      <c r="B497" s="432" t="s">
        <v>1223</v>
      </c>
      <c r="C497" s="432" t="s">
        <v>2899</v>
      </c>
      <c r="D497" s="432" t="s">
        <v>2900</v>
      </c>
      <c r="E497" s="432" t="s">
        <v>1759</v>
      </c>
      <c r="F497" s="432" t="s">
        <v>1760</v>
      </c>
      <c r="G497" s="432" t="s">
        <v>1812</v>
      </c>
      <c r="H497" s="432" t="s">
        <v>1229</v>
      </c>
      <c r="I497" s="432"/>
      <c r="J497" s="431"/>
      <c r="K497" s="431"/>
      <c r="L497" s="431" t="s">
        <v>1796</v>
      </c>
      <c r="M497" s="431" t="s">
        <v>1797</v>
      </c>
      <c r="N497" s="430">
        <v>-945.77</v>
      </c>
      <c r="O497" s="429" t="s">
        <v>1755</v>
      </c>
    </row>
    <row r="498" spans="1:15">
      <c r="A498" s="435" t="s">
        <v>2884</v>
      </c>
      <c r="B498" s="435" t="s">
        <v>1223</v>
      </c>
      <c r="C498" s="435" t="s">
        <v>2901</v>
      </c>
      <c r="D498" s="435" t="s">
        <v>2902</v>
      </c>
      <c r="E498" s="435" t="s">
        <v>1759</v>
      </c>
      <c r="F498" s="435" t="s">
        <v>1760</v>
      </c>
      <c r="G498" s="435" t="s">
        <v>1815</v>
      </c>
      <c r="H498" s="435" t="s">
        <v>1229</v>
      </c>
      <c r="I498" s="435"/>
      <c r="J498" s="434"/>
      <c r="K498" s="434"/>
      <c r="L498" s="434" t="s">
        <v>1796</v>
      </c>
      <c r="M498" s="434" t="s">
        <v>1797</v>
      </c>
      <c r="N498" s="433">
        <v>-108.41</v>
      </c>
      <c r="O498" s="429" t="s">
        <v>1755</v>
      </c>
    </row>
    <row r="499" spans="1:15">
      <c r="A499" s="432" t="s">
        <v>2884</v>
      </c>
      <c r="B499" s="432" t="s">
        <v>1223</v>
      </c>
      <c r="C499" s="432" t="s">
        <v>2903</v>
      </c>
      <c r="D499" s="432" t="s">
        <v>2904</v>
      </c>
      <c r="E499" s="432" t="s">
        <v>1759</v>
      </c>
      <c r="F499" s="432" t="s">
        <v>1760</v>
      </c>
      <c r="G499" s="432" t="s">
        <v>1818</v>
      </c>
      <c r="H499" s="432" t="s">
        <v>1229</v>
      </c>
      <c r="I499" s="432"/>
      <c r="J499" s="431"/>
      <c r="K499" s="431"/>
      <c r="L499" s="431" t="s">
        <v>1796</v>
      </c>
      <c r="M499" s="431" t="s">
        <v>1797</v>
      </c>
      <c r="N499" s="430">
        <v>-1264.17</v>
      </c>
      <c r="O499" s="429" t="s">
        <v>1755</v>
      </c>
    </row>
    <row r="500" spans="1:15">
      <c r="A500" s="435" t="s">
        <v>2884</v>
      </c>
      <c r="B500" s="435" t="s">
        <v>1223</v>
      </c>
      <c r="C500" s="435" t="s">
        <v>2905</v>
      </c>
      <c r="D500" s="435" t="s">
        <v>2906</v>
      </c>
      <c r="E500" s="435" t="s">
        <v>1759</v>
      </c>
      <c r="F500" s="435" t="s">
        <v>1760</v>
      </c>
      <c r="G500" s="435" t="s">
        <v>1785</v>
      </c>
      <c r="H500" s="435" t="s">
        <v>1229</v>
      </c>
      <c r="I500" s="435"/>
      <c r="J500" s="434"/>
      <c r="K500" s="434"/>
      <c r="L500" s="434" t="s">
        <v>1796</v>
      </c>
      <c r="M500" s="434" t="s">
        <v>1797</v>
      </c>
      <c r="N500" s="437">
        <v>641.24</v>
      </c>
      <c r="O500" s="429" t="s">
        <v>1755</v>
      </c>
    </row>
    <row r="501" spans="1:15">
      <c r="A501" s="435" t="s">
        <v>2907</v>
      </c>
      <c r="B501" s="435" t="s">
        <v>1223</v>
      </c>
      <c r="C501" s="435" t="s">
        <v>2908</v>
      </c>
      <c r="D501" s="435" t="s">
        <v>2909</v>
      </c>
      <c r="E501" s="435" t="s">
        <v>1759</v>
      </c>
      <c r="F501" s="435" t="s">
        <v>1760</v>
      </c>
      <c r="G501" s="435" t="s">
        <v>1785</v>
      </c>
      <c r="H501" s="435" t="s">
        <v>1229</v>
      </c>
      <c r="I501" s="435"/>
      <c r="J501" s="434"/>
      <c r="K501" s="434"/>
      <c r="L501" s="434" t="s">
        <v>1786</v>
      </c>
      <c r="M501" s="434" t="s">
        <v>1230</v>
      </c>
      <c r="N501" s="437">
        <v>5093.03</v>
      </c>
      <c r="O501" s="429" t="s">
        <v>1755</v>
      </c>
    </row>
    <row r="502" spans="1:15">
      <c r="A502" s="432" t="s">
        <v>2907</v>
      </c>
      <c r="B502" s="432" t="s">
        <v>1223</v>
      </c>
      <c r="C502" s="432" t="s">
        <v>2910</v>
      </c>
      <c r="D502" s="432" t="s">
        <v>2911</v>
      </c>
      <c r="E502" s="432" t="s">
        <v>1759</v>
      </c>
      <c r="F502" s="432" t="s">
        <v>1760</v>
      </c>
      <c r="G502" s="432" t="s">
        <v>1785</v>
      </c>
      <c r="H502" s="432" t="s">
        <v>1229</v>
      </c>
      <c r="I502" s="432"/>
      <c r="J502" s="431"/>
      <c r="K502" s="431"/>
      <c r="L502" s="431" t="s">
        <v>1796</v>
      </c>
      <c r="M502" s="431" t="s">
        <v>1797</v>
      </c>
      <c r="N502" s="436">
        <v>696.29</v>
      </c>
      <c r="O502" s="429" t="s">
        <v>1755</v>
      </c>
    </row>
    <row r="503" spans="1:15">
      <c r="A503" s="432" t="s">
        <v>2907</v>
      </c>
      <c r="B503" s="432" t="s">
        <v>1223</v>
      </c>
      <c r="C503" s="432" t="s">
        <v>2912</v>
      </c>
      <c r="D503" s="432" t="s">
        <v>2913</v>
      </c>
      <c r="E503" s="432" t="s">
        <v>1759</v>
      </c>
      <c r="F503" s="432" t="s">
        <v>1760</v>
      </c>
      <c r="G503" s="432" t="s">
        <v>1795</v>
      </c>
      <c r="H503" s="432" t="s">
        <v>1229</v>
      </c>
      <c r="I503" s="432"/>
      <c r="J503" s="431"/>
      <c r="K503" s="431"/>
      <c r="L503" s="431" t="s">
        <v>1796</v>
      </c>
      <c r="M503" s="431" t="s">
        <v>1797</v>
      </c>
      <c r="N503" s="430">
        <v>-455.34</v>
      </c>
      <c r="O503" s="429" t="s">
        <v>1755</v>
      </c>
    </row>
    <row r="504" spans="1:15">
      <c r="A504" s="435" t="s">
        <v>2907</v>
      </c>
      <c r="B504" s="435" t="s">
        <v>1223</v>
      </c>
      <c r="C504" s="435" t="s">
        <v>2914</v>
      </c>
      <c r="D504" s="435" t="s">
        <v>2915</v>
      </c>
      <c r="E504" s="435" t="s">
        <v>1759</v>
      </c>
      <c r="F504" s="435" t="s">
        <v>1760</v>
      </c>
      <c r="G504" s="435" t="s">
        <v>1806</v>
      </c>
      <c r="H504" s="435" t="s">
        <v>1229</v>
      </c>
      <c r="I504" s="435"/>
      <c r="J504" s="434"/>
      <c r="K504" s="434"/>
      <c r="L504" s="434" t="s">
        <v>1796</v>
      </c>
      <c r="M504" s="434" t="s">
        <v>1797</v>
      </c>
      <c r="N504" s="433">
        <v>-122.1</v>
      </c>
      <c r="O504" s="429" t="s">
        <v>1755</v>
      </c>
    </row>
    <row r="505" spans="1:15">
      <c r="A505" s="432" t="s">
        <v>2907</v>
      </c>
      <c r="B505" s="432" t="s">
        <v>1223</v>
      </c>
      <c r="C505" s="432" t="s">
        <v>2916</v>
      </c>
      <c r="D505" s="432" t="s">
        <v>2917</v>
      </c>
      <c r="E505" s="432" t="s">
        <v>1759</v>
      </c>
      <c r="F505" s="432" t="s">
        <v>1760</v>
      </c>
      <c r="G505" s="432" t="s">
        <v>1800</v>
      </c>
      <c r="H505" s="432" t="s">
        <v>1229</v>
      </c>
      <c r="I505" s="432"/>
      <c r="J505" s="431"/>
      <c r="K505" s="431"/>
      <c r="L505" s="431" t="s">
        <v>1796</v>
      </c>
      <c r="M505" s="431" t="s">
        <v>1797</v>
      </c>
      <c r="N505" s="430">
        <v>-888.79</v>
      </c>
      <c r="O505" s="429" t="s">
        <v>1755</v>
      </c>
    </row>
    <row r="506" spans="1:15">
      <c r="A506" s="435" t="s">
        <v>2907</v>
      </c>
      <c r="B506" s="435" t="s">
        <v>1223</v>
      </c>
      <c r="C506" s="435" t="s">
        <v>2918</v>
      </c>
      <c r="D506" s="435" t="s">
        <v>2919</v>
      </c>
      <c r="E506" s="435" t="s">
        <v>1759</v>
      </c>
      <c r="F506" s="435" t="s">
        <v>1760</v>
      </c>
      <c r="G506" s="435" t="s">
        <v>1818</v>
      </c>
      <c r="H506" s="435" t="s">
        <v>1229</v>
      </c>
      <c r="I506" s="435"/>
      <c r="J506" s="434"/>
      <c r="K506" s="434"/>
      <c r="L506" s="434" t="s">
        <v>1796</v>
      </c>
      <c r="M506" s="434" t="s">
        <v>1797</v>
      </c>
      <c r="N506" s="433">
        <v>-1748.7</v>
      </c>
      <c r="O506" s="429" t="s">
        <v>1755</v>
      </c>
    </row>
    <row r="507" spans="1:15">
      <c r="A507" s="432" t="s">
        <v>2907</v>
      </c>
      <c r="B507" s="432" t="s">
        <v>1223</v>
      </c>
      <c r="C507" s="432" t="s">
        <v>2920</v>
      </c>
      <c r="D507" s="432" t="s">
        <v>2921</v>
      </c>
      <c r="E507" s="432" t="s">
        <v>1759</v>
      </c>
      <c r="F507" s="432" t="s">
        <v>1760</v>
      </c>
      <c r="G507" s="432" t="s">
        <v>1803</v>
      </c>
      <c r="H507" s="432" t="s">
        <v>1229</v>
      </c>
      <c r="I507" s="432"/>
      <c r="J507" s="431"/>
      <c r="K507" s="431"/>
      <c r="L507" s="431" t="s">
        <v>1796</v>
      </c>
      <c r="M507" s="431" t="s">
        <v>1797</v>
      </c>
      <c r="N507" s="430">
        <v>-258.45</v>
      </c>
      <c r="O507" s="429" t="s">
        <v>1755</v>
      </c>
    </row>
    <row r="508" spans="1:15">
      <c r="A508" s="435" t="s">
        <v>2907</v>
      </c>
      <c r="B508" s="435" t="s">
        <v>1223</v>
      </c>
      <c r="C508" s="435" t="s">
        <v>2922</v>
      </c>
      <c r="D508" s="435" t="s">
        <v>2923</v>
      </c>
      <c r="E508" s="435" t="s">
        <v>1759</v>
      </c>
      <c r="F508" s="435" t="s">
        <v>1760</v>
      </c>
      <c r="G508" s="435" t="s">
        <v>1815</v>
      </c>
      <c r="H508" s="435" t="s">
        <v>1229</v>
      </c>
      <c r="I508" s="435"/>
      <c r="J508" s="434"/>
      <c r="K508" s="434"/>
      <c r="L508" s="434" t="s">
        <v>1796</v>
      </c>
      <c r="M508" s="434" t="s">
        <v>1797</v>
      </c>
      <c r="N508" s="433">
        <v>-79.92</v>
      </c>
      <c r="O508" s="429" t="s">
        <v>1755</v>
      </c>
    </row>
    <row r="509" spans="1:15">
      <c r="A509" s="432" t="s">
        <v>2907</v>
      </c>
      <c r="B509" s="432" t="s">
        <v>1223</v>
      </c>
      <c r="C509" s="432" t="s">
        <v>2924</v>
      </c>
      <c r="D509" s="432" t="s">
        <v>2925</v>
      </c>
      <c r="E509" s="432" t="s">
        <v>1759</v>
      </c>
      <c r="F509" s="432" t="s">
        <v>1760</v>
      </c>
      <c r="G509" s="432" t="s">
        <v>1812</v>
      </c>
      <c r="H509" s="432" t="s">
        <v>1229</v>
      </c>
      <c r="I509" s="432"/>
      <c r="J509" s="431"/>
      <c r="K509" s="431"/>
      <c r="L509" s="431" t="s">
        <v>1796</v>
      </c>
      <c r="M509" s="431" t="s">
        <v>1797</v>
      </c>
      <c r="N509" s="430">
        <v>-1011.16</v>
      </c>
      <c r="O509" s="429" t="s">
        <v>1755</v>
      </c>
    </row>
    <row r="510" spans="1:15">
      <c r="A510" s="435" t="s">
        <v>2907</v>
      </c>
      <c r="B510" s="435" t="s">
        <v>1223</v>
      </c>
      <c r="C510" s="435" t="s">
        <v>2926</v>
      </c>
      <c r="D510" s="435" t="s">
        <v>2927</v>
      </c>
      <c r="E510" s="435" t="s">
        <v>1759</v>
      </c>
      <c r="F510" s="435" t="s">
        <v>1760</v>
      </c>
      <c r="G510" s="435" t="s">
        <v>1809</v>
      </c>
      <c r="H510" s="435" t="s">
        <v>1229</v>
      </c>
      <c r="I510" s="435"/>
      <c r="J510" s="434"/>
      <c r="K510" s="434"/>
      <c r="L510" s="434" t="s">
        <v>1796</v>
      </c>
      <c r="M510" s="434" t="s">
        <v>1797</v>
      </c>
      <c r="N510" s="433">
        <v>-386.63</v>
      </c>
      <c r="O510" s="429" t="s">
        <v>1755</v>
      </c>
    </row>
    <row r="511" spans="1:15">
      <c r="A511" s="435" t="s">
        <v>2907</v>
      </c>
      <c r="B511" s="435" t="s">
        <v>1223</v>
      </c>
      <c r="C511" s="435" t="s">
        <v>2928</v>
      </c>
      <c r="D511" s="435" t="s">
        <v>2929</v>
      </c>
      <c r="E511" s="435" t="s">
        <v>1759</v>
      </c>
      <c r="F511" s="435" t="s">
        <v>1760</v>
      </c>
      <c r="G511" s="435" t="s">
        <v>1823</v>
      </c>
      <c r="H511" s="435" t="s">
        <v>1229</v>
      </c>
      <c r="I511" s="435"/>
      <c r="J511" s="434"/>
      <c r="K511" s="434"/>
      <c r="L511" s="434" t="s">
        <v>1796</v>
      </c>
      <c r="M511" s="434" t="s">
        <v>1797</v>
      </c>
      <c r="N511" s="433">
        <v>-141.83000000000001</v>
      </c>
      <c r="O511" s="429" t="s">
        <v>1755</v>
      </c>
    </row>
    <row r="512" spans="1:15">
      <c r="A512" s="432" t="s">
        <v>2907</v>
      </c>
      <c r="B512" s="432" t="s">
        <v>1223</v>
      </c>
      <c r="C512" s="432" t="s">
        <v>2930</v>
      </c>
      <c r="D512" s="432" t="s">
        <v>2931</v>
      </c>
      <c r="E512" s="432" t="s">
        <v>1759</v>
      </c>
      <c r="F512" s="432" t="s">
        <v>1760</v>
      </c>
      <c r="G512" s="432" t="s">
        <v>1888</v>
      </c>
      <c r="H512" s="432" t="s">
        <v>1229</v>
      </c>
      <c r="I512" s="432"/>
      <c r="J512" s="431"/>
      <c r="K512" s="431"/>
      <c r="L512" s="431" t="s">
        <v>1796</v>
      </c>
      <c r="M512" s="431" t="s">
        <v>1797</v>
      </c>
      <c r="N512" s="430">
        <v>-0.11</v>
      </c>
      <c r="O512" s="429" t="s">
        <v>1755</v>
      </c>
    </row>
  </sheetData>
  <autoFilter ref="A397:O512" xr:uid="{F69184F0-E60F-4CCB-B3C8-D3B3C80CD8B9}"/>
  <pageMargins left="0.7" right="0.7" top="0.75" bottom="0.75" header="0.3" footer="0.3"/>
  <pageSetup orientation="portrait" horizontalDpi="1200" verticalDpi="1200"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3">
    <tabColor rgb="FFFF0000"/>
  </sheetPr>
  <dimension ref="A1:AE538"/>
  <sheetViews>
    <sheetView workbookViewId="0"/>
  </sheetViews>
  <sheetFormatPr defaultColWidth="9.140625" defaultRowHeight="15"/>
  <cols>
    <col min="1" max="1" width="27" style="26" bestFit="1" customWidth="1"/>
    <col min="2" max="2" width="23.42578125" style="26" customWidth="1"/>
    <col min="3" max="3" width="33.7109375" style="26" customWidth="1"/>
    <col min="4" max="4" width="44.28515625" style="26" bestFit="1" customWidth="1"/>
    <col min="5" max="5" width="19.85546875" style="26" bestFit="1" customWidth="1"/>
    <col min="6" max="6" width="20.140625" style="26" customWidth="1"/>
    <col min="7" max="7" width="20.42578125" style="26" customWidth="1"/>
    <col min="8" max="8" width="11.28515625" style="26" bestFit="1" customWidth="1"/>
    <col min="9" max="11" width="9.140625" style="26"/>
    <col min="12" max="12" width="13.85546875" style="26" bestFit="1" customWidth="1"/>
    <col min="13" max="13" width="13.5703125" style="26" bestFit="1" customWidth="1"/>
    <col min="14" max="14" width="10.42578125" style="26" bestFit="1" customWidth="1"/>
    <col min="15" max="15" width="25.140625" style="26" bestFit="1" customWidth="1"/>
    <col min="16" max="16" width="16.7109375" style="26" customWidth="1"/>
    <col min="17" max="16384" width="9.140625" style="26"/>
  </cols>
  <sheetData>
    <row r="1" spans="1:13">
      <c r="A1" s="7" t="s">
        <v>2932</v>
      </c>
      <c r="B1" s="89" t="s">
        <v>2933</v>
      </c>
      <c r="C1" s="90"/>
      <c r="L1" s="36"/>
    </row>
    <row r="2" spans="1:13">
      <c r="A2" s="7"/>
      <c r="B2" s="89" t="s">
        <v>2934</v>
      </c>
      <c r="C2" s="90"/>
      <c r="L2" s="36"/>
    </row>
    <row r="3" spans="1:13">
      <c r="A3" s="7"/>
      <c r="B3" s="89"/>
      <c r="D3" s="113"/>
      <c r="F3" s="91"/>
    </row>
    <row r="4" spans="1:13">
      <c r="A4" s="214" t="s">
        <v>1233</v>
      </c>
      <c r="B4" s="214" t="s">
        <v>989</v>
      </c>
      <c r="C4" s="214" t="s">
        <v>993</v>
      </c>
      <c r="D4" s="214" t="s">
        <v>1047</v>
      </c>
      <c r="E4" s="214" t="s">
        <v>1048</v>
      </c>
      <c r="F4" s="247" t="s">
        <v>990</v>
      </c>
      <c r="G4" s="139"/>
      <c r="H4" s="139"/>
      <c r="I4" s="139"/>
      <c r="J4" s="140"/>
      <c r="K4" s="139"/>
      <c r="L4" s="141"/>
      <c r="M4" s="139"/>
    </row>
    <row r="5" spans="1:13">
      <c r="A5" s="7" t="s">
        <v>1317</v>
      </c>
      <c r="B5" s="7" t="s">
        <v>1318</v>
      </c>
      <c r="C5" s="26" t="s">
        <v>2935</v>
      </c>
      <c r="D5" s="7" t="s">
        <v>2936</v>
      </c>
      <c r="E5" s="26" t="s">
        <v>1329</v>
      </c>
      <c r="F5" s="244">
        <v>19744</v>
      </c>
      <c r="G5" s="26" t="s">
        <v>148</v>
      </c>
      <c r="H5" s="26" t="s">
        <v>300</v>
      </c>
      <c r="J5" s="92"/>
      <c r="L5" s="93"/>
    </row>
    <row r="6" spans="1:13">
      <c r="A6" s="7"/>
      <c r="B6" s="7"/>
      <c r="C6" s="26" t="s">
        <v>2937</v>
      </c>
      <c r="D6" s="7" t="s">
        <v>2938</v>
      </c>
      <c r="E6" s="26" t="s">
        <v>1321</v>
      </c>
      <c r="F6" s="244">
        <v>-17707.560000000001</v>
      </c>
      <c r="G6" s="26" t="s">
        <v>148</v>
      </c>
      <c r="H6" s="26" t="s">
        <v>300</v>
      </c>
      <c r="J6" s="92"/>
      <c r="L6" s="93"/>
    </row>
    <row r="7" spans="1:13">
      <c r="A7" s="7"/>
      <c r="B7" s="7"/>
      <c r="C7" s="26" t="s">
        <v>2939</v>
      </c>
      <c r="D7" s="7" t="s">
        <v>2939</v>
      </c>
      <c r="E7" s="26" t="s">
        <v>1329</v>
      </c>
      <c r="F7" s="244">
        <v>47358.98</v>
      </c>
      <c r="G7" s="26" t="s">
        <v>148</v>
      </c>
      <c r="H7" s="26" t="s">
        <v>300</v>
      </c>
      <c r="J7" s="92"/>
      <c r="L7" s="93"/>
    </row>
    <row r="8" spans="1:13">
      <c r="A8" s="7"/>
      <c r="B8" s="7"/>
      <c r="C8" s="26" t="s">
        <v>2940</v>
      </c>
      <c r="D8" s="7" t="s">
        <v>2941</v>
      </c>
      <c r="E8" s="26" t="s">
        <v>1321</v>
      </c>
      <c r="F8" s="244">
        <v>-47358.98</v>
      </c>
      <c r="G8" s="26" t="s">
        <v>148</v>
      </c>
      <c r="H8" s="26" t="s">
        <v>300</v>
      </c>
      <c r="J8" s="92"/>
      <c r="L8" s="93"/>
    </row>
    <row r="9" spans="1:13">
      <c r="A9" s="7"/>
      <c r="B9" s="7"/>
      <c r="C9" s="26" t="s">
        <v>2942</v>
      </c>
      <c r="D9" s="7" t="s">
        <v>2942</v>
      </c>
      <c r="E9" s="26" t="s">
        <v>1321</v>
      </c>
      <c r="F9" s="244">
        <v>46156.67</v>
      </c>
      <c r="G9" s="26" t="s">
        <v>148</v>
      </c>
      <c r="H9" s="26" t="s">
        <v>300</v>
      </c>
      <c r="J9" s="92"/>
      <c r="L9" s="93"/>
    </row>
    <row r="10" spans="1:13">
      <c r="A10" s="7"/>
      <c r="B10" s="7"/>
      <c r="C10" s="26" t="s">
        <v>2943</v>
      </c>
      <c r="D10" s="7" t="s">
        <v>2944</v>
      </c>
      <c r="E10" s="26" t="s">
        <v>1321</v>
      </c>
      <c r="F10" s="244">
        <v>-46156.67</v>
      </c>
      <c r="G10" s="26" t="s">
        <v>148</v>
      </c>
      <c r="H10" s="26" t="s">
        <v>300</v>
      </c>
      <c r="J10" s="92"/>
      <c r="L10" s="93"/>
    </row>
    <row r="11" spans="1:13">
      <c r="A11" s="7"/>
      <c r="B11" s="7"/>
      <c r="C11" s="26" t="s">
        <v>1334</v>
      </c>
      <c r="D11" s="7" t="s">
        <v>1336</v>
      </c>
      <c r="E11" s="26" t="s">
        <v>1335</v>
      </c>
      <c r="F11" s="244">
        <v>123486.84999999999</v>
      </c>
      <c r="G11" s="26" t="s">
        <v>148</v>
      </c>
      <c r="H11" s="26" t="s">
        <v>300</v>
      </c>
      <c r="J11" s="92"/>
      <c r="L11" s="93"/>
    </row>
    <row r="12" spans="1:13">
      <c r="A12" s="7"/>
      <c r="B12" s="7"/>
      <c r="C12" s="26" t="s">
        <v>1338</v>
      </c>
      <c r="D12" s="7" t="s">
        <v>1339</v>
      </c>
      <c r="E12" s="26" t="s">
        <v>1340</v>
      </c>
      <c r="F12" s="244">
        <v>-162623.65999999992</v>
      </c>
      <c r="G12" s="26" t="s">
        <v>148</v>
      </c>
      <c r="H12" s="26" t="s">
        <v>300</v>
      </c>
      <c r="J12" s="92"/>
      <c r="L12" s="93"/>
    </row>
    <row r="13" spans="1:13">
      <c r="A13" s="7"/>
      <c r="B13" s="7"/>
      <c r="C13" s="26" t="s">
        <v>1341</v>
      </c>
      <c r="D13" s="7" t="s">
        <v>1342</v>
      </c>
      <c r="E13" s="26" t="s">
        <v>1343</v>
      </c>
      <c r="F13" s="244">
        <v>-6243921.4000000004</v>
      </c>
      <c r="G13" s="26" t="s">
        <v>148</v>
      </c>
      <c r="H13" s="26" t="s">
        <v>300</v>
      </c>
      <c r="J13" s="92"/>
      <c r="L13" s="93"/>
    </row>
    <row r="14" spans="1:13">
      <c r="A14" s="7"/>
      <c r="B14" s="7"/>
      <c r="D14" s="7"/>
      <c r="E14" s="26" t="s">
        <v>1344</v>
      </c>
      <c r="F14" s="244">
        <v>30705.29</v>
      </c>
      <c r="G14" s="26" t="s">
        <v>148</v>
      </c>
      <c r="H14" s="26" t="s">
        <v>300</v>
      </c>
      <c r="J14" s="92"/>
      <c r="L14" s="93"/>
    </row>
    <row r="15" spans="1:13">
      <c r="A15" s="7"/>
      <c r="B15" s="7"/>
      <c r="C15" s="26" t="s">
        <v>1345</v>
      </c>
      <c r="D15" s="7" t="s">
        <v>1346</v>
      </c>
      <c r="E15" s="26" t="s">
        <v>1347</v>
      </c>
      <c r="F15" s="244">
        <v>-87331.73</v>
      </c>
      <c r="G15" s="26" t="s">
        <v>148</v>
      </c>
      <c r="H15" s="26" t="s">
        <v>300</v>
      </c>
      <c r="J15" s="92"/>
      <c r="L15" s="93"/>
    </row>
    <row r="16" spans="1:13">
      <c r="A16" s="7"/>
      <c r="B16" s="7"/>
      <c r="C16" s="26" t="s">
        <v>1348</v>
      </c>
      <c r="D16" s="7" t="s">
        <v>1349</v>
      </c>
      <c r="E16" s="26" t="s">
        <v>1350</v>
      </c>
      <c r="F16" s="244">
        <v>534722.46000000008</v>
      </c>
      <c r="G16" s="26" t="s">
        <v>148</v>
      </c>
      <c r="H16" s="26" t="s">
        <v>300</v>
      </c>
      <c r="I16" s="7"/>
      <c r="J16" s="87"/>
    </row>
    <row r="17" spans="1:10">
      <c r="A17" s="7"/>
      <c r="B17" s="7"/>
      <c r="C17" s="26" t="s">
        <v>2945</v>
      </c>
      <c r="D17" s="7" t="s">
        <v>2946</v>
      </c>
      <c r="E17" s="26" t="s">
        <v>1329</v>
      </c>
      <c r="F17" s="244">
        <v>13173.3</v>
      </c>
      <c r="G17" s="26" t="s">
        <v>148</v>
      </c>
      <c r="H17" s="26" t="s">
        <v>300</v>
      </c>
      <c r="J17" s="92"/>
    </row>
    <row r="18" spans="1:10">
      <c r="A18" s="248"/>
      <c r="B18" s="7"/>
      <c r="D18" s="7" t="s">
        <v>2947</v>
      </c>
      <c r="E18" s="26" t="s">
        <v>1329</v>
      </c>
      <c r="F18" s="244">
        <v>-13173.3</v>
      </c>
      <c r="G18" s="26" t="s">
        <v>148</v>
      </c>
      <c r="H18" s="26" t="s">
        <v>300</v>
      </c>
      <c r="J18" s="92"/>
    </row>
    <row r="19" spans="1:10">
      <c r="A19" s="7" t="s">
        <v>1355</v>
      </c>
      <c r="B19" s="7" t="s">
        <v>1356</v>
      </c>
      <c r="C19" s="26" t="s">
        <v>1357</v>
      </c>
      <c r="D19" s="7" t="s">
        <v>2948</v>
      </c>
      <c r="E19" s="26" t="s">
        <v>1359</v>
      </c>
      <c r="F19" s="244">
        <v>111583.65</v>
      </c>
      <c r="G19" s="26" t="s">
        <v>150</v>
      </c>
      <c r="H19" s="26" t="s">
        <v>301</v>
      </c>
    </row>
    <row r="20" spans="1:10">
      <c r="A20" s="7"/>
      <c r="B20" s="7"/>
      <c r="D20" s="7" t="s">
        <v>1360</v>
      </c>
      <c r="E20" s="26" t="s">
        <v>1359</v>
      </c>
      <c r="F20" s="244">
        <v>-106506.39</v>
      </c>
      <c r="G20" s="26" t="s">
        <v>150</v>
      </c>
      <c r="H20" s="26" t="s">
        <v>301</v>
      </c>
    </row>
    <row r="21" spans="1:10">
      <c r="A21" s="248"/>
      <c r="B21" s="7"/>
      <c r="C21" s="26" t="s">
        <v>1361</v>
      </c>
      <c r="D21" s="7" t="s">
        <v>1362</v>
      </c>
      <c r="E21" s="26" t="s">
        <v>1363</v>
      </c>
      <c r="F21" s="244">
        <v>-111583.65</v>
      </c>
      <c r="G21" s="26" t="s">
        <v>150</v>
      </c>
      <c r="H21" s="26" t="s">
        <v>301</v>
      </c>
    </row>
    <row r="22" spans="1:10">
      <c r="A22" s="7" t="s">
        <v>1364</v>
      </c>
      <c r="B22" s="7" t="s">
        <v>1365</v>
      </c>
      <c r="C22" s="26" t="s">
        <v>2949</v>
      </c>
      <c r="D22" s="7" t="s">
        <v>2949</v>
      </c>
      <c r="E22" s="26" t="s">
        <v>2950</v>
      </c>
      <c r="F22" s="244">
        <v>0</v>
      </c>
      <c r="H22" s="26" t="s">
        <v>1366</v>
      </c>
    </row>
    <row r="23" spans="1:10">
      <c r="A23" s="7"/>
      <c r="B23" s="7"/>
      <c r="C23" s="26" t="s">
        <v>1054</v>
      </c>
      <c r="D23" s="7" t="s">
        <v>1054</v>
      </c>
      <c r="E23" s="26" t="s">
        <v>1153</v>
      </c>
      <c r="F23" s="244">
        <v>-1.6</v>
      </c>
      <c r="H23" s="26" t="s">
        <v>1366</v>
      </c>
    </row>
    <row r="24" spans="1:10">
      <c r="A24" s="7"/>
      <c r="B24" s="7"/>
      <c r="D24" s="7"/>
      <c r="E24" s="26" t="s">
        <v>1154</v>
      </c>
      <c r="F24" s="244">
        <v>-2.0499999999999998</v>
      </c>
      <c r="H24" s="26" t="s">
        <v>1366</v>
      </c>
    </row>
    <row r="25" spans="1:10">
      <c r="A25" s="7"/>
      <c r="B25" s="7"/>
      <c r="D25" s="7"/>
      <c r="E25" s="26" t="s">
        <v>1155</v>
      </c>
      <c r="F25" s="244">
        <v>-11.409999999999998</v>
      </c>
      <c r="H25" s="26" t="s">
        <v>1366</v>
      </c>
    </row>
    <row r="26" spans="1:10">
      <c r="A26" s="7"/>
      <c r="B26" s="7"/>
      <c r="D26" s="7"/>
      <c r="E26" s="26" t="s">
        <v>1156</v>
      </c>
      <c r="F26" s="244">
        <v>-5.25</v>
      </c>
      <c r="H26" s="26" t="s">
        <v>1366</v>
      </c>
    </row>
    <row r="27" spans="1:10">
      <c r="A27" s="7"/>
      <c r="B27" s="7"/>
      <c r="C27" s="26" t="s">
        <v>941</v>
      </c>
      <c r="D27" s="7" t="s">
        <v>1367</v>
      </c>
      <c r="E27" s="26" t="s">
        <v>1061</v>
      </c>
      <c r="F27" s="244">
        <v>5793737.8999999994</v>
      </c>
      <c r="H27" s="26" t="s">
        <v>1366</v>
      </c>
    </row>
    <row r="28" spans="1:10">
      <c r="A28" s="248"/>
      <c r="B28" s="7"/>
      <c r="C28" s="26" t="s">
        <v>2951</v>
      </c>
      <c r="D28" s="7" t="s">
        <v>2951</v>
      </c>
      <c r="E28" s="26" t="s">
        <v>2952</v>
      </c>
      <c r="F28" s="244">
        <v>8719.5400000000009</v>
      </c>
      <c r="H28" s="26" t="s">
        <v>1366</v>
      </c>
    </row>
    <row r="29" spans="1:10">
      <c r="A29" s="7" t="s">
        <v>1368</v>
      </c>
      <c r="B29" s="7" t="s">
        <v>1369</v>
      </c>
      <c r="C29" s="26" t="s">
        <v>1005</v>
      </c>
      <c r="D29" s="7" t="s">
        <v>1005</v>
      </c>
      <c r="E29" s="26" t="s">
        <v>2953</v>
      </c>
      <c r="F29" s="244">
        <v>5658.87</v>
      </c>
      <c r="H29" s="26" t="s">
        <v>1366</v>
      </c>
    </row>
    <row r="30" spans="1:10">
      <c r="A30" s="7"/>
      <c r="B30" s="7"/>
      <c r="D30" s="7"/>
      <c r="E30" s="26" t="s">
        <v>2954</v>
      </c>
      <c r="F30" s="244">
        <v>2927.36</v>
      </c>
      <c r="H30" s="26" t="s">
        <v>1366</v>
      </c>
    </row>
    <row r="31" spans="1:10">
      <c r="A31" s="7"/>
      <c r="B31" s="7"/>
      <c r="D31" s="7"/>
      <c r="E31" s="26" t="s">
        <v>2955</v>
      </c>
      <c r="F31" s="244">
        <v>850</v>
      </c>
      <c r="H31" s="26" t="s">
        <v>1366</v>
      </c>
    </row>
    <row r="32" spans="1:10">
      <c r="A32" s="7"/>
      <c r="B32" s="7"/>
      <c r="D32" s="7"/>
      <c r="E32" s="26" t="s">
        <v>2956</v>
      </c>
      <c r="F32" s="244">
        <v>3671.62</v>
      </c>
      <c r="H32" s="26" t="s">
        <v>1366</v>
      </c>
    </row>
    <row r="33" spans="1:12">
      <c r="A33" s="7"/>
      <c r="B33" s="7"/>
      <c r="D33" s="7"/>
      <c r="E33" s="26" t="s">
        <v>2957</v>
      </c>
      <c r="F33" s="244">
        <v>1183.3</v>
      </c>
      <c r="H33" s="26" t="s">
        <v>1366</v>
      </c>
    </row>
    <row r="34" spans="1:12">
      <c r="A34" s="7"/>
      <c r="B34" s="7"/>
      <c r="D34" s="7"/>
      <c r="E34" s="26" t="s">
        <v>2958</v>
      </c>
      <c r="F34" s="244">
        <v>1967.54</v>
      </c>
      <c r="H34" s="26" t="s">
        <v>1366</v>
      </c>
    </row>
    <row r="35" spans="1:12">
      <c r="A35" s="7"/>
      <c r="B35" s="7"/>
      <c r="D35" s="7"/>
      <c r="E35" s="26" t="s">
        <v>2959</v>
      </c>
      <c r="F35" s="244">
        <v>3910.8</v>
      </c>
      <c r="H35" s="26" t="s">
        <v>1366</v>
      </c>
    </row>
    <row r="36" spans="1:12">
      <c r="A36" s="7"/>
      <c r="B36" s="7"/>
      <c r="D36" s="7"/>
      <c r="E36" s="26" t="s">
        <v>2960</v>
      </c>
      <c r="F36" s="244">
        <v>1539.7</v>
      </c>
      <c r="H36" s="26" t="s">
        <v>1366</v>
      </c>
    </row>
    <row r="37" spans="1:12">
      <c r="A37" s="7"/>
      <c r="B37" s="7"/>
      <c r="D37" s="7"/>
      <c r="E37" s="26" t="s">
        <v>2961</v>
      </c>
      <c r="F37" s="244">
        <v>850</v>
      </c>
      <c r="H37" s="26" t="s">
        <v>1366</v>
      </c>
    </row>
    <row r="38" spans="1:12">
      <c r="A38" s="7"/>
      <c r="B38" s="7"/>
      <c r="D38" s="7"/>
      <c r="E38" s="26" t="s">
        <v>2962</v>
      </c>
      <c r="F38" s="244">
        <v>850</v>
      </c>
      <c r="H38" s="26" t="s">
        <v>1366</v>
      </c>
    </row>
    <row r="39" spans="1:12">
      <c r="A39" s="7"/>
      <c r="B39" s="7"/>
      <c r="D39" s="7"/>
      <c r="E39" s="26" t="s">
        <v>2963</v>
      </c>
      <c r="F39" s="244">
        <v>850</v>
      </c>
      <c r="H39" s="26" t="s">
        <v>1366</v>
      </c>
    </row>
    <row r="40" spans="1:12">
      <c r="A40" s="7"/>
      <c r="B40" s="7"/>
      <c r="D40" s="7"/>
      <c r="E40" s="26" t="s">
        <v>2964</v>
      </c>
      <c r="F40" s="244">
        <v>2825.75</v>
      </c>
      <c r="H40" s="26" t="s">
        <v>1366</v>
      </c>
    </row>
    <row r="41" spans="1:12">
      <c r="A41" s="7"/>
      <c r="B41" s="7"/>
      <c r="D41" s="7"/>
      <c r="E41" s="26" t="s">
        <v>2965</v>
      </c>
      <c r="F41" s="244">
        <v>850</v>
      </c>
      <c r="H41" s="26" t="s">
        <v>1366</v>
      </c>
    </row>
    <row r="42" spans="1:12">
      <c r="A42" s="7"/>
      <c r="B42" s="7"/>
      <c r="D42" s="7"/>
      <c r="E42" s="26" t="s">
        <v>2966</v>
      </c>
      <c r="F42" s="244">
        <v>-2275.48</v>
      </c>
      <c r="H42" s="26" t="s">
        <v>1366</v>
      </c>
    </row>
    <row r="43" spans="1:12">
      <c r="A43" s="7"/>
      <c r="B43" s="7"/>
      <c r="D43" s="7"/>
      <c r="E43" s="26" t="s">
        <v>2967</v>
      </c>
      <c r="F43" s="244">
        <v>-850</v>
      </c>
      <c r="H43" s="26" t="s">
        <v>1366</v>
      </c>
    </row>
    <row r="44" spans="1:12">
      <c r="A44" s="7"/>
      <c r="B44" s="7"/>
      <c r="D44" s="7"/>
      <c r="E44" s="26" t="s">
        <v>2968</v>
      </c>
      <c r="F44" s="244">
        <v>-1125.9100000000001</v>
      </c>
      <c r="H44" s="26" t="s">
        <v>1366</v>
      </c>
    </row>
    <row r="45" spans="1:12">
      <c r="A45" s="7"/>
      <c r="B45" s="7"/>
      <c r="D45" s="7"/>
      <c r="E45" s="26" t="s">
        <v>2969</v>
      </c>
      <c r="F45" s="244">
        <v>-37042.959999999999</v>
      </c>
      <c r="H45" s="26" t="s">
        <v>1366</v>
      </c>
    </row>
    <row r="46" spans="1:12">
      <c r="A46" s="7"/>
      <c r="B46" s="7"/>
      <c r="D46" s="7"/>
      <c r="E46" s="26" t="s">
        <v>2970</v>
      </c>
      <c r="F46" s="244">
        <v>-5475</v>
      </c>
      <c r="H46" s="26" t="s">
        <v>1366</v>
      </c>
      <c r="L46" s="36"/>
    </row>
    <row r="47" spans="1:12">
      <c r="A47" s="7"/>
      <c r="B47" s="7"/>
      <c r="D47" s="7"/>
      <c r="E47" s="26" t="s">
        <v>2971</v>
      </c>
      <c r="F47" s="244">
        <v>-321.7</v>
      </c>
      <c r="H47" s="26" t="s">
        <v>1366</v>
      </c>
      <c r="L47" s="36"/>
    </row>
    <row r="48" spans="1:12">
      <c r="A48" s="7"/>
      <c r="B48" s="7"/>
      <c r="D48" s="7"/>
      <c r="E48" s="26" t="s">
        <v>2972</v>
      </c>
      <c r="F48" s="244">
        <v>-2702</v>
      </c>
      <c r="G48" s="122"/>
      <c r="H48" s="26" t="s">
        <v>1366</v>
      </c>
      <c r="L48" s="36"/>
    </row>
    <row r="49" spans="1:12">
      <c r="A49" s="7"/>
      <c r="B49" s="7"/>
      <c r="D49" s="7"/>
      <c r="E49" s="26" t="s">
        <v>2973</v>
      </c>
      <c r="F49" s="244">
        <v>-850</v>
      </c>
      <c r="H49" s="26" t="s">
        <v>1366</v>
      </c>
      <c r="L49" s="36"/>
    </row>
    <row r="50" spans="1:12">
      <c r="A50" s="7"/>
      <c r="B50" s="7"/>
      <c r="D50" s="7"/>
      <c r="E50" s="26" t="s">
        <v>2974</v>
      </c>
      <c r="F50" s="244">
        <v>-2830.74</v>
      </c>
      <c r="H50" s="26" t="s">
        <v>1366</v>
      </c>
      <c r="L50" s="36"/>
    </row>
    <row r="51" spans="1:12">
      <c r="A51" s="7"/>
      <c r="B51" s="7"/>
      <c r="D51" s="7"/>
      <c r="E51" s="26" t="s">
        <v>2975</v>
      </c>
      <c r="F51" s="244">
        <v>-321.7</v>
      </c>
      <c r="H51" s="26" t="s">
        <v>1366</v>
      </c>
      <c r="L51" s="36"/>
    </row>
    <row r="52" spans="1:12">
      <c r="A52" s="7"/>
      <c r="B52" s="7"/>
      <c r="D52" s="7"/>
      <c r="E52" s="26" t="s">
        <v>2976</v>
      </c>
      <c r="F52" s="244">
        <v>-2927.36</v>
      </c>
      <c r="H52" s="26" t="s">
        <v>1366</v>
      </c>
      <c r="L52" s="36"/>
    </row>
    <row r="53" spans="1:12">
      <c r="A53" s="7"/>
      <c r="B53" s="7"/>
      <c r="D53" s="7"/>
      <c r="E53" s="26" t="s">
        <v>2977</v>
      </c>
      <c r="F53" s="244">
        <v>-53803.45</v>
      </c>
      <c r="H53" s="26" t="s">
        <v>1366</v>
      </c>
      <c r="L53" s="36"/>
    </row>
    <row r="54" spans="1:12">
      <c r="A54" s="7"/>
      <c r="B54" s="7"/>
      <c r="D54" s="7"/>
      <c r="E54" s="26" t="s">
        <v>2978</v>
      </c>
      <c r="F54" s="244">
        <v>-850</v>
      </c>
      <c r="H54" s="26" t="s">
        <v>1366</v>
      </c>
      <c r="L54" s="36"/>
    </row>
    <row r="55" spans="1:12">
      <c r="A55" s="7"/>
      <c r="B55" s="7"/>
      <c r="D55" s="7"/>
      <c r="E55" s="26" t="s">
        <v>2979</v>
      </c>
      <c r="F55" s="244">
        <v>-1929.94</v>
      </c>
      <c r="H55" s="26" t="s">
        <v>1366</v>
      </c>
      <c r="L55" s="36"/>
    </row>
    <row r="56" spans="1:12">
      <c r="A56" s="7"/>
      <c r="B56" s="7"/>
      <c r="D56" s="7"/>
      <c r="E56" s="26" t="s">
        <v>2980</v>
      </c>
      <c r="F56" s="244">
        <v>-9309.6200000000008</v>
      </c>
      <c r="H56" s="26" t="s">
        <v>1366</v>
      </c>
      <c r="L56" s="36"/>
    </row>
    <row r="57" spans="1:12">
      <c r="A57" s="7"/>
      <c r="B57" s="7"/>
      <c r="D57" s="7"/>
      <c r="E57" s="26" t="s">
        <v>2981</v>
      </c>
      <c r="F57" s="244">
        <v>-321.7</v>
      </c>
      <c r="H57" s="26" t="s">
        <v>1366</v>
      </c>
      <c r="L57" s="36"/>
    </row>
    <row r="58" spans="1:12">
      <c r="A58" s="7"/>
      <c r="B58" s="7"/>
      <c r="D58" s="7"/>
      <c r="E58" s="26" t="s">
        <v>2982</v>
      </c>
      <c r="F58" s="244">
        <v>-321.7</v>
      </c>
      <c r="H58" s="26" t="s">
        <v>1366</v>
      </c>
      <c r="L58" s="36"/>
    </row>
    <row r="59" spans="1:12">
      <c r="A59" s="7"/>
      <c r="B59" s="7"/>
      <c r="D59" s="7"/>
      <c r="E59" s="26" t="s">
        <v>2983</v>
      </c>
      <c r="F59" s="244">
        <v>-1187</v>
      </c>
      <c r="H59" s="26" t="s">
        <v>1366</v>
      </c>
      <c r="L59" s="36"/>
    </row>
    <row r="60" spans="1:12">
      <c r="A60" s="7"/>
      <c r="B60" s="7"/>
      <c r="D60" s="7"/>
      <c r="E60" s="26" t="s">
        <v>2984</v>
      </c>
      <c r="F60" s="244">
        <v>-850</v>
      </c>
      <c r="H60" s="26" t="s">
        <v>1366</v>
      </c>
      <c r="L60" s="36"/>
    </row>
    <row r="61" spans="1:12">
      <c r="A61" s="7"/>
      <c r="B61" s="7"/>
      <c r="D61" s="7"/>
      <c r="E61" s="26" t="s">
        <v>2985</v>
      </c>
      <c r="F61" s="244">
        <v>-321.7</v>
      </c>
      <c r="H61" s="26" t="s">
        <v>1366</v>
      </c>
      <c r="L61" s="36"/>
    </row>
    <row r="62" spans="1:12">
      <c r="A62" s="7"/>
      <c r="B62" s="7"/>
      <c r="D62" s="7"/>
      <c r="E62" s="26" t="s">
        <v>2986</v>
      </c>
      <c r="F62" s="244">
        <v>-572.12</v>
      </c>
      <c r="H62" s="26" t="s">
        <v>1366</v>
      </c>
      <c r="L62" s="36"/>
    </row>
    <row r="63" spans="1:12">
      <c r="A63" s="7"/>
      <c r="B63" s="7"/>
      <c r="D63" s="7"/>
      <c r="E63" s="26" t="s">
        <v>2987</v>
      </c>
      <c r="F63" s="244">
        <v>-1001.37</v>
      </c>
      <c r="H63" s="26" t="s">
        <v>1366</v>
      </c>
      <c r="L63" s="36"/>
    </row>
    <row r="64" spans="1:12">
      <c r="A64" s="7"/>
      <c r="B64" s="7"/>
      <c r="D64" s="7"/>
      <c r="E64" s="26" t="s">
        <v>2988</v>
      </c>
      <c r="F64" s="244">
        <v>-1327.09</v>
      </c>
      <c r="H64" s="26" t="s">
        <v>1366</v>
      </c>
      <c r="L64" s="36"/>
    </row>
    <row r="65" spans="1:12">
      <c r="A65" s="7"/>
      <c r="B65" s="7"/>
      <c r="D65" s="7"/>
      <c r="E65" s="26" t="s">
        <v>2989</v>
      </c>
      <c r="F65" s="244">
        <v>-3163.56</v>
      </c>
      <c r="H65" s="26" t="s">
        <v>1366</v>
      </c>
      <c r="L65" s="36"/>
    </row>
    <row r="66" spans="1:12">
      <c r="A66" s="7"/>
      <c r="B66" s="7"/>
      <c r="D66" s="7"/>
      <c r="E66" s="26" t="s">
        <v>2990</v>
      </c>
      <c r="F66" s="244">
        <v>-14254</v>
      </c>
      <c r="H66" s="26" t="s">
        <v>1366</v>
      </c>
      <c r="L66" s="36"/>
    </row>
    <row r="67" spans="1:12">
      <c r="A67" s="7"/>
      <c r="B67" s="7"/>
      <c r="D67" s="7"/>
      <c r="E67" s="26" t="s">
        <v>2991</v>
      </c>
      <c r="F67" s="244">
        <v>-3671.62</v>
      </c>
      <c r="H67" s="26" t="s">
        <v>1366</v>
      </c>
      <c r="L67" s="36"/>
    </row>
    <row r="68" spans="1:12">
      <c r="A68" s="7"/>
      <c r="B68" s="7"/>
      <c r="D68" s="7"/>
      <c r="E68" s="26" t="s">
        <v>2992</v>
      </c>
      <c r="F68" s="244">
        <v>-850</v>
      </c>
      <c r="G68" s="92"/>
      <c r="H68" s="26" t="s">
        <v>1366</v>
      </c>
      <c r="L68" s="36"/>
    </row>
    <row r="69" spans="1:12">
      <c r="A69" s="7"/>
      <c r="B69" s="7"/>
      <c r="D69" s="7"/>
      <c r="E69" s="26" t="s">
        <v>2993</v>
      </c>
      <c r="F69" s="244">
        <v>-1178.27</v>
      </c>
      <c r="H69" s="26" t="s">
        <v>1366</v>
      </c>
      <c r="L69" s="36"/>
    </row>
    <row r="70" spans="1:12">
      <c r="A70" s="7"/>
      <c r="B70" s="7"/>
      <c r="D70" s="7"/>
      <c r="E70" s="26" t="s">
        <v>2994</v>
      </c>
      <c r="F70" s="244">
        <v>-1122.0899999999999</v>
      </c>
      <c r="H70" s="26" t="s">
        <v>1366</v>
      </c>
      <c r="L70" s="36"/>
    </row>
    <row r="71" spans="1:12">
      <c r="A71" s="7"/>
      <c r="B71" s="7"/>
      <c r="D71" s="7"/>
      <c r="E71" s="26" t="s">
        <v>2995</v>
      </c>
      <c r="F71" s="244">
        <v>-9177</v>
      </c>
      <c r="H71" s="26" t="s">
        <v>1366</v>
      </c>
      <c r="L71" s="36"/>
    </row>
    <row r="72" spans="1:12">
      <c r="A72" s="7"/>
      <c r="B72" s="7"/>
      <c r="D72" s="7"/>
      <c r="E72" s="26" t="s">
        <v>2996</v>
      </c>
      <c r="F72" s="244">
        <v>-1254</v>
      </c>
      <c r="H72" s="26" t="s">
        <v>1366</v>
      </c>
      <c r="L72" s="36"/>
    </row>
    <row r="73" spans="1:12">
      <c r="A73" s="7"/>
      <c r="B73" s="7"/>
      <c r="D73" s="7"/>
      <c r="E73" s="26" t="s">
        <v>2997</v>
      </c>
      <c r="F73" s="244">
        <v>-931.99</v>
      </c>
      <c r="H73" s="26" t="s">
        <v>1366</v>
      </c>
      <c r="L73" s="36"/>
    </row>
    <row r="74" spans="1:12">
      <c r="A74" s="7"/>
      <c r="B74" s="7"/>
      <c r="D74" s="7"/>
      <c r="E74" s="26" t="s">
        <v>2998</v>
      </c>
      <c r="F74" s="244">
        <v>-8388</v>
      </c>
      <c r="H74" s="26" t="s">
        <v>1366</v>
      </c>
      <c r="L74" s="36"/>
    </row>
    <row r="75" spans="1:12">
      <c r="A75" s="7"/>
      <c r="B75" s="7"/>
      <c r="D75" s="7"/>
      <c r="E75" s="26" t="s">
        <v>2999</v>
      </c>
      <c r="F75" s="244">
        <v>-302.04000000000002</v>
      </c>
      <c r="H75" s="26" t="s">
        <v>1366</v>
      </c>
      <c r="L75" s="36"/>
    </row>
    <row r="76" spans="1:12">
      <c r="A76" s="7"/>
      <c r="B76" s="7"/>
      <c r="D76" s="7"/>
      <c r="E76" s="26" t="s">
        <v>3000</v>
      </c>
      <c r="F76" s="244">
        <v>-737.78</v>
      </c>
      <c r="H76" s="26" t="s">
        <v>1366</v>
      </c>
      <c r="L76" s="36"/>
    </row>
    <row r="77" spans="1:12">
      <c r="A77" s="7"/>
      <c r="B77" s="7"/>
      <c r="D77" s="7"/>
      <c r="E77" s="26" t="s">
        <v>3001</v>
      </c>
      <c r="F77" s="244">
        <v>-1122.0899999999999</v>
      </c>
      <c r="H77" s="26" t="s">
        <v>1366</v>
      </c>
      <c r="L77" s="36"/>
    </row>
    <row r="78" spans="1:12">
      <c r="A78" s="7"/>
      <c r="B78" s="7"/>
      <c r="D78" s="7"/>
      <c r="E78" s="26" t="s">
        <v>3002</v>
      </c>
      <c r="F78" s="244">
        <v>-1539.7</v>
      </c>
      <c r="H78" s="26" t="s">
        <v>1366</v>
      </c>
      <c r="L78" s="36"/>
    </row>
    <row r="79" spans="1:12">
      <c r="A79" s="7"/>
      <c r="B79" s="7"/>
      <c r="D79" s="7"/>
      <c r="E79" s="26" t="s">
        <v>3003</v>
      </c>
      <c r="F79" s="244">
        <v>-850</v>
      </c>
      <c r="H79" s="26" t="s">
        <v>1366</v>
      </c>
      <c r="L79" s="36"/>
    </row>
    <row r="80" spans="1:12">
      <c r="A80" s="7"/>
      <c r="B80" s="7"/>
      <c r="D80" s="7"/>
      <c r="E80" s="26" t="s">
        <v>3004</v>
      </c>
      <c r="F80" s="244">
        <v>-217.34</v>
      </c>
      <c r="H80" s="26" t="s">
        <v>1366</v>
      </c>
      <c r="L80" s="36"/>
    </row>
    <row r="81" spans="1:12">
      <c r="A81" s="7"/>
      <c r="B81" s="7"/>
      <c r="D81" s="7"/>
      <c r="E81" s="26" t="s">
        <v>3005</v>
      </c>
      <c r="F81" s="244">
        <v>-1769.11</v>
      </c>
      <c r="H81" s="26" t="s">
        <v>1366</v>
      </c>
      <c r="L81" s="36"/>
    </row>
    <row r="82" spans="1:12">
      <c r="A82" s="7"/>
      <c r="B82" s="7"/>
      <c r="D82" s="7"/>
      <c r="E82" s="26" t="s">
        <v>3006</v>
      </c>
      <c r="F82" s="244">
        <v>-1631.47</v>
      </c>
      <c r="H82" s="26" t="s">
        <v>1366</v>
      </c>
      <c r="L82" s="36"/>
    </row>
    <row r="83" spans="1:12">
      <c r="A83" s="7"/>
      <c r="B83" s="7"/>
      <c r="D83" s="7"/>
      <c r="E83" s="26" t="s">
        <v>3007</v>
      </c>
      <c r="F83" s="244">
        <v>-5544.44</v>
      </c>
      <c r="H83" s="26" t="s">
        <v>1366</v>
      </c>
      <c r="L83" s="36"/>
    </row>
    <row r="84" spans="1:12">
      <c r="A84" s="7"/>
      <c r="B84" s="7"/>
      <c r="D84" s="7"/>
      <c r="E84" s="26" t="s">
        <v>3008</v>
      </c>
      <c r="F84" s="244">
        <v>-850</v>
      </c>
      <c r="H84" s="26" t="s">
        <v>1366</v>
      </c>
      <c r="L84" s="36"/>
    </row>
    <row r="85" spans="1:12">
      <c r="A85" s="7"/>
      <c r="B85" s="7"/>
      <c r="D85" s="7"/>
      <c r="E85" s="26" t="s">
        <v>3009</v>
      </c>
      <c r="F85" s="244">
        <v>-1873.78</v>
      </c>
      <c r="H85" s="26" t="s">
        <v>1366</v>
      </c>
      <c r="L85" s="36"/>
    </row>
    <row r="86" spans="1:12">
      <c r="A86" s="7"/>
      <c r="B86" s="7"/>
      <c r="D86" s="7"/>
      <c r="E86" s="26" t="s">
        <v>3010</v>
      </c>
      <c r="F86" s="244">
        <v>-16306.52</v>
      </c>
      <c r="H86" s="26" t="s">
        <v>1366</v>
      </c>
      <c r="L86" s="36"/>
    </row>
    <row r="87" spans="1:12">
      <c r="A87" s="7"/>
      <c r="B87" s="7"/>
      <c r="D87" s="7"/>
      <c r="E87" s="26" t="s">
        <v>3011</v>
      </c>
      <c r="F87" s="244">
        <v>-850</v>
      </c>
      <c r="H87" s="26" t="s">
        <v>1366</v>
      </c>
      <c r="L87" s="36"/>
    </row>
    <row r="88" spans="1:12">
      <c r="A88" s="7"/>
      <c r="B88" s="7"/>
      <c r="D88" s="7"/>
      <c r="E88" s="26" t="s">
        <v>3012</v>
      </c>
      <c r="F88" s="244">
        <v>-16130.31</v>
      </c>
      <c r="H88" s="26" t="s">
        <v>1366</v>
      </c>
      <c r="L88" s="36"/>
    </row>
    <row r="89" spans="1:12">
      <c r="A89" s="7"/>
      <c r="B89" s="7"/>
      <c r="D89" s="7"/>
      <c r="E89" s="26" t="s">
        <v>3013</v>
      </c>
      <c r="F89" s="244">
        <v>-643.29999999999995</v>
      </c>
      <c r="H89" s="26" t="s">
        <v>1366</v>
      </c>
      <c r="L89" s="36"/>
    </row>
    <row r="90" spans="1:12">
      <c r="A90" s="7"/>
      <c r="B90" s="7"/>
      <c r="D90" s="7"/>
      <c r="E90" s="26" t="s">
        <v>3014</v>
      </c>
      <c r="F90" s="244">
        <v>-850</v>
      </c>
      <c r="H90" s="26" t="s">
        <v>1366</v>
      </c>
      <c r="L90" s="36"/>
    </row>
    <row r="91" spans="1:12">
      <c r="A91" s="7"/>
      <c r="B91" s="7"/>
      <c r="D91" s="7"/>
      <c r="E91" s="26" t="s">
        <v>3015</v>
      </c>
      <c r="F91" s="244">
        <v>-871</v>
      </c>
      <c r="H91" s="26" t="s">
        <v>1366</v>
      </c>
      <c r="L91" s="36"/>
    </row>
    <row r="92" spans="1:12">
      <c r="A92" s="7"/>
      <c r="B92" s="7"/>
      <c r="D92" s="7"/>
      <c r="E92" s="26" t="s">
        <v>3016</v>
      </c>
      <c r="F92" s="244">
        <v>-1122.0899999999999</v>
      </c>
      <c r="H92" s="26" t="s">
        <v>1366</v>
      </c>
      <c r="L92" s="36"/>
    </row>
    <row r="93" spans="1:12">
      <c r="A93" s="7"/>
      <c r="B93" s="7"/>
      <c r="D93" s="7"/>
      <c r="E93" s="26" t="s">
        <v>3017</v>
      </c>
      <c r="F93" s="244">
        <v>-5441.12</v>
      </c>
      <c r="H93" s="26" t="s">
        <v>1366</v>
      </c>
      <c r="L93" s="36"/>
    </row>
    <row r="94" spans="1:12">
      <c r="A94" s="7"/>
      <c r="B94" s="7"/>
      <c r="D94" s="7"/>
      <c r="E94" s="26" t="s">
        <v>3018</v>
      </c>
      <c r="F94" s="244">
        <v>-1183.3</v>
      </c>
      <c r="H94" s="26" t="s">
        <v>1366</v>
      </c>
      <c r="L94" s="36"/>
    </row>
    <row r="95" spans="1:12">
      <c r="A95" s="7"/>
      <c r="B95" s="7"/>
      <c r="D95" s="7"/>
      <c r="E95" s="26" t="s">
        <v>3019</v>
      </c>
      <c r="F95" s="244">
        <v>-850</v>
      </c>
      <c r="H95" s="26" t="s">
        <v>1366</v>
      </c>
      <c r="L95" s="36"/>
    </row>
    <row r="96" spans="1:12">
      <c r="A96" s="7"/>
      <c r="B96" s="7"/>
      <c r="D96" s="7"/>
      <c r="E96" s="26" t="s">
        <v>3020</v>
      </c>
      <c r="F96" s="244">
        <v>-2702</v>
      </c>
      <c r="H96" s="26" t="s">
        <v>1366</v>
      </c>
      <c r="L96" s="36"/>
    </row>
    <row r="97" spans="1:12">
      <c r="A97" s="7"/>
      <c r="B97" s="7"/>
      <c r="D97" s="7"/>
      <c r="E97" s="26" t="s">
        <v>3021</v>
      </c>
      <c r="F97" s="244">
        <v>-3078.27</v>
      </c>
      <c r="H97" s="26" t="s">
        <v>1366</v>
      </c>
      <c r="L97" s="36"/>
    </row>
    <row r="98" spans="1:12">
      <c r="A98" s="7"/>
      <c r="B98" s="7"/>
      <c r="D98" s="7"/>
      <c r="E98" s="26" t="s">
        <v>3022</v>
      </c>
      <c r="F98" s="244">
        <v>-1967.54</v>
      </c>
      <c r="H98" s="26" t="s">
        <v>1366</v>
      </c>
      <c r="L98" s="36"/>
    </row>
    <row r="99" spans="1:12">
      <c r="A99" s="7"/>
      <c r="B99" s="7"/>
      <c r="D99" s="7"/>
      <c r="E99" s="26" t="s">
        <v>3023</v>
      </c>
      <c r="F99" s="244">
        <v>-39436.74</v>
      </c>
      <c r="H99" s="26" t="s">
        <v>1366</v>
      </c>
      <c r="L99" s="36"/>
    </row>
    <row r="100" spans="1:12">
      <c r="A100" s="7"/>
      <c r="B100" s="7"/>
      <c r="D100" s="7"/>
      <c r="E100" s="26" t="s">
        <v>3024</v>
      </c>
      <c r="F100" s="244">
        <v>-2083.62</v>
      </c>
      <c r="H100" s="26" t="s">
        <v>1366</v>
      </c>
      <c r="L100" s="36"/>
    </row>
    <row r="101" spans="1:12">
      <c r="A101" s="7"/>
      <c r="B101" s="7"/>
      <c r="D101" s="7"/>
      <c r="E101" s="26" t="s">
        <v>3025</v>
      </c>
      <c r="F101" s="244">
        <v>-1957.41</v>
      </c>
      <c r="H101" s="26" t="s">
        <v>1366</v>
      </c>
      <c r="L101" s="36"/>
    </row>
    <row r="102" spans="1:12">
      <c r="A102" s="7"/>
      <c r="B102" s="7"/>
      <c r="D102" s="7"/>
      <c r="E102" s="26" t="s">
        <v>3026</v>
      </c>
      <c r="F102" s="244">
        <v>-850</v>
      </c>
      <c r="H102" s="26" t="s">
        <v>1366</v>
      </c>
      <c r="L102" s="36"/>
    </row>
    <row r="103" spans="1:12">
      <c r="A103" s="7"/>
      <c r="B103" s="7"/>
      <c r="D103" s="7"/>
      <c r="E103" s="26" t="s">
        <v>3027</v>
      </c>
      <c r="F103" s="244">
        <v>-1213.8499999999999</v>
      </c>
      <c r="H103" s="26" t="s">
        <v>1366</v>
      </c>
      <c r="L103" s="36"/>
    </row>
    <row r="104" spans="1:12">
      <c r="A104" s="7"/>
      <c r="B104" s="7"/>
      <c r="D104" s="7"/>
      <c r="E104" s="26" t="s">
        <v>3028</v>
      </c>
      <c r="F104" s="244">
        <v>-1539.7</v>
      </c>
      <c r="H104" s="26" t="s">
        <v>1366</v>
      </c>
      <c r="L104" s="36"/>
    </row>
    <row r="105" spans="1:12">
      <c r="A105" s="7"/>
      <c r="B105" s="7"/>
      <c r="D105" s="7"/>
      <c r="E105" s="26" t="s">
        <v>3029</v>
      </c>
      <c r="F105" s="244">
        <v>-5400</v>
      </c>
      <c r="H105" s="26" t="s">
        <v>1366</v>
      </c>
      <c r="L105" s="36"/>
    </row>
    <row r="106" spans="1:12">
      <c r="A106" s="7"/>
      <c r="B106" s="7"/>
      <c r="D106" s="7"/>
      <c r="E106" s="26" t="s">
        <v>3030</v>
      </c>
      <c r="F106" s="244">
        <v>-850</v>
      </c>
      <c r="H106" s="26" t="s">
        <v>1366</v>
      </c>
      <c r="L106" s="36"/>
    </row>
    <row r="107" spans="1:12">
      <c r="A107" s="7"/>
      <c r="B107" s="7"/>
      <c r="D107" s="7"/>
      <c r="E107" s="26" t="s">
        <v>3031</v>
      </c>
      <c r="F107" s="244">
        <v>-850</v>
      </c>
      <c r="H107" s="26" t="s">
        <v>1366</v>
      </c>
      <c r="L107" s="36"/>
    </row>
    <row r="108" spans="1:12">
      <c r="A108" s="7"/>
      <c r="B108" s="7"/>
      <c r="D108" s="7"/>
      <c r="E108" s="26" t="s">
        <v>3032</v>
      </c>
      <c r="F108" s="244">
        <v>-2375.12</v>
      </c>
      <c r="H108" s="26" t="s">
        <v>1366</v>
      </c>
      <c r="L108" s="36"/>
    </row>
    <row r="109" spans="1:12">
      <c r="A109" s="7"/>
      <c r="B109" s="7"/>
      <c r="D109" s="7"/>
      <c r="E109" s="26" t="s">
        <v>3033</v>
      </c>
      <c r="F109" s="244">
        <v>-9243.06</v>
      </c>
      <c r="H109" s="26" t="s">
        <v>1366</v>
      </c>
      <c r="L109" s="36"/>
    </row>
    <row r="110" spans="1:12">
      <c r="A110" s="7"/>
      <c r="B110" s="7"/>
      <c r="D110" s="7"/>
      <c r="E110" s="26" t="s">
        <v>3034</v>
      </c>
      <c r="F110" s="244">
        <v>-36592.559999999998</v>
      </c>
      <c r="H110" s="26" t="s">
        <v>1366</v>
      </c>
      <c r="L110" s="36"/>
    </row>
    <row r="111" spans="1:12">
      <c r="A111" s="7"/>
      <c r="B111" s="7"/>
      <c r="D111" s="7"/>
      <c r="E111" s="26" t="s">
        <v>3035</v>
      </c>
      <c r="F111" s="244">
        <v>-850</v>
      </c>
      <c r="H111" s="26" t="s">
        <v>1366</v>
      </c>
      <c r="L111" s="36"/>
    </row>
    <row r="112" spans="1:12">
      <c r="A112" s="7"/>
      <c r="B112" s="7"/>
      <c r="D112" s="7"/>
      <c r="E112" s="26" t="s">
        <v>3036</v>
      </c>
      <c r="F112" s="244">
        <v>-1470.54</v>
      </c>
      <c r="H112" s="26" t="s">
        <v>1366</v>
      </c>
      <c r="L112" s="36"/>
    </row>
    <row r="113" spans="1:12">
      <c r="A113" s="7"/>
      <c r="B113" s="7"/>
      <c r="D113" s="7"/>
      <c r="E113" s="26" t="s">
        <v>3037</v>
      </c>
      <c r="F113" s="244">
        <v>-5487.62</v>
      </c>
      <c r="H113" s="26" t="s">
        <v>1366</v>
      </c>
      <c r="L113" s="36"/>
    </row>
    <row r="114" spans="1:12">
      <c r="A114" s="7"/>
      <c r="B114" s="7"/>
      <c r="D114" s="7"/>
      <c r="E114" s="26" t="s">
        <v>3038</v>
      </c>
      <c r="F114" s="244">
        <v>-850</v>
      </c>
      <c r="H114" s="26" t="s">
        <v>1366</v>
      </c>
      <c r="L114" s="36"/>
    </row>
    <row r="115" spans="1:12">
      <c r="A115" s="7"/>
      <c r="B115" s="7"/>
      <c r="D115" s="7"/>
      <c r="E115" s="26" t="s">
        <v>3039</v>
      </c>
      <c r="F115" s="244">
        <v>-1183.3</v>
      </c>
      <c r="H115" s="26" t="s">
        <v>1366</v>
      </c>
      <c r="L115" s="36"/>
    </row>
    <row r="116" spans="1:12">
      <c r="A116" s="7"/>
      <c r="B116" s="7"/>
      <c r="D116" s="7"/>
      <c r="E116" s="26" t="s">
        <v>3040</v>
      </c>
      <c r="F116" s="244">
        <v>-3628.77</v>
      </c>
      <c r="H116" s="26" t="s">
        <v>1366</v>
      </c>
      <c r="L116" s="36"/>
    </row>
    <row r="117" spans="1:12">
      <c r="A117" s="7"/>
      <c r="B117" s="7"/>
      <c r="D117" s="7"/>
      <c r="E117" s="26" t="s">
        <v>3041</v>
      </c>
      <c r="F117" s="244">
        <v>-844.04</v>
      </c>
      <c r="H117" s="26" t="s">
        <v>1366</v>
      </c>
      <c r="L117" s="36"/>
    </row>
    <row r="118" spans="1:12">
      <c r="A118" s="7"/>
      <c r="B118" s="7"/>
      <c r="D118" s="7"/>
      <c r="E118" s="26" t="s">
        <v>3042</v>
      </c>
      <c r="F118" s="244">
        <v>-548.23</v>
      </c>
      <c r="H118" s="26" t="s">
        <v>1366</v>
      </c>
      <c r="L118" s="36"/>
    </row>
    <row r="119" spans="1:12">
      <c r="A119" s="7"/>
      <c r="B119" s="7"/>
      <c r="D119" s="7"/>
      <c r="E119" s="26" t="s">
        <v>3043</v>
      </c>
      <c r="F119" s="244">
        <v>-467.92</v>
      </c>
      <c r="H119" s="26" t="s">
        <v>1366</v>
      </c>
      <c r="L119" s="36"/>
    </row>
    <row r="120" spans="1:12">
      <c r="A120" s="7"/>
      <c r="B120" s="7"/>
      <c r="D120" s="7"/>
      <c r="E120" s="26" t="s">
        <v>3044</v>
      </c>
      <c r="F120" s="244">
        <v>-3085.04</v>
      </c>
      <c r="H120" s="26" t="s">
        <v>1366</v>
      </c>
      <c r="L120" s="36"/>
    </row>
    <row r="121" spans="1:12">
      <c r="A121" s="7"/>
      <c r="B121" s="7"/>
      <c r="D121" s="7"/>
      <c r="E121" s="26" t="s">
        <v>3045</v>
      </c>
      <c r="F121" s="244">
        <v>-4993.99</v>
      </c>
      <c r="H121" s="26" t="s">
        <v>1366</v>
      </c>
      <c r="L121" s="36"/>
    </row>
    <row r="122" spans="1:12">
      <c r="A122" s="7"/>
      <c r="B122" s="7"/>
      <c r="D122" s="7"/>
      <c r="E122" s="26" t="s">
        <v>3046</v>
      </c>
      <c r="F122" s="244">
        <v>-913.29</v>
      </c>
      <c r="H122" s="26" t="s">
        <v>1366</v>
      </c>
      <c r="L122" s="36"/>
    </row>
    <row r="123" spans="1:12">
      <c r="A123" s="7"/>
      <c r="B123" s="7"/>
      <c r="D123" s="7"/>
      <c r="E123" s="26" t="s">
        <v>3047</v>
      </c>
      <c r="F123" s="244">
        <v>-2825.75</v>
      </c>
      <c r="H123" s="26" t="s">
        <v>1366</v>
      </c>
      <c r="L123" s="36"/>
    </row>
    <row r="124" spans="1:12">
      <c r="A124" s="7"/>
      <c r="B124" s="7"/>
      <c r="D124" s="7"/>
      <c r="E124" s="26" t="s">
        <v>3048</v>
      </c>
      <c r="F124" s="244">
        <v>-3022.89</v>
      </c>
      <c r="H124" s="26" t="s">
        <v>1366</v>
      </c>
      <c r="L124" s="36"/>
    </row>
    <row r="125" spans="1:12">
      <c r="A125" s="7"/>
      <c r="B125" s="7"/>
      <c r="D125" s="7"/>
      <c r="E125" s="26" t="s">
        <v>3049</v>
      </c>
      <c r="F125" s="244">
        <v>-561</v>
      </c>
      <c r="H125" s="26" t="s">
        <v>1366</v>
      </c>
      <c r="L125" s="36"/>
    </row>
    <row r="126" spans="1:12">
      <c r="A126" s="7"/>
      <c r="B126" s="7"/>
      <c r="D126" s="7"/>
      <c r="E126" s="26" t="s">
        <v>3050</v>
      </c>
      <c r="F126" s="244">
        <v>-1512.32</v>
      </c>
      <c r="H126" s="26" t="s">
        <v>1366</v>
      </c>
      <c r="L126" s="36"/>
    </row>
    <row r="127" spans="1:12">
      <c r="A127" s="7"/>
      <c r="B127" s="7"/>
      <c r="D127" s="7"/>
      <c r="E127" s="26" t="s">
        <v>3051</v>
      </c>
      <c r="F127" s="244">
        <v>-1038.5899999999999</v>
      </c>
      <c r="H127" s="26" t="s">
        <v>1366</v>
      </c>
      <c r="L127" s="36"/>
    </row>
    <row r="128" spans="1:12">
      <c r="A128" s="7"/>
      <c r="B128" s="7"/>
      <c r="D128" s="7"/>
      <c r="E128" s="26" t="s">
        <v>3052</v>
      </c>
      <c r="F128" s="244">
        <v>-3126.82</v>
      </c>
      <c r="H128" s="26" t="s">
        <v>1366</v>
      </c>
      <c r="L128" s="36"/>
    </row>
    <row r="129" spans="1:12">
      <c r="A129" s="7"/>
      <c r="B129" s="7"/>
      <c r="D129" s="7"/>
      <c r="E129" s="26" t="s">
        <v>3053</v>
      </c>
      <c r="F129" s="244">
        <v>-871.78</v>
      </c>
      <c r="H129" s="26" t="s">
        <v>1366</v>
      </c>
      <c r="L129" s="36"/>
    </row>
    <row r="130" spans="1:12">
      <c r="A130" s="7"/>
      <c r="B130" s="7"/>
      <c r="D130" s="7"/>
      <c r="E130" s="26" t="s">
        <v>3054</v>
      </c>
      <c r="F130" s="244">
        <v>-2116.1799999999998</v>
      </c>
      <c r="H130" s="26" t="s">
        <v>1366</v>
      </c>
      <c r="L130" s="36"/>
    </row>
    <row r="131" spans="1:12">
      <c r="A131" s="7"/>
      <c r="B131" s="7"/>
      <c r="D131" s="7"/>
      <c r="E131" s="26" t="s">
        <v>3055</v>
      </c>
      <c r="F131" s="244">
        <v>-1038.5899999999999</v>
      </c>
      <c r="H131" s="26" t="s">
        <v>1366</v>
      </c>
      <c r="L131" s="36"/>
    </row>
    <row r="132" spans="1:12">
      <c r="A132" s="7"/>
      <c r="B132" s="7"/>
      <c r="D132" s="7"/>
      <c r="E132" s="26" t="s">
        <v>3056</v>
      </c>
      <c r="F132" s="244">
        <v>-850</v>
      </c>
      <c r="H132" s="26" t="s">
        <v>1366</v>
      </c>
      <c r="L132" s="36"/>
    </row>
    <row r="133" spans="1:12">
      <c r="A133" s="7"/>
      <c r="B133" s="7"/>
      <c r="D133" s="7"/>
      <c r="E133" s="26" t="s">
        <v>3057</v>
      </c>
      <c r="F133" s="244">
        <v>-4993.99</v>
      </c>
      <c r="H133" s="26" t="s">
        <v>1366</v>
      </c>
      <c r="L133" s="36"/>
    </row>
    <row r="134" spans="1:12">
      <c r="A134" s="7"/>
      <c r="B134" s="7"/>
      <c r="D134" s="7"/>
      <c r="E134" s="26" t="s">
        <v>3058</v>
      </c>
      <c r="F134" s="244">
        <v>-3149</v>
      </c>
      <c r="H134" s="26" t="s">
        <v>1366</v>
      </c>
      <c r="L134" s="36"/>
    </row>
    <row r="135" spans="1:12">
      <c r="A135" s="7"/>
      <c r="B135" s="7"/>
      <c r="D135" s="7"/>
      <c r="E135" s="26" t="s">
        <v>3059</v>
      </c>
      <c r="F135" s="244">
        <v>-2430.8200000000002</v>
      </c>
      <c r="H135" s="26" t="s">
        <v>1366</v>
      </c>
      <c r="L135" s="36"/>
    </row>
    <row r="136" spans="1:12">
      <c r="A136" s="7"/>
      <c r="B136" s="7"/>
      <c r="D136" s="7"/>
      <c r="E136" s="26" t="s">
        <v>3060</v>
      </c>
      <c r="F136" s="244">
        <v>-2654.02</v>
      </c>
      <c r="H136" s="26" t="s">
        <v>1366</v>
      </c>
      <c r="L136" s="36"/>
    </row>
    <row r="137" spans="1:12">
      <c r="A137" s="7"/>
      <c r="B137" s="7"/>
      <c r="D137" s="7"/>
      <c r="E137" s="26" t="s">
        <v>3061</v>
      </c>
      <c r="F137" s="244">
        <v>-845.58</v>
      </c>
      <c r="G137" s="27"/>
      <c r="H137" s="26" t="s">
        <v>1366</v>
      </c>
      <c r="L137" s="36"/>
    </row>
    <row r="138" spans="1:12">
      <c r="A138" s="7"/>
      <c r="B138" s="7"/>
      <c r="D138" s="7"/>
      <c r="E138" s="26" t="s">
        <v>3062</v>
      </c>
      <c r="F138" s="244">
        <v>-2431.56</v>
      </c>
      <c r="H138" s="26" t="s">
        <v>1366</v>
      </c>
      <c r="L138" s="36"/>
    </row>
    <row r="139" spans="1:12">
      <c r="A139" s="7"/>
      <c r="B139" s="7"/>
      <c r="D139" s="7"/>
      <c r="E139" s="26" t="s">
        <v>3063</v>
      </c>
      <c r="F139" s="244">
        <v>-6726.8</v>
      </c>
      <c r="H139" s="26" t="s">
        <v>1366</v>
      </c>
      <c r="L139" s="36"/>
    </row>
    <row r="140" spans="1:12">
      <c r="A140" s="7"/>
      <c r="B140" s="7"/>
      <c r="D140" s="7"/>
      <c r="E140" s="26" t="s">
        <v>3064</v>
      </c>
      <c r="F140" s="244">
        <v>-850</v>
      </c>
      <c r="H140" s="26" t="s">
        <v>1366</v>
      </c>
      <c r="L140" s="36"/>
    </row>
    <row r="141" spans="1:12">
      <c r="A141" s="7"/>
      <c r="B141" s="7"/>
      <c r="D141" s="7"/>
      <c r="E141" s="26" t="s">
        <v>3065</v>
      </c>
      <c r="F141" s="244">
        <v>-4314.24</v>
      </c>
      <c r="H141" s="26" t="s">
        <v>1366</v>
      </c>
      <c r="L141" s="36"/>
    </row>
    <row r="142" spans="1:12">
      <c r="A142" s="7"/>
      <c r="B142" s="7"/>
      <c r="D142" s="7"/>
      <c r="E142" s="26" t="s">
        <v>3066</v>
      </c>
      <c r="F142" s="244">
        <v>-34528</v>
      </c>
      <c r="H142" s="26" t="s">
        <v>1366</v>
      </c>
      <c r="L142" s="36"/>
    </row>
    <row r="143" spans="1:12">
      <c r="A143" s="7"/>
      <c r="B143" s="7"/>
      <c r="D143" s="7"/>
      <c r="E143" s="26" t="s">
        <v>3067</v>
      </c>
      <c r="F143" s="244">
        <v>-4181.1499999999996</v>
      </c>
      <c r="H143" s="26" t="s">
        <v>1366</v>
      </c>
      <c r="L143" s="36"/>
    </row>
    <row r="144" spans="1:12">
      <c r="A144" s="7"/>
      <c r="B144" s="7"/>
      <c r="D144" s="7"/>
      <c r="E144" s="26" t="s">
        <v>3068</v>
      </c>
      <c r="F144" s="244">
        <v>-468.1</v>
      </c>
      <c r="H144" s="26" t="s">
        <v>1366</v>
      </c>
      <c r="L144" s="36"/>
    </row>
    <row r="145" spans="1:12">
      <c r="A145" s="7"/>
      <c r="B145" s="7"/>
      <c r="D145" s="7"/>
      <c r="E145" s="26" t="s">
        <v>3069</v>
      </c>
      <c r="F145" s="244">
        <v>-850</v>
      </c>
      <c r="H145" s="26" t="s">
        <v>1366</v>
      </c>
      <c r="L145" s="36"/>
    </row>
    <row r="146" spans="1:12">
      <c r="A146" s="7"/>
      <c r="B146" s="7"/>
      <c r="D146" s="7"/>
      <c r="E146" s="26" t="s">
        <v>3070</v>
      </c>
      <c r="F146" s="244">
        <v>-4918.92</v>
      </c>
      <c r="H146" s="26" t="s">
        <v>1366</v>
      </c>
      <c r="L146" s="36"/>
    </row>
    <row r="147" spans="1:12">
      <c r="A147" s="7"/>
      <c r="B147" s="7"/>
      <c r="D147" s="7"/>
      <c r="E147" s="26" t="s">
        <v>3071</v>
      </c>
      <c r="F147" s="244">
        <v>-590.19000000000005</v>
      </c>
      <c r="H147" s="26" t="s">
        <v>1366</v>
      </c>
      <c r="L147" s="36"/>
    </row>
    <row r="148" spans="1:12">
      <c r="A148" s="7"/>
      <c r="B148" s="7"/>
      <c r="D148" s="7"/>
      <c r="E148" s="26" t="s">
        <v>3072</v>
      </c>
      <c r="F148" s="244">
        <v>-600.33000000000004</v>
      </c>
      <c r="H148" s="26" t="s">
        <v>1366</v>
      </c>
      <c r="L148" s="36"/>
    </row>
    <row r="149" spans="1:12">
      <c r="A149" s="7"/>
      <c r="B149" s="7"/>
      <c r="D149" s="7"/>
      <c r="E149" s="26" t="s">
        <v>3073</v>
      </c>
      <c r="F149" s="244">
        <v>-5505.5</v>
      </c>
      <c r="H149" s="26" t="s">
        <v>1366</v>
      </c>
      <c r="L149" s="36"/>
    </row>
    <row r="150" spans="1:12">
      <c r="A150" s="7"/>
      <c r="B150" s="7"/>
      <c r="D150" s="7"/>
      <c r="E150" s="26" t="s">
        <v>3074</v>
      </c>
      <c r="F150" s="244">
        <v>-1865.68</v>
      </c>
      <c r="H150" s="26" t="s">
        <v>1366</v>
      </c>
      <c r="L150" s="36"/>
    </row>
    <row r="151" spans="1:12">
      <c r="A151" s="7"/>
      <c r="B151" s="7"/>
      <c r="D151" s="7"/>
      <c r="E151" s="26" t="s">
        <v>3075</v>
      </c>
      <c r="F151" s="244">
        <v>-2432.56</v>
      </c>
      <c r="H151" s="26" t="s">
        <v>1366</v>
      </c>
      <c r="L151" s="36"/>
    </row>
    <row r="152" spans="1:12">
      <c r="A152" s="7"/>
      <c r="B152" s="7"/>
      <c r="D152" s="7"/>
      <c r="E152" s="26" t="s">
        <v>3076</v>
      </c>
      <c r="F152" s="244">
        <v>-1170.52</v>
      </c>
      <c r="H152" s="26" t="s">
        <v>1366</v>
      </c>
      <c r="L152" s="36"/>
    </row>
    <row r="153" spans="1:12">
      <c r="A153" s="7"/>
      <c r="B153" s="7"/>
      <c r="D153" s="7"/>
      <c r="E153" s="26" t="s">
        <v>3077</v>
      </c>
      <c r="F153" s="244">
        <v>-1122.0899999999999</v>
      </c>
      <c r="H153" s="26" t="s">
        <v>1366</v>
      </c>
      <c r="L153" s="36"/>
    </row>
    <row r="154" spans="1:12">
      <c r="A154" s="7"/>
      <c r="B154" s="7"/>
      <c r="D154" s="7"/>
      <c r="E154" s="26" t="s">
        <v>3078</v>
      </c>
      <c r="F154" s="244">
        <v>-2431.56</v>
      </c>
      <c r="H154" s="26" t="s">
        <v>1366</v>
      </c>
      <c r="L154" s="36"/>
    </row>
    <row r="155" spans="1:12">
      <c r="A155" s="7"/>
      <c r="B155" s="7"/>
      <c r="D155" s="7"/>
      <c r="E155" s="26" t="s">
        <v>3079</v>
      </c>
      <c r="F155" s="244">
        <v>-1126</v>
      </c>
      <c r="H155" s="26" t="s">
        <v>1366</v>
      </c>
      <c r="L155" s="36"/>
    </row>
    <row r="156" spans="1:12">
      <c r="A156" s="7"/>
      <c r="B156" s="7"/>
      <c r="D156" s="7"/>
      <c r="E156" s="26" t="s">
        <v>3080</v>
      </c>
      <c r="F156" s="244">
        <v>-68096</v>
      </c>
      <c r="H156" s="26" t="s">
        <v>1366</v>
      </c>
      <c r="L156" s="36"/>
    </row>
    <row r="157" spans="1:12">
      <c r="A157" s="7"/>
      <c r="B157" s="7"/>
      <c r="D157" s="7"/>
      <c r="E157" s="26" t="s">
        <v>3081</v>
      </c>
      <c r="F157" s="244">
        <v>-4411.5600000000004</v>
      </c>
      <c r="H157" s="26" t="s">
        <v>1366</v>
      </c>
      <c r="L157" s="36"/>
    </row>
    <row r="158" spans="1:12">
      <c r="A158" s="7"/>
      <c r="B158" s="7"/>
      <c r="D158" s="7"/>
      <c r="E158" s="26" t="s">
        <v>3082</v>
      </c>
      <c r="F158" s="244">
        <v>-1539.7</v>
      </c>
      <c r="H158" s="26" t="s">
        <v>1366</v>
      </c>
      <c r="L158" s="36"/>
    </row>
    <row r="159" spans="1:12">
      <c r="A159" s="7"/>
      <c r="B159" s="7"/>
      <c r="D159" s="7"/>
      <c r="E159" s="26" t="s">
        <v>3083</v>
      </c>
      <c r="F159" s="244">
        <v>-2251.64</v>
      </c>
      <c r="H159" s="26" t="s">
        <v>1366</v>
      </c>
      <c r="L159" s="36"/>
    </row>
    <row r="160" spans="1:12">
      <c r="A160" s="7"/>
      <c r="B160" s="7"/>
      <c r="D160" s="7"/>
      <c r="E160" s="26" t="s">
        <v>3084</v>
      </c>
      <c r="F160" s="244">
        <v>-2431.56</v>
      </c>
      <c r="H160" s="26" t="s">
        <v>1366</v>
      </c>
      <c r="L160" s="36"/>
    </row>
    <row r="161" spans="1:12">
      <c r="A161" s="7"/>
      <c r="B161" s="7"/>
      <c r="D161" s="7"/>
      <c r="E161" s="26" t="s">
        <v>3085</v>
      </c>
      <c r="F161" s="244">
        <v>-4197.34</v>
      </c>
      <c r="H161" s="26" t="s">
        <v>1366</v>
      </c>
      <c r="L161" s="36"/>
    </row>
    <row r="162" spans="1:12">
      <c r="A162" s="7"/>
      <c r="B162" s="7"/>
      <c r="D162" s="7"/>
      <c r="E162" s="26" t="s">
        <v>3086</v>
      </c>
      <c r="F162" s="244">
        <v>-69079.11</v>
      </c>
      <c r="H162" s="26" t="s">
        <v>1366</v>
      </c>
      <c r="L162" s="36"/>
    </row>
    <row r="163" spans="1:12">
      <c r="A163" s="7"/>
      <c r="B163" s="7"/>
      <c r="D163" s="7"/>
      <c r="E163" s="26" t="s">
        <v>3087</v>
      </c>
      <c r="F163" s="244">
        <v>-4411</v>
      </c>
      <c r="H163" s="26" t="s">
        <v>1366</v>
      </c>
      <c r="L163" s="36"/>
    </row>
    <row r="164" spans="1:12">
      <c r="A164" s="7"/>
      <c r="B164" s="7"/>
      <c r="D164" s="7"/>
      <c r="E164" s="26" t="s">
        <v>3088</v>
      </c>
      <c r="F164" s="244">
        <v>-4411</v>
      </c>
      <c r="H164" s="26" t="s">
        <v>1366</v>
      </c>
      <c r="L164" s="36"/>
    </row>
    <row r="165" spans="1:12">
      <c r="A165" s="7"/>
      <c r="B165" s="7"/>
      <c r="D165" s="7"/>
      <c r="E165" s="26" t="s">
        <v>3089</v>
      </c>
      <c r="F165" s="244">
        <v>-1672.62</v>
      </c>
      <c r="H165" s="26" t="s">
        <v>1366</v>
      </c>
      <c r="L165" s="36"/>
    </row>
    <row r="166" spans="1:12">
      <c r="A166" s="7"/>
      <c r="B166" s="7"/>
      <c r="D166" s="7"/>
      <c r="E166" s="26" t="s">
        <v>3090</v>
      </c>
      <c r="F166" s="244">
        <v>-5936</v>
      </c>
      <c r="H166" s="26" t="s">
        <v>1366</v>
      </c>
      <c r="L166" s="36"/>
    </row>
    <row r="167" spans="1:12">
      <c r="A167" s="7"/>
      <c r="B167" s="7"/>
      <c r="D167" s="7"/>
      <c r="E167" s="26" t="s">
        <v>3091</v>
      </c>
      <c r="F167" s="244">
        <v>-5585.32</v>
      </c>
      <c r="H167" s="26" t="s">
        <v>1366</v>
      </c>
      <c r="L167" s="36"/>
    </row>
    <row r="168" spans="1:12">
      <c r="A168" s="7"/>
      <c r="B168" s="7"/>
      <c r="D168" s="7"/>
      <c r="E168" s="26" t="s">
        <v>3092</v>
      </c>
      <c r="F168" s="244">
        <v>-850</v>
      </c>
      <c r="H168" s="26" t="s">
        <v>1366</v>
      </c>
      <c r="L168" s="36"/>
    </row>
    <row r="169" spans="1:12">
      <c r="A169" s="7"/>
      <c r="B169" s="7"/>
      <c r="D169" s="7"/>
      <c r="E169" s="26" t="s">
        <v>3093</v>
      </c>
      <c r="F169" s="244">
        <v>-7997</v>
      </c>
      <c r="H169" s="26" t="s">
        <v>1366</v>
      </c>
      <c r="L169" s="36"/>
    </row>
    <row r="170" spans="1:12">
      <c r="A170" s="7"/>
      <c r="B170" s="7"/>
      <c r="D170" s="7"/>
      <c r="E170" s="26" t="s">
        <v>3094</v>
      </c>
      <c r="F170" s="244">
        <v>-850</v>
      </c>
      <c r="H170" s="26" t="s">
        <v>1366</v>
      </c>
      <c r="L170" s="36"/>
    </row>
    <row r="171" spans="1:12">
      <c r="A171" s="7"/>
      <c r="B171" s="7"/>
      <c r="D171" s="7"/>
      <c r="E171" s="26" t="s">
        <v>3095</v>
      </c>
      <c r="F171" s="244">
        <v>-6904</v>
      </c>
      <c r="H171" s="26" t="s">
        <v>1366</v>
      </c>
      <c r="L171" s="36"/>
    </row>
    <row r="172" spans="1:12">
      <c r="A172" s="7"/>
      <c r="B172" s="7"/>
      <c r="D172" s="7"/>
      <c r="E172" s="26" t="s">
        <v>3096</v>
      </c>
      <c r="F172" s="244">
        <v>-4487</v>
      </c>
      <c r="H172" s="26" t="s">
        <v>1366</v>
      </c>
      <c r="L172" s="36"/>
    </row>
    <row r="173" spans="1:12">
      <c r="A173" s="7"/>
      <c r="B173" s="7"/>
      <c r="D173" s="7"/>
      <c r="E173" s="26" t="s">
        <v>3097</v>
      </c>
      <c r="F173" s="244">
        <v>-1643</v>
      </c>
      <c r="H173" s="26" t="s">
        <v>1366</v>
      </c>
      <c r="L173" s="36"/>
    </row>
    <row r="174" spans="1:12">
      <c r="A174" s="7"/>
      <c r="B174" s="7"/>
      <c r="D174" s="7"/>
      <c r="E174" s="26" t="s">
        <v>3098</v>
      </c>
      <c r="F174" s="244">
        <v>-2875.94</v>
      </c>
      <c r="H174" s="26" t="s">
        <v>1366</v>
      </c>
      <c r="L174" s="36"/>
    </row>
    <row r="175" spans="1:12">
      <c r="A175" s="7"/>
      <c r="B175" s="7"/>
      <c r="D175" s="7"/>
      <c r="E175" s="26" t="s">
        <v>3099</v>
      </c>
      <c r="F175" s="244">
        <v>-1122</v>
      </c>
      <c r="H175" s="26" t="s">
        <v>1366</v>
      </c>
      <c r="L175" s="36"/>
    </row>
    <row r="176" spans="1:12">
      <c r="A176" s="7"/>
      <c r="B176" s="7"/>
      <c r="D176" s="7"/>
      <c r="E176" s="26" t="s">
        <v>3100</v>
      </c>
      <c r="F176" s="244">
        <v>-2431.56</v>
      </c>
      <c r="H176" s="26" t="s">
        <v>1366</v>
      </c>
      <c r="L176" s="36"/>
    </row>
    <row r="177" spans="1:12">
      <c r="A177" s="7"/>
      <c r="B177" s="7"/>
      <c r="D177" s="7"/>
      <c r="E177" s="26" t="s">
        <v>3101</v>
      </c>
      <c r="F177" s="244">
        <v>-3687</v>
      </c>
      <c r="H177" s="26" t="s">
        <v>1366</v>
      </c>
      <c r="L177" s="36"/>
    </row>
    <row r="178" spans="1:12">
      <c r="A178" s="7"/>
      <c r="B178" s="7"/>
      <c r="D178" s="7"/>
      <c r="E178" s="26" t="s">
        <v>3102</v>
      </c>
      <c r="F178" s="244">
        <v>-4411</v>
      </c>
      <c r="H178" s="26" t="s">
        <v>1366</v>
      </c>
      <c r="L178" s="36"/>
    </row>
    <row r="179" spans="1:12">
      <c r="A179" s="7"/>
      <c r="B179" s="7"/>
      <c r="D179" s="7"/>
      <c r="E179" s="26" t="s">
        <v>3103</v>
      </c>
      <c r="F179" s="244">
        <v>-1519.53</v>
      </c>
      <c r="H179" s="26" t="s">
        <v>1366</v>
      </c>
      <c r="L179" s="36"/>
    </row>
    <row r="180" spans="1:12">
      <c r="A180" s="7"/>
      <c r="B180" s="7"/>
      <c r="D180" s="7"/>
      <c r="E180" s="26" t="s">
        <v>3104</v>
      </c>
      <c r="F180" s="244">
        <v>-3220</v>
      </c>
      <c r="H180" s="26" t="s">
        <v>1366</v>
      </c>
      <c r="L180" s="36"/>
    </row>
    <row r="181" spans="1:12">
      <c r="A181" s="7"/>
      <c r="B181" s="7"/>
      <c r="D181" s="7"/>
      <c r="E181" s="26" t="s">
        <v>3105</v>
      </c>
      <c r="F181" s="244">
        <v>-2895.24</v>
      </c>
      <c r="H181" s="26" t="s">
        <v>1366</v>
      </c>
      <c r="L181" s="36"/>
    </row>
    <row r="182" spans="1:12">
      <c r="A182" s="7"/>
      <c r="B182" s="7"/>
      <c r="D182" s="7"/>
      <c r="E182" s="26" t="s">
        <v>3106</v>
      </c>
      <c r="F182" s="244">
        <v>-17441</v>
      </c>
      <c r="H182" s="26" t="s">
        <v>1366</v>
      </c>
      <c r="L182" s="36"/>
    </row>
    <row r="183" spans="1:12">
      <c r="A183" s="7"/>
      <c r="B183" s="7"/>
      <c r="D183" s="7"/>
      <c r="E183" s="26" t="s">
        <v>3107</v>
      </c>
      <c r="F183" s="244">
        <v>-1122.77</v>
      </c>
      <c r="H183" s="26" t="s">
        <v>1366</v>
      </c>
      <c r="L183" s="36"/>
    </row>
    <row r="184" spans="1:12">
      <c r="A184" s="7"/>
      <c r="B184" s="7"/>
      <c r="D184" s="7"/>
      <c r="E184" s="26" t="s">
        <v>3108</v>
      </c>
      <c r="F184" s="244">
        <v>-3023</v>
      </c>
      <c r="H184" s="26" t="s">
        <v>1366</v>
      </c>
      <c r="L184" s="36"/>
    </row>
    <row r="185" spans="1:12">
      <c r="A185" s="7"/>
      <c r="B185" s="7"/>
      <c r="D185" s="7"/>
      <c r="E185" s="26" t="s">
        <v>3109</v>
      </c>
      <c r="F185" s="244">
        <v>-7256.38</v>
      </c>
      <c r="H185" s="26" t="s">
        <v>1366</v>
      </c>
      <c r="L185" s="36"/>
    </row>
    <row r="186" spans="1:12">
      <c r="A186" s="7"/>
      <c r="B186" s="7"/>
      <c r="D186" s="7"/>
      <c r="E186" s="26" t="s">
        <v>3110</v>
      </c>
      <c r="F186" s="244">
        <v>-10008.17</v>
      </c>
      <c r="H186" s="26" t="s">
        <v>1366</v>
      </c>
      <c r="L186" s="36"/>
    </row>
    <row r="187" spans="1:12">
      <c r="A187" s="7"/>
      <c r="B187" s="7"/>
      <c r="D187" s="7"/>
      <c r="E187" s="26" t="s">
        <v>3111</v>
      </c>
      <c r="F187" s="244">
        <v>-3299.55</v>
      </c>
      <c r="H187" s="26" t="s">
        <v>1366</v>
      </c>
      <c r="L187" s="36"/>
    </row>
    <row r="188" spans="1:12">
      <c r="A188" s="7"/>
      <c r="B188" s="7"/>
      <c r="D188" s="7"/>
      <c r="E188" s="26" t="s">
        <v>3112</v>
      </c>
      <c r="F188" s="244">
        <v>-2523.62</v>
      </c>
      <c r="H188" s="26" t="s">
        <v>1366</v>
      </c>
      <c r="L188" s="36"/>
    </row>
    <row r="189" spans="1:12">
      <c r="A189" s="7"/>
      <c r="B189" s="7"/>
      <c r="D189" s="7"/>
      <c r="E189" s="26" t="s">
        <v>3113</v>
      </c>
      <c r="F189" s="244">
        <v>-2586.34</v>
      </c>
      <c r="H189" s="26" t="s">
        <v>1366</v>
      </c>
      <c r="L189" s="36"/>
    </row>
    <row r="190" spans="1:12">
      <c r="A190" s="7"/>
      <c r="B190" s="7"/>
      <c r="D190" s="7"/>
      <c r="E190" s="26" t="s">
        <v>3114</v>
      </c>
      <c r="F190" s="244">
        <v>-2500.79</v>
      </c>
      <c r="H190" s="26" t="s">
        <v>1366</v>
      </c>
      <c r="L190" s="36"/>
    </row>
    <row r="191" spans="1:12">
      <c r="A191" s="7"/>
      <c r="B191" s="7"/>
      <c r="D191" s="7"/>
      <c r="E191" s="26" t="s">
        <v>3115</v>
      </c>
      <c r="F191" s="244">
        <v>-4682.17</v>
      </c>
      <c r="H191" s="26" t="s">
        <v>1366</v>
      </c>
      <c r="L191" s="36"/>
    </row>
    <row r="192" spans="1:12">
      <c r="A192" s="7"/>
      <c r="B192" s="7"/>
      <c r="D192" s="7"/>
      <c r="E192" s="26" t="s">
        <v>3116</v>
      </c>
      <c r="F192" s="244">
        <v>-3081.19</v>
      </c>
      <c r="H192" s="26" t="s">
        <v>1366</v>
      </c>
      <c r="L192" s="36"/>
    </row>
    <row r="193" spans="1:12">
      <c r="A193" s="7"/>
      <c r="B193" s="7"/>
      <c r="D193" s="7"/>
      <c r="E193" s="26" t="s">
        <v>3117</v>
      </c>
      <c r="F193" s="244">
        <v>-1531.59</v>
      </c>
      <c r="H193" s="26" t="s">
        <v>1366</v>
      </c>
      <c r="L193" s="36"/>
    </row>
    <row r="194" spans="1:12">
      <c r="A194" s="248"/>
      <c r="B194" s="7"/>
      <c r="D194" s="7"/>
      <c r="E194" s="26" t="s">
        <v>3118</v>
      </c>
      <c r="F194" s="244">
        <v>1286.78</v>
      </c>
      <c r="H194" s="26" t="s">
        <v>1366</v>
      </c>
      <c r="L194" s="36"/>
    </row>
    <row r="195" spans="1:12">
      <c r="A195" s="7" t="s">
        <v>1528</v>
      </c>
      <c r="B195" s="7" t="s">
        <v>1369</v>
      </c>
      <c r="C195" s="26" t="s">
        <v>1005</v>
      </c>
      <c r="D195" s="7" t="s">
        <v>3119</v>
      </c>
      <c r="E195" s="26" t="s">
        <v>1005</v>
      </c>
      <c r="F195" s="244">
        <v>0</v>
      </c>
      <c r="H195" s="26" t="s">
        <v>1366</v>
      </c>
      <c r="L195" s="36"/>
    </row>
    <row r="196" spans="1:12">
      <c r="A196" s="7"/>
      <c r="B196" s="7"/>
      <c r="D196" s="7" t="s">
        <v>3120</v>
      </c>
      <c r="E196" s="26" t="s">
        <v>1005</v>
      </c>
      <c r="F196" s="244">
        <v>0</v>
      </c>
      <c r="H196" s="26" t="s">
        <v>1366</v>
      </c>
      <c r="L196" s="36"/>
    </row>
    <row r="197" spans="1:12">
      <c r="A197" s="7"/>
      <c r="B197" s="7"/>
      <c r="D197" s="7" t="s">
        <v>3121</v>
      </c>
      <c r="E197" s="26" t="s">
        <v>1005</v>
      </c>
      <c r="F197" s="244">
        <v>0</v>
      </c>
      <c r="H197" s="26" t="s">
        <v>1366</v>
      </c>
      <c r="L197" s="36"/>
    </row>
    <row r="198" spans="1:12">
      <c r="A198" s="7"/>
      <c r="B198" s="7"/>
      <c r="D198" s="7" t="s">
        <v>3122</v>
      </c>
      <c r="E198" s="26" t="s">
        <v>1005</v>
      </c>
      <c r="F198" s="244">
        <v>0</v>
      </c>
      <c r="H198" s="26" t="s">
        <v>1366</v>
      </c>
      <c r="L198" s="36"/>
    </row>
    <row r="199" spans="1:12">
      <c r="A199" s="7"/>
      <c r="B199" s="7"/>
      <c r="D199" s="7" t="s">
        <v>3123</v>
      </c>
      <c r="E199" s="26" t="s">
        <v>1005</v>
      </c>
      <c r="F199" s="244">
        <v>0</v>
      </c>
      <c r="H199" s="26" t="s">
        <v>1366</v>
      </c>
      <c r="L199" s="36"/>
    </row>
    <row r="200" spans="1:12">
      <c r="A200" s="7"/>
      <c r="B200" s="7"/>
      <c r="D200" s="7" t="s">
        <v>3124</v>
      </c>
      <c r="E200" s="26" t="s">
        <v>1005</v>
      </c>
      <c r="F200" s="244">
        <v>0</v>
      </c>
      <c r="H200" s="26" t="s">
        <v>1366</v>
      </c>
      <c r="L200" s="36"/>
    </row>
    <row r="201" spans="1:12">
      <c r="A201" s="7"/>
      <c r="B201" s="7"/>
      <c r="D201" s="7" t="s">
        <v>3125</v>
      </c>
      <c r="E201" s="26" t="s">
        <v>1005</v>
      </c>
      <c r="F201" s="244">
        <v>0</v>
      </c>
      <c r="H201" s="26" t="s">
        <v>1366</v>
      </c>
      <c r="L201" s="36"/>
    </row>
    <row r="202" spans="1:12">
      <c r="A202" s="7"/>
      <c r="B202" s="7"/>
      <c r="D202" s="7" t="s">
        <v>3126</v>
      </c>
      <c r="E202" s="26" t="s">
        <v>1005</v>
      </c>
      <c r="F202" s="244">
        <v>0</v>
      </c>
      <c r="H202" s="26" t="s">
        <v>1366</v>
      </c>
      <c r="L202" s="36"/>
    </row>
    <row r="203" spans="1:12">
      <c r="A203" s="7"/>
      <c r="B203" s="7"/>
      <c r="D203" s="7" t="s">
        <v>3127</v>
      </c>
      <c r="E203" s="26" t="s">
        <v>1005</v>
      </c>
      <c r="F203" s="244">
        <v>0</v>
      </c>
      <c r="H203" s="26" t="s">
        <v>1366</v>
      </c>
      <c r="L203" s="36"/>
    </row>
    <row r="204" spans="1:12">
      <c r="A204" s="7"/>
      <c r="B204" s="7"/>
      <c r="D204" s="7" t="s">
        <v>3128</v>
      </c>
      <c r="E204" s="26" t="s">
        <v>1005</v>
      </c>
      <c r="F204" s="244">
        <v>0</v>
      </c>
      <c r="H204" s="26" t="s">
        <v>1366</v>
      </c>
      <c r="L204" s="36"/>
    </row>
    <row r="205" spans="1:12">
      <c r="A205" s="7"/>
      <c r="B205" s="7"/>
      <c r="D205" s="7" t="s">
        <v>3129</v>
      </c>
      <c r="E205" s="26" t="s">
        <v>1005</v>
      </c>
      <c r="F205" s="244">
        <v>0</v>
      </c>
      <c r="H205" s="26" t="s">
        <v>1366</v>
      </c>
      <c r="L205" s="36"/>
    </row>
    <row r="206" spans="1:12">
      <c r="A206" s="7"/>
      <c r="B206" s="7"/>
      <c r="D206" s="7" t="s">
        <v>3130</v>
      </c>
      <c r="E206" s="26" t="s">
        <v>1005</v>
      </c>
      <c r="F206" s="244">
        <v>0</v>
      </c>
      <c r="H206" s="26" t="s">
        <v>1366</v>
      </c>
      <c r="L206" s="36"/>
    </row>
    <row r="207" spans="1:12">
      <c r="A207" s="7"/>
      <c r="B207" s="7"/>
      <c r="D207" s="7" t="s">
        <v>3131</v>
      </c>
      <c r="E207" s="26" t="s">
        <v>1005</v>
      </c>
      <c r="F207" s="244">
        <v>0</v>
      </c>
      <c r="H207" s="26" t="s">
        <v>1366</v>
      </c>
      <c r="L207" s="36"/>
    </row>
    <row r="208" spans="1:12">
      <c r="A208" s="7"/>
      <c r="B208" s="7"/>
      <c r="D208" s="7" t="s">
        <v>3132</v>
      </c>
      <c r="E208" s="26" t="s">
        <v>1005</v>
      </c>
      <c r="F208" s="244">
        <v>0</v>
      </c>
      <c r="H208" s="26" t="s">
        <v>1366</v>
      </c>
      <c r="L208" s="36"/>
    </row>
    <row r="209" spans="1:12">
      <c r="A209" s="7"/>
      <c r="B209" s="7"/>
      <c r="D209" s="7" t="s">
        <v>3133</v>
      </c>
      <c r="E209" s="26" t="s">
        <v>1005</v>
      </c>
      <c r="F209" s="244">
        <v>0</v>
      </c>
      <c r="H209" s="26" t="s">
        <v>1366</v>
      </c>
      <c r="L209" s="36"/>
    </row>
    <row r="210" spans="1:12">
      <c r="A210" s="7"/>
      <c r="B210" s="7"/>
      <c r="D210" s="7" t="s">
        <v>3134</v>
      </c>
      <c r="E210" s="26" t="s">
        <v>1005</v>
      </c>
      <c r="F210" s="244">
        <v>0</v>
      </c>
      <c r="H210" s="26" t="s">
        <v>1366</v>
      </c>
      <c r="L210" s="36"/>
    </row>
    <row r="211" spans="1:12">
      <c r="A211" s="7"/>
      <c r="B211" s="7"/>
      <c r="D211" s="7" t="s">
        <v>3135</v>
      </c>
      <c r="E211" s="26" t="s">
        <v>1005</v>
      </c>
      <c r="F211" s="244">
        <v>0</v>
      </c>
      <c r="H211" s="26" t="s">
        <v>1366</v>
      </c>
      <c r="L211" s="36"/>
    </row>
    <row r="212" spans="1:12">
      <c r="A212" s="7"/>
      <c r="B212" s="7"/>
      <c r="D212" s="7" t="s">
        <v>3136</v>
      </c>
      <c r="E212" s="26" t="s">
        <v>1005</v>
      </c>
      <c r="F212" s="244">
        <v>0</v>
      </c>
      <c r="H212" s="26" t="s">
        <v>1366</v>
      </c>
      <c r="L212" s="36"/>
    </row>
    <row r="213" spans="1:12">
      <c r="A213" s="7"/>
      <c r="B213" s="7"/>
      <c r="D213" s="7" t="s">
        <v>3137</v>
      </c>
      <c r="E213" s="26" t="s">
        <v>1005</v>
      </c>
      <c r="F213" s="244">
        <v>0</v>
      </c>
      <c r="H213" s="26" t="s">
        <v>1366</v>
      </c>
      <c r="L213" s="36"/>
    </row>
    <row r="214" spans="1:12">
      <c r="A214" s="7"/>
      <c r="B214" s="7"/>
      <c r="D214" s="7" t="s">
        <v>3138</v>
      </c>
      <c r="E214" s="26" t="s">
        <v>1005</v>
      </c>
      <c r="F214" s="244">
        <v>0</v>
      </c>
      <c r="H214" s="26" t="s">
        <v>1366</v>
      </c>
      <c r="L214" s="36"/>
    </row>
    <row r="215" spans="1:12">
      <c r="A215" s="7"/>
      <c r="B215" s="7"/>
      <c r="D215" s="7" t="s">
        <v>3139</v>
      </c>
      <c r="E215" s="26" t="s">
        <v>1005</v>
      </c>
      <c r="F215" s="244">
        <v>0</v>
      </c>
      <c r="H215" s="26" t="s">
        <v>1366</v>
      </c>
      <c r="L215" s="36"/>
    </row>
    <row r="216" spans="1:12">
      <c r="A216" s="7"/>
      <c r="B216" s="7"/>
      <c r="D216" s="7" t="s">
        <v>3140</v>
      </c>
      <c r="E216" s="26" t="s">
        <v>1005</v>
      </c>
      <c r="F216" s="244">
        <v>0</v>
      </c>
      <c r="H216" s="26" t="s">
        <v>1366</v>
      </c>
      <c r="L216" s="36"/>
    </row>
    <row r="217" spans="1:12">
      <c r="A217" s="7"/>
      <c r="B217" s="7"/>
      <c r="D217" s="7" t="s">
        <v>3141</v>
      </c>
      <c r="E217" s="26" t="s">
        <v>1005</v>
      </c>
      <c r="F217" s="244">
        <v>0</v>
      </c>
      <c r="H217" s="26" t="s">
        <v>1366</v>
      </c>
      <c r="L217" s="36"/>
    </row>
    <row r="218" spans="1:12">
      <c r="A218" s="7"/>
      <c r="B218" s="7"/>
      <c r="D218" s="7" t="s">
        <v>3142</v>
      </c>
      <c r="E218" s="26" t="s">
        <v>1005</v>
      </c>
      <c r="F218" s="244">
        <v>0</v>
      </c>
      <c r="H218" s="26" t="s">
        <v>1366</v>
      </c>
      <c r="L218" s="36"/>
    </row>
    <row r="219" spans="1:12">
      <c r="A219" s="7"/>
      <c r="B219" s="7"/>
      <c r="D219" s="7" t="s">
        <v>3143</v>
      </c>
      <c r="E219" s="26" t="s">
        <v>1005</v>
      </c>
      <c r="F219" s="244">
        <v>0</v>
      </c>
      <c r="H219" s="26" t="s">
        <v>1366</v>
      </c>
      <c r="L219" s="36"/>
    </row>
    <row r="220" spans="1:12">
      <c r="A220" s="7"/>
      <c r="B220" s="7"/>
      <c r="D220" s="7" t="s">
        <v>3144</v>
      </c>
      <c r="E220" s="26" t="s">
        <v>1005</v>
      </c>
      <c r="F220" s="244">
        <v>0</v>
      </c>
      <c r="H220" s="26" t="s">
        <v>1366</v>
      </c>
      <c r="L220" s="36"/>
    </row>
    <row r="221" spans="1:12">
      <c r="A221" s="7"/>
      <c r="B221" s="7"/>
      <c r="D221" s="7" t="s">
        <v>3145</v>
      </c>
      <c r="E221" s="26" t="s">
        <v>1005</v>
      </c>
      <c r="F221" s="244">
        <v>0</v>
      </c>
      <c r="H221" s="26" t="s">
        <v>1366</v>
      </c>
      <c r="L221" s="36"/>
    </row>
    <row r="222" spans="1:12">
      <c r="A222" s="7"/>
      <c r="B222" s="7"/>
      <c r="D222" s="7" t="s">
        <v>3146</v>
      </c>
      <c r="E222" s="26" t="s">
        <v>1005</v>
      </c>
      <c r="F222" s="244">
        <v>0</v>
      </c>
      <c r="H222" s="26" t="s">
        <v>1366</v>
      </c>
      <c r="L222" s="36"/>
    </row>
    <row r="223" spans="1:12">
      <c r="A223" s="7"/>
      <c r="B223" s="7"/>
      <c r="D223" s="7" t="s">
        <v>3147</v>
      </c>
      <c r="E223" s="26" t="s">
        <v>1005</v>
      </c>
      <c r="F223" s="244">
        <v>0</v>
      </c>
      <c r="H223" s="26" t="s">
        <v>1366</v>
      </c>
      <c r="L223" s="36"/>
    </row>
    <row r="224" spans="1:12">
      <c r="A224" s="7"/>
      <c r="B224" s="7"/>
      <c r="D224" s="7" t="s">
        <v>3148</v>
      </c>
      <c r="E224" s="26" t="s">
        <v>1005</v>
      </c>
      <c r="F224" s="244">
        <v>0</v>
      </c>
      <c r="H224" s="26" t="s">
        <v>1366</v>
      </c>
      <c r="L224" s="36"/>
    </row>
    <row r="225" spans="1:12">
      <c r="A225" s="7"/>
      <c r="B225" s="7"/>
      <c r="D225" s="7" t="s">
        <v>3149</v>
      </c>
      <c r="E225" s="26" t="s">
        <v>1005</v>
      </c>
      <c r="F225" s="244">
        <v>0</v>
      </c>
      <c r="H225" s="26" t="s">
        <v>1366</v>
      </c>
      <c r="L225" s="36"/>
    </row>
    <row r="226" spans="1:12">
      <c r="A226" s="7"/>
      <c r="B226" s="7"/>
      <c r="D226" s="7" t="s">
        <v>3150</v>
      </c>
      <c r="E226" s="26" t="s">
        <v>1005</v>
      </c>
      <c r="F226" s="244">
        <v>0</v>
      </c>
      <c r="H226" s="26" t="s">
        <v>1366</v>
      </c>
      <c r="L226" s="36"/>
    </row>
    <row r="227" spans="1:12">
      <c r="A227" s="7"/>
      <c r="B227" s="7"/>
      <c r="D227" s="7" t="s">
        <v>3151</v>
      </c>
      <c r="E227" s="26" t="s">
        <v>1005</v>
      </c>
      <c r="F227" s="244">
        <v>0</v>
      </c>
      <c r="H227" s="26" t="s">
        <v>1366</v>
      </c>
      <c r="L227" s="36"/>
    </row>
    <row r="228" spans="1:12">
      <c r="A228" s="7"/>
      <c r="B228" s="7"/>
      <c r="D228" s="7" t="s">
        <v>3152</v>
      </c>
      <c r="E228" s="26" t="s">
        <v>1005</v>
      </c>
      <c r="F228" s="244">
        <v>0</v>
      </c>
      <c r="H228" s="26" t="s">
        <v>1366</v>
      </c>
      <c r="L228" s="36"/>
    </row>
    <row r="229" spans="1:12">
      <c r="A229" s="7"/>
      <c r="B229" s="7"/>
      <c r="D229" s="7" t="s">
        <v>3153</v>
      </c>
      <c r="E229" s="26" t="s">
        <v>1005</v>
      </c>
      <c r="F229" s="244">
        <v>0</v>
      </c>
      <c r="H229" s="26" t="s">
        <v>1366</v>
      </c>
      <c r="L229" s="36"/>
    </row>
    <row r="230" spans="1:12">
      <c r="A230" s="7"/>
      <c r="B230" s="7"/>
      <c r="D230" s="7" t="s">
        <v>3154</v>
      </c>
      <c r="E230" s="26" t="s">
        <v>1005</v>
      </c>
      <c r="F230" s="244">
        <v>0</v>
      </c>
      <c r="H230" s="26" t="s">
        <v>1366</v>
      </c>
      <c r="L230" s="36"/>
    </row>
    <row r="231" spans="1:12">
      <c r="A231" s="7"/>
      <c r="B231" s="7"/>
      <c r="D231" s="7" t="s">
        <v>3155</v>
      </c>
      <c r="E231" s="26" t="s">
        <v>1005</v>
      </c>
      <c r="F231" s="244">
        <v>0</v>
      </c>
      <c r="H231" s="26" t="s">
        <v>1366</v>
      </c>
      <c r="L231" s="36"/>
    </row>
    <row r="232" spans="1:12">
      <c r="A232" s="7"/>
      <c r="B232" s="7"/>
      <c r="D232" s="7" t="s">
        <v>3156</v>
      </c>
      <c r="E232" s="26" t="s">
        <v>1005</v>
      </c>
      <c r="F232" s="244">
        <v>0</v>
      </c>
      <c r="H232" s="26" t="s">
        <v>1366</v>
      </c>
      <c r="L232" s="36"/>
    </row>
    <row r="233" spans="1:12">
      <c r="A233" s="7"/>
      <c r="B233" s="7"/>
      <c r="D233" s="7" t="s">
        <v>3157</v>
      </c>
      <c r="E233" s="26" t="s">
        <v>1005</v>
      </c>
      <c r="F233" s="244">
        <v>0</v>
      </c>
      <c r="H233" s="26" t="s">
        <v>1366</v>
      </c>
      <c r="L233" s="36"/>
    </row>
    <row r="234" spans="1:12">
      <c r="A234" s="7"/>
      <c r="B234" s="7"/>
      <c r="D234" s="7" t="s">
        <v>3158</v>
      </c>
      <c r="E234" s="26" t="s">
        <v>1005</v>
      </c>
      <c r="F234" s="244">
        <v>0</v>
      </c>
      <c r="H234" s="26" t="s">
        <v>1366</v>
      </c>
      <c r="L234" s="36"/>
    </row>
    <row r="235" spans="1:12">
      <c r="A235" s="7"/>
      <c r="B235" s="7"/>
      <c r="D235" s="7" t="s">
        <v>3159</v>
      </c>
      <c r="E235" s="26" t="s">
        <v>1005</v>
      </c>
      <c r="F235" s="244">
        <v>0</v>
      </c>
      <c r="H235" s="26" t="s">
        <v>1366</v>
      </c>
      <c r="L235" s="36"/>
    </row>
    <row r="236" spans="1:12">
      <c r="A236" s="7"/>
      <c r="B236" s="7"/>
      <c r="D236" s="7" t="s">
        <v>3160</v>
      </c>
      <c r="E236" s="26" t="s">
        <v>1005</v>
      </c>
      <c r="F236" s="244">
        <v>0</v>
      </c>
      <c r="H236" s="26" t="s">
        <v>1366</v>
      </c>
      <c r="L236" s="36"/>
    </row>
    <row r="237" spans="1:12">
      <c r="A237" s="7"/>
      <c r="B237" s="7"/>
      <c r="D237" s="7" t="s">
        <v>3161</v>
      </c>
      <c r="E237" s="26" t="s">
        <v>1005</v>
      </c>
      <c r="F237" s="244">
        <v>0</v>
      </c>
      <c r="H237" s="26" t="s">
        <v>1366</v>
      </c>
      <c r="L237" s="36"/>
    </row>
    <row r="238" spans="1:12">
      <c r="A238" s="7"/>
      <c r="B238" s="7"/>
      <c r="D238" s="7" t="s">
        <v>3162</v>
      </c>
      <c r="E238" s="26" t="s">
        <v>1005</v>
      </c>
      <c r="F238" s="244">
        <v>0</v>
      </c>
      <c r="H238" s="26" t="s">
        <v>1366</v>
      </c>
      <c r="L238" s="36"/>
    </row>
    <row r="239" spans="1:12">
      <c r="A239" s="7"/>
      <c r="B239" s="7"/>
      <c r="D239" s="7" t="s">
        <v>3163</v>
      </c>
      <c r="E239" s="26" t="s">
        <v>1005</v>
      </c>
      <c r="F239" s="244">
        <v>0</v>
      </c>
      <c r="H239" s="26" t="s">
        <v>1366</v>
      </c>
      <c r="L239" s="36"/>
    </row>
    <row r="240" spans="1:12">
      <c r="A240" s="7"/>
      <c r="B240" s="7"/>
      <c r="D240" s="7" t="s">
        <v>3164</v>
      </c>
      <c r="E240" s="26" t="s">
        <v>1005</v>
      </c>
      <c r="F240" s="244">
        <v>0</v>
      </c>
      <c r="H240" s="26" t="s">
        <v>1366</v>
      </c>
      <c r="L240" s="36"/>
    </row>
    <row r="241" spans="1:12">
      <c r="A241" s="7"/>
      <c r="B241" s="7"/>
      <c r="D241" s="7" t="s">
        <v>3165</v>
      </c>
      <c r="E241" s="26" t="s">
        <v>1005</v>
      </c>
      <c r="F241" s="244">
        <v>0</v>
      </c>
      <c r="H241" s="26" t="s">
        <v>1366</v>
      </c>
      <c r="L241" s="36"/>
    </row>
    <row r="242" spans="1:12">
      <c r="A242" s="7"/>
      <c r="B242" s="7"/>
      <c r="D242" s="7" t="s">
        <v>3166</v>
      </c>
      <c r="E242" s="26" t="s">
        <v>1005</v>
      </c>
      <c r="F242" s="244">
        <v>0</v>
      </c>
      <c r="H242" s="26" t="s">
        <v>1366</v>
      </c>
      <c r="L242" s="36"/>
    </row>
    <row r="243" spans="1:12">
      <c r="A243" s="7"/>
      <c r="B243" s="7"/>
      <c r="D243" s="7" t="s">
        <v>3167</v>
      </c>
      <c r="E243" s="26" t="s">
        <v>1005</v>
      </c>
      <c r="F243" s="244">
        <v>0</v>
      </c>
      <c r="H243" s="26" t="s">
        <v>1366</v>
      </c>
      <c r="L243" s="36"/>
    </row>
    <row r="244" spans="1:12">
      <c r="A244" s="7"/>
      <c r="B244" s="7"/>
      <c r="D244" s="7" t="s">
        <v>3168</v>
      </c>
      <c r="E244" s="26" t="s">
        <v>1005</v>
      </c>
      <c r="F244" s="244">
        <v>0</v>
      </c>
      <c r="H244" s="26" t="s">
        <v>1366</v>
      </c>
      <c r="L244" s="36"/>
    </row>
    <row r="245" spans="1:12">
      <c r="A245" s="7"/>
      <c r="B245" s="7"/>
      <c r="D245" s="7" t="s">
        <v>3169</v>
      </c>
      <c r="E245" s="26" t="s">
        <v>1005</v>
      </c>
      <c r="F245" s="244">
        <v>0</v>
      </c>
      <c r="H245" s="26" t="s">
        <v>1366</v>
      </c>
      <c r="L245" s="36"/>
    </row>
    <row r="246" spans="1:12">
      <c r="A246" s="7"/>
      <c r="B246" s="7"/>
      <c r="D246" s="7" t="s">
        <v>3170</v>
      </c>
      <c r="E246" s="26" t="s">
        <v>1005</v>
      </c>
      <c r="F246" s="244">
        <v>0</v>
      </c>
      <c r="H246" s="26" t="s">
        <v>1366</v>
      </c>
      <c r="L246" s="36"/>
    </row>
    <row r="247" spans="1:12">
      <c r="A247" s="7"/>
      <c r="B247" s="7"/>
      <c r="D247" s="7" t="s">
        <v>3171</v>
      </c>
      <c r="E247" s="26" t="s">
        <v>1005</v>
      </c>
      <c r="F247" s="244">
        <v>0</v>
      </c>
      <c r="H247" s="26" t="s">
        <v>1366</v>
      </c>
      <c r="L247" s="36"/>
    </row>
    <row r="248" spans="1:12">
      <c r="A248" s="7"/>
      <c r="B248" s="7"/>
      <c r="D248" s="7" t="s">
        <v>3172</v>
      </c>
      <c r="E248" s="26" t="s">
        <v>1005</v>
      </c>
      <c r="F248" s="244">
        <v>0</v>
      </c>
      <c r="H248" s="26" t="s">
        <v>1366</v>
      </c>
      <c r="L248" s="36"/>
    </row>
    <row r="249" spans="1:12">
      <c r="A249" s="7"/>
      <c r="B249" s="7"/>
      <c r="D249" s="7" t="s">
        <v>3173</v>
      </c>
      <c r="E249" s="26" t="s">
        <v>1005</v>
      </c>
      <c r="F249" s="244">
        <v>0</v>
      </c>
      <c r="H249" s="26" t="s">
        <v>1366</v>
      </c>
      <c r="L249" s="36"/>
    </row>
    <row r="250" spans="1:12">
      <c r="A250" s="7"/>
      <c r="B250" s="7"/>
      <c r="D250" s="7" t="s">
        <v>3174</v>
      </c>
      <c r="E250" s="26" t="s">
        <v>1005</v>
      </c>
      <c r="F250" s="244">
        <v>0</v>
      </c>
      <c r="H250" s="26" t="s">
        <v>1366</v>
      </c>
      <c r="L250" s="36"/>
    </row>
    <row r="251" spans="1:12">
      <c r="A251" s="7"/>
      <c r="B251" s="7"/>
      <c r="D251" s="7" t="s">
        <v>3175</v>
      </c>
      <c r="E251" s="26" t="s">
        <v>1005</v>
      </c>
      <c r="F251" s="244">
        <v>0</v>
      </c>
      <c r="H251" s="26" t="s">
        <v>1366</v>
      </c>
      <c r="L251" s="36"/>
    </row>
    <row r="252" spans="1:12">
      <c r="A252" s="7"/>
      <c r="B252" s="7"/>
      <c r="D252" s="7" t="s">
        <v>3176</v>
      </c>
      <c r="E252" s="26" t="s">
        <v>1005</v>
      </c>
      <c r="F252" s="244">
        <v>0</v>
      </c>
      <c r="H252" s="26" t="s">
        <v>1366</v>
      </c>
      <c r="L252" s="36"/>
    </row>
    <row r="253" spans="1:12">
      <c r="A253" s="7"/>
      <c r="B253" s="7"/>
      <c r="D253" s="7" t="s">
        <v>3177</v>
      </c>
      <c r="E253" s="26" t="s">
        <v>1005</v>
      </c>
      <c r="F253" s="244">
        <v>0</v>
      </c>
      <c r="H253" s="26" t="s">
        <v>1366</v>
      </c>
      <c r="L253" s="36"/>
    </row>
    <row r="254" spans="1:12">
      <c r="A254" s="7"/>
      <c r="B254" s="7"/>
      <c r="D254" s="7" t="s">
        <v>3178</v>
      </c>
      <c r="E254" s="26" t="s">
        <v>1005</v>
      </c>
      <c r="F254" s="244">
        <v>0</v>
      </c>
      <c r="H254" s="26" t="s">
        <v>1366</v>
      </c>
      <c r="L254" s="36"/>
    </row>
    <row r="255" spans="1:12">
      <c r="A255" s="7"/>
      <c r="B255" s="7"/>
      <c r="D255" s="7" t="s">
        <v>3179</v>
      </c>
      <c r="E255" s="26" t="s">
        <v>1005</v>
      </c>
      <c r="F255" s="244">
        <v>0</v>
      </c>
      <c r="H255" s="26" t="s">
        <v>1366</v>
      </c>
      <c r="L255" s="36"/>
    </row>
    <row r="256" spans="1:12">
      <c r="A256" s="7"/>
      <c r="B256" s="7"/>
      <c r="D256" s="7" t="s">
        <v>3180</v>
      </c>
      <c r="E256" s="26" t="s">
        <v>1005</v>
      </c>
      <c r="F256" s="244">
        <v>0</v>
      </c>
      <c r="H256" s="26" t="s">
        <v>1366</v>
      </c>
      <c r="L256" s="36"/>
    </row>
    <row r="257" spans="1:12">
      <c r="A257" s="7"/>
      <c r="B257" s="7"/>
      <c r="D257" s="7" t="s">
        <v>3181</v>
      </c>
      <c r="E257" s="26" t="s">
        <v>1005</v>
      </c>
      <c r="F257" s="244">
        <v>0</v>
      </c>
      <c r="H257" s="26" t="s">
        <v>1366</v>
      </c>
      <c r="L257" s="36"/>
    </row>
    <row r="258" spans="1:12">
      <c r="A258" s="7"/>
      <c r="B258" s="7"/>
      <c r="D258" s="7" t="s">
        <v>3182</v>
      </c>
      <c r="E258" s="26" t="s">
        <v>1005</v>
      </c>
      <c r="F258" s="244">
        <v>0</v>
      </c>
      <c r="H258" s="26" t="s">
        <v>1366</v>
      </c>
      <c r="L258" s="36"/>
    </row>
    <row r="259" spans="1:12">
      <c r="A259" s="7"/>
      <c r="B259" s="7"/>
      <c r="D259" s="7" t="s">
        <v>3183</v>
      </c>
      <c r="E259" s="26" t="s">
        <v>1005</v>
      </c>
      <c r="F259" s="244">
        <v>0</v>
      </c>
      <c r="H259" s="26" t="s">
        <v>1366</v>
      </c>
      <c r="L259" s="36"/>
    </row>
    <row r="260" spans="1:12">
      <c r="A260" s="7"/>
      <c r="B260" s="7"/>
      <c r="D260" s="7" t="s">
        <v>3184</v>
      </c>
      <c r="E260" s="26" t="s">
        <v>1005</v>
      </c>
      <c r="F260" s="244">
        <v>0</v>
      </c>
      <c r="H260" s="26" t="s">
        <v>1366</v>
      </c>
      <c r="L260" s="36"/>
    </row>
    <row r="261" spans="1:12">
      <c r="A261" s="7"/>
      <c r="B261" s="7"/>
      <c r="D261" s="7" t="s">
        <v>3185</v>
      </c>
      <c r="E261" s="26" t="s">
        <v>1005</v>
      </c>
      <c r="F261" s="244">
        <v>0</v>
      </c>
      <c r="H261" s="26" t="s">
        <v>1366</v>
      </c>
      <c r="L261" s="36"/>
    </row>
    <row r="262" spans="1:12">
      <c r="A262" s="7"/>
      <c r="B262" s="7"/>
      <c r="D262" s="7" t="s">
        <v>3186</v>
      </c>
      <c r="E262" s="26" t="s">
        <v>1005</v>
      </c>
      <c r="F262" s="244">
        <v>0</v>
      </c>
      <c r="H262" s="26" t="s">
        <v>1366</v>
      </c>
      <c r="L262" s="36"/>
    </row>
    <row r="263" spans="1:12">
      <c r="A263" s="7"/>
      <c r="B263" s="7"/>
      <c r="D263" s="7" t="s">
        <v>3187</v>
      </c>
      <c r="E263" s="26" t="s">
        <v>1005</v>
      </c>
      <c r="F263" s="244">
        <v>0</v>
      </c>
      <c r="H263" s="26" t="s">
        <v>1366</v>
      </c>
      <c r="L263" s="36"/>
    </row>
    <row r="264" spans="1:12">
      <c r="A264" s="7"/>
      <c r="B264" s="7"/>
      <c r="D264" s="7" t="s">
        <v>3188</v>
      </c>
      <c r="E264" s="26" t="s">
        <v>1005</v>
      </c>
      <c r="F264" s="244">
        <v>0</v>
      </c>
      <c r="H264" s="26" t="s">
        <v>1366</v>
      </c>
      <c r="L264" s="36"/>
    </row>
    <row r="265" spans="1:12">
      <c r="A265" s="7"/>
      <c r="B265" s="7"/>
      <c r="D265" s="7" t="s">
        <v>3189</v>
      </c>
      <c r="E265" s="26" t="s">
        <v>1005</v>
      </c>
      <c r="F265" s="244">
        <v>0</v>
      </c>
      <c r="H265" s="26" t="s">
        <v>1366</v>
      </c>
      <c r="L265" s="36"/>
    </row>
    <row r="266" spans="1:12">
      <c r="A266" s="7"/>
      <c r="B266" s="7"/>
      <c r="D266" s="7" t="s">
        <v>3190</v>
      </c>
      <c r="E266" s="26" t="s">
        <v>1005</v>
      </c>
      <c r="F266" s="244">
        <v>0</v>
      </c>
      <c r="H266" s="26" t="s">
        <v>1366</v>
      </c>
      <c r="L266" s="36"/>
    </row>
    <row r="267" spans="1:12">
      <c r="A267" s="7"/>
      <c r="B267" s="7"/>
      <c r="D267" s="7" t="s">
        <v>3191</v>
      </c>
      <c r="E267" s="26" t="s">
        <v>1005</v>
      </c>
      <c r="F267" s="244">
        <v>0</v>
      </c>
      <c r="H267" s="26" t="s">
        <v>1366</v>
      </c>
      <c r="L267" s="36"/>
    </row>
    <row r="268" spans="1:12">
      <c r="A268" s="7"/>
      <c r="B268" s="7"/>
      <c r="D268" s="7" t="s">
        <v>3192</v>
      </c>
      <c r="E268" s="26" t="s">
        <v>1005</v>
      </c>
      <c r="F268" s="244">
        <v>0</v>
      </c>
      <c r="H268" s="26" t="s">
        <v>1366</v>
      </c>
      <c r="L268" s="36"/>
    </row>
    <row r="269" spans="1:12">
      <c r="A269" s="7"/>
      <c r="B269" s="7"/>
      <c r="D269" s="7" t="s">
        <v>3193</v>
      </c>
      <c r="E269" s="26" t="s">
        <v>1005</v>
      </c>
      <c r="F269" s="244">
        <v>0</v>
      </c>
      <c r="H269" s="26" t="s">
        <v>1366</v>
      </c>
      <c r="L269" s="36"/>
    </row>
    <row r="270" spans="1:12">
      <c r="A270" s="7"/>
      <c r="B270" s="7"/>
      <c r="D270" s="7" t="s">
        <v>3194</v>
      </c>
      <c r="E270" s="26" t="s">
        <v>1005</v>
      </c>
      <c r="F270" s="244">
        <v>0</v>
      </c>
      <c r="H270" s="26" t="s">
        <v>1366</v>
      </c>
      <c r="L270" s="36"/>
    </row>
    <row r="271" spans="1:12">
      <c r="A271" s="7"/>
      <c r="B271" s="7"/>
      <c r="D271" s="7" t="s">
        <v>3195</v>
      </c>
      <c r="E271" s="26" t="s">
        <v>1005</v>
      </c>
      <c r="F271" s="244">
        <v>0</v>
      </c>
      <c r="H271" s="26" t="s">
        <v>1366</v>
      </c>
      <c r="L271" s="36"/>
    </row>
    <row r="272" spans="1:12">
      <c r="A272" s="7"/>
      <c r="B272" s="7"/>
      <c r="D272" s="7" t="s">
        <v>3196</v>
      </c>
      <c r="E272" s="26" t="s">
        <v>1005</v>
      </c>
      <c r="F272" s="244">
        <v>0</v>
      </c>
      <c r="H272" s="26" t="s">
        <v>1366</v>
      </c>
      <c r="L272" s="36"/>
    </row>
    <row r="273" spans="1:12">
      <c r="A273" s="7"/>
      <c r="B273" s="7"/>
      <c r="D273" s="7" t="s">
        <v>3197</v>
      </c>
      <c r="E273" s="26" t="s">
        <v>1005</v>
      </c>
      <c r="F273" s="244">
        <v>0</v>
      </c>
      <c r="H273" s="26" t="s">
        <v>1366</v>
      </c>
      <c r="L273" s="36"/>
    </row>
    <row r="274" spans="1:12">
      <c r="A274" s="7"/>
      <c r="B274" s="7"/>
      <c r="D274" s="7" t="s">
        <v>3198</v>
      </c>
      <c r="E274" s="26" t="s">
        <v>1005</v>
      </c>
      <c r="F274" s="244">
        <v>0</v>
      </c>
      <c r="H274" s="26" t="s">
        <v>1366</v>
      </c>
      <c r="L274" s="36"/>
    </row>
    <row r="275" spans="1:12">
      <c r="A275" s="7"/>
      <c r="B275" s="7"/>
      <c r="D275" s="7" t="s">
        <v>3199</v>
      </c>
      <c r="E275" s="26" t="s">
        <v>1005</v>
      </c>
      <c r="F275" s="244">
        <v>0</v>
      </c>
      <c r="H275" s="26" t="s">
        <v>1366</v>
      </c>
      <c r="L275" s="36"/>
    </row>
    <row r="276" spans="1:12">
      <c r="A276" s="7"/>
      <c r="B276" s="7"/>
      <c r="D276" s="7" t="s">
        <v>3200</v>
      </c>
      <c r="E276" s="26" t="s">
        <v>1005</v>
      </c>
      <c r="F276" s="244">
        <v>0</v>
      </c>
      <c r="H276" s="26" t="s">
        <v>1366</v>
      </c>
      <c r="L276" s="36"/>
    </row>
    <row r="277" spans="1:12">
      <c r="A277" s="7"/>
      <c r="B277" s="7"/>
      <c r="D277" s="7" t="s">
        <v>3201</v>
      </c>
      <c r="E277" s="26" t="s">
        <v>1005</v>
      </c>
      <c r="F277" s="244">
        <v>0</v>
      </c>
      <c r="H277" s="26" t="s">
        <v>1366</v>
      </c>
      <c r="L277" s="36"/>
    </row>
    <row r="278" spans="1:12">
      <c r="A278" s="7"/>
      <c r="B278" s="7"/>
      <c r="D278" s="7" t="s">
        <v>3202</v>
      </c>
      <c r="E278" s="26" t="s">
        <v>1005</v>
      </c>
      <c r="F278" s="244">
        <v>0</v>
      </c>
      <c r="H278" s="26" t="s">
        <v>1366</v>
      </c>
      <c r="L278" s="36"/>
    </row>
    <row r="279" spans="1:12">
      <c r="A279" s="7"/>
      <c r="B279" s="7"/>
      <c r="D279" s="7" t="s">
        <v>3203</v>
      </c>
      <c r="E279" s="26" t="s">
        <v>1005</v>
      </c>
      <c r="F279" s="244">
        <v>0</v>
      </c>
      <c r="H279" s="26" t="s">
        <v>1366</v>
      </c>
      <c r="L279" s="36"/>
    </row>
    <row r="280" spans="1:12">
      <c r="A280" s="7"/>
      <c r="B280" s="7"/>
      <c r="D280" s="7" t="s">
        <v>3204</v>
      </c>
      <c r="E280" s="26" t="s">
        <v>1005</v>
      </c>
      <c r="F280" s="244">
        <v>0</v>
      </c>
      <c r="H280" s="26" t="s">
        <v>1366</v>
      </c>
      <c r="L280" s="36"/>
    </row>
    <row r="281" spans="1:12">
      <c r="A281" s="7"/>
      <c r="B281" s="7"/>
      <c r="D281" s="7" t="s">
        <v>3205</v>
      </c>
      <c r="E281" s="26" t="s">
        <v>1005</v>
      </c>
      <c r="F281" s="244">
        <v>0</v>
      </c>
      <c r="H281" s="26" t="s">
        <v>1366</v>
      </c>
      <c r="L281" s="36"/>
    </row>
    <row r="282" spans="1:12">
      <c r="A282" s="7"/>
      <c r="B282" s="7"/>
      <c r="D282" s="7" t="s">
        <v>3206</v>
      </c>
      <c r="E282" s="26" t="s">
        <v>1005</v>
      </c>
      <c r="F282" s="244">
        <v>0</v>
      </c>
      <c r="H282" s="26" t="s">
        <v>1366</v>
      </c>
      <c r="L282" s="36"/>
    </row>
    <row r="283" spans="1:12">
      <c r="A283" s="7"/>
      <c r="B283" s="7"/>
      <c r="D283" s="7" t="s">
        <v>3207</v>
      </c>
      <c r="E283" s="26" t="s">
        <v>1005</v>
      </c>
      <c r="F283" s="244">
        <v>0</v>
      </c>
      <c r="H283" s="26" t="s">
        <v>1366</v>
      </c>
      <c r="L283" s="36"/>
    </row>
    <row r="284" spans="1:12">
      <c r="A284" s="7"/>
      <c r="B284" s="7"/>
      <c r="D284" s="7" t="s">
        <v>3208</v>
      </c>
      <c r="E284" s="26" t="s">
        <v>1005</v>
      </c>
      <c r="F284" s="244">
        <v>0</v>
      </c>
      <c r="H284" s="26" t="s">
        <v>1366</v>
      </c>
      <c r="L284" s="36"/>
    </row>
    <row r="285" spans="1:12">
      <c r="A285" s="7"/>
      <c r="B285" s="7"/>
      <c r="D285" s="7" t="s">
        <v>3209</v>
      </c>
      <c r="E285" s="26" t="s">
        <v>1005</v>
      </c>
      <c r="F285" s="244">
        <v>0</v>
      </c>
      <c r="H285" s="26" t="s">
        <v>1366</v>
      </c>
      <c r="L285" s="36"/>
    </row>
    <row r="286" spans="1:12">
      <c r="A286" s="7"/>
      <c r="B286" s="7"/>
      <c r="D286" s="7" t="s">
        <v>2500</v>
      </c>
      <c r="E286" s="26" t="s">
        <v>1005</v>
      </c>
      <c r="F286" s="244">
        <v>0</v>
      </c>
      <c r="H286" s="26" t="s">
        <v>1366</v>
      </c>
      <c r="L286" s="36"/>
    </row>
    <row r="287" spans="1:12">
      <c r="A287" s="7"/>
      <c r="B287" s="7"/>
      <c r="D287" s="7" t="s">
        <v>3210</v>
      </c>
      <c r="E287" s="26" t="s">
        <v>1005</v>
      </c>
      <c r="F287" s="244">
        <v>0</v>
      </c>
      <c r="H287" s="26" t="s">
        <v>1366</v>
      </c>
      <c r="L287" s="36"/>
    </row>
    <row r="288" spans="1:12">
      <c r="A288" s="7"/>
      <c r="B288" s="7"/>
      <c r="D288" s="7" t="s">
        <v>3211</v>
      </c>
      <c r="E288" s="26" t="s">
        <v>1005</v>
      </c>
      <c r="F288" s="244">
        <v>0</v>
      </c>
      <c r="H288" s="26" t="s">
        <v>1366</v>
      </c>
      <c r="L288" s="36"/>
    </row>
    <row r="289" spans="1:12">
      <c r="A289" s="7"/>
      <c r="B289" s="7"/>
      <c r="D289" s="7" t="s">
        <v>3212</v>
      </c>
      <c r="E289" s="26" t="s">
        <v>1005</v>
      </c>
      <c r="F289" s="244">
        <v>0</v>
      </c>
      <c r="H289" s="26" t="s">
        <v>1366</v>
      </c>
      <c r="L289" s="36"/>
    </row>
    <row r="290" spans="1:12">
      <c r="A290" s="7"/>
      <c r="B290" s="7"/>
      <c r="D290" s="7" t="s">
        <v>3213</v>
      </c>
      <c r="E290" s="26" t="s">
        <v>1005</v>
      </c>
      <c r="F290" s="244">
        <v>0</v>
      </c>
      <c r="H290" s="26" t="s">
        <v>1366</v>
      </c>
      <c r="L290" s="36"/>
    </row>
    <row r="291" spans="1:12">
      <c r="A291" s="7"/>
      <c r="B291" s="7"/>
      <c r="D291" s="7" t="s">
        <v>3214</v>
      </c>
      <c r="E291" s="26" t="s">
        <v>1005</v>
      </c>
      <c r="F291" s="244">
        <v>0</v>
      </c>
      <c r="H291" s="26" t="s">
        <v>1366</v>
      </c>
      <c r="L291" s="36"/>
    </row>
    <row r="292" spans="1:12">
      <c r="A292" s="7"/>
      <c r="B292" s="7"/>
      <c r="D292" s="7" t="s">
        <v>3215</v>
      </c>
      <c r="E292" s="26" t="s">
        <v>1005</v>
      </c>
      <c r="F292" s="244">
        <v>0</v>
      </c>
      <c r="H292" s="26" t="s">
        <v>1366</v>
      </c>
      <c r="L292" s="36"/>
    </row>
    <row r="293" spans="1:12">
      <c r="A293" s="7"/>
      <c r="B293" s="7"/>
      <c r="D293" s="7" t="s">
        <v>3216</v>
      </c>
      <c r="E293" s="26" t="s">
        <v>1005</v>
      </c>
      <c r="F293" s="244">
        <v>0</v>
      </c>
      <c r="H293" s="26" t="s">
        <v>1366</v>
      </c>
      <c r="L293" s="36"/>
    </row>
    <row r="294" spans="1:12">
      <c r="A294" s="7"/>
      <c r="B294" s="7"/>
      <c r="D294" s="7" t="s">
        <v>3217</v>
      </c>
      <c r="E294" s="26" t="s">
        <v>1005</v>
      </c>
      <c r="F294" s="244">
        <v>0</v>
      </c>
      <c r="H294" s="26" t="s">
        <v>1366</v>
      </c>
      <c r="L294" s="36"/>
    </row>
    <row r="295" spans="1:12">
      <c r="A295" s="7"/>
      <c r="B295" s="7"/>
      <c r="D295" s="7" t="s">
        <v>3218</v>
      </c>
      <c r="E295" s="26" t="s">
        <v>1005</v>
      </c>
      <c r="F295" s="244">
        <v>0</v>
      </c>
      <c r="H295" s="26" t="s">
        <v>1366</v>
      </c>
      <c r="L295" s="36"/>
    </row>
    <row r="296" spans="1:12">
      <c r="A296" s="7"/>
      <c r="B296" s="7"/>
      <c r="D296" s="7" t="s">
        <v>3219</v>
      </c>
      <c r="E296" s="26" t="s">
        <v>1005</v>
      </c>
      <c r="F296" s="244">
        <v>0</v>
      </c>
      <c r="H296" s="26" t="s">
        <v>1366</v>
      </c>
      <c r="L296" s="36"/>
    </row>
    <row r="297" spans="1:12">
      <c r="A297" s="7"/>
      <c r="B297" s="7"/>
      <c r="D297" s="7" t="s">
        <v>3220</v>
      </c>
      <c r="E297" s="26" t="s">
        <v>1005</v>
      </c>
      <c r="F297" s="244">
        <v>0</v>
      </c>
      <c r="H297" s="26" t="s">
        <v>1366</v>
      </c>
      <c r="L297" s="36"/>
    </row>
    <row r="298" spans="1:12">
      <c r="A298" s="7"/>
      <c r="B298" s="7"/>
      <c r="D298" s="7" t="s">
        <v>3221</v>
      </c>
      <c r="E298" s="26" t="s">
        <v>1005</v>
      </c>
      <c r="F298" s="244">
        <v>0</v>
      </c>
      <c r="H298" s="26" t="s">
        <v>1366</v>
      </c>
      <c r="L298" s="36"/>
    </row>
    <row r="299" spans="1:12">
      <c r="A299" s="7"/>
      <c r="B299" s="7"/>
      <c r="D299" s="7" t="s">
        <v>3222</v>
      </c>
      <c r="E299" s="26" t="s">
        <v>1005</v>
      </c>
      <c r="F299" s="244">
        <v>0</v>
      </c>
      <c r="H299" s="26" t="s">
        <v>1366</v>
      </c>
      <c r="L299" s="36"/>
    </row>
    <row r="300" spans="1:12">
      <c r="A300" s="7"/>
      <c r="B300" s="7"/>
      <c r="D300" s="7" t="s">
        <v>3223</v>
      </c>
      <c r="E300" s="26" t="s">
        <v>1005</v>
      </c>
      <c r="F300" s="244">
        <v>0</v>
      </c>
      <c r="H300" s="26" t="s">
        <v>1366</v>
      </c>
      <c r="L300" s="36"/>
    </row>
    <row r="301" spans="1:12">
      <c r="A301" s="7"/>
      <c r="B301" s="7"/>
      <c r="D301" s="7" t="s">
        <v>3224</v>
      </c>
      <c r="E301" s="26" t="s">
        <v>1005</v>
      </c>
      <c r="F301" s="244">
        <v>0</v>
      </c>
      <c r="H301" s="26" t="s">
        <v>1366</v>
      </c>
      <c r="L301" s="36"/>
    </row>
    <row r="302" spans="1:12">
      <c r="A302" s="7"/>
      <c r="B302" s="7"/>
      <c r="D302" s="7" t="s">
        <v>3225</v>
      </c>
      <c r="E302" s="26" t="s">
        <v>1005</v>
      </c>
      <c r="F302" s="244">
        <v>0</v>
      </c>
      <c r="H302" s="26" t="s">
        <v>1366</v>
      </c>
      <c r="L302" s="36"/>
    </row>
    <row r="303" spans="1:12">
      <c r="A303" s="7"/>
      <c r="B303" s="7"/>
      <c r="D303" s="7" t="s">
        <v>3226</v>
      </c>
      <c r="E303" s="26" t="s">
        <v>1005</v>
      </c>
      <c r="F303" s="244">
        <v>0</v>
      </c>
      <c r="H303" s="26" t="s">
        <v>1366</v>
      </c>
      <c r="L303" s="36"/>
    </row>
    <row r="304" spans="1:12">
      <c r="A304" s="7"/>
      <c r="B304" s="7"/>
      <c r="D304" s="7" t="s">
        <v>3227</v>
      </c>
      <c r="E304" s="26" t="s">
        <v>1005</v>
      </c>
      <c r="F304" s="244">
        <v>0</v>
      </c>
      <c r="G304" s="27"/>
      <c r="H304" s="26" t="s">
        <v>1366</v>
      </c>
      <c r="L304" s="36"/>
    </row>
    <row r="305" spans="1:12">
      <c r="A305" s="7"/>
      <c r="B305" s="7"/>
      <c r="D305" s="7" t="s">
        <v>3228</v>
      </c>
      <c r="E305" s="26" t="s">
        <v>1005</v>
      </c>
      <c r="F305" s="244">
        <v>0</v>
      </c>
      <c r="H305" s="26" t="s">
        <v>1366</v>
      </c>
      <c r="L305" s="36"/>
    </row>
    <row r="306" spans="1:12">
      <c r="A306" s="7"/>
      <c r="B306" s="7"/>
      <c r="D306" s="7" t="s">
        <v>3229</v>
      </c>
      <c r="E306" s="26" t="s">
        <v>1005</v>
      </c>
      <c r="F306" s="244">
        <v>0</v>
      </c>
      <c r="H306" s="26" t="s">
        <v>1366</v>
      </c>
      <c r="L306" s="36"/>
    </row>
    <row r="307" spans="1:12">
      <c r="A307" s="7"/>
      <c r="B307" s="7"/>
      <c r="D307" s="7" t="s">
        <v>3230</v>
      </c>
      <c r="E307" s="26" t="s">
        <v>1005</v>
      </c>
      <c r="F307" s="244">
        <v>0</v>
      </c>
      <c r="H307" s="26" t="s">
        <v>1366</v>
      </c>
      <c r="L307" s="36"/>
    </row>
    <row r="308" spans="1:12">
      <c r="A308" s="7"/>
      <c r="B308" s="7"/>
      <c r="D308" s="7" t="s">
        <v>3231</v>
      </c>
      <c r="E308" s="26" t="s">
        <v>1005</v>
      </c>
      <c r="F308" s="244">
        <v>0</v>
      </c>
      <c r="H308" s="26" t="s">
        <v>1366</v>
      </c>
      <c r="L308" s="36"/>
    </row>
    <row r="309" spans="1:12">
      <c r="A309" s="7"/>
      <c r="B309" s="7"/>
      <c r="D309" s="7" t="s">
        <v>3232</v>
      </c>
      <c r="E309" s="26" t="s">
        <v>1005</v>
      </c>
      <c r="F309" s="244">
        <v>0</v>
      </c>
      <c r="H309" s="26" t="s">
        <v>1366</v>
      </c>
      <c r="L309" s="36"/>
    </row>
    <row r="310" spans="1:12">
      <c r="A310" s="7"/>
      <c r="B310" s="7"/>
      <c r="D310" s="7" t="s">
        <v>2502</v>
      </c>
      <c r="E310" s="26" t="s">
        <v>1005</v>
      </c>
      <c r="F310" s="244">
        <v>0</v>
      </c>
      <c r="H310" s="26" t="s">
        <v>1366</v>
      </c>
      <c r="L310" s="36"/>
    </row>
    <row r="311" spans="1:12">
      <c r="A311" s="7"/>
      <c r="B311" s="7"/>
      <c r="D311" s="7" t="s">
        <v>3233</v>
      </c>
      <c r="E311" s="26" t="s">
        <v>1005</v>
      </c>
      <c r="F311" s="244">
        <v>0</v>
      </c>
      <c r="H311" s="26" t="s">
        <v>1366</v>
      </c>
      <c r="L311" s="36"/>
    </row>
    <row r="312" spans="1:12">
      <c r="A312" s="7"/>
      <c r="B312" s="7"/>
      <c r="D312" s="7" t="s">
        <v>3234</v>
      </c>
      <c r="E312" s="26" t="s">
        <v>1005</v>
      </c>
      <c r="F312" s="244">
        <v>0</v>
      </c>
      <c r="H312" s="26" t="s">
        <v>1366</v>
      </c>
      <c r="L312" s="36"/>
    </row>
    <row r="313" spans="1:12">
      <c r="A313" s="7"/>
      <c r="B313" s="7"/>
      <c r="D313" s="7" t="s">
        <v>3235</v>
      </c>
      <c r="E313" s="26" t="s">
        <v>1005</v>
      </c>
      <c r="F313" s="244">
        <v>0</v>
      </c>
      <c r="H313" s="26" t="s">
        <v>1366</v>
      </c>
      <c r="L313" s="36"/>
    </row>
    <row r="314" spans="1:12">
      <c r="A314" s="7"/>
      <c r="B314" s="7"/>
      <c r="D314" s="7" t="s">
        <v>3236</v>
      </c>
      <c r="E314" s="26" t="s">
        <v>1005</v>
      </c>
      <c r="F314" s="244">
        <v>0</v>
      </c>
      <c r="H314" s="26" t="s">
        <v>1366</v>
      </c>
      <c r="L314" s="36"/>
    </row>
    <row r="315" spans="1:12">
      <c r="A315" s="7"/>
      <c r="B315" s="7"/>
      <c r="D315" s="7" t="s">
        <v>3237</v>
      </c>
      <c r="E315" s="26" t="s">
        <v>1005</v>
      </c>
      <c r="F315" s="244">
        <v>0</v>
      </c>
      <c r="H315" s="26" t="s">
        <v>1366</v>
      </c>
      <c r="L315" s="36"/>
    </row>
    <row r="316" spans="1:12">
      <c r="A316" s="7"/>
      <c r="B316" s="7"/>
      <c r="D316" s="7" t="s">
        <v>3238</v>
      </c>
      <c r="E316" s="26" t="s">
        <v>1005</v>
      </c>
      <c r="F316" s="244">
        <v>0</v>
      </c>
      <c r="H316" s="26" t="s">
        <v>1366</v>
      </c>
      <c r="L316" s="36"/>
    </row>
    <row r="317" spans="1:12">
      <c r="A317" s="7"/>
      <c r="B317" s="7"/>
      <c r="D317" s="7" t="s">
        <v>3239</v>
      </c>
      <c r="E317" s="26" t="s">
        <v>1005</v>
      </c>
      <c r="F317" s="244">
        <v>0</v>
      </c>
      <c r="H317" s="26" t="s">
        <v>1366</v>
      </c>
      <c r="L317" s="36"/>
    </row>
    <row r="318" spans="1:12">
      <c r="A318" s="7"/>
      <c r="B318" s="7"/>
      <c r="D318" s="7" t="s">
        <v>3240</v>
      </c>
      <c r="E318" s="26" t="s">
        <v>1005</v>
      </c>
      <c r="F318" s="244">
        <v>0</v>
      </c>
      <c r="H318" s="26" t="s">
        <v>1366</v>
      </c>
      <c r="L318" s="36"/>
    </row>
    <row r="319" spans="1:12">
      <c r="A319" s="7"/>
      <c r="B319" s="7"/>
      <c r="D319" s="7" t="s">
        <v>3241</v>
      </c>
      <c r="E319" s="26" t="s">
        <v>1005</v>
      </c>
      <c r="F319" s="244">
        <v>0</v>
      </c>
      <c r="H319" s="26" t="s">
        <v>1366</v>
      </c>
      <c r="L319" s="36"/>
    </row>
    <row r="320" spans="1:12">
      <c r="A320" s="7"/>
      <c r="B320" s="7"/>
      <c r="D320" s="7" t="s">
        <v>3242</v>
      </c>
      <c r="E320" s="26" t="s">
        <v>1005</v>
      </c>
      <c r="F320" s="244">
        <v>0</v>
      </c>
      <c r="G320" s="27"/>
      <c r="H320" s="26" t="s">
        <v>1366</v>
      </c>
      <c r="L320" s="36"/>
    </row>
    <row r="321" spans="1:12">
      <c r="A321" s="7"/>
      <c r="B321" s="7"/>
      <c r="D321" s="7" t="s">
        <v>3243</v>
      </c>
      <c r="E321" s="26" t="s">
        <v>1005</v>
      </c>
      <c r="F321" s="244">
        <v>0</v>
      </c>
      <c r="G321" s="27"/>
      <c r="H321" s="26" t="s">
        <v>1366</v>
      </c>
      <c r="L321" s="36"/>
    </row>
    <row r="322" spans="1:12">
      <c r="A322" s="7"/>
      <c r="B322" s="7"/>
      <c r="D322" s="7" t="s">
        <v>3244</v>
      </c>
      <c r="E322" s="26" t="s">
        <v>1005</v>
      </c>
      <c r="F322" s="244">
        <v>0</v>
      </c>
      <c r="G322" s="27"/>
      <c r="H322" s="26" t="s">
        <v>1366</v>
      </c>
      <c r="L322" s="36"/>
    </row>
    <row r="323" spans="1:12">
      <c r="A323" s="7"/>
      <c r="B323" s="7"/>
      <c r="D323" s="7" t="s">
        <v>3245</v>
      </c>
      <c r="E323" s="26" t="s">
        <v>1005</v>
      </c>
      <c r="F323" s="244">
        <v>0</v>
      </c>
      <c r="G323" s="27"/>
      <c r="H323" s="26" t="s">
        <v>1366</v>
      </c>
      <c r="L323" s="36"/>
    </row>
    <row r="324" spans="1:12">
      <c r="A324" s="7"/>
      <c r="B324" s="7"/>
      <c r="D324" s="7" t="s">
        <v>3246</v>
      </c>
      <c r="E324" s="26" t="s">
        <v>1005</v>
      </c>
      <c r="F324" s="244">
        <v>0</v>
      </c>
      <c r="H324" s="26" t="s">
        <v>1366</v>
      </c>
      <c r="L324" s="36"/>
    </row>
    <row r="325" spans="1:12">
      <c r="A325" s="7"/>
      <c r="B325" s="7"/>
      <c r="D325" s="7" t="s">
        <v>3247</v>
      </c>
      <c r="E325" s="26" t="s">
        <v>1005</v>
      </c>
      <c r="F325" s="244">
        <v>0</v>
      </c>
      <c r="G325" s="27"/>
      <c r="H325" s="26" t="s">
        <v>1366</v>
      </c>
      <c r="L325" s="36"/>
    </row>
    <row r="326" spans="1:12">
      <c r="A326" s="7"/>
      <c r="B326" s="7"/>
      <c r="D326" s="7" t="s">
        <v>2506</v>
      </c>
      <c r="E326" s="26" t="s">
        <v>1005</v>
      </c>
      <c r="F326" s="244">
        <v>0</v>
      </c>
      <c r="G326" s="27"/>
      <c r="H326" s="26" t="s">
        <v>1366</v>
      </c>
      <c r="L326" s="36"/>
    </row>
    <row r="327" spans="1:12">
      <c r="A327" s="7"/>
      <c r="B327" s="7"/>
      <c r="D327" s="7" t="s">
        <v>3248</v>
      </c>
      <c r="E327" s="26" t="s">
        <v>1005</v>
      </c>
      <c r="F327" s="244">
        <v>0</v>
      </c>
      <c r="H327" s="26" t="s">
        <v>1366</v>
      </c>
      <c r="L327" s="36"/>
    </row>
    <row r="328" spans="1:12">
      <c r="A328" s="7"/>
      <c r="B328" s="7"/>
      <c r="D328" s="7" t="s">
        <v>3249</v>
      </c>
      <c r="E328" s="26" t="s">
        <v>1005</v>
      </c>
      <c r="F328" s="244">
        <v>0</v>
      </c>
      <c r="H328" s="26" t="s">
        <v>1366</v>
      </c>
      <c r="L328" s="36"/>
    </row>
    <row r="329" spans="1:12">
      <c r="A329" s="7"/>
      <c r="B329" s="7"/>
      <c r="D329" s="7" t="s">
        <v>3250</v>
      </c>
      <c r="E329" s="26" t="s">
        <v>1005</v>
      </c>
      <c r="F329" s="244">
        <v>0</v>
      </c>
      <c r="H329" s="26" t="s">
        <v>1366</v>
      </c>
      <c r="L329" s="36"/>
    </row>
    <row r="330" spans="1:12">
      <c r="A330" s="7"/>
      <c r="B330" s="7"/>
      <c r="D330" s="7" t="s">
        <v>3251</v>
      </c>
      <c r="E330" s="26" t="s">
        <v>1005</v>
      </c>
      <c r="F330" s="244">
        <v>0</v>
      </c>
      <c r="H330" s="26" t="s">
        <v>1366</v>
      </c>
      <c r="L330" s="36"/>
    </row>
    <row r="331" spans="1:12">
      <c r="A331" s="7"/>
      <c r="B331" s="7"/>
      <c r="D331" s="7" t="s">
        <v>3252</v>
      </c>
      <c r="E331" s="26" t="s">
        <v>1005</v>
      </c>
      <c r="F331" s="244">
        <v>0</v>
      </c>
      <c r="H331" s="26" t="s">
        <v>1366</v>
      </c>
      <c r="L331" s="36"/>
    </row>
    <row r="332" spans="1:12">
      <c r="A332" s="7"/>
      <c r="B332" s="7"/>
      <c r="D332" s="7" t="s">
        <v>3253</v>
      </c>
      <c r="E332" s="26" t="s">
        <v>1005</v>
      </c>
      <c r="F332" s="244">
        <v>0</v>
      </c>
      <c r="H332" s="26" t="s">
        <v>1366</v>
      </c>
      <c r="L332" s="36"/>
    </row>
    <row r="333" spans="1:12">
      <c r="A333" s="7"/>
      <c r="B333" s="7"/>
      <c r="D333" s="7" t="s">
        <v>3254</v>
      </c>
      <c r="E333" s="26" t="s">
        <v>1005</v>
      </c>
      <c r="F333" s="244">
        <v>0</v>
      </c>
      <c r="H333" s="26" t="s">
        <v>1366</v>
      </c>
      <c r="L333" s="36"/>
    </row>
    <row r="334" spans="1:12">
      <c r="A334" s="7"/>
      <c r="B334" s="7"/>
      <c r="D334" s="7" t="s">
        <v>3255</v>
      </c>
      <c r="E334" s="26" t="s">
        <v>1005</v>
      </c>
      <c r="F334" s="244">
        <v>0</v>
      </c>
      <c r="H334" s="26" t="s">
        <v>1366</v>
      </c>
      <c r="L334" s="36"/>
    </row>
    <row r="335" spans="1:12">
      <c r="A335" s="7"/>
      <c r="B335" s="7"/>
      <c r="D335" s="7" t="s">
        <v>3256</v>
      </c>
      <c r="E335" s="26" t="s">
        <v>1005</v>
      </c>
      <c r="F335" s="244">
        <v>0</v>
      </c>
      <c r="H335" s="26" t="s">
        <v>1366</v>
      </c>
      <c r="L335" s="36"/>
    </row>
    <row r="336" spans="1:12">
      <c r="A336" s="7"/>
      <c r="B336" s="7"/>
      <c r="D336" s="7" t="s">
        <v>3257</v>
      </c>
      <c r="E336" s="26" t="s">
        <v>1005</v>
      </c>
      <c r="F336" s="244">
        <v>0</v>
      </c>
      <c r="H336" s="26" t="s">
        <v>1366</v>
      </c>
      <c r="L336" s="36"/>
    </row>
    <row r="337" spans="1:12">
      <c r="A337" s="7"/>
      <c r="B337" s="7"/>
      <c r="D337" s="7" t="s">
        <v>3258</v>
      </c>
      <c r="E337" s="26" t="s">
        <v>1005</v>
      </c>
      <c r="F337" s="244">
        <v>0</v>
      </c>
      <c r="H337" s="26" t="s">
        <v>1366</v>
      </c>
      <c r="L337" s="36"/>
    </row>
    <row r="338" spans="1:12">
      <c r="A338" s="7"/>
      <c r="B338" s="7"/>
      <c r="D338" s="7" t="s">
        <v>3259</v>
      </c>
      <c r="E338" s="26" t="s">
        <v>1005</v>
      </c>
      <c r="F338" s="244">
        <v>0</v>
      </c>
      <c r="H338" s="26" t="s">
        <v>1366</v>
      </c>
      <c r="L338" s="36"/>
    </row>
    <row r="339" spans="1:12">
      <c r="A339" s="7"/>
      <c r="B339" s="7"/>
      <c r="D339" s="7" t="s">
        <v>3260</v>
      </c>
      <c r="E339" s="26" t="s">
        <v>1005</v>
      </c>
      <c r="F339" s="244">
        <v>0</v>
      </c>
      <c r="H339" s="26" t="s">
        <v>1366</v>
      </c>
      <c r="L339" s="36"/>
    </row>
    <row r="340" spans="1:12">
      <c r="A340" s="7"/>
      <c r="B340" s="7"/>
      <c r="D340" s="7" t="s">
        <v>3261</v>
      </c>
      <c r="E340" s="26" t="s">
        <v>1005</v>
      </c>
      <c r="F340" s="244">
        <v>0</v>
      </c>
      <c r="H340" s="26" t="s">
        <v>1366</v>
      </c>
      <c r="L340" s="36"/>
    </row>
    <row r="341" spans="1:12">
      <c r="A341" s="7"/>
      <c r="B341" s="7"/>
      <c r="D341" s="7" t="s">
        <v>3262</v>
      </c>
      <c r="E341" s="26" t="s">
        <v>1005</v>
      </c>
      <c r="F341" s="244">
        <v>0</v>
      </c>
      <c r="H341" s="26" t="s">
        <v>1366</v>
      </c>
      <c r="L341" s="36"/>
    </row>
    <row r="342" spans="1:12">
      <c r="A342" s="7"/>
      <c r="B342" s="7"/>
      <c r="D342" s="7" t="s">
        <v>1670</v>
      </c>
      <c r="E342" s="26" t="s">
        <v>1005</v>
      </c>
      <c r="F342" s="244">
        <v>514977.41000000027</v>
      </c>
      <c r="H342" s="26" t="s">
        <v>1366</v>
      </c>
      <c r="L342" s="36"/>
    </row>
    <row r="343" spans="1:12">
      <c r="A343" s="7"/>
      <c r="B343" s="7"/>
      <c r="D343" s="7" t="s">
        <v>1672</v>
      </c>
      <c r="E343" s="26" t="s">
        <v>1005</v>
      </c>
      <c r="F343" s="244">
        <v>138594</v>
      </c>
      <c r="H343" s="26" t="s">
        <v>1366</v>
      </c>
      <c r="L343" s="36"/>
    </row>
    <row r="344" spans="1:12">
      <c r="A344" s="7"/>
      <c r="B344" s="7"/>
      <c r="D344" s="7" t="s">
        <v>1673</v>
      </c>
      <c r="E344" s="26" t="s">
        <v>1005</v>
      </c>
      <c r="F344" s="244">
        <v>65320.259999999995</v>
      </c>
      <c r="H344" s="26" t="s">
        <v>1366</v>
      </c>
      <c r="L344" s="36"/>
    </row>
    <row r="345" spans="1:12">
      <c r="A345" s="7"/>
      <c r="B345" s="7"/>
      <c r="D345" s="7" t="s">
        <v>1676</v>
      </c>
      <c r="E345" s="26" t="s">
        <v>1005</v>
      </c>
      <c r="F345" s="244">
        <v>321.7</v>
      </c>
      <c r="H345" s="26" t="s">
        <v>1366</v>
      </c>
      <c r="L345" s="36"/>
    </row>
    <row r="346" spans="1:12">
      <c r="A346" s="248"/>
      <c r="B346" s="7"/>
      <c r="D346" s="7" t="s">
        <v>3263</v>
      </c>
      <c r="E346" s="26" t="s">
        <v>1005</v>
      </c>
      <c r="F346" s="244">
        <v>572.12</v>
      </c>
      <c r="H346" s="26" t="s">
        <v>1366</v>
      </c>
      <c r="L346" s="36"/>
    </row>
    <row r="347" spans="1:12">
      <c r="A347" s="7" t="s">
        <v>1677</v>
      </c>
      <c r="B347" s="7" t="s">
        <v>1678</v>
      </c>
      <c r="C347" s="26" t="s">
        <v>1681</v>
      </c>
      <c r="D347" s="7" t="s">
        <v>1682</v>
      </c>
      <c r="E347" s="26" t="s">
        <v>1363</v>
      </c>
      <c r="F347" s="244">
        <v>5251053.87</v>
      </c>
      <c r="G347" s="26" t="s">
        <v>144</v>
      </c>
      <c r="H347" s="26" t="s">
        <v>144</v>
      </c>
      <c r="L347" s="36"/>
    </row>
    <row r="348" spans="1:12">
      <c r="A348" s="7"/>
      <c r="B348" s="7"/>
      <c r="D348" s="7"/>
      <c r="E348" s="26" t="s">
        <v>1683</v>
      </c>
      <c r="F348" s="244">
        <v>18729201.93</v>
      </c>
      <c r="G348" s="26" t="s">
        <v>144</v>
      </c>
      <c r="H348" s="26" t="s">
        <v>144</v>
      </c>
      <c r="L348" s="36"/>
    </row>
    <row r="349" spans="1:12">
      <c r="A349" s="7"/>
      <c r="B349" s="7"/>
      <c r="D349" s="7" t="s">
        <v>1684</v>
      </c>
      <c r="E349" s="26" t="s">
        <v>1363</v>
      </c>
      <c r="F349" s="244">
        <v>-5263352.4800000004</v>
      </c>
      <c r="G349" s="26" t="s">
        <v>144</v>
      </c>
      <c r="H349" s="26" t="s">
        <v>144</v>
      </c>
      <c r="L349" s="36"/>
    </row>
    <row r="350" spans="1:12">
      <c r="A350" s="248"/>
      <c r="B350" s="7"/>
      <c r="D350" s="7"/>
      <c r="E350" s="26" t="s">
        <v>1683</v>
      </c>
      <c r="F350" s="244">
        <v>-13494796.059999999</v>
      </c>
      <c r="G350" s="26" t="s">
        <v>144</v>
      </c>
      <c r="H350" s="26" t="s">
        <v>144</v>
      </c>
      <c r="L350" s="36"/>
    </row>
    <row r="351" spans="1:12">
      <c r="A351" s="7" t="s">
        <v>1685</v>
      </c>
      <c r="B351" s="7" t="s">
        <v>1686</v>
      </c>
      <c r="C351" s="26" t="s">
        <v>1158</v>
      </c>
      <c r="D351" s="7" t="s">
        <v>1158</v>
      </c>
      <c r="E351" s="26" t="s">
        <v>1160</v>
      </c>
      <c r="F351" s="244">
        <v>46934.73</v>
      </c>
      <c r="G351" s="26" t="s">
        <v>1687</v>
      </c>
      <c r="H351" s="26" t="s">
        <v>1688</v>
      </c>
      <c r="L351" s="36"/>
    </row>
    <row r="352" spans="1:12">
      <c r="A352" s="7"/>
      <c r="B352" s="7"/>
      <c r="C352" s="26" t="s">
        <v>1161</v>
      </c>
      <c r="D352" s="7" t="s">
        <v>1161</v>
      </c>
      <c r="E352" s="26" t="s">
        <v>1163</v>
      </c>
      <c r="F352" s="244">
        <v>-413383.47</v>
      </c>
      <c r="G352" s="26" t="s">
        <v>1687</v>
      </c>
      <c r="H352" s="26" t="s">
        <v>1688</v>
      </c>
      <c r="L352" s="36"/>
    </row>
    <row r="353" spans="1:12">
      <c r="A353" s="7"/>
      <c r="B353" s="7"/>
      <c r="C353" s="26" t="s">
        <v>999</v>
      </c>
      <c r="D353" s="7" t="s">
        <v>1693</v>
      </c>
      <c r="E353" s="26" t="s">
        <v>1694</v>
      </c>
      <c r="F353" s="244">
        <v>-240145.13999999996</v>
      </c>
      <c r="H353" s="26" t="s">
        <v>1688</v>
      </c>
      <c r="L353" s="36"/>
    </row>
    <row r="354" spans="1:12">
      <c r="A354" s="7"/>
      <c r="B354" s="7"/>
      <c r="D354" s="7" t="s">
        <v>1696</v>
      </c>
      <c r="E354" s="26" t="s">
        <v>1694</v>
      </c>
      <c r="F354" s="244">
        <v>-7764693.120000001</v>
      </c>
      <c r="H354" s="26" t="s">
        <v>1688</v>
      </c>
      <c r="L354" s="36"/>
    </row>
    <row r="355" spans="1:12">
      <c r="A355" s="7"/>
      <c r="B355" s="7"/>
      <c r="C355" s="26" t="s">
        <v>1698</v>
      </c>
      <c r="D355" s="7" t="s">
        <v>1699</v>
      </c>
      <c r="E355" s="26" t="s">
        <v>1700</v>
      </c>
      <c r="F355" s="244">
        <v>746945.56000000052</v>
      </c>
      <c r="G355" s="26" t="s">
        <v>1701</v>
      </c>
      <c r="H355" s="26" t="s">
        <v>1688</v>
      </c>
      <c r="L355" s="36"/>
    </row>
    <row r="356" spans="1:12">
      <c r="A356" s="248"/>
      <c r="B356" s="7"/>
      <c r="D356" s="7" t="s">
        <v>1702</v>
      </c>
      <c r="E356" s="26" t="s">
        <v>1700</v>
      </c>
      <c r="F356" s="244">
        <v>23101.409999999989</v>
      </c>
      <c r="H356" s="26" t="s">
        <v>1688</v>
      </c>
      <c r="L356" s="36"/>
    </row>
    <row r="357" spans="1:12">
      <c r="A357" s="7" t="s">
        <v>1703</v>
      </c>
      <c r="B357" s="7" t="s">
        <v>1704</v>
      </c>
      <c r="C357" s="26" t="s">
        <v>1705</v>
      </c>
      <c r="D357" s="7" t="s">
        <v>3264</v>
      </c>
      <c r="E357" s="26" t="s">
        <v>1707</v>
      </c>
      <c r="F357" s="244">
        <v>325379.67</v>
      </c>
      <c r="G357" s="26" t="s">
        <v>1708</v>
      </c>
      <c r="H357" s="26" t="s">
        <v>1704</v>
      </c>
      <c r="L357" s="36"/>
    </row>
    <row r="358" spans="1:12">
      <c r="A358" s="7"/>
      <c r="B358" s="7"/>
      <c r="D358" s="7" t="s">
        <v>2648</v>
      </c>
      <c r="E358" s="26" t="s">
        <v>1707</v>
      </c>
      <c r="F358" s="244">
        <v>140980.82999999999</v>
      </c>
      <c r="G358" s="26" t="s">
        <v>1708</v>
      </c>
      <c r="H358" s="26" t="s">
        <v>1704</v>
      </c>
      <c r="L358" s="36"/>
    </row>
    <row r="359" spans="1:12">
      <c r="A359" s="7"/>
      <c r="B359" s="7"/>
      <c r="D359" s="7" t="s">
        <v>2649</v>
      </c>
      <c r="E359" s="26" t="s">
        <v>1707</v>
      </c>
      <c r="F359" s="244">
        <v>1253027.1399999999</v>
      </c>
      <c r="G359" s="26" t="s">
        <v>1708</v>
      </c>
      <c r="H359" s="26" t="s">
        <v>1704</v>
      </c>
      <c r="L359" s="36"/>
    </row>
    <row r="360" spans="1:12">
      <c r="A360" s="7"/>
      <c r="B360" s="7"/>
      <c r="D360" s="7" t="s">
        <v>3265</v>
      </c>
      <c r="E360" s="26" t="s">
        <v>1707</v>
      </c>
      <c r="F360" s="244">
        <v>10063.290000000001</v>
      </c>
      <c r="H360" s="26" t="s">
        <v>1704</v>
      </c>
      <c r="L360" s="36"/>
    </row>
    <row r="361" spans="1:12">
      <c r="A361" s="7"/>
      <c r="B361" s="7"/>
      <c r="D361" s="7" t="s">
        <v>2651</v>
      </c>
      <c r="E361" s="26" t="s">
        <v>1707</v>
      </c>
      <c r="F361" s="244">
        <v>4360.2299999999996</v>
      </c>
      <c r="H361" s="26" t="s">
        <v>1704</v>
      </c>
      <c r="L361" s="36"/>
    </row>
    <row r="362" spans="1:12">
      <c r="A362" s="7"/>
      <c r="B362" s="7"/>
      <c r="D362" s="7" t="s">
        <v>2652</v>
      </c>
      <c r="E362" s="26" t="s">
        <v>1707</v>
      </c>
      <c r="F362" s="244">
        <v>38753.42</v>
      </c>
      <c r="H362" s="26" t="s">
        <v>1704</v>
      </c>
      <c r="L362" s="36"/>
    </row>
    <row r="363" spans="1:12">
      <c r="A363" s="7"/>
      <c r="B363" s="7"/>
      <c r="D363" s="7" t="s">
        <v>3266</v>
      </c>
      <c r="E363" s="26" t="s">
        <v>1707</v>
      </c>
      <c r="F363" s="244">
        <v>59.860000000000014</v>
      </c>
      <c r="H363" s="26" t="s">
        <v>1704</v>
      </c>
      <c r="L363" s="36"/>
    </row>
    <row r="364" spans="1:12">
      <c r="A364" s="7"/>
      <c r="B364" s="7"/>
      <c r="D364" s="7" t="s">
        <v>2653</v>
      </c>
      <c r="E364" s="26" t="s">
        <v>1707</v>
      </c>
      <c r="F364" s="244">
        <v>-3114.16</v>
      </c>
      <c r="H364" s="26" t="s">
        <v>1704</v>
      </c>
      <c r="L364" s="36"/>
    </row>
    <row r="365" spans="1:12">
      <c r="A365" s="7"/>
      <c r="B365" s="7"/>
      <c r="D365" s="7" t="s">
        <v>3267</v>
      </c>
      <c r="E365" s="26" t="s">
        <v>1707</v>
      </c>
      <c r="F365" s="244">
        <v>166.89</v>
      </c>
      <c r="H365" s="26" t="s">
        <v>1704</v>
      </c>
      <c r="L365" s="36"/>
    </row>
    <row r="366" spans="1:12">
      <c r="A366" s="7"/>
      <c r="B366" s="7"/>
      <c r="D366" s="7" t="s">
        <v>1718</v>
      </c>
      <c r="E366" s="26" t="s">
        <v>1707</v>
      </c>
      <c r="F366" s="244">
        <v>-1801.61</v>
      </c>
      <c r="H366" s="26" t="s">
        <v>1704</v>
      </c>
      <c r="L366" s="36"/>
    </row>
    <row r="367" spans="1:12">
      <c r="A367" s="7"/>
      <c r="B367" s="7"/>
      <c r="D367" s="7" t="s">
        <v>2655</v>
      </c>
      <c r="E367" s="26" t="s">
        <v>1707</v>
      </c>
      <c r="F367" s="244">
        <v>19474.310000000001</v>
      </c>
      <c r="H367" s="26" t="s">
        <v>1704</v>
      </c>
      <c r="L367" s="36"/>
    </row>
    <row r="368" spans="1:12">
      <c r="A368" s="7"/>
      <c r="B368" s="7"/>
      <c r="D368" s="7" t="s">
        <v>3268</v>
      </c>
      <c r="E368" s="26" t="s">
        <v>1707</v>
      </c>
      <c r="F368" s="244">
        <v>6485.63</v>
      </c>
      <c r="H368" s="26" t="s">
        <v>1704</v>
      </c>
      <c r="L368" s="36"/>
    </row>
    <row r="369" spans="1:12">
      <c r="A369" s="7"/>
      <c r="B369" s="7"/>
      <c r="D369" s="7" t="s">
        <v>3269</v>
      </c>
      <c r="E369" s="26" t="s">
        <v>1707</v>
      </c>
      <c r="F369" s="244">
        <v>908.77</v>
      </c>
      <c r="H369" s="26" t="s">
        <v>1704</v>
      </c>
      <c r="L369" s="36"/>
    </row>
    <row r="370" spans="1:12">
      <c r="A370" s="7"/>
      <c r="B370" s="7"/>
      <c r="D370" s="7" t="s">
        <v>3270</v>
      </c>
      <c r="E370" s="26" t="s">
        <v>1707</v>
      </c>
      <c r="F370" s="244">
        <v>1935.6599999999999</v>
      </c>
      <c r="G370" s="26" t="s">
        <v>1708</v>
      </c>
      <c r="H370" s="26" t="s">
        <v>1704</v>
      </c>
      <c r="L370" s="36"/>
    </row>
    <row r="371" spans="1:12">
      <c r="A371" s="7"/>
      <c r="B371" s="7"/>
      <c r="D371" s="7" t="s">
        <v>2656</v>
      </c>
      <c r="E371" s="26" t="s">
        <v>1707</v>
      </c>
      <c r="F371" s="244">
        <v>-100691.31</v>
      </c>
      <c r="G371" s="26" t="s">
        <v>1708</v>
      </c>
      <c r="H371" s="26" t="s">
        <v>1704</v>
      </c>
      <c r="L371" s="36"/>
    </row>
    <row r="372" spans="1:12">
      <c r="A372" s="7"/>
      <c r="B372" s="7"/>
      <c r="D372" s="7" t="s">
        <v>3271</v>
      </c>
      <c r="E372" s="26" t="s">
        <v>1707</v>
      </c>
      <c r="F372" s="244">
        <v>5396.19</v>
      </c>
      <c r="G372" s="26" t="s">
        <v>1708</v>
      </c>
      <c r="H372" s="26" t="s">
        <v>1704</v>
      </c>
      <c r="L372" s="36"/>
    </row>
    <row r="373" spans="1:12">
      <c r="A373" s="7"/>
      <c r="B373" s="7"/>
      <c r="D373" s="7" t="s">
        <v>1724</v>
      </c>
      <c r="E373" s="26" t="s">
        <v>1707</v>
      </c>
      <c r="F373" s="244">
        <v>-58252.270000000004</v>
      </c>
      <c r="G373" s="26" t="s">
        <v>1708</v>
      </c>
      <c r="H373" s="26" t="s">
        <v>1704</v>
      </c>
      <c r="L373" s="36"/>
    </row>
    <row r="374" spans="1:12">
      <c r="A374" s="7"/>
      <c r="B374" s="7"/>
      <c r="D374" s="7" t="s">
        <v>2658</v>
      </c>
      <c r="E374" s="26" t="s">
        <v>1707</v>
      </c>
      <c r="F374" s="244">
        <v>629669.39</v>
      </c>
      <c r="G374" s="26" t="s">
        <v>1708</v>
      </c>
      <c r="H374" s="26" t="s">
        <v>1704</v>
      </c>
      <c r="L374" s="36"/>
    </row>
    <row r="375" spans="1:12">
      <c r="A375" s="7"/>
      <c r="B375" s="7"/>
      <c r="D375" s="7" t="s">
        <v>3272</v>
      </c>
      <c r="E375" s="26" t="s">
        <v>1707</v>
      </c>
      <c r="F375" s="244">
        <v>209702.06</v>
      </c>
      <c r="G375" s="26" t="s">
        <v>1708</v>
      </c>
      <c r="H375" s="26" t="s">
        <v>1704</v>
      </c>
      <c r="L375" s="36"/>
    </row>
    <row r="376" spans="1:12">
      <c r="A376" s="248"/>
      <c r="B376" s="7"/>
      <c r="D376" s="7" t="s">
        <v>3273</v>
      </c>
      <c r="E376" s="26" t="s">
        <v>1707</v>
      </c>
      <c r="F376" s="244">
        <v>29383.52</v>
      </c>
      <c r="G376" s="26" t="s">
        <v>1708</v>
      </c>
      <c r="H376" s="26" t="s">
        <v>1704</v>
      </c>
      <c r="L376" s="36"/>
    </row>
    <row r="377" spans="1:12">
      <c r="A377" s="7" t="s">
        <v>1726</v>
      </c>
      <c r="B377" s="7" t="s">
        <v>1727</v>
      </c>
      <c r="C377" s="26" t="s">
        <v>995</v>
      </c>
      <c r="D377" s="7" t="s">
        <v>3274</v>
      </c>
      <c r="E377" s="26" t="s">
        <v>1171</v>
      </c>
      <c r="F377" s="244">
        <v>-175640.56</v>
      </c>
      <c r="H377" s="26" t="s">
        <v>1688</v>
      </c>
      <c r="L377" s="36"/>
    </row>
    <row r="378" spans="1:12">
      <c r="A378" s="7"/>
      <c r="B378" s="7"/>
      <c r="C378" s="26" t="s">
        <v>2664</v>
      </c>
      <c r="D378" s="7" t="s">
        <v>2665</v>
      </c>
      <c r="E378" s="26" t="s">
        <v>1734</v>
      </c>
      <c r="F378" s="244">
        <v>-6805.1900000000005</v>
      </c>
      <c r="H378" s="26" t="s">
        <v>1688</v>
      </c>
      <c r="L378" s="36"/>
    </row>
    <row r="379" spans="1:12">
      <c r="A379" s="7"/>
      <c r="B379" s="7"/>
      <c r="D379" s="7"/>
      <c r="E379" s="26" t="s">
        <v>2666</v>
      </c>
      <c r="F379" s="244">
        <v>-510.3</v>
      </c>
      <c r="H379" s="26" t="s">
        <v>1688</v>
      </c>
      <c r="L379" s="36"/>
    </row>
    <row r="380" spans="1:12">
      <c r="A380" s="7"/>
      <c r="B380" s="7"/>
      <c r="C380" s="26" t="s">
        <v>3275</v>
      </c>
      <c r="D380" s="7" t="s">
        <v>2665</v>
      </c>
      <c r="E380" s="26" t="s">
        <v>3276</v>
      </c>
      <c r="F380" s="244">
        <v>-56374.39</v>
      </c>
      <c r="H380" s="26" t="s">
        <v>1688</v>
      </c>
      <c r="L380" s="36"/>
    </row>
    <row r="381" spans="1:12">
      <c r="A381" s="7"/>
      <c r="B381" s="7"/>
      <c r="C381" s="26" t="s">
        <v>999</v>
      </c>
      <c r="D381" s="7" t="s">
        <v>3277</v>
      </c>
      <c r="E381" s="26" t="s">
        <v>1694</v>
      </c>
      <c r="F381" s="244">
        <v>4048.17</v>
      </c>
      <c r="H381" s="26" t="s">
        <v>1688</v>
      </c>
      <c r="L381" s="36"/>
    </row>
    <row r="382" spans="1:12">
      <c r="A382" s="7"/>
      <c r="B382" s="7"/>
      <c r="D382" s="7" t="s">
        <v>3278</v>
      </c>
      <c r="E382" s="26" t="s">
        <v>1694</v>
      </c>
      <c r="F382" s="244">
        <v>54588.46</v>
      </c>
      <c r="H382" s="26" t="s">
        <v>1688</v>
      </c>
      <c r="L382" s="36"/>
    </row>
    <row r="383" spans="1:12">
      <c r="A383" s="7"/>
      <c r="B383" s="7"/>
      <c r="D383" s="7"/>
      <c r="E383" s="26" t="s">
        <v>3279</v>
      </c>
      <c r="F383" s="244">
        <v>-41028.629999999997</v>
      </c>
      <c r="H383" s="26" t="s">
        <v>1688</v>
      </c>
      <c r="L383" s="36"/>
    </row>
    <row r="384" spans="1:12">
      <c r="A384" s="7"/>
      <c r="B384" s="7"/>
      <c r="D384" s="7" t="s">
        <v>2659</v>
      </c>
      <c r="E384" s="26" t="s">
        <v>1694</v>
      </c>
      <c r="F384" s="244">
        <v>-7650259.6999999993</v>
      </c>
      <c r="H384" s="26" t="s">
        <v>1688</v>
      </c>
      <c r="L384" s="36"/>
    </row>
    <row r="385" spans="1:12">
      <c r="A385" s="7"/>
      <c r="B385" s="7"/>
      <c r="D385" s="7"/>
      <c r="E385" s="26" t="s">
        <v>3279</v>
      </c>
      <c r="F385" s="244">
        <v>-618</v>
      </c>
      <c r="H385" s="26" t="s">
        <v>1688</v>
      </c>
      <c r="L385" s="36"/>
    </row>
    <row r="386" spans="1:12">
      <c r="A386" s="7"/>
      <c r="B386" s="7"/>
      <c r="D386" s="7" t="s">
        <v>1729</v>
      </c>
      <c r="E386" s="26" t="s">
        <v>1694</v>
      </c>
      <c r="F386" s="244">
        <v>-539543.33000000007</v>
      </c>
      <c r="H386" s="26" t="s">
        <v>1688</v>
      </c>
      <c r="L386" s="36"/>
    </row>
    <row r="387" spans="1:12">
      <c r="A387" s="7"/>
      <c r="B387" s="7"/>
      <c r="D387" s="7" t="s">
        <v>2661</v>
      </c>
      <c r="E387" s="26" t="s">
        <v>1694</v>
      </c>
      <c r="F387" s="244">
        <v>-5264.2000000000007</v>
      </c>
      <c r="H387" s="26" t="s">
        <v>1688</v>
      </c>
      <c r="L387" s="36"/>
    </row>
    <row r="388" spans="1:12">
      <c r="A388" s="248"/>
      <c r="B388" s="7"/>
      <c r="C388" s="26" t="s">
        <v>1000</v>
      </c>
      <c r="D388" s="7" t="s">
        <v>1749</v>
      </c>
      <c r="E388" s="26" t="s">
        <v>1143</v>
      </c>
      <c r="F388" s="244">
        <v>-887979.57</v>
      </c>
      <c r="H388" s="26" t="s">
        <v>1688</v>
      </c>
      <c r="L388" s="36"/>
    </row>
    <row r="389" spans="1:12">
      <c r="A389" s="7" t="s">
        <v>1731</v>
      </c>
      <c r="B389" s="7" t="s">
        <v>1732</v>
      </c>
      <c r="C389" s="26" t="s">
        <v>1006</v>
      </c>
      <c r="D389" s="7" t="s">
        <v>1733</v>
      </c>
      <c r="E389" s="26" t="s">
        <v>1734</v>
      </c>
      <c r="F389" s="244">
        <v>-18013.080000000002</v>
      </c>
      <c r="H389" s="26" t="s">
        <v>1732</v>
      </c>
      <c r="L389" s="36"/>
    </row>
    <row r="390" spans="1:12">
      <c r="A390" s="7"/>
      <c r="B390" s="7"/>
      <c r="D390" s="7" t="s">
        <v>1735</v>
      </c>
      <c r="E390" s="26" t="s">
        <v>1734</v>
      </c>
      <c r="F390" s="244">
        <v>-600436</v>
      </c>
      <c r="H390" s="26" t="s">
        <v>1732</v>
      </c>
      <c r="L390" s="36"/>
    </row>
    <row r="391" spans="1:12">
      <c r="A391" s="7"/>
      <c r="B391" s="7"/>
      <c r="C391" s="26" t="s">
        <v>995</v>
      </c>
      <c r="D391" s="7" t="s">
        <v>3280</v>
      </c>
      <c r="E391" s="26" t="s">
        <v>1171</v>
      </c>
      <c r="F391" s="244">
        <v>5548</v>
      </c>
      <c r="H391" s="26" t="s">
        <v>1732</v>
      </c>
      <c r="L391" s="36"/>
    </row>
    <row r="392" spans="1:12">
      <c r="A392" s="7"/>
      <c r="B392" s="7"/>
      <c r="D392" s="7" t="s">
        <v>2662</v>
      </c>
      <c r="E392" s="26" t="s">
        <v>1105</v>
      </c>
      <c r="F392" s="244">
        <v>-8262.2099999999991</v>
      </c>
      <c r="H392" s="26" t="s">
        <v>1732</v>
      </c>
      <c r="L392" s="36"/>
    </row>
    <row r="393" spans="1:12">
      <c r="A393" s="7"/>
      <c r="B393" s="7"/>
      <c r="D393" s="7" t="s">
        <v>3281</v>
      </c>
      <c r="E393" s="26" t="s">
        <v>1171</v>
      </c>
      <c r="F393" s="244">
        <v>373427</v>
      </c>
      <c r="H393" s="26" t="s">
        <v>1732</v>
      </c>
      <c r="L393" s="36"/>
    </row>
    <row r="394" spans="1:12">
      <c r="A394" s="7"/>
      <c r="B394" s="7"/>
      <c r="D394" s="7" t="s">
        <v>1736</v>
      </c>
      <c r="E394" s="26" t="s">
        <v>1105</v>
      </c>
      <c r="F394" s="244">
        <v>376981</v>
      </c>
      <c r="H394" s="26" t="s">
        <v>1732</v>
      </c>
      <c r="L394" s="36"/>
    </row>
    <row r="395" spans="1:12">
      <c r="A395" s="7"/>
      <c r="B395" s="7"/>
      <c r="D395" s="7" t="s">
        <v>1737</v>
      </c>
      <c r="E395" s="26" t="s">
        <v>1105</v>
      </c>
      <c r="F395" s="244">
        <v>-434128</v>
      </c>
      <c r="H395" s="26" t="s">
        <v>1732</v>
      </c>
      <c r="L395" s="36"/>
    </row>
    <row r="396" spans="1:12">
      <c r="A396" s="7"/>
      <c r="B396" s="7"/>
      <c r="C396" s="26" t="s">
        <v>2664</v>
      </c>
      <c r="D396" s="7" t="s">
        <v>2665</v>
      </c>
      <c r="E396" s="26" t="s">
        <v>2666</v>
      </c>
      <c r="F396" s="244">
        <v>-83512.03</v>
      </c>
      <c r="H396" s="26" t="s">
        <v>1732</v>
      </c>
      <c r="L396" s="36"/>
    </row>
    <row r="397" spans="1:12">
      <c r="A397" s="7"/>
      <c r="B397" s="7"/>
      <c r="C397" s="26" t="s">
        <v>997</v>
      </c>
      <c r="D397" s="7" t="s">
        <v>1738</v>
      </c>
      <c r="E397" s="26" t="s">
        <v>1739</v>
      </c>
      <c r="F397" s="244">
        <v>-5921816.8400000008</v>
      </c>
      <c r="H397" s="26" t="s">
        <v>1732</v>
      </c>
      <c r="L397" s="36"/>
    </row>
    <row r="398" spans="1:12">
      <c r="A398" s="7"/>
      <c r="B398" s="7"/>
      <c r="D398" s="7" t="s">
        <v>1741</v>
      </c>
      <c r="E398" s="26" t="s">
        <v>1739</v>
      </c>
      <c r="F398" s="244">
        <v>-183148.96999999997</v>
      </c>
      <c r="H398" s="26" t="s">
        <v>1732</v>
      </c>
      <c r="L398" s="36"/>
    </row>
    <row r="399" spans="1:12">
      <c r="A399" s="7"/>
      <c r="B399" s="7"/>
      <c r="D399" s="7" t="s">
        <v>2672</v>
      </c>
      <c r="E399" s="26" t="s">
        <v>1739</v>
      </c>
      <c r="F399" s="244">
        <v>-667637.30000000005</v>
      </c>
      <c r="H399" s="26" t="s">
        <v>1732</v>
      </c>
      <c r="L399" s="36"/>
    </row>
    <row r="400" spans="1:12">
      <c r="A400" s="7"/>
      <c r="B400" s="7"/>
      <c r="C400" s="26" t="s">
        <v>998</v>
      </c>
      <c r="D400" s="7" t="s">
        <v>2677</v>
      </c>
      <c r="E400" s="26" t="s">
        <v>1743</v>
      </c>
      <c r="F400" s="244">
        <v>-17855.379999999997</v>
      </c>
      <c r="H400" s="26" t="s">
        <v>1732</v>
      </c>
      <c r="L400" s="36"/>
    </row>
    <row r="401" spans="1:15">
      <c r="A401" s="7"/>
      <c r="B401" s="7"/>
      <c r="D401" s="7" t="s">
        <v>2678</v>
      </c>
      <c r="E401" s="26" t="s">
        <v>1743</v>
      </c>
      <c r="F401" s="244">
        <v>-577323.77999999991</v>
      </c>
      <c r="H401" s="26" t="s">
        <v>1732</v>
      </c>
      <c r="L401" s="36"/>
    </row>
    <row r="402" spans="1:15">
      <c r="A402" s="7"/>
      <c r="B402" s="7"/>
      <c r="C402" s="26" t="s">
        <v>1000</v>
      </c>
      <c r="D402" s="7" t="s">
        <v>1749</v>
      </c>
      <c r="E402" s="26" t="s">
        <v>1143</v>
      </c>
      <c r="F402" s="323">
        <v>-3865097.19</v>
      </c>
      <c r="H402" s="26" t="s">
        <v>1732</v>
      </c>
      <c r="L402" s="36"/>
    </row>
    <row r="403" spans="1:15">
      <c r="A403" s="7"/>
      <c r="B403" s="7"/>
      <c r="C403" s="26" t="s">
        <v>2679</v>
      </c>
      <c r="D403" s="7" t="s">
        <v>2679</v>
      </c>
      <c r="E403" s="26" t="s">
        <v>3282</v>
      </c>
      <c r="F403" s="323">
        <v>-2553523.3000000003</v>
      </c>
      <c r="G403" s="26" t="s">
        <v>3283</v>
      </c>
      <c r="H403" s="26" t="s">
        <v>1732</v>
      </c>
      <c r="L403" s="36"/>
    </row>
    <row r="404" spans="1:15">
      <c r="A404" s="248"/>
      <c r="B404" s="7"/>
      <c r="D404" s="7" t="s">
        <v>3284</v>
      </c>
      <c r="E404" s="26" t="s">
        <v>3282</v>
      </c>
      <c r="F404" s="323">
        <v>-78974.899999999994</v>
      </c>
      <c r="G404" s="26" t="s">
        <v>3283</v>
      </c>
      <c r="H404" s="26" t="s">
        <v>1732</v>
      </c>
      <c r="L404" s="36"/>
    </row>
    <row r="405" spans="1:15">
      <c r="A405" s="215" t="s">
        <v>986</v>
      </c>
      <c r="B405" s="215"/>
      <c r="C405" s="215"/>
      <c r="D405" s="215"/>
      <c r="E405" s="215"/>
      <c r="F405" s="249">
        <v>-23537173.57</v>
      </c>
      <c r="L405" s="36"/>
    </row>
    <row r="406" spans="1:15">
      <c r="H406" s="26" t="s">
        <v>1750</v>
      </c>
      <c r="L406" s="115">
        <f>SUM(F351:F352)</f>
        <v>-366448.74</v>
      </c>
    </row>
    <row r="407" spans="1:15">
      <c r="H407" s="26" t="s">
        <v>1751</v>
      </c>
      <c r="L407" s="115">
        <f>SUM(F19:F21)</f>
        <v>-106506.39</v>
      </c>
      <c r="O407" s="27"/>
    </row>
    <row r="408" spans="1:15">
      <c r="H408" s="26" t="s">
        <v>1752</v>
      </c>
      <c r="L408" s="115">
        <f>SUM(F347:F350)</f>
        <v>5222107.2600000016</v>
      </c>
    </row>
    <row r="409" spans="1:15">
      <c r="E409" s="93" t="s">
        <v>987</v>
      </c>
      <c r="F409" s="27">
        <f>'RIGASD PJ1 FERC IS CY20'!W53</f>
        <v>-23518777.760000002</v>
      </c>
      <c r="H409" s="26" t="s">
        <v>1753</v>
      </c>
      <c r="L409" s="92">
        <f>SUM(F5:F18)</f>
        <v>-5802925.7500000009</v>
      </c>
    </row>
    <row r="410" spans="1:15">
      <c r="E410" s="93" t="s">
        <v>190</v>
      </c>
      <c r="F410" s="245">
        <f>F405-F409</f>
        <v>-18395.809999998659</v>
      </c>
    </row>
    <row r="411" spans="1:15">
      <c r="D411" s="30" t="s">
        <v>2685</v>
      </c>
      <c r="E411" s="26" t="s">
        <v>1786</v>
      </c>
      <c r="F411" s="29">
        <v>18395.810000000001</v>
      </c>
    </row>
    <row r="412" spans="1:15">
      <c r="F412" s="92">
        <f>SUM(F410:F411)</f>
        <v>1.3424141798168421E-9</v>
      </c>
    </row>
    <row r="413" spans="1:15">
      <c r="C413" s="27"/>
      <c r="D413" s="246"/>
    </row>
    <row r="414" spans="1:15" ht="99.75">
      <c r="A414" s="250" t="s">
        <v>1209</v>
      </c>
      <c r="B414" s="250" t="s">
        <v>1210</v>
      </c>
      <c r="C414" s="250" t="s">
        <v>1211</v>
      </c>
      <c r="D414" s="250" t="s">
        <v>1212</v>
      </c>
      <c r="E414" s="250" t="s">
        <v>1213</v>
      </c>
      <c r="F414" s="250" t="s">
        <v>1214</v>
      </c>
      <c r="G414" s="250" t="s">
        <v>1215</v>
      </c>
      <c r="H414" s="250" t="s">
        <v>978</v>
      </c>
      <c r="I414" s="250" t="s">
        <v>1216</v>
      </c>
      <c r="J414" s="250" t="s">
        <v>1217</v>
      </c>
      <c r="K414" s="250" t="s">
        <v>1218</v>
      </c>
      <c r="L414" s="250" t="s">
        <v>1219</v>
      </c>
      <c r="M414" s="250" t="s">
        <v>1220</v>
      </c>
      <c r="N414" s="250" t="s">
        <v>1221</v>
      </c>
    </row>
    <row r="415" spans="1:15">
      <c r="A415" s="251" t="s">
        <v>3285</v>
      </c>
      <c r="B415" s="251" t="s">
        <v>1223</v>
      </c>
      <c r="C415" s="251" t="s">
        <v>3286</v>
      </c>
      <c r="D415" s="251" t="s">
        <v>3287</v>
      </c>
      <c r="E415" s="251" t="s">
        <v>1759</v>
      </c>
      <c r="F415" s="251" t="s">
        <v>1760</v>
      </c>
      <c r="G415" s="251" t="s">
        <v>1785</v>
      </c>
      <c r="H415" s="251" t="s">
        <v>1229</v>
      </c>
      <c r="I415" s="251"/>
      <c r="J415" s="252"/>
      <c r="K415" s="252"/>
      <c r="L415" s="253" t="s">
        <v>1786</v>
      </c>
      <c r="M415" s="253" t="s">
        <v>1230</v>
      </c>
      <c r="N415" s="254">
        <v>5237.7</v>
      </c>
      <c r="O415" s="26" t="s">
        <v>1755</v>
      </c>
    </row>
    <row r="416" spans="1:15">
      <c r="A416" s="251" t="s">
        <v>3285</v>
      </c>
      <c r="B416" s="251" t="s">
        <v>1223</v>
      </c>
      <c r="C416" s="251" t="s">
        <v>3288</v>
      </c>
      <c r="D416" s="251" t="s">
        <v>3289</v>
      </c>
      <c r="E416" s="251" t="s">
        <v>1759</v>
      </c>
      <c r="F416" s="251" t="s">
        <v>1760</v>
      </c>
      <c r="G416" s="251" t="s">
        <v>1795</v>
      </c>
      <c r="H416" s="251" t="s">
        <v>1229</v>
      </c>
      <c r="I416" s="251"/>
      <c r="J416" s="252"/>
      <c r="K416" s="252"/>
      <c r="L416" s="253" t="s">
        <v>1796</v>
      </c>
      <c r="M416" s="253" t="s">
        <v>1797</v>
      </c>
      <c r="N416" s="255">
        <v>-535.5</v>
      </c>
      <c r="O416" s="26" t="s">
        <v>1755</v>
      </c>
    </row>
    <row r="417" spans="1:15">
      <c r="A417" s="256" t="s">
        <v>3285</v>
      </c>
      <c r="B417" s="256" t="s">
        <v>1223</v>
      </c>
      <c r="C417" s="256" t="s">
        <v>3290</v>
      </c>
      <c r="D417" s="256" t="s">
        <v>3291</v>
      </c>
      <c r="E417" s="256" t="s">
        <v>1759</v>
      </c>
      <c r="F417" s="256" t="s">
        <v>1760</v>
      </c>
      <c r="G417" s="256" t="s">
        <v>1818</v>
      </c>
      <c r="H417" s="256" t="s">
        <v>1229</v>
      </c>
      <c r="I417" s="256"/>
      <c r="J417" s="257"/>
      <c r="K417" s="257"/>
      <c r="L417" s="258" t="s">
        <v>1796</v>
      </c>
      <c r="M417" s="258" t="s">
        <v>1797</v>
      </c>
      <c r="N417" s="259">
        <v>-1476.6</v>
      </c>
      <c r="O417" s="26" t="s">
        <v>1755</v>
      </c>
    </row>
    <row r="418" spans="1:15">
      <c r="A418" s="251" t="s">
        <v>3285</v>
      </c>
      <c r="B418" s="251" t="s">
        <v>1223</v>
      </c>
      <c r="C418" s="251" t="s">
        <v>3292</v>
      </c>
      <c r="D418" s="251" t="s">
        <v>3293</v>
      </c>
      <c r="E418" s="251" t="s">
        <v>1759</v>
      </c>
      <c r="F418" s="251" t="s">
        <v>1760</v>
      </c>
      <c r="G418" s="251" t="s">
        <v>1812</v>
      </c>
      <c r="H418" s="251" t="s">
        <v>1229</v>
      </c>
      <c r="I418" s="251"/>
      <c r="J418" s="252"/>
      <c r="K418" s="252"/>
      <c r="L418" s="253" t="s">
        <v>1796</v>
      </c>
      <c r="M418" s="253" t="s">
        <v>1797</v>
      </c>
      <c r="N418" s="255">
        <v>-974.65</v>
      </c>
      <c r="O418" s="26" t="s">
        <v>1755</v>
      </c>
    </row>
    <row r="419" spans="1:15">
      <c r="A419" s="256" t="s">
        <v>3285</v>
      </c>
      <c r="B419" s="256" t="s">
        <v>1223</v>
      </c>
      <c r="C419" s="256" t="s">
        <v>3294</v>
      </c>
      <c r="D419" s="256" t="s">
        <v>3295</v>
      </c>
      <c r="E419" s="256" t="s">
        <v>1759</v>
      </c>
      <c r="F419" s="256" t="s">
        <v>1760</v>
      </c>
      <c r="G419" s="256" t="s">
        <v>1806</v>
      </c>
      <c r="H419" s="256" t="s">
        <v>1229</v>
      </c>
      <c r="I419" s="256"/>
      <c r="J419" s="257"/>
      <c r="K419" s="257"/>
      <c r="L419" s="258" t="s">
        <v>1796</v>
      </c>
      <c r="M419" s="258" t="s">
        <v>1797</v>
      </c>
      <c r="N419" s="259">
        <v>-182.64</v>
      </c>
      <c r="O419" s="26" t="s">
        <v>1755</v>
      </c>
    </row>
    <row r="420" spans="1:15">
      <c r="A420" s="251" t="s">
        <v>3285</v>
      </c>
      <c r="B420" s="251" t="s">
        <v>1223</v>
      </c>
      <c r="C420" s="251" t="s">
        <v>3296</v>
      </c>
      <c r="D420" s="251" t="s">
        <v>3297</v>
      </c>
      <c r="E420" s="251" t="s">
        <v>1759</v>
      </c>
      <c r="F420" s="251" t="s">
        <v>1760</v>
      </c>
      <c r="G420" s="251" t="s">
        <v>1800</v>
      </c>
      <c r="H420" s="251" t="s">
        <v>1229</v>
      </c>
      <c r="I420" s="251"/>
      <c r="J420" s="252"/>
      <c r="K420" s="252"/>
      <c r="L420" s="253" t="s">
        <v>1796</v>
      </c>
      <c r="M420" s="253" t="s">
        <v>1797</v>
      </c>
      <c r="N420" s="255">
        <v>-778.77</v>
      </c>
      <c r="O420" s="26" t="s">
        <v>1755</v>
      </c>
    </row>
    <row r="421" spans="1:15">
      <c r="A421" s="256" t="s">
        <v>3285</v>
      </c>
      <c r="B421" s="256" t="s">
        <v>1223</v>
      </c>
      <c r="C421" s="256" t="s">
        <v>3298</v>
      </c>
      <c r="D421" s="256" t="s">
        <v>3299</v>
      </c>
      <c r="E421" s="256" t="s">
        <v>1759</v>
      </c>
      <c r="F421" s="256" t="s">
        <v>1760</v>
      </c>
      <c r="G421" s="256" t="s">
        <v>1809</v>
      </c>
      <c r="H421" s="256" t="s">
        <v>1229</v>
      </c>
      <c r="I421" s="256"/>
      <c r="J421" s="257"/>
      <c r="K421" s="257"/>
      <c r="L421" s="258" t="s">
        <v>1796</v>
      </c>
      <c r="M421" s="258" t="s">
        <v>1797</v>
      </c>
      <c r="N421" s="259">
        <v>-907.03</v>
      </c>
      <c r="O421" s="26" t="s">
        <v>1755</v>
      </c>
    </row>
    <row r="422" spans="1:15">
      <c r="A422" s="251" t="s">
        <v>3285</v>
      </c>
      <c r="B422" s="251" t="s">
        <v>1223</v>
      </c>
      <c r="C422" s="251" t="s">
        <v>3300</v>
      </c>
      <c r="D422" s="251" t="s">
        <v>3301</v>
      </c>
      <c r="E422" s="251" t="s">
        <v>1759</v>
      </c>
      <c r="F422" s="251" t="s">
        <v>1760</v>
      </c>
      <c r="G422" s="251" t="s">
        <v>3302</v>
      </c>
      <c r="H422" s="251" t="s">
        <v>1229</v>
      </c>
      <c r="I422" s="251"/>
      <c r="J422" s="252"/>
      <c r="K422" s="252"/>
      <c r="L422" s="253" t="s">
        <v>1796</v>
      </c>
      <c r="M422" s="253" t="s">
        <v>1797</v>
      </c>
      <c r="N422" s="255">
        <v>-382.51</v>
      </c>
      <c r="O422" s="26" t="s">
        <v>1755</v>
      </c>
    </row>
    <row r="423" spans="1:15">
      <c r="A423" s="251" t="s">
        <v>3303</v>
      </c>
      <c r="B423" s="251" t="s">
        <v>1223</v>
      </c>
      <c r="C423" s="251" t="s">
        <v>3304</v>
      </c>
      <c r="D423" s="251" t="s">
        <v>3305</v>
      </c>
      <c r="E423" s="251" t="s">
        <v>1759</v>
      </c>
      <c r="F423" s="251" t="s">
        <v>1760</v>
      </c>
      <c r="G423" s="251" t="s">
        <v>1800</v>
      </c>
      <c r="H423" s="251" t="s">
        <v>1229</v>
      </c>
      <c r="I423" s="251"/>
      <c r="J423" s="252"/>
      <c r="K423" s="252"/>
      <c r="L423" s="253" t="s">
        <v>1796</v>
      </c>
      <c r="M423" s="253" t="s">
        <v>1797</v>
      </c>
      <c r="N423" s="255">
        <v>-673.7</v>
      </c>
      <c r="O423" s="26" t="s">
        <v>1755</v>
      </c>
    </row>
    <row r="424" spans="1:15">
      <c r="A424" s="256" t="s">
        <v>3303</v>
      </c>
      <c r="B424" s="256" t="s">
        <v>1223</v>
      </c>
      <c r="C424" s="256" t="s">
        <v>3306</v>
      </c>
      <c r="D424" s="256" t="s">
        <v>3307</v>
      </c>
      <c r="E424" s="256" t="s">
        <v>1759</v>
      </c>
      <c r="F424" s="256" t="s">
        <v>1760</v>
      </c>
      <c r="G424" s="256" t="s">
        <v>1806</v>
      </c>
      <c r="H424" s="256" t="s">
        <v>1229</v>
      </c>
      <c r="I424" s="256"/>
      <c r="J424" s="257"/>
      <c r="K424" s="257"/>
      <c r="L424" s="258" t="s">
        <v>1796</v>
      </c>
      <c r="M424" s="258" t="s">
        <v>1797</v>
      </c>
      <c r="N424" s="259">
        <v>-186.84</v>
      </c>
      <c r="O424" s="26" t="s">
        <v>1755</v>
      </c>
    </row>
    <row r="425" spans="1:15">
      <c r="A425" s="251" t="s">
        <v>3303</v>
      </c>
      <c r="B425" s="251" t="s">
        <v>1223</v>
      </c>
      <c r="C425" s="251" t="s">
        <v>3308</v>
      </c>
      <c r="D425" s="251" t="s">
        <v>3309</v>
      </c>
      <c r="E425" s="251" t="s">
        <v>1759</v>
      </c>
      <c r="F425" s="251" t="s">
        <v>1760</v>
      </c>
      <c r="G425" s="251" t="s">
        <v>3302</v>
      </c>
      <c r="H425" s="251" t="s">
        <v>1229</v>
      </c>
      <c r="I425" s="251"/>
      <c r="J425" s="252"/>
      <c r="K425" s="252"/>
      <c r="L425" s="253" t="s">
        <v>1796</v>
      </c>
      <c r="M425" s="253" t="s">
        <v>1797</v>
      </c>
      <c r="N425" s="255">
        <v>-62.31</v>
      </c>
      <c r="O425" s="26" t="s">
        <v>1755</v>
      </c>
    </row>
    <row r="426" spans="1:15">
      <c r="A426" s="256" t="s">
        <v>3303</v>
      </c>
      <c r="B426" s="256" t="s">
        <v>1223</v>
      </c>
      <c r="C426" s="256" t="s">
        <v>3310</v>
      </c>
      <c r="D426" s="256" t="s">
        <v>3311</v>
      </c>
      <c r="E426" s="256" t="s">
        <v>1759</v>
      </c>
      <c r="F426" s="256" t="s">
        <v>1760</v>
      </c>
      <c r="G426" s="256" t="s">
        <v>1812</v>
      </c>
      <c r="H426" s="256" t="s">
        <v>1229</v>
      </c>
      <c r="I426" s="256"/>
      <c r="J426" s="257"/>
      <c r="K426" s="257"/>
      <c r="L426" s="258" t="s">
        <v>1796</v>
      </c>
      <c r="M426" s="258" t="s">
        <v>1797</v>
      </c>
      <c r="N426" s="259">
        <v>-931.27</v>
      </c>
      <c r="O426" s="26" t="s">
        <v>1755</v>
      </c>
    </row>
    <row r="427" spans="1:15">
      <c r="A427" s="251" t="s">
        <v>3303</v>
      </c>
      <c r="B427" s="251" t="s">
        <v>1223</v>
      </c>
      <c r="C427" s="251" t="s">
        <v>3312</v>
      </c>
      <c r="D427" s="251" t="s">
        <v>3313</v>
      </c>
      <c r="E427" s="251" t="s">
        <v>1759</v>
      </c>
      <c r="F427" s="251" t="s">
        <v>1760</v>
      </c>
      <c r="G427" s="251" t="s">
        <v>1809</v>
      </c>
      <c r="H427" s="251" t="s">
        <v>1229</v>
      </c>
      <c r="I427" s="251"/>
      <c r="J427" s="252"/>
      <c r="K427" s="252"/>
      <c r="L427" s="253" t="s">
        <v>1796</v>
      </c>
      <c r="M427" s="253" t="s">
        <v>1797</v>
      </c>
      <c r="N427" s="255">
        <v>-818.78</v>
      </c>
      <c r="O427" s="26" t="s">
        <v>1755</v>
      </c>
    </row>
    <row r="428" spans="1:15">
      <c r="A428" s="256" t="s">
        <v>3303</v>
      </c>
      <c r="B428" s="256" t="s">
        <v>1223</v>
      </c>
      <c r="C428" s="256" t="s">
        <v>3314</v>
      </c>
      <c r="D428" s="256" t="s">
        <v>3315</v>
      </c>
      <c r="E428" s="256" t="s">
        <v>1759</v>
      </c>
      <c r="F428" s="256" t="s">
        <v>1760</v>
      </c>
      <c r="G428" s="256" t="s">
        <v>1818</v>
      </c>
      <c r="H428" s="256" t="s">
        <v>1229</v>
      </c>
      <c r="I428" s="256"/>
      <c r="J428" s="257"/>
      <c r="K428" s="257"/>
      <c r="L428" s="258" t="s">
        <v>1796</v>
      </c>
      <c r="M428" s="258" t="s">
        <v>1797</v>
      </c>
      <c r="N428" s="259">
        <v>-1896.46</v>
      </c>
      <c r="O428" s="26" t="s">
        <v>1755</v>
      </c>
    </row>
    <row r="429" spans="1:15">
      <c r="A429" s="251" t="s">
        <v>3303</v>
      </c>
      <c r="B429" s="251" t="s">
        <v>1223</v>
      </c>
      <c r="C429" s="251" t="s">
        <v>3316</v>
      </c>
      <c r="D429" s="251" t="s">
        <v>3317</v>
      </c>
      <c r="E429" s="251" t="s">
        <v>1759</v>
      </c>
      <c r="F429" s="251" t="s">
        <v>1760</v>
      </c>
      <c r="G429" s="251" t="s">
        <v>1795</v>
      </c>
      <c r="H429" s="251" t="s">
        <v>1229</v>
      </c>
      <c r="I429" s="251"/>
      <c r="J429" s="252"/>
      <c r="K429" s="252"/>
      <c r="L429" s="253" t="s">
        <v>1796</v>
      </c>
      <c r="M429" s="253" t="s">
        <v>1797</v>
      </c>
      <c r="N429" s="255">
        <v>-457.75</v>
      </c>
      <c r="O429" s="26" t="s">
        <v>1755</v>
      </c>
    </row>
    <row r="430" spans="1:15">
      <c r="A430" s="251" t="s">
        <v>3303</v>
      </c>
      <c r="B430" s="251" t="s">
        <v>1223</v>
      </c>
      <c r="C430" s="251" t="s">
        <v>3318</v>
      </c>
      <c r="D430" s="251" t="s">
        <v>3319</v>
      </c>
      <c r="E430" s="251" t="s">
        <v>1759</v>
      </c>
      <c r="F430" s="251" t="s">
        <v>1760</v>
      </c>
      <c r="G430" s="251" t="s">
        <v>1785</v>
      </c>
      <c r="H430" s="251" t="s">
        <v>1229</v>
      </c>
      <c r="I430" s="251"/>
      <c r="J430" s="252"/>
      <c r="K430" s="252"/>
      <c r="L430" s="253" t="s">
        <v>1786</v>
      </c>
      <c r="M430" s="253" t="s">
        <v>1230</v>
      </c>
      <c r="N430" s="254">
        <v>5027.1099999999997</v>
      </c>
      <c r="O430" s="26" t="s">
        <v>1755</v>
      </c>
    </row>
    <row r="431" spans="1:15">
      <c r="A431" s="251" t="s">
        <v>3320</v>
      </c>
      <c r="B431" s="251" t="s">
        <v>1223</v>
      </c>
      <c r="C431" s="251" t="s">
        <v>3321</v>
      </c>
      <c r="D431" s="251" t="s">
        <v>3322</v>
      </c>
      <c r="E431" s="251" t="s">
        <v>1759</v>
      </c>
      <c r="F431" s="251" t="s">
        <v>1760</v>
      </c>
      <c r="G431" s="251" t="s">
        <v>1785</v>
      </c>
      <c r="H431" s="251" t="s">
        <v>1229</v>
      </c>
      <c r="I431" s="251"/>
      <c r="J431" s="252"/>
      <c r="K431" s="252"/>
      <c r="L431" s="253" t="s">
        <v>1786</v>
      </c>
      <c r="M431" s="253" t="s">
        <v>1230</v>
      </c>
      <c r="N431" s="254">
        <v>5113.74</v>
      </c>
      <c r="O431" s="26" t="s">
        <v>1755</v>
      </c>
    </row>
    <row r="432" spans="1:15">
      <c r="A432" s="256" t="s">
        <v>3320</v>
      </c>
      <c r="B432" s="256" t="s">
        <v>1223</v>
      </c>
      <c r="C432" s="256" t="s">
        <v>3323</v>
      </c>
      <c r="D432" s="256" t="s">
        <v>3324</v>
      </c>
      <c r="E432" s="256" t="s">
        <v>1759</v>
      </c>
      <c r="F432" s="256" t="s">
        <v>1760</v>
      </c>
      <c r="G432" s="256" t="s">
        <v>3302</v>
      </c>
      <c r="H432" s="256" t="s">
        <v>1229</v>
      </c>
      <c r="I432" s="256"/>
      <c r="J432" s="257"/>
      <c r="K432" s="257"/>
      <c r="L432" s="258" t="s">
        <v>1796</v>
      </c>
      <c r="M432" s="258" t="s">
        <v>1797</v>
      </c>
      <c r="N432" s="260">
        <v>11.17</v>
      </c>
      <c r="O432" s="26" t="s">
        <v>1755</v>
      </c>
    </row>
    <row r="433" spans="1:15">
      <c r="A433" s="251" t="s">
        <v>3320</v>
      </c>
      <c r="B433" s="251" t="s">
        <v>1223</v>
      </c>
      <c r="C433" s="251" t="s">
        <v>3325</v>
      </c>
      <c r="D433" s="251" t="s">
        <v>3326</v>
      </c>
      <c r="E433" s="251" t="s">
        <v>1759</v>
      </c>
      <c r="F433" s="251" t="s">
        <v>1760</v>
      </c>
      <c r="G433" s="251" t="s">
        <v>1809</v>
      </c>
      <c r="H433" s="251" t="s">
        <v>1229</v>
      </c>
      <c r="I433" s="251"/>
      <c r="J433" s="252"/>
      <c r="K433" s="252"/>
      <c r="L433" s="253" t="s">
        <v>1796</v>
      </c>
      <c r="M433" s="253" t="s">
        <v>1797</v>
      </c>
      <c r="N433" s="255">
        <v>-912.01</v>
      </c>
      <c r="O433" s="26" t="s">
        <v>1755</v>
      </c>
    </row>
    <row r="434" spans="1:15">
      <c r="A434" s="256" t="s">
        <v>3320</v>
      </c>
      <c r="B434" s="256" t="s">
        <v>1223</v>
      </c>
      <c r="C434" s="256" t="s">
        <v>3327</v>
      </c>
      <c r="D434" s="256" t="s">
        <v>3328</v>
      </c>
      <c r="E434" s="256" t="s">
        <v>1759</v>
      </c>
      <c r="F434" s="256" t="s">
        <v>1760</v>
      </c>
      <c r="G434" s="256" t="s">
        <v>1800</v>
      </c>
      <c r="H434" s="256" t="s">
        <v>1229</v>
      </c>
      <c r="I434" s="256"/>
      <c r="J434" s="257"/>
      <c r="K434" s="257"/>
      <c r="L434" s="258" t="s">
        <v>1796</v>
      </c>
      <c r="M434" s="258" t="s">
        <v>1797</v>
      </c>
      <c r="N434" s="259">
        <v>-717.35</v>
      </c>
      <c r="O434" s="26" t="s">
        <v>1755</v>
      </c>
    </row>
    <row r="435" spans="1:15">
      <c r="A435" s="251" t="s">
        <v>3320</v>
      </c>
      <c r="B435" s="251" t="s">
        <v>1223</v>
      </c>
      <c r="C435" s="251" t="s">
        <v>3329</v>
      </c>
      <c r="D435" s="251" t="s">
        <v>3330</v>
      </c>
      <c r="E435" s="251" t="s">
        <v>1759</v>
      </c>
      <c r="F435" s="251" t="s">
        <v>1760</v>
      </c>
      <c r="G435" s="251" t="s">
        <v>1806</v>
      </c>
      <c r="H435" s="251" t="s">
        <v>1229</v>
      </c>
      <c r="I435" s="251"/>
      <c r="J435" s="252"/>
      <c r="K435" s="252"/>
      <c r="L435" s="253" t="s">
        <v>1796</v>
      </c>
      <c r="M435" s="253" t="s">
        <v>1797</v>
      </c>
      <c r="N435" s="255">
        <v>-172.08</v>
      </c>
      <c r="O435" s="26" t="s">
        <v>1755</v>
      </c>
    </row>
    <row r="436" spans="1:15">
      <c r="A436" s="256" t="s">
        <v>3320</v>
      </c>
      <c r="B436" s="256" t="s">
        <v>1223</v>
      </c>
      <c r="C436" s="256" t="s">
        <v>3331</v>
      </c>
      <c r="D436" s="256" t="s">
        <v>3332</v>
      </c>
      <c r="E436" s="256" t="s">
        <v>1759</v>
      </c>
      <c r="F436" s="256" t="s">
        <v>1760</v>
      </c>
      <c r="G436" s="256" t="s">
        <v>1812</v>
      </c>
      <c r="H436" s="256" t="s">
        <v>1229</v>
      </c>
      <c r="I436" s="256"/>
      <c r="J436" s="257"/>
      <c r="K436" s="257"/>
      <c r="L436" s="258" t="s">
        <v>1796</v>
      </c>
      <c r="M436" s="258" t="s">
        <v>1797</v>
      </c>
      <c r="N436" s="259">
        <v>-981.02</v>
      </c>
      <c r="O436" s="26" t="s">
        <v>1755</v>
      </c>
    </row>
    <row r="437" spans="1:15">
      <c r="A437" s="251" t="s">
        <v>3320</v>
      </c>
      <c r="B437" s="251" t="s">
        <v>1223</v>
      </c>
      <c r="C437" s="251" t="s">
        <v>3333</v>
      </c>
      <c r="D437" s="251" t="s">
        <v>3334</v>
      </c>
      <c r="E437" s="251" t="s">
        <v>1759</v>
      </c>
      <c r="F437" s="251" t="s">
        <v>1760</v>
      </c>
      <c r="G437" s="251" t="s">
        <v>1818</v>
      </c>
      <c r="H437" s="251" t="s">
        <v>1229</v>
      </c>
      <c r="I437" s="251"/>
      <c r="J437" s="252"/>
      <c r="K437" s="252"/>
      <c r="L437" s="253" t="s">
        <v>1796</v>
      </c>
      <c r="M437" s="253" t="s">
        <v>1797</v>
      </c>
      <c r="N437" s="255">
        <v>-1834.27</v>
      </c>
      <c r="O437" s="26" t="s">
        <v>1755</v>
      </c>
    </row>
    <row r="438" spans="1:15">
      <c r="A438" s="256" t="s">
        <v>3320</v>
      </c>
      <c r="B438" s="256" t="s">
        <v>1223</v>
      </c>
      <c r="C438" s="256" t="s">
        <v>3335</v>
      </c>
      <c r="D438" s="256" t="s">
        <v>3336</v>
      </c>
      <c r="E438" s="256" t="s">
        <v>1759</v>
      </c>
      <c r="F438" s="256" t="s">
        <v>1760</v>
      </c>
      <c r="G438" s="256" t="s">
        <v>1795</v>
      </c>
      <c r="H438" s="256" t="s">
        <v>1229</v>
      </c>
      <c r="I438" s="256"/>
      <c r="J438" s="257"/>
      <c r="K438" s="257"/>
      <c r="L438" s="258" t="s">
        <v>1796</v>
      </c>
      <c r="M438" s="258" t="s">
        <v>1797</v>
      </c>
      <c r="N438" s="259">
        <v>-508.16</v>
      </c>
      <c r="O438" s="26" t="s">
        <v>1755</v>
      </c>
    </row>
    <row r="439" spans="1:15">
      <c r="A439" s="251" t="s">
        <v>3320</v>
      </c>
      <c r="B439" s="251" t="s">
        <v>1223</v>
      </c>
      <c r="C439" s="251" t="s">
        <v>3337</v>
      </c>
      <c r="D439" s="251" t="s">
        <v>3338</v>
      </c>
      <c r="E439" s="251" t="s">
        <v>1759</v>
      </c>
      <c r="F439" s="251" t="s">
        <v>1760</v>
      </c>
      <c r="G439" s="251" t="s">
        <v>1785</v>
      </c>
      <c r="H439" s="251" t="s">
        <v>1229</v>
      </c>
      <c r="I439" s="251"/>
      <c r="J439" s="252"/>
      <c r="K439" s="252"/>
      <c r="L439" s="253" t="s">
        <v>1786</v>
      </c>
      <c r="M439" s="253" t="s">
        <v>1230</v>
      </c>
      <c r="N439" s="254">
        <v>290.67</v>
      </c>
      <c r="O439" s="26" t="s">
        <v>1755</v>
      </c>
    </row>
    <row r="440" spans="1:15">
      <c r="A440" s="256" t="s">
        <v>3320</v>
      </c>
      <c r="B440" s="256" t="s">
        <v>1223</v>
      </c>
      <c r="C440" s="256" t="s">
        <v>3339</v>
      </c>
      <c r="D440" s="256" t="s">
        <v>3340</v>
      </c>
      <c r="E440" s="256" t="s">
        <v>1759</v>
      </c>
      <c r="F440" s="256" t="s">
        <v>1760</v>
      </c>
      <c r="G440" s="256" t="s">
        <v>1888</v>
      </c>
      <c r="H440" s="256" t="s">
        <v>1229</v>
      </c>
      <c r="I440" s="256"/>
      <c r="J440" s="257"/>
      <c r="K440" s="257"/>
      <c r="L440" s="258" t="s">
        <v>1796</v>
      </c>
      <c r="M440" s="258" t="s">
        <v>1797</v>
      </c>
      <c r="N440" s="259">
        <v>-290.67</v>
      </c>
      <c r="O440" s="26" t="s">
        <v>1755</v>
      </c>
    </row>
    <row r="441" spans="1:15">
      <c r="A441" s="256" t="s">
        <v>3341</v>
      </c>
      <c r="B441" s="256" t="s">
        <v>1223</v>
      </c>
      <c r="C441" s="256" t="s">
        <v>3342</v>
      </c>
      <c r="D441" s="256" t="s">
        <v>3343</v>
      </c>
      <c r="E441" s="256" t="s">
        <v>1759</v>
      </c>
      <c r="F441" s="256" t="s">
        <v>1760</v>
      </c>
      <c r="G441" s="256" t="s">
        <v>1785</v>
      </c>
      <c r="H441" s="256" t="s">
        <v>1229</v>
      </c>
      <c r="I441" s="256"/>
      <c r="J441" s="257"/>
      <c r="K441" s="257"/>
      <c r="L441" s="258" t="s">
        <v>1786</v>
      </c>
      <c r="M441" s="258" t="s">
        <v>1230</v>
      </c>
      <c r="N441" s="259">
        <v>-6340.39</v>
      </c>
      <c r="O441" s="26" t="s">
        <v>1755</v>
      </c>
    </row>
    <row r="442" spans="1:15">
      <c r="A442" s="251" t="s">
        <v>3341</v>
      </c>
      <c r="B442" s="251" t="s">
        <v>1223</v>
      </c>
      <c r="C442" s="251" t="s">
        <v>3344</v>
      </c>
      <c r="D442" s="251" t="s">
        <v>3345</v>
      </c>
      <c r="E442" s="251" t="s">
        <v>1759</v>
      </c>
      <c r="F442" s="251" t="s">
        <v>1760</v>
      </c>
      <c r="G442" s="251" t="s">
        <v>1812</v>
      </c>
      <c r="H442" s="251" t="s">
        <v>1229</v>
      </c>
      <c r="I442" s="251"/>
      <c r="J442" s="252"/>
      <c r="K442" s="252"/>
      <c r="L442" s="253" t="s">
        <v>1796</v>
      </c>
      <c r="M442" s="253" t="s">
        <v>1797</v>
      </c>
      <c r="N442" s="254">
        <v>1317.17</v>
      </c>
      <c r="O442" s="26" t="s">
        <v>1755</v>
      </c>
    </row>
    <row r="443" spans="1:15">
      <c r="A443" s="256" t="s">
        <v>3341</v>
      </c>
      <c r="B443" s="256" t="s">
        <v>1223</v>
      </c>
      <c r="C443" s="256" t="s">
        <v>3346</v>
      </c>
      <c r="D443" s="256" t="s">
        <v>3347</v>
      </c>
      <c r="E443" s="256" t="s">
        <v>1759</v>
      </c>
      <c r="F443" s="256" t="s">
        <v>1760</v>
      </c>
      <c r="G443" s="256" t="s">
        <v>1818</v>
      </c>
      <c r="H443" s="256" t="s">
        <v>1229</v>
      </c>
      <c r="I443" s="256"/>
      <c r="J443" s="257"/>
      <c r="K443" s="257"/>
      <c r="L443" s="258" t="s">
        <v>1796</v>
      </c>
      <c r="M443" s="258" t="s">
        <v>1797</v>
      </c>
      <c r="N443" s="260">
        <v>2262.61</v>
      </c>
      <c r="O443" s="26" t="s">
        <v>1755</v>
      </c>
    </row>
    <row r="444" spans="1:15">
      <c r="A444" s="251" t="s">
        <v>3341</v>
      </c>
      <c r="B444" s="251" t="s">
        <v>1223</v>
      </c>
      <c r="C444" s="251" t="s">
        <v>3348</v>
      </c>
      <c r="D444" s="251" t="s">
        <v>3349</v>
      </c>
      <c r="E444" s="251" t="s">
        <v>1759</v>
      </c>
      <c r="F444" s="251" t="s">
        <v>1760</v>
      </c>
      <c r="G444" s="251" t="s">
        <v>1795</v>
      </c>
      <c r="H444" s="251" t="s">
        <v>1229</v>
      </c>
      <c r="I444" s="251"/>
      <c r="J444" s="252"/>
      <c r="K444" s="252"/>
      <c r="L444" s="253" t="s">
        <v>1796</v>
      </c>
      <c r="M444" s="253" t="s">
        <v>1797</v>
      </c>
      <c r="N444" s="254">
        <v>870.88</v>
      </c>
      <c r="O444" s="26" t="s">
        <v>1755</v>
      </c>
    </row>
    <row r="445" spans="1:15">
      <c r="A445" s="256" t="s">
        <v>3341</v>
      </c>
      <c r="B445" s="256" t="s">
        <v>1223</v>
      </c>
      <c r="C445" s="256" t="s">
        <v>3350</v>
      </c>
      <c r="D445" s="256" t="s">
        <v>3351</v>
      </c>
      <c r="E445" s="256" t="s">
        <v>1759</v>
      </c>
      <c r="F445" s="256" t="s">
        <v>1760</v>
      </c>
      <c r="G445" s="256" t="s">
        <v>1800</v>
      </c>
      <c r="H445" s="256" t="s">
        <v>1229</v>
      </c>
      <c r="I445" s="256"/>
      <c r="J445" s="257"/>
      <c r="K445" s="257"/>
      <c r="L445" s="258" t="s">
        <v>1796</v>
      </c>
      <c r="M445" s="258" t="s">
        <v>1797</v>
      </c>
      <c r="N445" s="260">
        <v>998.64</v>
      </c>
      <c r="O445" s="26" t="s">
        <v>1755</v>
      </c>
    </row>
    <row r="446" spans="1:15">
      <c r="A446" s="251" t="s">
        <v>3341</v>
      </c>
      <c r="B446" s="251" t="s">
        <v>1223</v>
      </c>
      <c r="C446" s="251" t="s">
        <v>3352</v>
      </c>
      <c r="D446" s="251" t="s">
        <v>3353</v>
      </c>
      <c r="E446" s="251" t="s">
        <v>1759</v>
      </c>
      <c r="F446" s="251" t="s">
        <v>1760</v>
      </c>
      <c r="G446" s="251" t="s">
        <v>1806</v>
      </c>
      <c r="H446" s="251" t="s">
        <v>1229</v>
      </c>
      <c r="I446" s="251"/>
      <c r="J446" s="252"/>
      <c r="K446" s="252"/>
      <c r="L446" s="253" t="s">
        <v>1796</v>
      </c>
      <c r="M446" s="253" t="s">
        <v>1797</v>
      </c>
      <c r="N446" s="254">
        <v>251.79</v>
      </c>
      <c r="O446" s="26" t="s">
        <v>1755</v>
      </c>
    </row>
    <row r="447" spans="1:15">
      <c r="A447" s="256" t="s">
        <v>3341</v>
      </c>
      <c r="B447" s="256" t="s">
        <v>1223</v>
      </c>
      <c r="C447" s="256" t="s">
        <v>3354</v>
      </c>
      <c r="D447" s="256" t="s">
        <v>3355</v>
      </c>
      <c r="E447" s="256" t="s">
        <v>1759</v>
      </c>
      <c r="F447" s="256" t="s">
        <v>1760</v>
      </c>
      <c r="G447" s="256" t="s">
        <v>1809</v>
      </c>
      <c r="H447" s="256" t="s">
        <v>1229</v>
      </c>
      <c r="I447" s="256"/>
      <c r="J447" s="257"/>
      <c r="K447" s="257"/>
      <c r="L447" s="258" t="s">
        <v>1796</v>
      </c>
      <c r="M447" s="258" t="s">
        <v>1797</v>
      </c>
      <c r="N447" s="260">
        <v>639.29999999999995</v>
      </c>
      <c r="O447" s="26" t="s">
        <v>1755</v>
      </c>
    </row>
    <row r="448" spans="1:15">
      <c r="A448" s="256" t="s">
        <v>3356</v>
      </c>
      <c r="B448" s="256" t="s">
        <v>1223</v>
      </c>
      <c r="C448" s="256" t="s">
        <v>3357</v>
      </c>
      <c r="D448" s="256" t="s">
        <v>3358</v>
      </c>
      <c r="E448" s="256" t="s">
        <v>1759</v>
      </c>
      <c r="F448" s="256" t="s">
        <v>1760</v>
      </c>
      <c r="G448" s="256" t="s">
        <v>1785</v>
      </c>
      <c r="H448" s="256" t="s">
        <v>1229</v>
      </c>
      <c r="I448" s="256"/>
      <c r="J448" s="257"/>
      <c r="K448" s="257"/>
      <c r="L448" s="258" t="s">
        <v>1786</v>
      </c>
      <c r="M448" s="258" t="s">
        <v>1230</v>
      </c>
      <c r="N448" s="260">
        <v>12680.78</v>
      </c>
      <c r="O448" s="26" t="s">
        <v>1755</v>
      </c>
    </row>
    <row r="449" spans="1:15">
      <c r="A449" s="251" t="s">
        <v>3356</v>
      </c>
      <c r="B449" s="251" t="s">
        <v>1223</v>
      </c>
      <c r="C449" s="251" t="s">
        <v>3359</v>
      </c>
      <c r="D449" s="251" t="s">
        <v>3360</v>
      </c>
      <c r="E449" s="251" t="s">
        <v>1759</v>
      </c>
      <c r="F449" s="251" t="s">
        <v>1760</v>
      </c>
      <c r="G449" s="251" t="s">
        <v>1818</v>
      </c>
      <c r="H449" s="251" t="s">
        <v>1229</v>
      </c>
      <c r="I449" s="251"/>
      <c r="J449" s="252"/>
      <c r="K449" s="252"/>
      <c r="L449" s="253" t="s">
        <v>1796</v>
      </c>
      <c r="M449" s="253" t="s">
        <v>1797</v>
      </c>
      <c r="N449" s="255">
        <v>-4525.22</v>
      </c>
      <c r="O449" s="26" t="s">
        <v>1755</v>
      </c>
    </row>
    <row r="450" spans="1:15">
      <c r="A450" s="256" t="s">
        <v>3356</v>
      </c>
      <c r="B450" s="256" t="s">
        <v>1223</v>
      </c>
      <c r="C450" s="256" t="s">
        <v>3361</v>
      </c>
      <c r="D450" s="256" t="s">
        <v>3362</v>
      </c>
      <c r="E450" s="256" t="s">
        <v>1759</v>
      </c>
      <c r="F450" s="256" t="s">
        <v>1760</v>
      </c>
      <c r="G450" s="256" t="s">
        <v>1795</v>
      </c>
      <c r="H450" s="256" t="s">
        <v>1229</v>
      </c>
      <c r="I450" s="256"/>
      <c r="J450" s="257"/>
      <c r="K450" s="257"/>
      <c r="L450" s="258" t="s">
        <v>1796</v>
      </c>
      <c r="M450" s="258" t="s">
        <v>1797</v>
      </c>
      <c r="N450" s="259">
        <v>-1741.76</v>
      </c>
      <c r="O450" s="26" t="s">
        <v>1755</v>
      </c>
    </row>
    <row r="451" spans="1:15">
      <c r="A451" s="251" t="s">
        <v>3356</v>
      </c>
      <c r="B451" s="251" t="s">
        <v>1223</v>
      </c>
      <c r="C451" s="251" t="s">
        <v>3363</v>
      </c>
      <c r="D451" s="251" t="s">
        <v>3364</v>
      </c>
      <c r="E451" s="251" t="s">
        <v>1759</v>
      </c>
      <c r="F451" s="251" t="s">
        <v>1760</v>
      </c>
      <c r="G451" s="251" t="s">
        <v>1809</v>
      </c>
      <c r="H451" s="251" t="s">
        <v>1229</v>
      </c>
      <c r="I451" s="251"/>
      <c r="J451" s="252"/>
      <c r="K451" s="252"/>
      <c r="L451" s="253" t="s">
        <v>1796</v>
      </c>
      <c r="M451" s="253" t="s">
        <v>1797</v>
      </c>
      <c r="N451" s="255">
        <v>-1278.5999999999999</v>
      </c>
      <c r="O451" s="26" t="s">
        <v>1755</v>
      </c>
    </row>
    <row r="452" spans="1:15">
      <c r="A452" s="256" t="s">
        <v>3356</v>
      </c>
      <c r="B452" s="256" t="s">
        <v>1223</v>
      </c>
      <c r="C452" s="256" t="s">
        <v>3365</v>
      </c>
      <c r="D452" s="256" t="s">
        <v>3366</v>
      </c>
      <c r="E452" s="256" t="s">
        <v>1759</v>
      </c>
      <c r="F452" s="256" t="s">
        <v>1760</v>
      </c>
      <c r="G452" s="256" t="s">
        <v>1800</v>
      </c>
      <c r="H452" s="256" t="s">
        <v>1229</v>
      </c>
      <c r="I452" s="256"/>
      <c r="J452" s="257"/>
      <c r="K452" s="257"/>
      <c r="L452" s="258" t="s">
        <v>1796</v>
      </c>
      <c r="M452" s="258" t="s">
        <v>1797</v>
      </c>
      <c r="N452" s="259">
        <v>-1997.28</v>
      </c>
      <c r="O452" s="26" t="s">
        <v>1755</v>
      </c>
    </row>
    <row r="453" spans="1:15">
      <c r="A453" s="251" t="s">
        <v>3356</v>
      </c>
      <c r="B453" s="251" t="s">
        <v>1223</v>
      </c>
      <c r="C453" s="251" t="s">
        <v>3367</v>
      </c>
      <c r="D453" s="251" t="s">
        <v>3368</v>
      </c>
      <c r="E453" s="251" t="s">
        <v>1759</v>
      </c>
      <c r="F453" s="251" t="s">
        <v>1760</v>
      </c>
      <c r="G453" s="251" t="s">
        <v>1806</v>
      </c>
      <c r="H453" s="251" t="s">
        <v>1229</v>
      </c>
      <c r="I453" s="251"/>
      <c r="J453" s="252"/>
      <c r="K453" s="252"/>
      <c r="L453" s="253" t="s">
        <v>1796</v>
      </c>
      <c r="M453" s="253" t="s">
        <v>1797</v>
      </c>
      <c r="N453" s="255">
        <v>-503.58</v>
      </c>
      <c r="O453" s="26" t="s">
        <v>1755</v>
      </c>
    </row>
    <row r="454" spans="1:15">
      <c r="A454" s="256" t="s">
        <v>3356</v>
      </c>
      <c r="B454" s="256" t="s">
        <v>1223</v>
      </c>
      <c r="C454" s="256" t="s">
        <v>3369</v>
      </c>
      <c r="D454" s="256" t="s">
        <v>3370</v>
      </c>
      <c r="E454" s="256" t="s">
        <v>1759</v>
      </c>
      <c r="F454" s="256" t="s">
        <v>1760</v>
      </c>
      <c r="G454" s="256" t="s">
        <v>1812</v>
      </c>
      <c r="H454" s="256" t="s">
        <v>1229</v>
      </c>
      <c r="I454" s="256"/>
      <c r="J454" s="257"/>
      <c r="K454" s="257"/>
      <c r="L454" s="258" t="s">
        <v>1796</v>
      </c>
      <c r="M454" s="258" t="s">
        <v>1797</v>
      </c>
      <c r="N454" s="259">
        <v>-2634.34</v>
      </c>
      <c r="O454" s="26" t="s">
        <v>1755</v>
      </c>
    </row>
    <row r="455" spans="1:15">
      <c r="A455" s="256" t="s">
        <v>3356</v>
      </c>
      <c r="B455" s="256" t="s">
        <v>1223</v>
      </c>
      <c r="C455" s="256" t="s">
        <v>3371</v>
      </c>
      <c r="D455" s="256" t="s">
        <v>3372</v>
      </c>
      <c r="E455" s="256" t="s">
        <v>1759</v>
      </c>
      <c r="F455" s="256" t="s">
        <v>1760</v>
      </c>
      <c r="G455" s="256" t="s">
        <v>1785</v>
      </c>
      <c r="H455" s="256" t="s">
        <v>1229</v>
      </c>
      <c r="I455" s="256"/>
      <c r="J455" s="257"/>
      <c r="K455" s="257"/>
      <c r="L455" s="258" t="s">
        <v>1786</v>
      </c>
      <c r="M455" s="258" t="s">
        <v>1230</v>
      </c>
      <c r="N455" s="260">
        <v>6643</v>
      </c>
      <c r="O455" s="26" t="s">
        <v>1755</v>
      </c>
    </row>
    <row r="456" spans="1:15">
      <c r="A456" s="251" t="s">
        <v>3356</v>
      </c>
      <c r="B456" s="251" t="s">
        <v>1223</v>
      </c>
      <c r="C456" s="251" t="s">
        <v>3373</v>
      </c>
      <c r="D456" s="251" t="s">
        <v>3374</v>
      </c>
      <c r="E456" s="251" t="s">
        <v>1759</v>
      </c>
      <c r="F456" s="251" t="s">
        <v>1760</v>
      </c>
      <c r="G456" s="251" t="s">
        <v>1809</v>
      </c>
      <c r="H456" s="251" t="s">
        <v>1229</v>
      </c>
      <c r="I456" s="251"/>
      <c r="J456" s="252"/>
      <c r="K456" s="252"/>
      <c r="L456" s="253" t="s">
        <v>1796</v>
      </c>
      <c r="M456" s="253" t="s">
        <v>1797</v>
      </c>
      <c r="N456" s="255">
        <v>-1276.97</v>
      </c>
      <c r="O456" s="26" t="s">
        <v>1755</v>
      </c>
    </row>
    <row r="457" spans="1:15">
      <c r="A457" s="256" t="s">
        <v>3356</v>
      </c>
      <c r="B457" s="256" t="s">
        <v>1223</v>
      </c>
      <c r="C457" s="256" t="s">
        <v>3375</v>
      </c>
      <c r="D457" s="256" t="s">
        <v>3376</v>
      </c>
      <c r="E457" s="256" t="s">
        <v>1759</v>
      </c>
      <c r="F457" s="256" t="s">
        <v>1760</v>
      </c>
      <c r="G457" s="256" t="s">
        <v>1800</v>
      </c>
      <c r="H457" s="256" t="s">
        <v>1229</v>
      </c>
      <c r="I457" s="256"/>
      <c r="J457" s="257"/>
      <c r="K457" s="257"/>
      <c r="L457" s="258" t="s">
        <v>1796</v>
      </c>
      <c r="M457" s="258" t="s">
        <v>1797</v>
      </c>
      <c r="N457" s="259">
        <v>-744.76</v>
      </c>
      <c r="O457" s="26" t="s">
        <v>1755</v>
      </c>
    </row>
    <row r="458" spans="1:15">
      <c r="A458" s="251" t="s">
        <v>3356</v>
      </c>
      <c r="B458" s="251" t="s">
        <v>1223</v>
      </c>
      <c r="C458" s="251" t="s">
        <v>3377</v>
      </c>
      <c r="D458" s="251" t="s">
        <v>3378</v>
      </c>
      <c r="E458" s="251" t="s">
        <v>1759</v>
      </c>
      <c r="F458" s="251" t="s">
        <v>1760</v>
      </c>
      <c r="G458" s="251" t="s">
        <v>1806</v>
      </c>
      <c r="H458" s="251" t="s">
        <v>1229</v>
      </c>
      <c r="I458" s="251"/>
      <c r="J458" s="252"/>
      <c r="K458" s="252"/>
      <c r="L458" s="253" t="s">
        <v>1796</v>
      </c>
      <c r="M458" s="253" t="s">
        <v>1797</v>
      </c>
      <c r="N458" s="255">
        <v>-464.79</v>
      </c>
      <c r="O458" s="26" t="s">
        <v>1755</v>
      </c>
    </row>
    <row r="459" spans="1:15">
      <c r="A459" s="256" t="s">
        <v>3356</v>
      </c>
      <c r="B459" s="256" t="s">
        <v>1223</v>
      </c>
      <c r="C459" s="256" t="s">
        <v>3379</v>
      </c>
      <c r="D459" s="256" t="s">
        <v>3380</v>
      </c>
      <c r="E459" s="256" t="s">
        <v>1759</v>
      </c>
      <c r="F459" s="256" t="s">
        <v>1760</v>
      </c>
      <c r="G459" s="256" t="s">
        <v>1795</v>
      </c>
      <c r="H459" s="256" t="s">
        <v>1229</v>
      </c>
      <c r="I459" s="256"/>
      <c r="J459" s="257"/>
      <c r="K459" s="257"/>
      <c r="L459" s="258" t="s">
        <v>1796</v>
      </c>
      <c r="M459" s="258" t="s">
        <v>1797</v>
      </c>
      <c r="N459" s="259">
        <v>-592.33000000000004</v>
      </c>
      <c r="O459" s="26" t="s">
        <v>1755</v>
      </c>
    </row>
    <row r="460" spans="1:15">
      <c r="A460" s="251" t="s">
        <v>3356</v>
      </c>
      <c r="B460" s="251" t="s">
        <v>1223</v>
      </c>
      <c r="C460" s="251" t="s">
        <v>3381</v>
      </c>
      <c r="D460" s="251" t="s">
        <v>3382</v>
      </c>
      <c r="E460" s="251" t="s">
        <v>1759</v>
      </c>
      <c r="F460" s="251" t="s">
        <v>1760</v>
      </c>
      <c r="G460" s="251" t="s">
        <v>1812</v>
      </c>
      <c r="H460" s="251" t="s">
        <v>1229</v>
      </c>
      <c r="I460" s="251"/>
      <c r="J460" s="252"/>
      <c r="K460" s="252"/>
      <c r="L460" s="253" t="s">
        <v>1796</v>
      </c>
      <c r="M460" s="253" t="s">
        <v>1797</v>
      </c>
      <c r="N460" s="255">
        <v>-1948.82</v>
      </c>
      <c r="O460" s="26" t="s">
        <v>1755</v>
      </c>
    </row>
    <row r="461" spans="1:15">
      <c r="A461" s="256" t="s">
        <v>3356</v>
      </c>
      <c r="B461" s="256" t="s">
        <v>1223</v>
      </c>
      <c r="C461" s="256" t="s">
        <v>3383</v>
      </c>
      <c r="D461" s="256" t="s">
        <v>3384</v>
      </c>
      <c r="E461" s="256" t="s">
        <v>1759</v>
      </c>
      <c r="F461" s="256" t="s">
        <v>1760</v>
      </c>
      <c r="G461" s="256" t="s">
        <v>1818</v>
      </c>
      <c r="H461" s="256" t="s">
        <v>1229</v>
      </c>
      <c r="I461" s="256"/>
      <c r="J461" s="257"/>
      <c r="K461" s="257"/>
      <c r="L461" s="258" t="s">
        <v>1796</v>
      </c>
      <c r="M461" s="258" t="s">
        <v>1797</v>
      </c>
      <c r="N461" s="259">
        <v>-1615.34</v>
      </c>
      <c r="O461" s="26" t="s">
        <v>1755</v>
      </c>
    </row>
    <row r="462" spans="1:15">
      <c r="A462" s="256" t="s">
        <v>3385</v>
      </c>
      <c r="B462" s="256" t="s">
        <v>1223</v>
      </c>
      <c r="C462" s="256" t="s">
        <v>3386</v>
      </c>
      <c r="D462" s="256" t="s">
        <v>3387</v>
      </c>
      <c r="E462" s="256" t="s">
        <v>1759</v>
      </c>
      <c r="F462" s="256" t="s">
        <v>1760</v>
      </c>
      <c r="G462" s="256" t="s">
        <v>1785</v>
      </c>
      <c r="H462" s="256" t="s">
        <v>1229</v>
      </c>
      <c r="I462" s="256"/>
      <c r="J462" s="257"/>
      <c r="K462" s="257"/>
      <c r="L462" s="258" t="s">
        <v>1796</v>
      </c>
      <c r="M462" s="258" t="s">
        <v>1797</v>
      </c>
      <c r="N462" s="260">
        <v>3545.96</v>
      </c>
      <c r="O462" s="26" t="s">
        <v>1755</v>
      </c>
    </row>
    <row r="463" spans="1:15">
      <c r="A463" s="251" t="s">
        <v>3385</v>
      </c>
      <c r="B463" s="251" t="s">
        <v>1223</v>
      </c>
      <c r="C463" s="251" t="s">
        <v>3388</v>
      </c>
      <c r="D463" s="251" t="s">
        <v>3389</v>
      </c>
      <c r="E463" s="251" t="s">
        <v>1759</v>
      </c>
      <c r="F463" s="251" t="s">
        <v>1760</v>
      </c>
      <c r="G463" s="251" t="s">
        <v>1785</v>
      </c>
      <c r="H463" s="251" t="s">
        <v>1229</v>
      </c>
      <c r="I463" s="251"/>
      <c r="J463" s="252"/>
      <c r="K463" s="252"/>
      <c r="L463" s="253" t="s">
        <v>1796</v>
      </c>
      <c r="M463" s="253" t="s">
        <v>1797</v>
      </c>
      <c r="N463" s="254">
        <v>1608.78</v>
      </c>
      <c r="O463" s="26" t="s">
        <v>1755</v>
      </c>
    </row>
    <row r="464" spans="1:15">
      <c r="A464" s="251" t="s">
        <v>3385</v>
      </c>
      <c r="B464" s="251" t="s">
        <v>1223</v>
      </c>
      <c r="C464" s="251" t="s">
        <v>3390</v>
      </c>
      <c r="D464" s="251" t="s">
        <v>3391</v>
      </c>
      <c r="E464" s="251" t="s">
        <v>1759</v>
      </c>
      <c r="F464" s="251" t="s">
        <v>1760</v>
      </c>
      <c r="G464" s="251" t="s">
        <v>1785</v>
      </c>
      <c r="H464" s="251" t="s">
        <v>1229</v>
      </c>
      <c r="I464" s="251"/>
      <c r="J464" s="252"/>
      <c r="K464" s="252"/>
      <c r="L464" s="253" t="s">
        <v>1786</v>
      </c>
      <c r="M464" s="253" t="s">
        <v>1230</v>
      </c>
      <c r="N464" s="254">
        <v>5415.22</v>
      </c>
      <c r="O464" s="26" t="s">
        <v>1755</v>
      </c>
    </row>
    <row r="465" spans="1:15">
      <c r="A465" s="256" t="s">
        <v>3385</v>
      </c>
      <c r="B465" s="256" t="s">
        <v>1223</v>
      </c>
      <c r="C465" s="256" t="s">
        <v>3392</v>
      </c>
      <c r="D465" s="256" t="s">
        <v>3393</v>
      </c>
      <c r="E465" s="256" t="s">
        <v>1759</v>
      </c>
      <c r="F465" s="256" t="s">
        <v>1760</v>
      </c>
      <c r="G465" s="256" t="s">
        <v>1795</v>
      </c>
      <c r="H465" s="256" t="s">
        <v>1229</v>
      </c>
      <c r="I465" s="256"/>
      <c r="J465" s="257"/>
      <c r="K465" s="257"/>
      <c r="L465" s="258" t="s">
        <v>1796</v>
      </c>
      <c r="M465" s="258" t="s">
        <v>1797</v>
      </c>
      <c r="N465" s="259">
        <v>-555.67999999999995</v>
      </c>
      <c r="O465" s="26" t="s">
        <v>1755</v>
      </c>
    </row>
    <row r="466" spans="1:15">
      <c r="A466" s="251" t="s">
        <v>3385</v>
      </c>
      <c r="B466" s="251" t="s">
        <v>1223</v>
      </c>
      <c r="C466" s="251" t="s">
        <v>3394</v>
      </c>
      <c r="D466" s="251" t="s">
        <v>3395</v>
      </c>
      <c r="E466" s="251" t="s">
        <v>1759</v>
      </c>
      <c r="F466" s="251" t="s">
        <v>1760</v>
      </c>
      <c r="G466" s="251" t="s">
        <v>1818</v>
      </c>
      <c r="H466" s="251" t="s">
        <v>1229</v>
      </c>
      <c r="I466" s="251"/>
      <c r="J466" s="252"/>
      <c r="K466" s="252"/>
      <c r="L466" s="253" t="s">
        <v>1796</v>
      </c>
      <c r="M466" s="253" t="s">
        <v>1797</v>
      </c>
      <c r="N466" s="255">
        <v>-1696.51</v>
      </c>
      <c r="O466" s="26" t="s">
        <v>1755</v>
      </c>
    </row>
    <row r="467" spans="1:15">
      <c r="A467" s="256" t="s">
        <v>3385</v>
      </c>
      <c r="B467" s="256" t="s">
        <v>1223</v>
      </c>
      <c r="C467" s="256" t="s">
        <v>3396</v>
      </c>
      <c r="D467" s="256" t="s">
        <v>3397</v>
      </c>
      <c r="E467" s="256" t="s">
        <v>1759</v>
      </c>
      <c r="F467" s="256" t="s">
        <v>1760</v>
      </c>
      <c r="G467" s="256" t="s">
        <v>1812</v>
      </c>
      <c r="H467" s="256" t="s">
        <v>1229</v>
      </c>
      <c r="I467" s="256"/>
      <c r="J467" s="257"/>
      <c r="K467" s="257"/>
      <c r="L467" s="258" t="s">
        <v>1796</v>
      </c>
      <c r="M467" s="258" t="s">
        <v>1797</v>
      </c>
      <c r="N467" s="259">
        <v>-1311.26</v>
      </c>
      <c r="O467" s="26" t="s">
        <v>1755</v>
      </c>
    </row>
    <row r="468" spans="1:15">
      <c r="A468" s="251" t="s">
        <v>3385</v>
      </c>
      <c r="B468" s="251" t="s">
        <v>1223</v>
      </c>
      <c r="C468" s="251" t="s">
        <v>3398</v>
      </c>
      <c r="D468" s="251" t="s">
        <v>3399</v>
      </c>
      <c r="E468" s="251" t="s">
        <v>1759</v>
      </c>
      <c r="F468" s="251" t="s">
        <v>1760</v>
      </c>
      <c r="G468" s="251" t="s">
        <v>1806</v>
      </c>
      <c r="H468" s="251" t="s">
        <v>1229</v>
      </c>
      <c r="I468" s="251"/>
      <c r="J468" s="252"/>
      <c r="K468" s="252"/>
      <c r="L468" s="253" t="s">
        <v>1796</v>
      </c>
      <c r="M468" s="253" t="s">
        <v>1797</v>
      </c>
      <c r="N468" s="255">
        <v>-291.31</v>
      </c>
      <c r="O468" s="26" t="s">
        <v>1755</v>
      </c>
    </row>
    <row r="469" spans="1:15">
      <c r="A469" s="256" t="s">
        <v>3385</v>
      </c>
      <c r="B469" s="256" t="s">
        <v>1223</v>
      </c>
      <c r="C469" s="256" t="s">
        <v>3400</v>
      </c>
      <c r="D469" s="256" t="s">
        <v>3401</v>
      </c>
      <c r="E469" s="256" t="s">
        <v>1759</v>
      </c>
      <c r="F469" s="256" t="s">
        <v>1760</v>
      </c>
      <c r="G469" s="256" t="s">
        <v>1800</v>
      </c>
      <c r="H469" s="256" t="s">
        <v>1229</v>
      </c>
      <c r="I469" s="256"/>
      <c r="J469" s="257"/>
      <c r="K469" s="257"/>
      <c r="L469" s="258" t="s">
        <v>1796</v>
      </c>
      <c r="M469" s="258" t="s">
        <v>1797</v>
      </c>
      <c r="N469" s="259">
        <v>-745.02</v>
      </c>
      <c r="O469" s="26" t="s">
        <v>1755</v>
      </c>
    </row>
    <row r="470" spans="1:15">
      <c r="A470" s="251" t="s">
        <v>3385</v>
      </c>
      <c r="B470" s="251" t="s">
        <v>1223</v>
      </c>
      <c r="C470" s="251" t="s">
        <v>3402</v>
      </c>
      <c r="D470" s="251" t="s">
        <v>3403</v>
      </c>
      <c r="E470" s="251" t="s">
        <v>1759</v>
      </c>
      <c r="F470" s="251" t="s">
        <v>1760</v>
      </c>
      <c r="G470" s="251" t="s">
        <v>1809</v>
      </c>
      <c r="H470" s="251" t="s">
        <v>1229</v>
      </c>
      <c r="I470" s="251"/>
      <c r="J470" s="252"/>
      <c r="K470" s="252"/>
      <c r="L470" s="253" t="s">
        <v>1796</v>
      </c>
      <c r="M470" s="253" t="s">
        <v>1797</v>
      </c>
      <c r="N470" s="255">
        <v>-815.43</v>
      </c>
      <c r="O470" s="26" t="s">
        <v>1755</v>
      </c>
    </row>
    <row r="471" spans="1:15">
      <c r="A471" s="251" t="s">
        <v>3404</v>
      </c>
      <c r="B471" s="251" t="s">
        <v>1223</v>
      </c>
      <c r="C471" s="251" t="s">
        <v>3405</v>
      </c>
      <c r="D471" s="251" t="s">
        <v>3406</v>
      </c>
      <c r="E471" s="251" t="s">
        <v>1759</v>
      </c>
      <c r="F471" s="251" t="s">
        <v>1760</v>
      </c>
      <c r="G471" s="251" t="s">
        <v>1785</v>
      </c>
      <c r="H471" s="251" t="s">
        <v>1229</v>
      </c>
      <c r="I471" s="251"/>
      <c r="J471" s="252"/>
      <c r="K471" s="252"/>
      <c r="L471" s="253" t="s">
        <v>1796</v>
      </c>
      <c r="M471" s="253" t="s">
        <v>1797</v>
      </c>
      <c r="N471" s="254">
        <v>1538.69</v>
      </c>
      <c r="O471" s="26" t="s">
        <v>1755</v>
      </c>
    </row>
    <row r="472" spans="1:15">
      <c r="A472" s="251" t="s">
        <v>3404</v>
      </c>
      <c r="B472" s="251" t="s">
        <v>1223</v>
      </c>
      <c r="C472" s="251" t="s">
        <v>3407</v>
      </c>
      <c r="D472" s="251" t="s">
        <v>3408</v>
      </c>
      <c r="E472" s="251" t="s">
        <v>1759</v>
      </c>
      <c r="F472" s="251" t="s">
        <v>1760</v>
      </c>
      <c r="G472" s="251" t="s">
        <v>1785</v>
      </c>
      <c r="H472" s="251" t="s">
        <v>1229</v>
      </c>
      <c r="I472" s="251"/>
      <c r="J472" s="252"/>
      <c r="K472" s="252"/>
      <c r="L472" s="253" t="s">
        <v>1786</v>
      </c>
      <c r="M472" s="253" t="s">
        <v>1230</v>
      </c>
      <c r="N472" s="254">
        <v>6655.74</v>
      </c>
      <c r="O472" s="26" t="s">
        <v>1755</v>
      </c>
    </row>
    <row r="473" spans="1:15">
      <c r="A473" s="256" t="s">
        <v>3404</v>
      </c>
      <c r="B473" s="256" t="s">
        <v>1223</v>
      </c>
      <c r="C473" s="256" t="s">
        <v>3409</v>
      </c>
      <c r="D473" s="256" t="s">
        <v>3410</v>
      </c>
      <c r="E473" s="256" t="s">
        <v>1759</v>
      </c>
      <c r="F473" s="256" t="s">
        <v>1760</v>
      </c>
      <c r="G473" s="256" t="s">
        <v>1795</v>
      </c>
      <c r="H473" s="256" t="s">
        <v>1229</v>
      </c>
      <c r="I473" s="256"/>
      <c r="J473" s="257"/>
      <c r="K473" s="257"/>
      <c r="L473" s="258" t="s">
        <v>1796</v>
      </c>
      <c r="M473" s="258" t="s">
        <v>1797</v>
      </c>
      <c r="N473" s="259">
        <v>-659.27</v>
      </c>
      <c r="O473" s="26" t="s">
        <v>1755</v>
      </c>
    </row>
    <row r="474" spans="1:15">
      <c r="A474" s="251" t="s">
        <v>3404</v>
      </c>
      <c r="B474" s="251" t="s">
        <v>1223</v>
      </c>
      <c r="C474" s="251" t="s">
        <v>3411</v>
      </c>
      <c r="D474" s="251" t="s">
        <v>3412</v>
      </c>
      <c r="E474" s="251" t="s">
        <v>1759</v>
      </c>
      <c r="F474" s="251" t="s">
        <v>1760</v>
      </c>
      <c r="G474" s="251" t="s">
        <v>1809</v>
      </c>
      <c r="H474" s="251" t="s">
        <v>1229</v>
      </c>
      <c r="I474" s="251"/>
      <c r="J474" s="252"/>
      <c r="K474" s="252"/>
      <c r="L474" s="253" t="s">
        <v>1796</v>
      </c>
      <c r="M474" s="253" t="s">
        <v>1797</v>
      </c>
      <c r="N474" s="255">
        <v>-996.71</v>
      </c>
      <c r="O474" s="26" t="s">
        <v>1755</v>
      </c>
    </row>
    <row r="475" spans="1:15">
      <c r="A475" s="256" t="s">
        <v>3404</v>
      </c>
      <c r="B475" s="256" t="s">
        <v>1223</v>
      </c>
      <c r="C475" s="256" t="s">
        <v>3413</v>
      </c>
      <c r="D475" s="256" t="s">
        <v>3414</v>
      </c>
      <c r="E475" s="256" t="s">
        <v>1759</v>
      </c>
      <c r="F475" s="256" t="s">
        <v>1760</v>
      </c>
      <c r="G475" s="256" t="s">
        <v>1800</v>
      </c>
      <c r="H475" s="256" t="s">
        <v>1229</v>
      </c>
      <c r="I475" s="256"/>
      <c r="J475" s="257"/>
      <c r="K475" s="257"/>
      <c r="L475" s="258" t="s">
        <v>1796</v>
      </c>
      <c r="M475" s="258" t="s">
        <v>1797</v>
      </c>
      <c r="N475" s="259">
        <v>-1008.78</v>
      </c>
      <c r="O475" s="26" t="s">
        <v>1755</v>
      </c>
    </row>
    <row r="476" spans="1:15">
      <c r="A476" s="251" t="s">
        <v>3404</v>
      </c>
      <c r="B476" s="251" t="s">
        <v>1223</v>
      </c>
      <c r="C476" s="251" t="s">
        <v>3415</v>
      </c>
      <c r="D476" s="251" t="s">
        <v>3416</v>
      </c>
      <c r="E476" s="251" t="s">
        <v>1759</v>
      </c>
      <c r="F476" s="251" t="s">
        <v>1760</v>
      </c>
      <c r="G476" s="251" t="s">
        <v>1806</v>
      </c>
      <c r="H476" s="251" t="s">
        <v>1229</v>
      </c>
      <c r="I476" s="251"/>
      <c r="J476" s="252"/>
      <c r="K476" s="252"/>
      <c r="L476" s="253" t="s">
        <v>1796</v>
      </c>
      <c r="M476" s="253" t="s">
        <v>1797</v>
      </c>
      <c r="N476" s="255">
        <v>-333.82</v>
      </c>
      <c r="O476" s="26" t="s">
        <v>1755</v>
      </c>
    </row>
    <row r="477" spans="1:15">
      <c r="A477" s="256" t="s">
        <v>3404</v>
      </c>
      <c r="B477" s="256" t="s">
        <v>1223</v>
      </c>
      <c r="C477" s="256" t="s">
        <v>3417</v>
      </c>
      <c r="D477" s="256" t="s">
        <v>3418</v>
      </c>
      <c r="E477" s="256" t="s">
        <v>1759</v>
      </c>
      <c r="F477" s="256" t="s">
        <v>1760</v>
      </c>
      <c r="G477" s="256" t="s">
        <v>1812</v>
      </c>
      <c r="H477" s="256" t="s">
        <v>1229</v>
      </c>
      <c r="I477" s="256"/>
      <c r="J477" s="257"/>
      <c r="K477" s="257"/>
      <c r="L477" s="258" t="s">
        <v>1796</v>
      </c>
      <c r="M477" s="258" t="s">
        <v>1797</v>
      </c>
      <c r="N477" s="259">
        <v>-1820.68</v>
      </c>
      <c r="O477" s="26" t="s">
        <v>1755</v>
      </c>
    </row>
    <row r="478" spans="1:15">
      <c r="A478" s="251" t="s">
        <v>3404</v>
      </c>
      <c r="B478" s="251" t="s">
        <v>1223</v>
      </c>
      <c r="C478" s="251" t="s">
        <v>3419</v>
      </c>
      <c r="D478" s="251" t="s">
        <v>3420</v>
      </c>
      <c r="E478" s="251" t="s">
        <v>1759</v>
      </c>
      <c r="F478" s="251" t="s">
        <v>1760</v>
      </c>
      <c r="G478" s="251" t="s">
        <v>1818</v>
      </c>
      <c r="H478" s="251" t="s">
        <v>1229</v>
      </c>
      <c r="I478" s="251"/>
      <c r="J478" s="252"/>
      <c r="K478" s="252"/>
      <c r="L478" s="253" t="s">
        <v>1796</v>
      </c>
      <c r="M478" s="253" t="s">
        <v>1797</v>
      </c>
      <c r="N478" s="255">
        <v>-1836.48</v>
      </c>
      <c r="O478" s="26" t="s">
        <v>1755</v>
      </c>
    </row>
    <row r="479" spans="1:15">
      <c r="A479" s="256" t="s">
        <v>3421</v>
      </c>
      <c r="B479" s="256" t="s">
        <v>1223</v>
      </c>
      <c r="C479" s="256" t="s">
        <v>3422</v>
      </c>
      <c r="D479" s="256" t="s">
        <v>3423</v>
      </c>
      <c r="E479" s="256" t="s">
        <v>1759</v>
      </c>
      <c r="F479" s="256" t="s">
        <v>1760</v>
      </c>
      <c r="G479" s="256" t="s">
        <v>1785</v>
      </c>
      <c r="H479" s="256" t="s">
        <v>1229</v>
      </c>
      <c r="I479" s="256"/>
      <c r="J479" s="257"/>
      <c r="K479" s="257"/>
      <c r="L479" s="258" t="s">
        <v>1796</v>
      </c>
      <c r="M479" s="258" t="s">
        <v>1797</v>
      </c>
      <c r="N479" s="260">
        <v>1372.79</v>
      </c>
      <c r="O479" s="26" t="s">
        <v>1755</v>
      </c>
    </row>
    <row r="480" spans="1:15">
      <c r="A480" s="251" t="s">
        <v>3421</v>
      </c>
      <c r="B480" s="251" t="s">
        <v>1223</v>
      </c>
      <c r="C480" s="251" t="s">
        <v>3424</v>
      </c>
      <c r="D480" s="251" t="s">
        <v>3425</v>
      </c>
      <c r="E480" s="251" t="s">
        <v>1759</v>
      </c>
      <c r="F480" s="251" t="s">
        <v>1760</v>
      </c>
      <c r="G480" s="251" t="s">
        <v>1785</v>
      </c>
      <c r="H480" s="251" t="s">
        <v>1229</v>
      </c>
      <c r="I480" s="251"/>
      <c r="J480" s="252"/>
      <c r="K480" s="252"/>
      <c r="L480" s="253" t="s">
        <v>1786</v>
      </c>
      <c r="M480" s="253" t="s">
        <v>1230</v>
      </c>
      <c r="N480" s="254">
        <v>7059.92</v>
      </c>
      <c r="O480" s="26" t="s">
        <v>1755</v>
      </c>
    </row>
    <row r="481" spans="1:15">
      <c r="A481" s="256" t="s">
        <v>3421</v>
      </c>
      <c r="B481" s="256" t="s">
        <v>1223</v>
      </c>
      <c r="C481" s="256" t="s">
        <v>3426</v>
      </c>
      <c r="D481" s="256" t="s">
        <v>3427</v>
      </c>
      <c r="E481" s="256" t="s">
        <v>1759</v>
      </c>
      <c r="F481" s="256" t="s">
        <v>1760</v>
      </c>
      <c r="G481" s="256" t="s">
        <v>1795</v>
      </c>
      <c r="H481" s="256" t="s">
        <v>1229</v>
      </c>
      <c r="I481" s="256"/>
      <c r="J481" s="257"/>
      <c r="K481" s="257"/>
      <c r="L481" s="258" t="s">
        <v>1796</v>
      </c>
      <c r="M481" s="258" t="s">
        <v>3428</v>
      </c>
      <c r="N481" s="259">
        <v>-534.14</v>
      </c>
      <c r="O481" s="26" t="s">
        <v>1755</v>
      </c>
    </row>
    <row r="482" spans="1:15">
      <c r="A482" s="251" t="s">
        <v>3421</v>
      </c>
      <c r="B482" s="251" t="s">
        <v>1223</v>
      </c>
      <c r="C482" s="251" t="s">
        <v>3429</v>
      </c>
      <c r="D482" s="251" t="s">
        <v>3430</v>
      </c>
      <c r="E482" s="251" t="s">
        <v>1759</v>
      </c>
      <c r="F482" s="251" t="s">
        <v>1760</v>
      </c>
      <c r="G482" s="251" t="s">
        <v>1818</v>
      </c>
      <c r="H482" s="251" t="s">
        <v>1229</v>
      </c>
      <c r="I482" s="251"/>
      <c r="J482" s="252"/>
      <c r="K482" s="252"/>
      <c r="L482" s="253" t="s">
        <v>1796</v>
      </c>
      <c r="M482" s="253" t="s">
        <v>3428</v>
      </c>
      <c r="N482" s="255">
        <v>-3217.22</v>
      </c>
      <c r="O482" s="26" t="s">
        <v>1755</v>
      </c>
    </row>
    <row r="483" spans="1:15">
      <c r="A483" s="256" t="s">
        <v>3421</v>
      </c>
      <c r="B483" s="256" t="s">
        <v>1223</v>
      </c>
      <c r="C483" s="256" t="s">
        <v>3431</v>
      </c>
      <c r="D483" s="256" t="s">
        <v>3432</v>
      </c>
      <c r="E483" s="256" t="s">
        <v>1759</v>
      </c>
      <c r="F483" s="256" t="s">
        <v>1760</v>
      </c>
      <c r="G483" s="256" t="s">
        <v>1812</v>
      </c>
      <c r="H483" s="256" t="s">
        <v>1229</v>
      </c>
      <c r="I483" s="256"/>
      <c r="J483" s="257"/>
      <c r="K483" s="257"/>
      <c r="L483" s="258" t="s">
        <v>1796</v>
      </c>
      <c r="M483" s="258" t="s">
        <v>3428</v>
      </c>
      <c r="N483" s="259">
        <v>-1399.19</v>
      </c>
      <c r="O483" s="26" t="s">
        <v>1755</v>
      </c>
    </row>
    <row r="484" spans="1:15">
      <c r="A484" s="251" t="s">
        <v>3421</v>
      </c>
      <c r="B484" s="251" t="s">
        <v>1223</v>
      </c>
      <c r="C484" s="251" t="s">
        <v>3433</v>
      </c>
      <c r="D484" s="251" t="s">
        <v>3434</v>
      </c>
      <c r="E484" s="251" t="s">
        <v>1759</v>
      </c>
      <c r="F484" s="251" t="s">
        <v>1760</v>
      </c>
      <c r="G484" s="251" t="s">
        <v>1806</v>
      </c>
      <c r="H484" s="251" t="s">
        <v>1229</v>
      </c>
      <c r="I484" s="251"/>
      <c r="J484" s="252"/>
      <c r="K484" s="252"/>
      <c r="L484" s="253" t="s">
        <v>1796</v>
      </c>
      <c r="M484" s="253" t="s">
        <v>3428</v>
      </c>
      <c r="N484" s="255">
        <v>-276.08</v>
      </c>
      <c r="O484" s="26" t="s">
        <v>1755</v>
      </c>
    </row>
    <row r="485" spans="1:15">
      <c r="A485" s="256" t="s">
        <v>3421</v>
      </c>
      <c r="B485" s="256" t="s">
        <v>1223</v>
      </c>
      <c r="C485" s="256" t="s">
        <v>3435</v>
      </c>
      <c r="D485" s="256" t="s">
        <v>3436</v>
      </c>
      <c r="E485" s="256" t="s">
        <v>1759</v>
      </c>
      <c r="F485" s="256" t="s">
        <v>1760</v>
      </c>
      <c r="G485" s="256" t="s">
        <v>1800</v>
      </c>
      <c r="H485" s="256" t="s">
        <v>1229</v>
      </c>
      <c r="I485" s="256"/>
      <c r="J485" s="257"/>
      <c r="K485" s="257"/>
      <c r="L485" s="258" t="s">
        <v>1796</v>
      </c>
      <c r="M485" s="258" t="s">
        <v>3428</v>
      </c>
      <c r="N485" s="259">
        <v>-802.17</v>
      </c>
      <c r="O485" s="26" t="s">
        <v>1755</v>
      </c>
    </row>
    <row r="486" spans="1:15">
      <c r="A486" s="251" t="s">
        <v>3421</v>
      </c>
      <c r="B486" s="251" t="s">
        <v>1223</v>
      </c>
      <c r="C486" s="251" t="s">
        <v>3437</v>
      </c>
      <c r="D486" s="251" t="s">
        <v>3438</v>
      </c>
      <c r="E486" s="251" t="s">
        <v>1759</v>
      </c>
      <c r="F486" s="251" t="s">
        <v>1760</v>
      </c>
      <c r="G486" s="251" t="s">
        <v>1809</v>
      </c>
      <c r="H486" s="251" t="s">
        <v>1229</v>
      </c>
      <c r="I486" s="251"/>
      <c r="J486" s="252"/>
      <c r="K486" s="252"/>
      <c r="L486" s="253" t="s">
        <v>1796</v>
      </c>
      <c r="M486" s="253" t="s">
        <v>3428</v>
      </c>
      <c r="N486" s="255">
        <v>-831.12</v>
      </c>
      <c r="O486" s="26" t="s">
        <v>1755</v>
      </c>
    </row>
    <row r="487" spans="1:15">
      <c r="A487" s="256" t="s">
        <v>1222</v>
      </c>
      <c r="B487" s="256" t="s">
        <v>1223</v>
      </c>
      <c r="C487" s="256" t="s">
        <v>3439</v>
      </c>
      <c r="D487" s="256" t="s">
        <v>3440</v>
      </c>
      <c r="E487" s="256" t="s">
        <v>1759</v>
      </c>
      <c r="F487" s="256" t="s">
        <v>1760</v>
      </c>
      <c r="G487" s="256" t="s">
        <v>1785</v>
      </c>
      <c r="H487" s="256" t="s">
        <v>1229</v>
      </c>
      <c r="I487" s="256"/>
      <c r="J487" s="257"/>
      <c r="K487" s="257"/>
      <c r="L487" s="258" t="s">
        <v>1786</v>
      </c>
      <c r="M487" s="258" t="s">
        <v>1230</v>
      </c>
      <c r="N487" s="260">
        <v>6480.33</v>
      </c>
      <c r="O487" s="26" t="s">
        <v>1755</v>
      </c>
    </row>
    <row r="488" spans="1:15">
      <c r="A488" s="256" t="s">
        <v>1222</v>
      </c>
      <c r="B488" s="256" t="s">
        <v>1223</v>
      </c>
      <c r="C488" s="256" t="s">
        <v>3441</v>
      </c>
      <c r="D488" s="256" t="s">
        <v>3442</v>
      </c>
      <c r="E488" s="256" t="s">
        <v>1759</v>
      </c>
      <c r="F488" s="256" t="s">
        <v>1760</v>
      </c>
      <c r="G488" s="256" t="s">
        <v>1812</v>
      </c>
      <c r="H488" s="256" t="s">
        <v>1229</v>
      </c>
      <c r="I488" s="256"/>
      <c r="J488" s="257"/>
      <c r="K488" s="257"/>
      <c r="L488" s="258" t="s">
        <v>1796</v>
      </c>
      <c r="M488" s="258" t="s">
        <v>1797</v>
      </c>
      <c r="N488" s="259">
        <v>-1253.49</v>
      </c>
      <c r="O488" s="26" t="s">
        <v>1755</v>
      </c>
    </row>
    <row r="489" spans="1:15">
      <c r="A489" s="251" t="s">
        <v>1222</v>
      </c>
      <c r="B489" s="251" t="s">
        <v>1223</v>
      </c>
      <c r="C489" s="251" t="s">
        <v>3443</v>
      </c>
      <c r="D489" s="251" t="s">
        <v>3444</v>
      </c>
      <c r="E489" s="251" t="s">
        <v>1759</v>
      </c>
      <c r="F489" s="251" t="s">
        <v>1760</v>
      </c>
      <c r="G489" s="251" t="s">
        <v>1818</v>
      </c>
      <c r="H489" s="251" t="s">
        <v>1229</v>
      </c>
      <c r="I489" s="251"/>
      <c r="J489" s="252"/>
      <c r="K489" s="252"/>
      <c r="L489" s="253" t="s">
        <v>1796</v>
      </c>
      <c r="M489" s="253" t="s">
        <v>1797</v>
      </c>
      <c r="N489" s="255">
        <v>-1935.28</v>
      </c>
      <c r="O489" s="26" t="s">
        <v>1755</v>
      </c>
    </row>
    <row r="490" spans="1:15">
      <c r="A490" s="256" t="s">
        <v>1222</v>
      </c>
      <c r="B490" s="256" t="s">
        <v>1223</v>
      </c>
      <c r="C490" s="256" t="s">
        <v>3445</v>
      </c>
      <c r="D490" s="256" t="s">
        <v>3446</v>
      </c>
      <c r="E490" s="256" t="s">
        <v>1759</v>
      </c>
      <c r="F490" s="256" t="s">
        <v>1760</v>
      </c>
      <c r="G490" s="256" t="s">
        <v>1785</v>
      </c>
      <c r="H490" s="256" t="s">
        <v>1229</v>
      </c>
      <c r="I490" s="256"/>
      <c r="J490" s="257"/>
      <c r="K490" s="257"/>
      <c r="L490" s="258" t="s">
        <v>1796</v>
      </c>
      <c r="M490" s="258" t="s">
        <v>1797</v>
      </c>
      <c r="N490" s="260">
        <v>1150.79</v>
      </c>
      <c r="O490" s="26" t="s">
        <v>1755</v>
      </c>
    </row>
    <row r="491" spans="1:15">
      <c r="A491" s="251" t="s">
        <v>1222</v>
      </c>
      <c r="B491" s="251" t="s">
        <v>1223</v>
      </c>
      <c r="C491" s="251" t="s">
        <v>3447</v>
      </c>
      <c r="D491" s="251" t="s">
        <v>3448</v>
      </c>
      <c r="E491" s="251" t="s">
        <v>1759</v>
      </c>
      <c r="F491" s="251" t="s">
        <v>1760</v>
      </c>
      <c r="G491" s="251" t="s">
        <v>1809</v>
      </c>
      <c r="H491" s="251" t="s">
        <v>1229</v>
      </c>
      <c r="I491" s="251"/>
      <c r="J491" s="252"/>
      <c r="K491" s="252"/>
      <c r="L491" s="253" t="s">
        <v>1796</v>
      </c>
      <c r="M491" s="253" t="s">
        <v>1797</v>
      </c>
      <c r="N491" s="255">
        <v>-659.8</v>
      </c>
      <c r="O491" s="26" t="s">
        <v>1755</v>
      </c>
    </row>
    <row r="492" spans="1:15">
      <c r="A492" s="256" t="s">
        <v>1222</v>
      </c>
      <c r="B492" s="256" t="s">
        <v>1223</v>
      </c>
      <c r="C492" s="256" t="s">
        <v>3449</v>
      </c>
      <c r="D492" s="256" t="s">
        <v>3450</v>
      </c>
      <c r="E492" s="256" t="s">
        <v>1759</v>
      </c>
      <c r="F492" s="256" t="s">
        <v>1760</v>
      </c>
      <c r="G492" s="256" t="s">
        <v>1795</v>
      </c>
      <c r="H492" s="256" t="s">
        <v>1229</v>
      </c>
      <c r="I492" s="256"/>
      <c r="J492" s="257"/>
      <c r="K492" s="257"/>
      <c r="L492" s="258" t="s">
        <v>1796</v>
      </c>
      <c r="M492" s="258" t="s">
        <v>1797</v>
      </c>
      <c r="N492" s="259">
        <v>-513.78</v>
      </c>
      <c r="O492" s="26" t="s">
        <v>1755</v>
      </c>
    </row>
    <row r="493" spans="1:15">
      <c r="A493" s="251" t="s">
        <v>1222</v>
      </c>
      <c r="B493" s="251" t="s">
        <v>1223</v>
      </c>
      <c r="C493" s="251" t="s">
        <v>3451</v>
      </c>
      <c r="D493" s="251" t="s">
        <v>3452</v>
      </c>
      <c r="E493" s="251" t="s">
        <v>1759</v>
      </c>
      <c r="F493" s="251" t="s">
        <v>1760</v>
      </c>
      <c r="G493" s="251" t="s">
        <v>1800</v>
      </c>
      <c r="H493" s="251" t="s">
        <v>1229</v>
      </c>
      <c r="I493" s="251"/>
      <c r="J493" s="252"/>
      <c r="K493" s="252"/>
      <c r="L493" s="253" t="s">
        <v>1796</v>
      </c>
      <c r="M493" s="253" t="s">
        <v>1797</v>
      </c>
      <c r="N493" s="255">
        <v>-709.56</v>
      </c>
      <c r="O493" s="26" t="s">
        <v>1755</v>
      </c>
    </row>
    <row r="494" spans="1:15">
      <c r="A494" s="256" t="s">
        <v>1222</v>
      </c>
      <c r="B494" s="256" t="s">
        <v>1223</v>
      </c>
      <c r="C494" s="256" t="s">
        <v>3453</v>
      </c>
      <c r="D494" s="256" t="s">
        <v>3454</v>
      </c>
      <c r="E494" s="256" t="s">
        <v>1759</v>
      </c>
      <c r="F494" s="256" t="s">
        <v>1760</v>
      </c>
      <c r="G494" s="256" t="s">
        <v>1806</v>
      </c>
      <c r="H494" s="256" t="s">
        <v>1229</v>
      </c>
      <c r="I494" s="256"/>
      <c r="J494" s="257"/>
      <c r="K494" s="257"/>
      <c r="L494" s="258" t="s">
        <v>1796</v>
      </c>
      <c r="M494" s="258" t="s">
        <v>1797</v>
      </c>
      <c r="N494" s="259">
        <v>-226.49</v>
      </c>
      <c r="O494" s="26" t="s">
        <v>1755</v>
      </c>
    </row>
    <row r="495" spans="1:15">
      <c r="A495" s="251" t="s">
        <v>3455</v>
      </c>
      <c r="B495" s="251" t="s">
        <v>1223</v>
      </c>
      <c r="C495" s="251" t="s">
        <v>3456</v>
      </c>
      <c r="D495" s="251" t="s">
        <v>3457</v>
      </c>
      <c r="E495" s="251" t="s">
        <v>1759</v>
      </c>
      <c r="F495" s="251" t="s">
        <v>1760</v>
      </c>
      <c r="G495" s="251" t="s">
        <v>1785</v>
      </c>
      <c r="H495" s="251" t="s">
        <v>1229</v>
      </c>
      <c r="I495" s="251"/>
      <c r="J495" s="252"/>
      <c r="K495" s="252"/>
      <c r="L495" s="253" t="s">
        <v>1786</v>
      </c>
      <c r="M495" s="253" t="s">
        <v>1230</v>
      </c>
      <c r="N495" s="254">
        <v>8544.16</v>
      </c>
      <c r="O495" s="26" t="s">
        <v>1755</v>
      </c>
    </row>
    <row r="496" spans="1:15">
      <c r="A496" s="256" t="s">
        <v>3455</v>
      </c>
      <c r="B496" s="256" t="s">
        <v>1223</v>
      </c>
      <c r="C496" s="256" t="s">
        <v>3458</v>
      </c>
      <c r="D496" s="256" t="s">
        <v>3459</v>
      </c>
      <c r="E496" s="256" t="s">
        <v>1759</v>
      </c>
      <c r="F496" s="256" t="s">
        <v>1760</v>
      </c>
      <c r="G496" s="256" t="s">
        <v>1795</v>
      </c>
      <c r="H496" s="256" t="s">
        <v>1229</v>
      </c>
      <c r="I496" s="256"/>
      <c r="J496" s="257"/>
      <c r="K496" s="257"/>
      <c r="L496" s="258" t="s">
        <v>1796</v>
      </c>
      <c r="M496" s="258" t="s">
        <v>1797</v>
      </c>
      <c r="N496" s="259">
        <v>-652.32000000000005</v>
      </c>
      <c r="O496" s="26" t="s">
        <v>1755</v>
      </c>
    </row>
    <row r="497" spans="1:15">
      <c r="A497" s="251" t="s">
        <v>3455</v>
      </c>
      <c r="B497" s="251" t="s">
        <v>1223</v>
      </c>
      <c r="C497" s="251" t="s">
        <v>3460</v>
      </c>
      <c r="D497" s="251" t="s">
        <v>3461</v>
      </c>
      <c r="E497" s="251" t="s">
        <v>1759</v>
      </c>
      <c r="F497" s="251" t="s">
        <v>1760</v>
      </c>
      <c r="G497" s="251" t="s">
        <v>1809</v>
      </c>
      <c r="H497" s="251" t="s">
        <v>1229</v>
      </c>
      <c r="I497" s="251"/>
      <c r="J497" s="252"/>
      <c r="K497" s="252"/>
      <c r="L497" s="253" t="s">
        <v>1796</v>
      </c>
      <c r="M497" s="253" t="s">
        <v>1797</v>
      </c>
      <c r="N497" s="255">
        <v>-977.92</v>
      </c>
      <c r="O497" s="26" t="s">
        <v>1755</v>
      </c>
    </row>
    <row r="498" spans="1:15">
      <c r="A498" s="256" t="s">
        <v>3455</v>
      </c>
      <c r="B498" s="256" t="s">
        <v>1223</v>
      </c>
      <c r="C498" s="256" t="s">
        <v>3462</v>
      </c>
      <c r="D498" s="256" t="s">
        <v>3463</v>
      </c>
      <c r="E498" s="256" t="s">
        <v>1759</v>
      </c>
      <c r="F498" s="256" t="s">
        <v>1760</v>
      </c>
      <c r="G498" s="256" t="s">
        <v>1800</v>
      </c>
      <c r="H498" s="256" t="s">
        <v>1229</v>
      </c>
      <c r="I498" s="256"/>
      <c r="J498" s="257"/>
      <c r="K498" s="257"/>
      <c r="L498" s="258" t="s">
        <v>1796</v>
      </c>
      <c r="M498" s="258" t="s">
        <v>1797</v>
      </c>
      <c r="N498" s="259">
        <v>-940.16</v>
      </c>
      <c r="O498" s="26" t="s">
        <v>1755</v>
      </c>
    </row>
    <row r="499" spans="1:15">
      <c r="A499" s="251" t="s">
        <v>3455</v>
      </c>
      <c r="B499" s="251" t="s">
        <v>1223</v>
      </c>
      <c r="C499" s="251" t="s">
        <v>3464</v>
      </c>
      <c r="D499" s="251" t="s">
        <v>3465</v>
      </c>
      <c r="E499" s="251" t="s">
        <v>1759</v>
      </c>
      <c r="F499" s="251" t="s">
        <v>1760</v>
      </c>
      <c r="G499" s="251" t="s">
        <v>1806</v>
      </c>
      <c r="H499" s="251" t="s">
        <v>1229</v>
      </c>
      <c r="I499" s="251"/>
      <c r="J499" s="252"/>
      <c r="K499" s="252"/>
      <c r="L499" s="253" t="s">
        <v>1796</v>
      </c>
      <c r="M499" s="253" t="s">
        <v>1797</v>
      </c>
      <c r="N499" s="255">
        <v>-348.43</v>
      </c>
      <c r="O499" s="26" t="s">
        <v>1755</v>
      </c>
    </row>
    <row r="500" spans="1:15">
      <c r="A500" s="256" t="s">
        <v>3455</v>
      </c>
      <c r="B500" s="256" t="s">
        <v>1223</v>
      </c>
      <c r="C500" s="256" t="s">
        <v>3466</v>
      </c>
      <c r="D500" s="256" t="s">
        <v>3467</v>
      </c>
      <c r="E500" s="256" t="s">
        <v>1759</v>
      </c>
      <c r="F500" s="256" t="s">
        <v>1760</v>
      </c>
      <c r="G500" s="256" t="s">
        <v>1812</v>
      </c>
      <c r="H500" s="256" t="s">
        <v>1229</v>
      </c>
      <c r="I500" s="256"/>
      <c r="J500" s="257"/>
      <c r="K500" s="257"/>
      <c r="L500" s="258" t="s">
        <v>1796</v>
      </c>
      <c r="M500" s="258" t="s">
        <v>1797</v>
      </c>
      <c r="N500" s="259">
        <v>-1615.15</v>
      </c>
      <c r="O500" s="26" t="s">
        <v>1755</v>
      </c>
    </row>
    <row r="501" spans="1:15">
      <c r="A501" s="251" t="s">
        <v>3455</v>
      </c>
      <c r="B501" s="251" t="s">
        <v>1223</v>
      </c>
      <c r="C501" s="251" t="s">
        <v>3468</v>
      </c>
      <c r="D501" s="251" t="s">
        <v>3469</v>
      </c>
      <c r="E501" s="251" t="s">
        <v>1759</v>
      </c>
      <c r="F501" s="251" t="s">
        <v>1760</v>
      </c>
      <c r="G501" s="251" t="s">
        <v>1818</v>
      </c>
      <c r="H501" s="251" t="s">
        <v>1229</v>
      </c>
      <c r="I501" s="251"/>
      <c r="J501" s="252"/>
      <c r="K501" s="252"/>
      <c r="L501" s="253" t="s">
        <v>1796</v>
      </c>
      <c r="M501" s="253" t="s">
        <v>1797</v>
      </c>
      <c r="N501" s="255">
        <v>-2615.3200000000002</v>
      </c>
      <c r="O501" s="26" t="s">
        <v>1755</v>
      </c>
    </row>
    <row r="502" spans="1:15">
      <c r="A502" s="256" t="s">
        <v>3455</v>
      </c>
      <c r="B502" s="256" t="s">
        <v>1223</v>
      </c>
      <c r="C502" s="256" t="s">
        <v>3470</v>
      </c>
      <c r="D502" s="256" t="s">
        <v>3471</v>
      </c>
      <c r="E502" s="256" t="s">
        <v>1759</v>
      </c>
      <c r="F502" s="256" t="s">
        <v>1760</v>
      </c>
      <c r="G502" s="256" t="s">
        <v>1785</v>
      </c>
      <c r="H502" s="256" t="s">
        <v>1229</v>
      </c>
      <c r="I502" s="256"/>
      <c r="J502" s="257"/>
      <c r="K502" s="257"/>
      <c r="L502" s="258" t="s">
        <v>1796</v>
      </c>
      <c r="M502" s="258" t="s">
        <v>1797</v>
      </c>
      <c r="N502" s="260">
        <v>1523.52</v>
      </c>
      <c r="O502" s="26" t="s">
        <v>1755</v>
      </c>
    </row>
    <row r="503" spans="1:15">
      <c r="A503" s="256" t="s">
        <v>3472</v>
      </c>
      <c r="B503" s="256" t="s">
        <v>1223</v>
      </c>
      <c r="C503" s="256" t="s">
        <v>3473</v>
      </c>
      <c r="D503" s="256" t="s">
        <v>3474</v>
      </c>
      <c r="E503" s="256" t="s">
        <v>1759</v>
      </c>
      <c r="F503" s="256" t="s">
        <v>1760</v>
      </c>
      <c r="G503" s="256" t="s">
        <v>1785</v>
      </c>
      <c r="H503" s="256" t="s">
        <v>1229</v>
      </c>
      <c r="I503" s="256"/>
      <c r="J503" s="257"/>
      <c r="K503" s="257"/>
      <c r="L503" s="258" t="s">
        <v>1786</v>
      </c>
      <c r="M503" s="258" t="s">
        <v>1230</v>
      </c>
      <c r="N503" s="260">
        <v>7173.33</v>
      </c>
      <c r="O503" s="26" t="s">
        <v>1755</v>
      </c>
    </row>
    <row r="504" spans="1:15">
      <c r="A504" s="251" t="s">
        <v>3472</v>
      </c>
      <c r="B504" s="251" t="s">
        <v>1223</v>
      </c>
      <c r="C504" s="251" t="s">
        <v>3475</v>
      </c>
      <c r="D504" s="251" t="s">
        <v>3476</v>
      </c>
      <c r="E504" s="251" t="s">
        <v>1759</v>
      </c>
      <c r="F504" s="251" t="s">
        <v>1760</v>
      </c>
      <c r="G504" s="251" t="s">
        <v>1806</v>
      </c>
      <c r="H504" s="251" t="s">
        <v>1229</v>
      </c>
      <c r="I504" s="251"/>
      <c r="J504" s="252"/>
      <c r="K504" s="252"/>
      <c r="L504" s="253" t="s">
        <v>1796</v>
      </c>
      <c r="M504" s="253" t="s">
        <v>1797</v>
      </c>
      <c r="N504" s="255">
        <v>-264.99</v>
      </c>
      <c r="O504" s="26" t="s">
        <v>1755</v>
      </c>
    </row>
    <row r="505" spans="1:15">
      <c r="A505" s="256" t="s">
        <v>3472</v>
      </c>
      <c r="B505" s="256" t="s">
        <v>1223</v>
      </c>
      <c r="C505" s="256" t="s">
        <v>3477</v>
      </c>
      <c r="D505" s="256" t="s">
        <v>3478</v>
      </c>
      <c r="E505" s="256" t="s">
        <v>1759</v>
      </c>
      <c r="F505" s="256" t="s">
        <v>1760</v>
      </c>
      <c r="G505" s="256" t="s">
        <v>1812</v>
      </c>
      <c r="H505" s="256" t="s">
        <v>1229</v>
      </c>
      <c r="I505" s="256"/>
      <c r="J505" s="257"/>
      <c r="K505" s="257"/>
      <c r="L505" s="258" t="s">
        <v>1796</v>
      </c>
      <c r="M505" s="258" t="s">
        <v>1797</v>
      </c>
      <c r="N505" s="259">
        <v>-1247.3</v>
      </c>
      <c r="O505" s="26" t="s">
        <v>1755</v>
      </c>
    </row>
    <row r="506" spans="1:15">
      <c r="A506" s="251" t="s">
        <v>3472</v>
      </c>
      <c r="B506" s="251" t="s">
        <v>1223</v>
      </c>
      <c r="C506" s="251" t="s">
        <v>3479</v>
      </c>
      <c r="D506" s="251" t="s">
        <v>3480</v>
      </c>
      <c r="E506" s="251" t="s">
        <v>1759</v>
      </c>
      <c r="F506" s="251" t="s">
        <v>1760</v>
      </c>
      <c r="G506" s="251" t="s">
        <v>1818</v>
      </c>
      <c r="H506" s="251" t="s">
        <v>1229</v>
      </c>
      <c r="I506" s="251"/>
      <c r="J506" s="252"/>
      <c r="K506" s="252"/>
      <c r="L506" s="253" t="s">
        <v>1796</v>
      </c>
      <c r="M506" s="253" t="s">
        <v>1797</v>
      </c>
      <c r="N506" s="255">
        <v>-2171.16</v>
      </c>
      <c r="O506" s="26" t="s">
        <v>1755</v>
      </c>
    </row>
    <row r="507" spans="1:15">
      <c r="A507" s="256" t="s">
        <v>3472</v>
      </c>
      <c r="B507" s="256" t="s">
        <v>1223</v>
      </c>
      <c r="C507" s="256" t="s">
        <v>3481</v>
      </c>
      <c r="D507" s="256" t="s">
        <v>3482</v>
      </c>
      <c r="E507" s="256" t="s">
        <v>1759</v>
      </c>
      <c r="F507" s="256" t="s">
        <v>1760</v>
      </c>
      <c r="G507" s="256" t="s">
        <v>1785</v>
      </c>
      <c r="H507" s="256" t="s">
        <v>1229</v>
      </c>
      <c r="I507" s="256"/>
      <c r="J507" s="257"/>
      <c r="K507" s="257"/>
      <c r="L507" s="258" t="s">
        <v>1796</v>
      </c>
      <c r="M507" s="258" t="s">
        <v>1797</v>
      </c>
      <c r="N507" s="260">
        <v>1061.28</v>
      </c>
      <c r="O507" s="26" t="s">
        <v>1755</v>
      </c>
    </row>
    <row r="508" spans="1:15">
      <c r="A508" s="251" t="s">
        <v>3472</v>
      </c>
      <c r="B508" s="251" t="s">
        <v>1223</v>
      </c>
      <c r="C508" s="251" t="s">
        <v>3483</v>
      </c>
      <c r="D508" s="251" t="s">
        <v>3484</v>
      </c>
      <c r="E508" s="251" t="s">
        <v>1759</v>
      </c>
      <c r="F508" s="251" t="s">
        <v>1760</v>
      </c>
      <c r="G508" s="251" t="s">
        <v>1809</v>
      </c>
      <c r="H508" s="251" t="s">
        <v>1229</v>
      </c>
      <c r="I508" s="251"/>
      <c r="J508" s="252"/>
      <c r="K508" s="252"/>
      <c r="L508" s="253" t="s">
        <v>1796</v>
      </c>
      <c r="M508" s="253" t="s">
        <v>1797</v>
      </c>
      <c r="N508" s="255">
        <v>-719.7</v>
      </c>
      <c r="O508" s="26" t="s">
        <v>1755</v>
      </c>
    </row>
    <row r="509" spans="1:15">
      <c r="A509" s="256" t="s">
        <v>3472</v>
      </c>
      <c r="B509" s="256" t="s">
        <v>1223</v>
      </c>
      <c r="C509" s="256" t="s">
        <v>3485</v>
      </c>
      <c r="D509" s="256" t="s">
        <v>3486</v>
      </c>
      <c r="E509" s="256" t="s">
        <v>1759</v>
      </c>
      <c r="F509" s="256" t="s">
        <v>1760</v>
      </c>
      <c r="G509" s="256" t="s">
        <v>1800</v>
      </c>
      <c r="H509" s="256" t="s">
        <v>1229</v>
      </c>
      <c r="I509" s="256"/>
      <c r="J509" s="257"/>
      <c r="K509" s="257"/>
      <c r="L509" s="258" t="s">
        <v>1796</v>
      </c>
      <c r="M509" s="258" t="s">
        <v>1797</v>
      </c>
      <c r="N509" s="259">
        <v>-726.18</v>
      </c>
      <c r="O509" s="26" t="s">
        <v>1755</v>
      </c>
    </row>
    <row r="510" spans="1:15">
      <c r="A510" s="251" t="s">
        <v>3472</v>
      </c>
      <c r="B510" s="251" t="s">
        <v>1223</v>
      </c>
      <c r="C510" s="251" t="s">
        <v>3487</v>
      </c>
      <c r="D510" s="251" t="s">
        <v>3488</v>
      </c>
      <c r="E510" s="251" t="s">
        <v>1759</v>
      </c>
      <c r="F510" s="251" t="s">
        <v>1760</v>
      </c>
      <c r="G510" s="251" t="s">
        <v>1795</v>
      </c>
      <c r="H510" s="251" t="s">
        <v>1229</v>
      </c>
      <c r="I510" s="251"/>
      <c r="J510" s="252"/>
      <c r="K510" s="252"/>
      <c r="L510" s="253" t="s">
        <v>1796</v>
      </c>
      <c r="M510" s="253" t="s">
        <v>1797</v>
      </c>
      <c r="N510" s="255">
        <v>-535.29999999999995</v>
      </c>
      <c r="O510" s="26" t="s">
        <v>1755</v>
      </c>
    </row>
    <row r="511" spans="1:15">
      <c r="A511" s="256" t="s">
        <v>3489</v>
      </c>
      <c r="B511" s="256" t="s">
        <v>1223</v>
      </c>
      <c r="C511" s="256" t="s">
        <v>3490</v>
      </c>
      <c r="D511" s="256" t="s">
        <v>3491</v>
      </c>
      <c r="E511" s="256" t="s">
        <v>1759</v>
      </c>
      <c r="F511" s="256" t="s">
        <v>1760</v>
      </c>
      <c r="G511" s="256" t="s">
        <v>1785</v>
      </c>
      <c r="H511" s="256" t="s">
        <v>1229</v>
      </c>
      <c r="I511" s="256"/>
      <c r="J511" s="257"/>
      <c r="K511" s="257"/>
      <c r="L511" s="258" t="s">
        <v>1786</v>
      </c>
      <c r="M511" s="258" t="s">
        <v>1230</v>
      </c>
      <c r="N511" s="260">
        <v>7782.26</v>
      </c>
      <c r="O511" s="26" t="s">
        <v>1755</v>
      </c>
    </row>
    <row r="512" spans="1:15">
      <c r="A512" s="251" t="s">
        <v>3489</v>
      </c>
      <c r="B512" s="251" t="s">
        <v>1223</v>
      </c>
      <c r="C512" s="251" t="s">
        <v>3492</v>
      </c>
      <c r="D512" s="251" t="s">
        <v>3493</v>
      </c>
      <c r="E512" s="251" t="s">
        <v>1759</v>
      </c>
      <c r="F512" s="251" t="s">
        <v>1760</v>
      </c>
      <c r="G512" s="251" t="s">
        <v>1785</v>
      </c>
      <c r="H512" s="251" t="s">
        <v>1229</v>
      </c>
      <c r="I512" s="251"/>
      <c r="J512" s="252"/>
      <c r="K512" s="252"/>
      <c r="L512" s="253" t="s">
        <v>1796</v>
      </c>
      <c r="M512" s="253" t="s">
        <v>1797</v>
      </c>
      <c r="N512" s="254">
        <v>959.83</v>
      </c>
      <c r="O512" s="26" t="s">
        <v>1755</v>
      </c>
    </row>
    <row r="513" spans="1:31">
      <c r="A513" s="256" t="s">
        <v>3489</v>
      </c>
      <c r="B513" s="256" t="s">
        <v>1223</v>
      </c>
      <c r="C513" s="256" t="s">
        <v>3494</v>
      </c>
      <c r="D513" s="256" t="s">
        <v>3495</v>
      </c>
      <c r="E513" s="256" t="s">
        <v>1759</v>
      </c>
      <c r="F513" s="256" t="s">
        <v>1760</v>
      </c>
      <c r="G513" s="256" t="s">
        <v>1795</v>
      </c>
      <c r="H513" s="256" t="s">
        <v>1229</v>
      </c>
      <c r="I513" s="256"/>
      <c r="J513" s="257"/>
      <c r="K513" s="257"/>
      <c r="L513" s="258" t="s">
        <v>1796</v>
      </c>
      <c r="M513" s="258" t="s">
        <v>1797</v>
      </c>
      <c r="N513" s="259">
        <v>-632.53</v>
      </c>
      <c r="O513" s="26" t="s">
        <v>1755</v>
      </c>
    </row>
    <row r="514" spans="1:31">
      <c r="A514" s="251" t="s">
        <v>3489</v>
      </c>
      <c r="B514" s="251" t="s">
        <v>1223</v>
      </c>
      <c r="C514" s="251" t="s">
        <v>3496</v>
      </c>
      <c r="D514" s="251" t="s">
        <v>3497</v>
      </c>
      <c r="E514" s="251" t="s">
        <v>1759</v>
      </c>
      <c r="F514" s="251" t="s">
        <v>1760</v>
      </c>
      <c r="G514" s="251" t="s">
        <v>1809</v>
      </c>
      <c r="H514" s="251" t="s">
        <v>1229</v>
      </c>
      <c r="I514" s="251"/>
      <c r="J514" s="252"/>
      <c r="K514" s="252"/>
      <c r="L514" s="253" t="s">
        <v>1796</v>
      </c>
      <c r="M514" s="253" t="s">
        <v>1797</v>
      </c>
      <c r="N514" s="255">
        <v>-705.4</v>
      </c>
      <c r="O514" s="26" t="s">
        <v>1755</v>
      </c>
    </row>
    <row r="515" spans="1:31">
      <c r="A515" s="256" t="s">
        <v>3489</v>
      </c>
      <c r="B515" s="256" t="s">
        <v>1223</v>
      </c>
      <c r="C515" s="256" t="s">
        <v>3498</v>
      </c>
      <c r="D515" s="256" t="s">
        <v>3499</v>
      </c>
      <c r="E515" s="256" t="s">
        <v>1759</v>
      </c>
      <c r="F515" s="256" t="s">
        <v>1760</v>
      </c>
      <c r="G515" s="256" t="s">
        <v>1818</v>
      </c>
      <c r="H515" s="256" t="s">
        <v>1229</v>
      </c>
      <c r="I515" s="256"/>
      <c r="J515" s="257"/>
      <c r="K515" s="257"/>
      <c r="L515" s="258" t="s">
        <v>1796</v>
      </c>
      <c r="M515" s="258" t="s">
        <v>1797</v>
      </c>
      <c r="N515" s="259">
        <v>-2661.88</v>
      </c>
      <c r="O515" s="26" t="s">
        <v>1755</v>
      </c>
    </row>
    <row r="516" spans="1:31">
      <c r="A516" s="251" t="s">
        <v>3489</v>
      </c>
      <c r="B516" s="251" t="s">
        <v>1223</v>
      </c>
      <c r="C516" s="251" t="s">
        <v>3500</v>
      </c>
      <c r="D516" s="251" t="s">
        <v>3501</v>
      </c>
      <c r="E516" s="251" t="s">
        <v>1759</v>
      </c>
      <c r="F516" s="251" t="s">
        <v>1760</v>
      </c>
      <c r="G516" s="251" t="s">
        <v>1800</v>
      </c>
      <c r="H516" s="251" t="s">
        <v>1229</v>
      </c>
      <c r="I516" s="251"/>
      <c r="J516" s="252"/>
      <c r="K516" s="252"/>
      <c r="L516" s="253" t="s">
        <v>1796</v>
      </c>
      <c r="M516" s="253" t="s">
        <v>1797</v>
      </c>
      <c r="N516" s="255">
        <v>-763.9</v>
      </c>
      <c r="O516" s="26" t="s">
        <v>1755</v>
      </c>
    </row>
    <row r="517" spans="1:31">
      <c r="A517" s="256" t="s">
        <v>3489</v>
      </c>
      <c r="B517" s="256" t="s">
        <v>1223</v>
      </c>
      <c r="C517" s="256" t="s">
        <v>3502</v>
      </c>
      <c r="D517" s="256" t="s">
        <v>3503</v>
      </c>
      <c r="E517" s="256" t="s">
        <v>1759</v>
      </c>
      <c r="F517" s="256" t="s">
        <v>1760</v>
      </c>
      <c r="G517" s="256" t="s">
        <v>1806</v>
      </c>
      <c r="H517" s="256" t="s">
        <v>1229</v>
      </c>
      <c r="I517" s="256"/>
      <c r="J517" s="257"/>
      <c r="K517" s="257"/>
      <c r="L517" s="258" t="s">
        <v>1796</v>
      </c>
      <c r="M517" s="258" t="s">
        <v>1797</v>
      </c>
      <c r="N517" s="259">
        <v>-265.02999999999997</v>
      </c>
      <c r="O517" s="26" t="s">
        <v>1755</v>
      </c>
    </row>
    <row r="518" spans="1:31">
      <c r="A518" s="251" t="s">
        <v>3489</v>
      </c>
      <c r="B518" s="251" t="s">
        <v>1223</v>
      </c>
      <c r="C518" s="251" t="s">
        <v>3504</v>
      </c>
      <c r="D518" s="251" t="s">
        <v>3505</v>
      </c>
      <c r="E518" s="251" t="s">
        <v>1759</v>
      </c>
      <c r="F518" s="251" t="s">
        <v>1760</v>
      </c>
      <c r="G518" s="251" t="s">
        <v>1812</v>
      </c>
      <c r="H518" s="251" t="s">
        <v>1229</v>
      </c>
      <c r="I518" s="251"/>
      <c r="J518" s="252"/>
      <c r="K518" s="252"/>
      <c r="L518" s="253" t="s">
        <v>1796</v>
      </c>
      <c r="M518" s="253" t="s">
        <v>1797</v>
      </c>
      <c r="N518" s="255">
        <v>-1204.8599999999999</v>
      </c>
      <c r="O518" s="26" t="s">
        <v>1755</v>
      </c>
    </row>
    <row r="522" spans="1:31">
      <c r="A522" s="26" t="s">
        <v>3283</v>
      </c>
    </row>
    <row r="523" spans="1:31">
      <c r="A523" s="310" t="s">
        <v>3506</v>
      </c>
      <c r="B523"/>
      <c r="C523"/>
      <c r="D523"/>
      <c r="E523"/>
      <c r="F523"/>
      <c r="G523"/>
      <c r="H523"/>
      <c r="I523"/>
      <c r="J523"/>
      <c r="K523"/>
      <c r="L523"/>
      <c r="M523"/>
      <c r="N523"/>
      <c r="O523"/>
      <c r="P523"/>
      <c r="Q523"/>
      <c r="R523"/>
      <c r="S523"/>
      <c r="T523"/>
      <c r="U523"/>
      <c r="V523"/>
      <c r="W523"/>
      <c r="X523"/>
      <c r="Y523"/>
      <c r="Z523"/>
      <c r="AA523"/>
      <c r="AB523"/>
      <c r="AC523"/>
      <c r="AD523"/>
      <c r="AE523"/>
    </row>
    <row r="524" spans="1:31">
      <c r="A524" s="310"/>
      <c r="B524"/>
      <c r="C524"/>
      <c r="D524"/>
      <c r="E524"/>
      <c r="F524"/>
      <c r="G524"/>
      <c r="H524"/>
      <c r="I524"/>
      <c r="J524"/>
      <c r="K524"/>
      <c r="L524"/>
      <c r="M524"/>
      <c r="N524"/>
      <c r="O524"/>
      <c r="P524"/>
      <c r="Q524"/>
      <c r="R524"/>
      <c r="S524"/>
      <c r="T524"/>
      <c r="U524"/>
      <c r="V524"/>
      <c r="W524"/>
      <c r="X524"/>
      <c r="Y524"/>
      <c r="Z524"/>
      <c r="AA524"/>
      <c r="AB524"/>
      <c r="AC524"/>
      <c r="AD524"/>
      <c r="AE524"/>
    </row>
    <row r="525" spans="1:31">
      <c r="A525" s="310"/>
      <c r="B525"/>
      <c r="C525"/>
      <c r="D525"/>
      <c r="E525"/>
      <c r="F525"/>
      <c r="G525"/>
      <c r="H525"/>
      <c r="I525"/>
      <c r="J525"/>
      <c r="K525"/>
      <c r="L525"/>
      <c r="M525"/>
      <c r="N525"/>
      <c r="O525"/>
      <c r="P525"/>
      <c r="Q525"/>
      <c r="R525"/>
      <c r="S525"/>
      <c r="T525"/>
      <c r="U525"/>
      <c r="V525"/>
      <c r="W525"/>
      <c r="X525"/>
      <c r="Y525"/>
      <c r="Z525"/>
      <c r="AA525"/>
      <c r="AB525"/>
      <c r="AC525"/>
      <c r="AD525"/>
      <c r="AE525"/>
    </row>
    <row r="526" spans="1:31" ht="15.75" thickBot="1">
      <c r="A526" s="310"/>
      <c r="B526"/>
      <c r="C526"/>
      <c r="D526"/>
      <c r="E526"/>
      <c r="F526"/>
      <c r="G526"/>
      <c r="H526"/>
      <c r="I526"/>
      <c r="J526"/>
      <c r="K526"/>
      <c r="L526"/>
      <c r="M526"/>
      <c r="N526"/>
      <c r="O526"/>
      <c r="P526"/>
      <c r="Q526"/>
      <c r="R526"/>
      <c r="S526"/>
      <c r="T526"/>
      <c r="U526"/>
      <c r="V526"/>
      <c r="W526"/>
      <c r="X526"/>
      <c r="Y526"/>
      <c r="Z526"/>
      <c r="AA526"/>
      <c r="AB526"/>
      <c r="AC526"/>
      <c r="AD526"/>
      <c r="AE526"/>
    </row>
    <row r="527" spans="1:31" ht="15.75" thickBot="1">
      <c r="A527" s="34"/>
      <c r="B527" s="34"/>
      <c r="C527" s="34"/>
      <c r="D527" s="34"/>
      <c r="E527" s="34"/>
      <c r="F527" s="34"/>
      <c r="G527" s="34"/>
      <c r="H527" s="311" t="s">
        <v>3507</v>
      </c>
      <c r="I527" s="311" t="s">
        <v>3507</v>
      </c>
      <c r="J527" s="311" t="s">
        <v>3507</v>
      </c>
      <c r="K527" s="311" t="s">
        <v>3507</v>
      </c>
      <c r="L527" s="311" t="s">
        <v>3507</v>
      </c>
      <c r="M527" s="311" t="s">
        <v>3507</v>
      </c>
      <c r="N527" s="311" t="s">
        <v>3507</v>
      </c>
      <c r="O527" s="311" t="s">
        <v>3507</v>
      </c>
      <c r="P527" s="311" t="s">
        <v>3507</v>
      </c>
      <c r="Q527" s="311" t="s">
        <v>3507</v>
      </c>
      <c r="R527" s="311" t="s">
        <v>3507</v>
      </c>
      <c r="S527" s="311" t="s">
        <v>3507</v>
      </c>
      <c r="T527" s="311" t="s">
        <v>3508</v>
      </c>
      <c r="U527" s="311" t="s">
        <v>3508</v>
      </c>
      <c r="V527" s="311" t="s">
        <v>3508</v>
      </c>
      <c r="W527" s="311" t="s">
        <v>3508</v>
      </c>
      <c r="X527" s="311" t="s">
        <v>3508</v>
      </c>
      <c r="Y527" s="311" t="s">
        <v>3508</v>
      </c>
      <c r="Z527" s="311" t="s">
        <v>3508</v>
      </c>
      <c r="AA527" s="311" t="s">
        <v>3508</v>
      </c>
      <c r="AB527" s="311" t="s">
        <v>3508</v>
      </c>
      <c r="AC527" s="311" t="s">
        <v>3508</v>
      </c>
      <c r="AD527" s="311" t="s">
        <v>3508</v>
      </c>
      <c r="AE527" s="311" t="s">
        <v>3508</v>
      </c>
    </row>
    <row r="528" spans="1:31" ht="15.75" thickBot="1">
      <c r="A528" s="34"/>
      <c r="B528" s="34"/>
      <c r="C528" s="34"/>
      <c r="D528" s="34"/>
      <c r="E528" s="34"/>
      <c r="F528" s="312" t="s">
        <v>326</v>
      </c>
      <c r="G528" s="313" t="s">
        <v>1020</v>
      </c>
      <c r="H528" s="314">
        <v>44305</v>
      </c>
      <c r="I528" s="315">
        <v>44335</v>
      </c>
      <c r="J528" s="315">
        <v>44366</v>
      </c>
      <c r="K528" s="315">
        <v>44396</v>
      </c>
      <c r="L528" s="315">
        <v>44427</v>
      </c>
      <c r="M528" s="315">
        <v>44458</v>
      </c>
      <c r="N528" s="315">
        <v>44488</v>
      </c>
      <c r="O528" s="315">
        <v>44519</v>
      </c>
      <c r="P528" s="315">
        <v>44549</v>
      </c>
      <c r="Q528" s="315">
        <v>44216</v>
      </c>
      <c r="R528" s="315">
        <v>44247</v>
      </c>
      <c r="S528" s="315">
        <v>44275</v>
      </c>
      <c r="T528" s="315">
        <v>44306</v>
      </c>
      <c r="U528" s="315">
        <v>44336</v>
      </c>
      <c r="V528" s="315">
        <v>44367</v>
      </c>
      <c r="W528" s="315">
        <v>44397</v>
      </c>
      <c r="X528" s="315">
        <v>44428</v>
      </c>
      <c r="Y528" s="315">
        <v>44459</v>
      </c>
      <c r="Z528" s="315">
        <v>44489</v>
      </c>
      <c r="AA528" s="315">
        <v>44520</v>
      </c>
      <c r="AB528" s="315">
        <v>44550</v>
      </c>
      <c r="AC528" s="315">
        <v>44217</v>
      </c>
      <c r="AD528" s="315">
        <v>44248</v>
      </c>
      <c r="AE528" s="315">
        <v>44276</v>
      </c>
    </row>
    <row r="529" spans="1:31">
      <c r="A529" s="34"/>
      <c r="B529" s="34"/>
      <c r="C529" s="34"/>
      <c r="D529" s="34"/>
      <c r="E529" s="34"/>
      <c r="F529" s="34"/>
      <c r="G529" s="34"/>
      <c r="H529" s="34"/>
      <c r="I529" s="34"/>
      <c r="J529" s="34"/>
      <c r="K529" s="34"/>
      <c r="L529" s="34"/>
      <c r="M529" s="34"/>
      <c r="N529" s="34"/>
      <c r="O529" s="34"/>
      <c r="P529" s="34"/>
      <c r="Q529" s="34"/>
      <c r="R529" s="34"/>
      <c r="S529" s="34"/>
      <c r="T529" s="34"/>
      <c r="U529" s="34"/>
      <c r="V529" s="34"/>
      <c r="W529" s="34"/>
      <c r="X529" s="34"/>
      <c r="Y529" s="34"/>
      <c r="Z529" s="34"/>
      <c r="AA529" s="34"/>
      <c r="AB529" s="34"/>
      <c r="AC529" s="34"/>
      <c r="AD529" s="34"/>
      <c r="AE529" s="34"/>
    </row>
    <row r="530" spans="1:31">
      <c r="A530" s="34"/>
      <c r="B530" s="34"/>
      <c r="C530" s="34"/>
      <c r="D530" s="34"/>
      <c r="E530" s="34"/>
      <c r="F530" s="34"/>
      <c r="G530" s="34"/>
      <c r="H530" s="34"/>
      <c r="I530" s="34"/>
      <c r="J530" s="34"/>
      <c r="K530" s="34"/>
      <c r="L530" s="34"/>
      <c r="M530" s="34"/>
      <c r="N530" s="34"/>
      <c r="O530" s="34"/>
      <c r="P530" s="34"/>
      <c r="Q530" s="34"/>
      <c r="R530" s="34"/>
      <c r="S530" s="34"/>
      <c r="T530" s="34"/>
      <c r="U530" s="34"/>
      <c r="V530" s="34"/>
      <c r="W530" s="34"/>
      <c r="X530" s="34"/>
      <c r="Y530" s="34"/>
      <c r="Z530" s="34"/>
      <c r="AA530" s="34"/>
      <c r="AB530" s="34"/>
      <c r="AC530" s="34"/>
      <c r="AD530" s="34"/>
      <c r="AE530" s="34"/>
    </row>
    <row r="531" spans="1:31">
      <c r="A531" s="34"/>
      <c r="B531" s="34"/>
      <c r="C531" s="34"/>
      <c r="D531" s="34"/>
      <c r="E531" s="34"/>
      <c r="F531" s="34"/>
      <c r="G531" s="34"/>
      <c r="H531" s="34"/>
      <c r="I531" s="34"/>
      <c r="J531" s="34"/>
      <c r="K531" s="34"/>
      <c r="L531" s="34"/>
      <c r="M531" s="34"/>
      <c r="N531" s="34"/>
      <c r="O531" s="34"/>
      <c r="P531" s="34"/>
      <c r="Q531" s="34"/>
      <c r="R531" s="34"/>
      <c r="S531" s="34"/>
      <c r="T531" s="34"/>
      <c r="U531" s="34"/>
      <c r="V531" s="34"/>
      <c r="W531" s="34"/>
      <c r="X531" s="34"/>
      <c r="Y531" s="34"/>
      <c r="Z531" s="34"/>
      <c r="AA531" s="34"/>
      <c r="AB531" s="34"/>
      <c r="AC531" s="34"/>
      <c r="AD531" s="34"/>
      <c r="AE531" s="34"/>
    </row>
    <row r="532" spans="1:31">
      <c r="A532" s="34"/>
      <c r="B532" s="816" t="s">
        <v>3509</v>
      </c>
      <c r="C532" s="816"/>
      <c r="D532" s="316" t="s">
        <v>3510</v>
      </c>
      <c r="E532" s="34"/>
      <c r="F532" s="317" t="s">
        <v>3511</v>
      </c>
      <c r="G532" s="317" t="s">
        <v>3512</v>
      </c>
      <c r="H532" s="318"/>
      <c r="I532" s="318"/>
      <c r="J532" s="318"/>
      <c r="K532" s="318"/>
      <c r="L532" s="318"/>
      <c r="M532" s="318"/>
      <c r="N532" s="318"/>
      <c r="O532" s="322" t="s">
        <v>3513</v>
      </c>
      <c r="P532" s="322" t="s">
        <v>3514</v>
      </c>
      <c r="Q532" s="322" t="s">
        <v>3515</v>
      </c>
      <c r="R532" s="322" t="s">
        <v>3516</v>
      </c>
      <c r="S532" s="322" t="s">
        <v>3517</v>
      </c>
      <c r="T532" s="322" t="s">
        <v>3518</v>
      </c>
      <c r="U532" s="322" t="s">
        <v>3519</v>
      </c>
      <c r="V532" s="322" t="s">
        <v>3520</v>
      </c>
      <c r="W532" s="322" t="s">
        <v>3521</v>
      </c>
      <c r="X532" s="322" t="s">
        <v>3522</v>
      </c>
      <c r="Y532" s="322" t="s">
        <v>3522</v>
      </c>
      <c r="Z532" s="322" t="s">
        <v>3523</v>
      </c>
      <c r="AA532" s="322" t="s">
        <v>3524</v>
      </c>
      <c r="AB532" s="322" t="s">
        <v>3525</v>
      </c>
      <c r="AC532" s="322" t="s">
        <v>3526</v>
      </c>
      <c r="AD532" s="322" t="s">
        <v>3527</v>
      </c>
      <c r="AE532" s="322" t="s">
        <v>3528</v>
      </c>
    </row>
    <row r="533" spans="1:31">
      <c r="A533" s="34"/>
      <c r="B533" s="34"/>
      <c r="C533" s="34"/>
      <c r="D533" s="34"/>
      <c r="E533" s="34"/>
      <c r="F533" s="34"/>
      <c r="G533" s="34"/>
      <c r="H533" s="34"/>
      <c r="I533" s="34"/>
      <c r="J533" s="34"/>
      <c r="K533" s="34"/>
      <c r="L533" s="34"/>
      <c r="M533" s="34"/>
      <c r="N533" s="34"/>
      <c r="O533" s="34"/>
      <c r="P533" s="34"/>
      <c r="Q533" s="34"/>
      <c r="R533" s="34"/>
      <c r="S533" s="34"/>
      <c r="T533" s="34"/>
      <c r="U533" s="34"/>
      <c r="V533" s="34"/>
      <c r="W533" s="34"/>
      <c r="X533" s="34"/>
      <c r="Y533" s="34"/>
      <c r="Z533" s="34"/>
      <c r="AA533" s="34"/>
      <c r="AB533" s="34">
        <f>-506-428-386-308-284-114-88-91-91-110-141-3</f>
        <v>-2550</v>
      </c>
      <c r="AC533" s="34"/>
      <c r="AD533" s="34"/>
      <c r="AE533" s="34"/>
    </row>
    <row r="534" spans="1:31">
      <c r="A534" s="34"/>
      <c r="B534" s="34"/>
      <c r="C534" s="34"/>
      <c r="D534" s="34"/>
      <c r="E534" s="34"/>
      <c r="F534" s="34"/>
      <c r="G534" s="34"/>
      <c r="H534" s="34"/>
      <c r="I534" s="34"/>
      <c r="J534" s="34"/>
      <c r="K534" s="34"/>
      <c r="L534" s="34"/>
      <c r="M534" s="34"/>
      <c r="N534" s="34"/>
      <c r="O534" s="34"/>
      <c r="P534" s="34"/>
      <c r="Q534" s="34"/>
      <c r="R534" s="34"/>
      <c r="S534" s="34"/>
      <c r="T534" s="34"/>
      <c r="U534" s="34"/>
      <c r="V534" s="34"/>
      <c r="W534" s="34"/>
      <c r="X534" s="34"/>
      <c r="Y534" s="34"/>
      <c r="Z534" s="34"/>
      <c r="AA534" s="34"/>
      <c r="AB534" s="34"/>
      <c r="AC534" s="34"/>
      <c r="AD534" s="34"/>
      <c r="AE534" s="34"/>
    </row>
    <row r="535" spans="1:31">
      <c r="A535" s="34"/>
      <c r="B535" s="34"/>
      <c r="C535" s="34"/>
      <c r="D535" s="34"/>
      <c r="E535" s="34"/>
      <c r="F535" s="34"/>
      <c r="G535" s="34"/>
      <c r="H535" s="34"/>
      <c r="I535" s="34"/>
      <c r="J535" s="34"/>
      <c r="K535" s="34"/>
      <c r="L535" s="34"/>
      <c r="M535" s="34"/>
      <c r="N535" s="34"/>
      <c r="O535" s="34"/>
      <c r="P535" s="34"/>
      <c r="Q535" s="34"/>
      <c r="R535" s="34"/>
      <c r="S535" s="34"/>
      <c r="T535" s="34"/>
      <c r="U535" s="34"/>
      <c r="V535" s="34"/>
      <c r="W535" s="34"/>
      <c r="X535" s="34"/>
      <c r="Y535" s="34"/>
      <c r="Z535" s="34"/>
      <c r="AA535" s="34"/>
      <c r="AB535" s="34"/>
      <c r="AC535" s="34"/>
      <c r="AD535" s="34"/>
      <c r="AE535" s="34"/>
    </row>
    <row r="536" spans="1:31">
      <c r="A536" s="34"/>
      <c r="B536" s="817" t="s">
        <v>3529</v>
      </c>
      <c r="C536" s="817"/>
      <c r="D536" s="316" t="s">
        <v>3510</v>
      </c>
      <c r="E536" s="34"/>
      <c r="F536" s="319" t="s">
        <v>3282</v>
      </c>
      <c r="G536" s="320" t="s">
        <v>1778</v>
      </c>
      <c r="H536" s="321"/>
      <c r="I536" s="321"/>
      <c r="J536" s="321"/>
      <c r="K536" s="321"/>
      <c r="L536" s="321"/>
      <c r="M536" s="321"/>
      <c r="N536" s="34"/>
      <c r="O536" s="321" t="s">
        <v>3530</v>
      </c>
      <c r="P536" s="321" t="s">
        <v>3531</v>
      </c>
      <c r="Q536" s="321" t="s">
        <v>3531</v>
      </c>
      <c r="R536" s="321" t="s">
        <v>3531</v>
      </c>
      <c r="S536" s="321" t="s">
        <v>3531</v>
      </c>
      <c r="T536" s="321" t="s">
        <v>3531</v>
      </c>
      <c r="U536" s="321" t="s">
        <v>3531</v>
      </c>
      <c r="V536" s="321" t="s">
        <v>3531</v>
      </c>
      <c r="W536" s="321" t="s">
        <v>3531</v>
      </c>
      <c r="X536" s="321" t="s">
        <v>3531</v>
      </c>
      <c r="Y536" s="321" t="s">
        <v>3531</v>
      </c>
      <c r="Z536" s="321" t="s">
        <v>3531</v>
      </c>
      <c r="AA536" s="321"/>
      <c r="AB536" s="321"/>
      <c r="AC536" s="321"/>
      <c r="AD536" s="321"/>
      <c r="AE536" s="321"/>
    </row>
    <row r="537" spans="1:31">
      <c r="A537" s="310"/>
      <c r="B537"/>
      <c r="C537"/>
      <c r="D537"/>
      <c r="E537"/>
      <c r="F537"/>
      <c r="G537"/>
      <c r="H537"/>
      <c r="I537"/>
      <c r="J537"/>
      <c r="K537"/>
      <c r="L537"/>
      <c r="M537"/>
      <c r="N537"/>
      <c r="O537"/>
      <c r="P537"/>
      <c r="Q537"/>
      <c r="R537"/>
      <c r="S537"/>
      <c r="T537"/>
      <c r="U537"/>
      <c r="V537"/>
      <c r="W537"/>
      <c r="X537"/>
      <c r="Y537"/>
      <c r="Z537"/>
      <c r="AA537"/>
      <c r="AB537">
        <f>255*10</f>
        <v>2550</v>
      </c>
      <c r="AC537"/>
      <c r="AD537"/>
      <c r="AE537"/>
    </row>
    <row r="538" spans="1:31">
      <c r="A538" s="310"/>
      <c r="B538"/>
      <c r="C538"/>
      <c r="D538"/>
      <c r="E538"/>
      <c r="F538"/>
      <c r="G538"/>
      <c r="H538"/>
      <c r="I538"/>
      <c r="J538"/>
      <c r="K538"/>
      <c r="L538"/>
      <c r="M538"/>
      <c r="N538"/>
      <c r="O538"/>
      <c r="P538"/>
      <c r="Q538"/>
      <c r="R538"/>
      <c r="S538"/>
      <c r="T538"/>
      <c r="U538"/>
      <c r="V538"/>
      <c r="W538"/>
      <c r="X538"/>
      <c r="Y538"/>
      <c r="Z538"/>
      <c r="AA538"/>
      <c r="AB538"/>
      <c r="AC538"/>
      <c r="AD538"/>
      <c r="AE538"/>
    </row>
  </sheetData>
  <mergeCells count="2">
    <mergeCell ref="B532:C532"/>
    <mergeCell ref="B536:C536"/>
  </mergeCells>
  <pageMargins left="0" right="0" top="0.5" bottom="0.5" header="0.3" footer="0.3"/>
  <pageSetup scale="59" orientation="portrait" r:id="rId1"/>
  <headerFooter>
    <oddFooter>&amp;C&amp;Z&amp;F&amp;R&amp;A</odd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C29774-9141-45B8-8A65-B96C1EABED2E}">
  <sheetPr>
    <tabColor rgb="FFFF0000"/>
    <pageSetUpPr fitToPage="1"/>
  </sheetPr>
  <dimension ref="A1:W465"/>
  <sheetViews>
    <sheetView workbookViewId="0"/>
  </sheetViews>
  <sheetFormatPr defaultRowHeight="15"/>
  <cols>
    <col min="1" max="1" width="49" customWidth="1"/>
    <col min="2" max="2" width="12.5703125" bestFit="1" customWidth="1"/>
    <col min="3" max="5" width="16.7109375" customWidth="1"/>
    <col min="13" max="13" width="14.28515625" bestFit="1" customWidth="1"/>
  </cols>
  <sheetData>
    <row r="1" spans="1:18">
      <c r="D1" t="s">
        <v>0</v>
      </c>
    </row>
    <row r="2" spans="1:18">
      <c r="D2" t="s">
        <v>4</v>
      </c>
      <c r="I2" s="79" t="s">
        <v>3543</v>
      </c>
      <c r="R2" s="676" t="s">
        <v>3546</v>
      </c>
    </row>
    <row r="3" spans="1:18">
      <c r="D3" t="s">
        <v>3540</v>
      </c>
    </row>
    <row r="4" spans="1:18">
      <c r="D4" t="s">
        <v>3</v>
      </c>
    </row>
    <row r="6" spans="1:18">
      <c r="A6" s="80" t="s">
        <v>3541</v>
      </c>
    </row>
    <row r="9" spans="1:18">
      <c r="A9" s="7" t="s">
        <v>3542</v>
      </c>
      <c r="B9" s="107" t="s">
        <v>325</v>
      </c>
    </row>
    <row r="11" spans="1:18">
      <c r="A11" s="22" t="s">
        <v>3589</v>
      </c>
      <c r="C11" s="40" t="s">
        <v>3590</v>
      </c>
    </row>
    <row r="12" spans="1:18">
      <c r="A12" t="s">
        <v>3544</v>
      </c>
      <c r="B12" s="3">
        <v>33497216.510000002</v>
      </c>
      <c r="C12" t="s">
        <v>3555</v>
      </c>
      <c r="G12" s="79" t="s">
        <v>3543</v>
      </c>
    </row>
    <row r="13" spans="1:18">
      <c r="A13" t="s">
        <v>3545</v>
      </c>
      <c r="B13" s="101">
        <v>48990300.810000002</v>
      </c>
      <c r="C13" t="s">
        <v>3608</v>
      </c>
      <c r="G13" s="676" t="s">
        <v>3546</v>
      </c>
      <c r="K13" s="26"/>
      <c r="L13" s="26"/>
    </row>
    <row r="14" spans="1:18">
      <c r="A14" t="s">
        <v>3547</v>
      </c>
      <c r="B14" s="3">
        <f>B13-B12</f>
        <v>15493084.300000001</v>
      </c>
      <c r="G14" s="655"/>
      <c r="K14" s="26"/>
      <c r="L14" s="26"/>
    </row>
    <row r="15" spans="1:18">
      <c r="B15" s="3"/>
      <c r="K15" s="26"/>
      <c r="L15" s="26"/>
    </row>
    <row r="16" spans="1:18">
      <c r="A16" t="s">
        <v>3591</v>
      </c>
      <c r="B16" s="3">
        <f>-'Unbilled revenue (Bal Sht)_CY22'!O9</f>
        <v>2180683.8900000006</v>
      </c>
      <c r="C16" t="s">
        <v>3592</v>
      </c>
      <c r="G16" s="676" t="s">
        <v>3548</v>
      </c>
      <c r="K16" s="26"/>
      <c r="L16" s="26"/>
    </row>
    <row r="17" spans="1:13">
      <c r="A17" t="s">
        <v>3549</v>
      </c>
      <c r="B17" s="101">
        <f>-'Unbilled revenue (Bal Sht)_CY22'!O89</f>
        <v>-493770.69000000018</v>
      </c>
      <c r="C17" t="s">
        <v>3593</v>
      </c>
      <c r="G17" s="676" t="s">
        <v>3550</v>
      </c>
      <c r="K17" s="26"/>
      <c r="L17" s="26"/>
    </row>
    <row r="18" spans="1:13">
      <c r="B18" s="3"/>
      <c r="K18" s="26"/>
      <c r="L18" s="26"/>
    </row>
    <row r="19" spans="1:13" ht="15.75" thickBot="1">
      <c r="A19" t="s">
        <v>3551</v>
      </c>
      <c r="B19" s="4">
        <f>SUM(B14:B17)</f>
        <v>17179997.5</v>
      </c>
      <c r="C19" t="s">
        <v>3594</v>
      </c>
      <c r="G19" s="678" t="s">
        <v>3552</v>
      </c>
      <c r="K19" s="26"/>
      <c r="L19" s="26"/>
    </row>
    <row r="20" spans="1:13" ht="15.75" thickTop="1">
      <c r="K20" s="26"/>
      <c r="L20" s="26"/>
    </row>
    <row r="21" spans="1:13">
      <c r="K21" s="26"/>
      <c r="L21" s="26"/>
    </row>
    <row r="22" spans="1:13">
      <c r="K22" s="26"/>
      <c r="L22" s="26"/>
    </row>
    <row r="23" spans="1:13">
      <c r="A23" s="7" t="s">
        <v>3553</v>
      </c>
      <c r="B23" s="107" t="s">
        <v>325</v>
      </c>
      <c r="K23" s="26"/>
      <c r="L23" s="26"/>
    </row>
    <row r="24" spans="1:13">
      <c r="K24" s="26"/>
      <c r="L24" s="26"/>
    </row>
    <row r="25" spans="1:13">
      <c r="A25" s="22" t="s">
        <v>3595</v>
      </c>
      <c r="B25" s="22"/>
      <c r="K25" s="26"/>
      <c r="L25" s="26"/>
    </row>
    <row r="26" spans="1:13">
      <c r="A26" s="24" t="s">
        <v>3554</v>
      </c>
      <c r="K26" s="26"/>
      <c r="L26" s="26"/>
    </row>
    <row r="27" spans="1:13">
      <c r="A27" t="s">
        <v>3609</v>
      </c>
      <c r="B27" s="3">
        <f>34161765+2047395</f>
        <v>36209160</v>
      </c>
      <c r="C27" t="s">
        <v>3555</v>
      </c>
      <c r="K27" s="26"/>
      <c r="L27" s="26"/>
    </row>
    <row r="28" spans="1:13">
      <c r="A28" t="s">
        <v>3610</v>
      </c>
      <c r="B28" s="101">
        <f>-48874997-3299415</f>
        <v>-52174412</v>
      </c>
      <c r="C28" t="s">
        <v>3556</v>
      </c>
      <c r="G28" s="655" t="s">
        <v>136</v>
      </c>
      <c r="K28" s="26"/>
      <c r="L28" s="26"/>
    </row>
    <row r="29" spans="1:13">
      <c r="A29" t="s">
        <v>3557</v>
      </c>
      <c r="B29" s="101">
        <f>SUM(B27:B28)</f>
        <v>-15965252</v>
      </c>
      <c r="C29" s="79" t="s">
        <v>3596</v>
      </c>
      <c r="G29" s="676" t="s">
        <v>1079</v>
      </c>
      <c r="K29" s="26"/>
      <c r="L29" s="26"/>
    </row>
    <row r="30" spans="1:13">
      <c r="K30" s="26"/>
      <c r="L30" s="26"/>
    </row>
    <row r="31" spans="1:13">
      <c r="A31" s="24" t="s">
        <v>3597</v>
      </c>
      <c r="K31" s="26"/>
      <c r="L31" s="26"/>
      <c r="M31" s="171">
        <f>28928639.18-33497216.51</f>
        <v>-4568577.3300000019</v>
      </c>
    </row>
    <row r="32" spans="1:13">
      <c r="A32" t="s">
        <v>3611</v>
      </c>
      <c r="B32" s="3">
        <v>15407483</v>
      </c>
      <c r="C32" t="s">
        <v>3555</v>
      </c>
      <c r="G32" s="655" t="s">
        <v>136</v>
      </c>
      <c r="K32" s="26"/>
      <c r="L32" s="26"/>
      <c r="M32">
        <f>48990300.81-28928639.18</f>
        <v>20061661.630000003</v>
      </c>
    </row>
    <row r="33" spans="1:14">
      <c r="A33" t="s">
        <v>3612</v>
      </c>
      <c r="B33" s="3">
        <v>-20317377</v>
      </c>
      <c r="C33" t="s">
        <v>3556</v>
      </c>
      <c r="G33" s="676" t="s">
        <v>3558</v>
      </c>
      <c r="K33" s="26"/>
      <c r="L33" s="26"/>
      <c r="M33" s="25">
        <f>+M31+M32</f>
        <v>15493084.300000001</v>
      </c>
    </row>
    <row r="34" spans="1:14">
      <c r="A34" t="s">
        <v>3559</v>
      </c>
      <c r="B34" s="624">
        <f>SUM(B32:B33)</f>
        <v>-4909894</v>
      </c>
      <c r="K34" s="26"/>
      <c r="L34" s="26"/>
    </row>
    <row r="35" spans="1:14">
      <c r="K35" s="26"/>
      <c r="L35" s="26"/>
    </row>
    <row r="36" spans="1:14">
      <c r="A36" s="24" t="s">
        <v>3560</v>
      </c>
      <c r="B36" s="3"/>
      <c r="K36" s="26"/>
      <c r="L36" s="26"/>
    </row>
    <row r="37" spans="1:14">
      <c r="A37" t="s">
        <v>3613</v>
      </c>
      <c r="B37" s="3">
        <f>B27-B32</f>
        <v>20801677</v>
      </c>
      <c r="G37" s="655" t="s">
        <v>136</v>
      </c>
      <c r="K37" s="26"/>
      <c r="L37" s="26"/>
    </row>
    <row r="38" spans="1:14">
      <c r="A38" t="s">
        <v>3614</v>
      </c>
      <c r="B38" s="3">
        <f>B28-B33</f>
        <v>-31857035</v>
      </c>
      <c r="C38" s="3"/>
      <c r="D38" s="24"/>
      <c r="G38" s="676" t="s">
        <v>3561</v>
      </c>
      <c r="K38" s="26"/>
      <c r="L38" s="26"/>
    </row>
    <row r="39" spans="1:14" ht="15.75" thickBot="1">
      <c r="A39" t="s">
        <v>3562</v>
      </c>
      <c r="B39" s="625">
        <f>SUM(B37:B38)</f>
        <v>-11055358</v>
      </c>
      <c r="C39" s="602" t="s">
        <v>3563</v>
      </c>
      <c r="K39" s="26"/>
      <c r="L39" s="26"/>
    </row>
    <row r="40" spans="1:14" ht="15.75" thickTop="1">
      <c r="K40" s="26"/>
      <c r="L40" s="26"/>
    </row>
    <row r="41" spans="1:14">
      <c r="A41" s="24" t="s">
        <v>3564</v>
      </c>
      <c r="K41" s="26"/>
      <c r="L41" s="26"/>
      <c r="N41" t="s">
        <v>3565</v>
      </c>
    </row>
    <row r="42" spans="1:14">
      <c r="A42" t="s">
        <v>3615</v>
      </c>
      <c r="B42" s="3">
        <f>-1947976-321617</f>
        <v>-2269593</v>
      </c>
      <c r="C42" t="s">
        <v>3555</v>
      </c>
      <c r="G42" s="655" t="s">
        <v>136</v>
      </c>
      <c r="K42" s="26"/>
      <c r="L42" s="26"/>
    </row>
    <row r="43" spans="1:14">
      <c r="A43" t="s">
        <v>3616</v>
      </c>
      <c r="B43" s="3">
        <f>3544936+549010</f>
        <v>4093946</v>
      </c>
      <c r="C43" t="s">
        <v>3566</v>
      </c>
      <c r="G43" s="676" t="s">
        <v>3567</v>
      </c>
      <c r="K43" s="26"/>
      <c r="L43" s="26"/>
    </row>
    <row r="44" spans="1:14">
      <c r="A44" t="s">
        <v>3568</v>
      </c>
      <c r="B44" s="624">
        <f>SUM(B42:B43)</f>
        <v>1824353</v>
      </c>
      <c r="C44" s="602" t="s">
        <v>3569</v>
      </c>
      <c r="K44" s="26"/>
      <c r="L44" s="26"/>
    </row>
    <row r="45" spans="1:14">
      <c r="B45" s="3"/>
      <c r="K45" s="26"/>
      <c r="L45" s="26"/>
    </row>
    <row r="46" spans="1:14">
      <c r="K46" s="26"/>
      <c r="L46" s="26"/>
    </row>
    <row r="47" spans="1:14">
      <c r="A47" s="22" t="s">
        <v>3598</v>
      </c>
      <c r="K47" s="26"/>
      <c r="L47" s="26"/>
    </row>
    <row r="48" spans="1:14">
      <c r="A48" t="s">
        <v>3617</v>
      </c>
      <c r="B48" s="3">
        <v>2939570.04</v>
      </c>
      <c r="C48" t="s">
        <v>3555</v>
      </c>
      <c r="G48" s="655" t="s">
        <v>136</v>
      </c>
      <c r="K48" s="26"/>
      <c r="L48" s="26"/>
    </row>
    <row r="49" spans="1:12">
      <c r="A49" t="s">
        <v>3618</v>
      </c>
      <c r="B49" s="3">
        <v>-4154315.23</v>
      </c>
      <c r="C49" t="s">
        <v>3599</v>
      </c>
      <c r="G49" s="676" t="s">
        <v>3570</v>
      </c>
      <c r="K49" s="26"/>
      <c r="L49" s="26"/>
    </row>
    <row r="50" spans="1:12" ht="15.75" thickBot="1">
      <c r="A50" t="s">
        <v>3571</v>
      </c>
      <c r="B50" s="625">
        <f>SUM(B48:B49)</f>
        <v>-1214745.19</v>
      </c>
      <c r="C50" s="602" t="s">
        <v>3600</v>
      </c>
      <c r="G50" s="676" t="s">
        <v>1294</v>
      </c>
      <c r="K50" s="26"/>
      <c r="L50" s="26"/>
    </row>
    <row r="51" spans="1:12" ht="15.75" thickTop="1">
      <c r="B51" s="3"/>
      <c r="K51" s="26"/>
      <c r="L51" s="26"/>
    </row>
    <row r="52" spans="1:12">
      <c r="A52" s="24" t="s">
        <v>612</v>
      </c>
      <c r="B52" s="3">
        <f>SUM(B19,B29,B50)</f>
        <v>0.31000000005587935</v>
      </c>
      <c r="K52" s="26"/>
      <c r="L52" s="26"/>
    </row>
    <row r="53" spans="1:12">
      <c r="B53" s="3"/>
      <c r="K53" s="26"/>
      <c r="L53" s="26"/>
    </row>
    <row r="54" spans="1:12">
      <c r="B54" s="3"/>
      <c r="K54" s="26"/>
      <c r="L54" s="26"/>
    </row>
    <row r="55" spans="1:12">
      <c r="B55" s="9"/>
      <c r="K55" s="26"/>
      <c r="L55" s="26"/>
    </row>
    <row r="56" spans="1:12">
      <c r="A56" s="22" t="s">
        <v>3572</v>
      </c>
      <c r="B56" s="9"/>
      <c r="K56" s="26"/>
      <c r="L56" s="26"/>
    </row>
    <row r="57" spans="1:12">
      <c r="A57" s="24" t="s">
        <v>3573</v>
      </c>
      <c r="K57" s="26"/>
      <c r="L57" s="26"/>
    </row>
    <row r="58" spans="1:12">
      <c r="A58" t="s">
        <v>3619</v>
      </c>
      <c r="B58" s="3">
        <f>-4222168-697094</f>
        <v>-4919262</v>
      </c>
      <c r="C58" t="s">
        <v>3555</v>
      </c>
      <c r="G58" s="655" t="s">
        <v>136</v>
      </c>
      <c r="K58" s="26"/>
      <c r="L58" s="26"/>
    </row>
    <row r="59" spans="1:12">
      <c r="A59" t="s">
        <v>3620</v>
      </c>
      <c r="B59" s="3">
        <f>10522779+1629681</f>
        <v>12152460</v>
      </c>
      <c r="C59" t="s">
        <v>3574</v>
      </c>
      <c r="G59" s="676" t="s">
        <v>3575</v>
      </c>
      <c r="K59" s="26"/>
      <c r="L59" s="26"/>
    </row>
    <row r="60" spans="1:12">
      <c r="A60" t="s">
        <v>152</v>
      </c>
      <c r="B60" s="624">
        <f>SUM(B58:B59)</f>
        <v>7233198</v>
      </c>
      <c r="C60" s="602" t="s">
        <v>3576</v>
      </c>
      <c r="K60" s="26"/>
      <c r="L60" s="26"/>
    </row>
    <row r="61" spans="1:12">
      <c r="B61" s="3"/>
      <c r="K61" s="26"/>
      <c r="L61" s="26"/>
    </row>
    <row r="62" spans="1:12">
      <c r="A62" s="24" t="s">
        <v>3577</v>
      </c>
      <c r="B62" s="3"/>
      <c r="K62" s="26"/>
      <c r="L62" s="26"/>
    </row>
    <row r="63" spans="1:12">
      <c r="A63" t="s">
        <v>3621</v>
      </c>
      <c r="B63" s="3">
        <f>-12354938-534870</f>
        <v>-12889808</v>
      </c>
      <c r="C63" t="s">
        <v>3555</v>
      </c>
      <c r="G63" s="655" t="s">
        <v>136</v>
      </c>
      <c r="K63" s="26"/>
      <c r="L63" s="26"/>
    </row>
    <row r="64" spans="1:12">
      <c r="A64" t="s">
        <v>3622</v>
      </c>
      <c r="B64" s="3">
        <f>14339980+586865</f>
        <v>14926845</v>
      </c>
      <c r="C64" t="s">
        <v>3578</v>
      </c>
      <c r="G64" s="676" t="s">
        <v>3579</v>
      </c>
      <c r="K64" s="26"/>
      <c r="L64" s="26"/>
    </row>
    <row r="65" spans="1:12">
      <c r="A65" t="s">
        <v>3580</v>
      </c>
      <c r="B65" s="624">
        <f>SUM(B62:B64)</f>
        <v>2037037</v>
      </c>
      <c r="C65" s="602" t="s">
        <v>3576</v>
      </c>
      <c r="K65" s="26"/>
      <c r="L65" s="26"/>
    </row>
    <row r="66" spans="1:12">
      <c r="K66" s="26"/>
      <c r="L66" s="26"/>
    </row>
    <row r="67" spans="1:12" ht="15.75" thickBot="1">
      <c r="A67" t="s">
        <v>3581</v>
      </c>
      <c r="B67" s="4">
        <f>B65+B60+B50+B44+B39</f>
        <v>-1175515.1899999995</v>
      </c>
      <c r="C67" t="s">
        <v>3582</v>
      </c>
      <c r="K67" s="26"/>
      <c r="L67" s="26"/>
    </row>
    <row r="68" spans="1:12" ht="15.75" thickTop="1">
      <c r="B68" s="3"/>
      <c r="K68" s="26"/>
      <c r="L68" s="26"/>
    </row>
    <row r="69" spans="1:12">
      <c r="B69" s="3"/>
      <c r="K69" s="26"/>
      <c r="L69" s="26"/>
    </row>
    <row r="70" spans="1:12">
      <c r="B70" s="3"/>
      <c r="K70" s="26"/>
      <c r="L70" s="26"/>
    </row>
    <row r="71" spans="1:12">
      <c r="A71" t="s">
        <v>3583</v>
      </c>
      <c r="K71" s="26"/>
      <c r="L71" s="26"/>
    </row>
    <row r="72" spans="1:12">
      <c r="A72" t="str">
        <f>A37</f>
        <v>1-December 2021 Unbilled Margin</v>
      </c>
      <c r="B72" s="3">
        <f>B37</f>
        <v>20801677</v>
      </c>
      <c r="C72" s="655" t="s">
        <v>136</v>
      </c>
      <c r="K72" s="26"/>
      <c r="L72" s="26"/>
    </row>
    <row r="73" spans="1:12">
      <c r="A73" t="str">
        <f>A42</f>
        <v>3-December 2021 Unbilled Energy Efficiency</v>
      </c>
      <c r="B73" s="3">
        <f>B42</f>
        <v>-2269593</v>
      </c>
      <c r="C73" s="655" t="s">
        <v>136</v>
      </c>
      <c r="K73" s="26"/>
      <c r="L73" s="26"/>
    </row>
    <row r="74" spans="1:12">
      <c r="A74" t="str">
        <f>A50</f>
        <v>Unbilled Transportation inc/(dec)</v>
      </c>
      <c r="B74" s="3">
        <f>B50</f>
        <v>-1214745.19</v>
      </c>
      <c r="C74" s="655" t="s">
        <v>136</v>
      </c>
      <c r="K74" s="26"/>
      <c r="L74" s="26"/>
    </row>
    <row r="75" spans="1:12">
      <c r="A75" t="str">
        <f>A58</f>
        <v>7-December 2021 Unbilled DAC</v>
      </c>
      <c r="B75" s="3">
        <f>B58</f>
        <v>-4919262</v>
      </c>
      <c r="C75" s="655" t="s">
        <v>136</v>
      </c>
      <c r="K75" s="26"/>
      <c r="L75" s="26"/>
    </row>
    <row r="76" spans="1:12">
      <c r="A76" t="str">
        <f>A63</f>
        <v>9-December 2021 Unbilled RDM</v>
      </c>
      <c r="B76" s="101">
        <f>B63</f>
        <v>-12889808</v>
      </c>
      <c r="C76" s="655" t="s">
        <v>136</v>
      </c>
      <c r="K76" s="26"/>
      <c r="L76" s="26"/>
    </row>
    <row r="77" spans="1:12">
      <c r="A77" t="s">
        <v>3584</v>
      </c>
      <c r="B77" s="3">
        <f>SUM(B72:B76)</f>
        <v>-491731.19000000134</v>
      </c>
      <c r="C77" s="655" t="s">
        <v>136</v>
      </c>
      <c r="K77" s="26"/>
      <c r="L77" s="26"/>
    </row>
    <row r="78" spans="1:12">
      <c r="A78" s="6" t="s">
        <v>3585</v>
      </c>
      <c r="B78" s="101">
        <f>-B67</f>
        <v>1175515.1899999995</v>
      </c>
      <c r="C78" s="655" t="s">
        <v>136</v>
      </c>
      <c r="K78" s="26"/>
      <c r="L78" s="26"/>
    </row>
    <row r="79" spans="1:12">
      <c r="A79" t="s">
        <v>3586</v>
      </c>
      <c r="B79" s="3">
        <f>SUM(B77:B78)</f>
        <v>683783.99999999814</v>
      </c>
      <c r="C79" s="655" t="s">
        <v>136</v>
      </c>
      <c r="K79" s="26"/>
      <c r="L79" s="26"/>
    </row>
    <row r="80" spans="1:12">
      <c r="A80" t="s">
        <v>3587</v>
      </c>
      <c r="B80" s="181">
        <f>149924+533859</f>
        <v>683783</v>
      </c>
      <c r="C80" t="s">
        <v>3601</v>
      </c>
      <c r="G80" s="676" t="s">
        <v>3588</v>
      </c>
      <c r="K80" s="26"/>
      <c r="L80" s="26"/>
    </row>
    <row r="81" spans="1:12">
      <c r="A81" t="s">
        <v>347</v>
      </c>
      <c r="B81" s="3">
        <f>B79-B80</f>
        <v>0.99999999813735485</v>
      </c>
      <c r="K81" s="26"/>
      <c r="L81" s="26"/>
    </row>
    <row r="82" spans="1:12">
      <c r="K82" s="26"/>
      <c r="L82" s="26"/>
    </row>
    <row r="83" spans="1:12">
      <c r="B83" s="3"/>
      <c r="C83" s="3"/>
      <c r="D83" s="3"/>
      <c r="E83" s="3"/>
      <c r="K83" s="26"/>
      <c r="L83" s="26"/>
    </row>
    <row r="84" spans="1:12">
      <c r="B84" s="3"/>
      <c r="C84" s="3"/>
      <c r="D84" s="3"/>
      <c r="E84" s="3"/>
      <c r="K84" s="26"/>
      <c r="L84" s="26"/>
    </row>
    <row r="85" spans="1:12">
      <c r="B85" s="3"/>
      <c r="C85" s="3"/>
      <c r="D85" s="3"/>
      <c r="E85" s="3"/>
      <c r="K85" s="26"/>
      <c r="L85" s="26"/>
    </row>
    <row r="86" spans="1:12">
      <c r="B86" s="3"/>
      <c r="C86" s="3"/>
      <c r="D86" s="3"/>
      <c r="E86" s="3"/>
      <c r="K86" s="26"/>
      <c r="L86" s="26"/>
    </row>
    <row r="87" spans="1:12">
      <c r="B87" s="3"/>
      <c r="C87" s="3"/>
      <c r="D87" s="3"/>
      <c r="E87" s="3"/>
      <c r="K87" s="26"/>
      <c r="L87" s="26"/>
    </row>
    <row r="88" spans="1:12">
      <c r="B88" s="3"/>
      <c r="C88" s="3"/>
      <c r="D88" s="3"/>
      <c r="E88" s="3"/>
      <c r="K88" s="26"/>
      <c r="L88" s="26"/>
    </row>
    <row r="89" spans="1:12">
      <c r="B89" s="3"/>
      <c r="C89" s="3"/>
      <c r="D89" s="3"/>
      <c r="E89" s="3"/>
      <c r="K89" s="26"/>
      <c r="L89" s="26"/>
    </row>
    <row r="90" spans="1:12">
      <c r="B90" s="3"/>
      <c r="C90" s="3"/>
      <c r="D90" s="3"/>
      <c r="E90" s="3"/>
      <c r="K90" s="26"/>
      <c r="L90" s="26"/>
    </row>
    <row r="91" spans="1:12">
      <c r="B91" s="3"/>
      <c r="C91" s="3"/>
      <c r="D91" s="3"/>
      <c r="E91" s="3"/>
      <c r="K91" s="26"/>
      <c r="L91" s="26"/>
    </row>
    <row r="92" spans="1:12">
      <c r="B92" s="3"/>
      <c r="C92" s="3"/>
      <c r="D92" s="3"/>
      <c r="E92" s="3"/>
      <c r="K92" s="26"/>
      <c r="L92" s="26"/>
    </row>
    <row r="93" spans="1:12">
      <c r="B93" s="3"/>
      <c r="C93" s="3"/>
      <c r="D93" s="3"/>
      <c r="E93" s="3"/>
      <c r="K93" s="26"/>
      <c r="L93" s="26"/>
    </row>
    <row r="94" spans="1:12">
      <c r="B94" s="3"/>
      <c r="C94" s="3"/>
      <c r="D94" s="3"/>
      <c r="E94" s="3"/>
      <c r="K94" s="26"/>
      <c r="L94" s="26"/>
    </row>
    <row r="95" spans="1:12">
      <c r="B95" s="3"/>
      <c r="C95" s="3"/>
      <c r="D95" s="3"/>
      <c r="E95" s="3"/>
      <c r="K95" s="26"/>
      <c r="L95" s="26"/>
    </row>
    <row r="96" spans="1:12">
      <c r="B96" s="3"/>
      <c r="C96" s="3"/>
      <c r="D96" s="3"/>
      <c r="E96" s="3"/>
      <c r="K96" s="26"/>
      <c r="L96" s="26"/>
    </row>
    <row r="97" spans="2:12">
      <c r="B97" s="3"/>
      <c r="C97" s="3"/>
      <c r="D97" s="3"/>
      <c r="K97" s="26"/>
      <c r="L97" s="26"/>
    </row>
    <row r="98" spans="2:12">
      <c r="B98" s="3"/>
      <c r="C98" s="3"/>
      <c r="D98" s="3"/>
      <c r="K98" s="26"/>
      <c r="L98" s="26"/>
    </row>
    <row r="99" spans="2:12">
      <c r="B99" s="3"/>
      <c r="C99" s="3"/>
      <c r="D99" s="3"/>
      <c r="K99" s="26"/>
      <c r="L99" s="26"/>
    </row>
    <row r="100" spans="2:12">
      <c r="B100" s="3"/>
      <c r="C100" s="3"/>
      <c r="D100" s="3"/>
      <c r="E100" s="3"/>
      <c r="K100" s="26"/>
      <c r="L100" s="26"/>
    </row>
    <row r="101" spans="2:12">
      <c r="B101" s="3"/>
      <c r="C101" s="3"/>
      <c r="D101" s="3"/>
      <c r="E101" s="3"/>
      <c r="K101" s="26"/>
      <c r="L101" s="26"/>
    </row>
    <row r="102" spans="2:12">
      <c r="B102" s="3"/>
      <c r="C102" s="3"/>
      <c r="D102" s="3"/>
      <c r="E102" s="3"/>
      <c r="K102" s="26"/>
      <c r="L102" s="26"/>
    </row>
    <row r="103" spans="2:12">
      <c r="B103" s="3"/>
      <c r="C103" s="3"/>
      <c r="D103" s="3"/>
      <c r="E103" s="3"/>
      <c r="K103" s="26"/>
      <c r="L103" s="26"/>
    </row>
    <row r="104" spans="2:12">
      <c r="B104" s="3"/>
      <c r="C104" s="3"/>
      <c r="D104" s="3"/>
      <c r="E104" s="3"/>
      <c r="K104" s="26"/>
      <c r="L104" s="26"/>
    </row>
    <row r="105" spans="2:12">
      <c r="K105" s="26"/>
      <c r="L105" s="26"/>
    </row>
    <row r="106" spans="2:12">
      <c r="K106" s="26"/>
      <c r="L106" s="26"/>
    </row>
    <row r="107" spans="2:12">
      <c r="K107" s="26"/>
      <c r="L107" s="26"/>
    </row>
    <row r="108" spans="2:12">
      <c r="K108" s="26"/>
      <c r="L108" s="26"/>
    </row>
    <row r="109" spans="2:12">
      <c r="K109" s="26"/>
      <c r="L109" s="26"/>
    </row>
    <row r="110" spans="2:12">
      <c r="K110" s="26"/>
      <c r="L110" s="26"/>
    </row>
    <row r="111" spans="2:12">
      <c r="K111" s="26"/>
      <c r="L111" s="26"/>
    </row>
    <row r="112" spans="2:12">
      <c r="K112" s="26"/>
      <c r="L112" s="26"/>
    </row>
    <row r="113" spans="11:12">
      <c r="K113" s="26"/>
      <c r="L113" s="26"/>
    </row>
    <row r="114" spans="11:12">
      <c r="K114" s="26"/>
      <c r="L114" s="26"/>
    </row>
    <row r="115" spans="11:12">
      <c r="K115" s="26"/>
      <c r="L115" s="26"/>
    </row>
    <row r="116" spans="11:12">
      <c r="K116" s="26"/>
      <c r="L116" s="26"/>
    </row>
    <row r="117" spans="11:12">
      <c r="K117" s="26"/>
      <c r="L117" s="26"/>
    </row>
    <row r="118" spans="11:12">
      <c r="K118" s="26"/>
      <c r="L118" s="26"/>
    </row>
    <row r="119" spans="11:12">
      <c r="K119" s="26"/>
      <c r="L119" s="26"/>
    </row>
    <row r="120" spans="11:12">
      <c r="K120" s="26"/>
      <c r="L120" s="26"/>
    </row>
    <row r="121" spans="11:12">
      <c r="K121" s="26"/>
      <c r="L121" s="26"/>
    </row>
    <row r="122" spans="11:12">
      <c r="K122" s="26"/>
      <c r="L122" s="26"/>
    </row>
    <row r="123" spans="11:12">
      <c r="K123" s="26"/>
      <c r="L123" s="26"/>
    </row>
    <row r="124" spans="11:12">
      <c r="K124" s="26"/>
      <c r="L124" s="26"/>
    </row>
    <row r="125" spans="11:12">
      <c r="K125" s="26"/>
      <c r="L125" s="26"/>
    </row>
    <row r="126" spans="11:12">
      <c r="K126" s="26"/>
      <c r="L126" s="26"/>
    </row>
    <row r="127" spans="11:12">
      <c r="K127" s="26"/>
      <c r="L127" s="26"/>
    </row>
    <row r="128" spans="11:12">
      <c r="K128" s="26"/>
      <c r="L128" s="26"/>
    </row>
    <row r="129" spans="11:12">
      <c r="K129" s="26"/>
      <c r="L129" s="26"/>
    </row>
    <row r="130" spans="11:12">
      <c r="K130" s="26"/>
      <c r="L130" s="26"/>
    </row>
    <row r="131" spans="11:12">
      <c r="K131" s="26"/>
      <c r="L131" s="26"/>
    </row>
    <row r="132" spans="11:12">
      <c r="K132" s="26"/>
      <c r="L132" s="26"/>
    </row>
    <row r="133" spans="11:12">
      <c r="K133" s="26"/>
      <c r="L133" s="26"/>
    </row>
    <row r="134" spans="11:12">
      <c r="K134" s="26"/>
      <c r="L134" s="26"/>
    </row>
    <row r="135" spans="11:12">
      <c r="K135" s="26"/>
      <c r="L135" s="26"/>
    </row>
    <row r="136" spans="11:12">
      <c r="K136" s="26"/>
      <c r="L136" s="26"/>
    </row>
    <row r="137" spans="11:12">
      <c r="K137" s="26"/>
      <c r="L137" s="26"/>
    </row>
    <row r="138" spans="11:12">
      <c r="K138" s="26"/>
      <c r="L138" s="26"/>
    </row>
    <row r="139" spans="11:12">
      <c r="K139" s="26"/>
      <c r="L139" s="26"/>
    </row>
    <row r="140" spans="11:12">
      <c r="K140" s="26"/>
      <c r="L140" s="26"/>
    </row>
    <row r="141" spans="11:12">
      <c r="K141" s="26"/>
      <c r="L141" s="26"/>
    </row>
    <row r="142" spans="11:12">
      <c r="K142" s="26"/>
      <c r="L142" s="26"/>
    </row>
    <row r="143" spans="11:12">
      <c r="K143" s="26"/>
      <c r="L143" s="26"/>
    </row>
    <row r="144" spans="11:12">
      <c r="K144" s="26"/>
      <c r="L144" s="26"/>
    </row>
    <row r="145" spans="11:12">
      <c r="K145" s="26"/>
      <c r="L145" s="26"/>
    </row>
    <row r="146" spans="11:12">
      <c r="K146" s="26"/>
      <c r="L146" s="26"/>
    </row>
    <row r="147" spans="11:12">
      <c r="K147" s="26"/>
      <c r="L147" s="26"/>
    </row>
    <row r="148" spans="11:12">
      <c r="K148" s="26"/>
      <c r="L148" s="26"/>
    </row>
    <row r="149" spans="11:12">
      <c r="K149" s="26"/>
      <c r="L149" s="26"/>
    </row>
    <row r="150" spans="11:12">
      <c r="K150" s="26"/>
      <c r="L150" s="26"/>
    </row>
    <row r="151" spans="11:12">
      <c r="K151" s="26"/>
      <c r="L151" s="26"/>
    </row>
    <row r="152" spans="11:12">
      <c r="K152" s="26"/>
      <c r="L152" s="26"/>
    </row>
    <row r="153" spans="11:12">
      <c r="K153" s="26"/>
      <c r="L153" s="26"/>
    </row>
    <row r="154" spans="11:12">
      <c r="K154" s="26"/>
      <c r="L154" s="26"/>
    </row>
    <row r="155" spans="11:12">
      <c r="K155" s="26"/>
      <c r="L155" s="26"/>
    </row>
    <row r="156" spans="11:12">
      <c r="K156" s="26"/>
      <c r="L156" s="26"/>
    </row>
    <row r="157" spans="11:12">
      <c r="K157" s="26"/>
      <c r="L157" s="26"/>
    </row>
    <row r="158" spans="11:12">
      <c r="K158" s="26"/>
      <c r="L158" s="26"/>
    </row>
    <row r="159" spans="11:12">
      <c r="K159" s="26"/>
      <c r="L159" s="26"/>
    </row>
    <row r="160" spans="11:12">
      <c r="K160" s="26"/>
      <c r="L160" s="26"/>
    </row>
    <row r="161" spans="11:12">
      <c r="K161" s="26"/>
      <c r="L161" s="26"/>
    </row>
    <row r="162" spans="11:12">
      <c r="K162" s="26"/>
      <c r="L162" s="26"/>
    </row>
    <row r="163" spans="11:12">
      <c r="K163" s="26"/>
      <c r="L163" s="26"/>
    </row>
    <row r="164" spans="11:12">
      <c r="K164" s="26"/>
      <c r="L164" s="26"/>
    </row>
    <row r="165" spans="11:12">
      <c r="K165" s="26"/>
      <c r="L165" s="26"/>
    </row>
    <row r="166" spans="11:12">
      <c r="K166" s="26"/>
      <c r="L166" s="26"/>
    </row>
    <row r="167" spans="11:12">
      <c r="K167" s="26"/>
      <c r="L167" s="26"/>
    </row>
    <row r="168" spans="11:12">
      <c r="K168" s="26"/>
      <c r="L168" s="26"/>
    </row>
    <row r="169" spans="11:12">
      <c r="K169" s="26"/>
      <c r="L169" s="26"/>
    </row>
    <row r="170" spans="11:12">
      <c r="K170" s="26"/>
      <c r="L170" s="26"/>
    </row>
    <row r="171" spans="11:12">
      <c r="K171" s="26"/>
      <c r="L171" s="26"/>
    </row>
    <row r="172" spans="11:12">
      <c r="K172" s="26"/>
      <c r="L172" s="26"/>
    </row>
    <row r="173" spans="11:12">
      <c r="K173" s="26"/>
      <c r="L173" s="26"/>
    </row>
    <row r="174" spans="11:12">
      <c r="K174" s="26"/>
      <c r="L174" s="26"/>
    </row>
    <row r="175" spans="11:12">
      <c r="K175" s="26"/>
      <c r="L175" s="26"/>
    </row>
    <row r="176" spans="11:12">
      <c r="K176" s="26"/>
      <c r="L176" s="26"/>
    </row>
    <row r="177" spans="11:12">
      <c r="K177" s="26"/>
      <c r="L177" s="26"/>
    </row>
    <row r="178" spans="11:12">
      <c r="K178" s="26"/>
      <c r="L178" s="26"/>
    </row>
    <row r="179" spans="11:12">
      <c r="K179" s="26"/>
      <c r="L179" s="26"/>
    </row>
    <row r="180" spans="11:12">
      <c r="K180" s="26"/>
      <c r="L180" s="26"/>
    </row>
    <row r="181" spans="11:12">
      <c r="K181" s="26"/>
      <c r="L181" s="26"/>
    </row>
    <row r="182" spans="11:12">
      <c r="K182" s="26"/>
      <c r="L182" s="26"/>
    </row>
    <row r="183" spans="11:12">
      <c r="K183" s="26"/>
      <c r="L183" s="26"/>
    </row>
    <row r="184" spans="11:12">
      <c r="K184" s="26"/>
      <c r="L184" s="26"/>
    </row>
    <row r="185" spans="11:12">
      <c r="K185" s="26"/>
      <c r="L185" s="26"/>
    </row>
    <row r="186" spans="11:12">
      <c r="K186" s="26"/>
      <c r="L186" s="26"/>
    </row>
    <row r="187" spans="11:12">
      <c r="K187" s="26"/>
      <c r="L187" s="26"/>
    </row>
    <row r="188" spans="11:12">
      <c r="K188" s="26"/>
      <c r="L188" s="26"/>
    </row>
    <row r="189" spans="11:12">
      <c r="K189" s="26"/>
      <c r="L189" s="26"/>
    </row>
    <row r="190" spans="11:12">
      <c r="K190" s="26"/>
      <c r="L190" s="26"/>
    </row>
    <row r="191" spans="11:12">
      <c r="K191" s="26"/>
      <c r="L191" s="26"/>
    </row>
    <row r="192" spans="11:12">
      <c r="K192" s="26"/>
      <c r="L192" s="26"/>
    </row>
    <row r="193" spans="11:12">
      <c r="K193" s="26"/>
      <c r="L193" s="26"/>
    </row>
    <row r="194" spans="11:12">
      <c r="K194" s="26"/>
      <c r="L194" s="26"/>
    </row>
    <row r="195" spans="11:12">
      <c r="K195" s="26"/>
      <c r="L195" s="26"/>
    </row>
    <row r="196" spans="11:12">
      <c r="K196" s="26"/>
      <c r="L196" s="26"/>
    </row>
    <row r="197" spans="11:12">
      <c r="K197" s="26"/>
      <c r="L197" s="26"/>
    </row>
    <row r="198" spans="11:12">
      <c r="K198" s="26"/>
      <c r="L198" s="26"/>
    </row>
    <row r="199" spans="11:12">
      <c r="K199" s="26"/>
      <c r="L199" s="26"/>
    </row>
    <row r="200" spans="11:12">
      <c r="K200" s="26"/>
      <c r="L200" s="26"/>
    </row>
    <row r="201" spans="11:12">
      <c r="K201" s="26"/>
      <c r="L201" s="26"/>
    </row>
    <row r="202" spans="11:12">
      <c r="K202" s="26"/>
      <c r="L202" s="26"/>
    </row>
    <row r="203" spans="11:12">
      <c r="K203" s="26"/>
      <c r="L203" s="26"/>
    </row>
    <row r="204" spans="11:12">
      <c r="K204" s="26"/>
      <c r="L204" s="26"/>
    </row>
    <row r="465" spans="23:23">
      <c r="W465" t="s">
        <v>3565</v>
      </c>
    </row>
  </sheetData>
  <pageMargins left="0.5" right="0.5" top="0.5" bottom="0.5" header="0.3" footer="0.3"/>
  <pageSetup scale="32" fitToHeight="0" orientation="portrait" r:id="rId1"/>
  <rowBreaks count="2" manualBreakCount="2">
    <brk id="54" max="9" man="1"/>
    <brk id="82" max="9" man="1"/>
  </rowBreaks>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AECBF5-CE4E-40F3-82AE-022C18789A9F}">
  <sheetPr>
    <tabColor rgb="FFFF0000"/>
  </sheetPr>
  <dimension ref="A1:S95"/>
  <sheetViews>
    <sheetView workbookViewId="0"/>
  </sheetViews>
  <sheetFormatPr defaultColWidth="9.140625" defaultRowHeight="19.5" customHeight="1"/>
  <cols>
    <col min="1" max="1" width="6" style="641" customWidth="1"/>
    <col min="2" max="2" width="18.28515625" style="641" customWidth="1"/>
    <col min="3" max="3" width="18.85546875" style="641" customWidth="1"/>
    <col min="4" max="4" width="12.7109375" style="641" customWidth="1"/>
    <col min="5" max="5" width="16.85546875" style="641" customWidth="1"/>
    <col min="6" max="6" width="14.85546875" style="641" customWidth="1"/>
    <col min="7" max="7" width="22.85546875" style="641" customWidth="1"/>
    <col min="8" max="8" width="20.140625" style="641" customWidth="1"/>
    <col min="9" max="9" width="21.85546875" style="641" bestFit="1" customWidth="1"/>
    <col min="10" max="10" width="22" style="641" customWidth="1"/>
    <col min="11" max="11" width="15.42578125" style="641" bestFit="1" customWidth="1"/>
    <col min="12" max="12" width="22.28515625" style="641" customWidth="1"/>
    <col min="13" max="13" width="25.28515625" style="641" customWidth="1"/>
    <col min="14" max="14" width="14.5703125" style="641" bestFit="1" customWidth="1"/>
    <col min="15" max="15" width="13.5703125" style="641" bestFit="1" customWidth="1"/>
    <col min="16" max="16" width="11" style="641" bestFit="1" customWidth="1"/>
    <col min="17" max="18" width="9.140625" style="641"/>
    <col min="19" max="19" width="14.28515625" style="641" bestFit="1" customWidth="1"/>
    <col min="20" max="16384" width="9.140625" style="641"/>
  </cols>
  <sheetData>
    <row r="1" spans="1:16" ht="13.7" customHeight="1">
      <c r="A1" s="450"/>
      <c r="B1" s="450"/>
      <c r="C1" s="450"/>
      <c r="D1" s="450"/>
      <c r="E1" s="450"/>
      <c r="F1" s="450"/>
      <c r="G1" s="450"/>
      <c r="H1" s="450"/>
      <c r="I1" s="450"/>
      <c r="J1" s="450"/>
      <c r="K1" s="450"/>
      <c r="L1" s="450"/>
      <c r="M1" s="450"/>
      <c r="N1" s="450"/>
      <c r="O1" s="450"/>
      <c r="P1" s="450"/>
    </row>
    <row r="2" spans="1:16" ht="51.75" customHeight="1">
      <c r="A2" s="450"/>
      <c r="B2" s="818" t="s">
        <v>3623</v>
      </c>
      <c r="C2" s="819"/>
      <c r="D2" s="827" t="s">
        <v>3624</v>
      </c>
      <c r="E2" s="828"/>
      <c r="F2" s="829"/>
      <c r="G2" s="450"/>
      <c r="H2" s="450"/>
      <c r="I2" s="450"/>
      <c r="J2" s="450"/>
      <c r="K2" s="450"/>
      <c r="L2" s="450"/>
      <c r="M2" s="450"/>
      <c r="N2" s="450"/>
      <c r="O2" s="450"/>
    </row>
    <row r="3" spans="1:16" ht="19.5" customHeight="1">
      <c r="A3" s="450"/>
      <c r="B3" s="818" t="s">
        <v>3625</v>
      </c>
      <c r="C3" s="819"/>
      <c r="D3" s="826" t="s">
        <v>3626</v>
      </c>
      <c r="E3" s="826"/>
      <c r="F3" s="826"/>
      <c r="G3" s="450"/>
      <c r="H3" s="450"/>
      <c r="I3" s="450"/>
      <c r="J3" s="450"/>
      <c r="K3" s="450"/>
      <c r="L3" s="450"/>
      <c r="M3" s="450"/>
      <c r="N3" s="450"/>
      <c r="O3" s="450"/>
    </row>
    <row r="4" spans="1:16" ht="19.5" customHeight="1">
      <c r="A4" s="450"/>
      <c r="B4" s="818" t="s">
        <v>3627</v>
      </c>
      <c r="C4" s="819"/>
      <c r="D4" s="826" t="s">
        <v>3628</v>
      </c>
      <c r="E4" s="826"/>
      <c r="F4" s="826"/>
      <c r="G4" s="450"/>
      <c r="H4" s="450"/>
      <c r="I4" s="450"/>
      <c r="J4" s="450"/>
      <c r="K4" s="450"/>
      <c r="L4" s="450"/>
      <c r="M4" s="450"/>
      <c r="N4" s="450"/>
      <c r="O4" s="450"/>
    </row>
    <row r="5" spans="1:16" ht="19.5" customHeight="1">
      <c r="A5" s="450"/>
      <c r="B5" s="818" t="s">
        <v>3629</v>
      </c>
      <c r="C5" s="819"/>
      <c r="D5" s="826" t="s">
        <v>3628</v>
      </c>
      <c r="E5" s="826"/>
      <c r="F5" s="826"/>
      <c r="G5" s="450"/>
      <c r="H5" s="450"/>
      <c r="I5" s="450"/>
      <c r="J5" s="450"/>
      <c r="K5" s="450"/>
      <c r="L5" s="450"/>
      <c r="M5" s="450"/>
      <c r="N5" s="450"/>
      <c r="O5" s="450"/>
    </row>
    <row r="6" spans="1:16" ht="19.5" customHeight="1" thickBot="1">
      <c r="A6" s="450"/>
      <c r="B6" s="818" t="s">
        <v>978</v>
      </c>
      <c r="C6" s="819"/>
      <c r="D6" s="826" t="s">
        <v>3628</v>
      </c>
      <c r="E6" s="826"/>
      <c r="F6" s="826"/>
      <c r="G6" s="450"/>
      <c r="H6" s="450"/>
      <c r="I6" s="450"/>
      <c r="J6" s="450"/>
      <c r="K6" s="450"/>
      <c r="L6" s="450"/>
      <c r="M6" s="450"/>
      <c r="N6" s="450"/>
      <c r="O6" s="450"/>
    </row>
    <row r="7" spans="1:16" ht="19.5" customHeight="1">
      <c r="A7" s="450"/>
      <c r="B7" s="818" t="s">
        <v>3630</v>
      </c>
      <c r="C7" s="819"/>
      <c r="D7" s="826" t="s">
        <v>3628</v>
      </c>
      <c r="E7" s="826"/>
      <c r="F7" s="826"/>
      <c r="G7" s="450"/>
      <c r="H7" s="451"/>
      <c r="I7" s="452"/>
      <c r="J7" s="453"/>
      <c r="K7" s="450"/>
      <c r="L7" s="823" t="s">
        <v>3631</v>
      </c>
      <c r="M7" s="824"/>
      <c r="N7" s="824"/>
      <c r="O7" s="825"/>
    </row>
    <row r="8" spans="1:16" ht="19.5" customHeight="1">
      <c r="A8" s="450"/>
      <c r="B8" s="818" t="s">
        <v>3632</v>
      </c>
      <c r="C8" s="819"/>
      <c r="D8" s="826" t="s">
        <v>3628</v>
      </c>
      <c r="E8" s="826"/>
      <c r="F8" s="826"/>
      <c r="G8" s="450"/>
      <c r="H8" s="820" t="s">
        <v>3633</v>
      </c>
      <c r="I8" s="821"/>
      <c r="J8" s="822"/>
      <c r="K8" s="450"/>
      <c r="L8" s="454"/>
      <c r="M8" s="455" t="s">
        <v>3634</v>
      </c>
      <c r="N8" s="456" t="s">
        <v>1019</v>
      </c>
      <c r="O8" s="457" t="s">
        <v>3635</v>
      </c>
    </row>
    <row r="9" spans="1:16" ht="19.5" customHeight="1">
      <c r="A9" s="450"/>
      <c r="B9" s="818" t="s">
        <v>3636</v>
      </c>
      <c r="C9" s="819"/>
      <c r="D9" s="826" t="s">
        <v>3628</v>
      </c>
      <c r="E9" s="826"/>
      <c r="F9" s="826"/>
      <c r="G9" s="450"/>
      <c r="H9" s="458" t="s">
        <v>3637</v>
      </c>
      <c r="I9" s="456" t="s">
        <v>1019</v>
      </c>
      <c r="J9" s="457" t="s">
        <v>3635</v>
      </c>
      <c r="K9" s="450"/>
      <c r="L9" s="454"/>
      <c r="M9" s="459">
        <v>1</v>
      </c>
      <c r="N9" s="460" t="s">
        <v>3603</v>
      </c>
      <c r="O9" s="461">
        <f>SUMIF(M:M,N9,K:K)</f>
        <v>-2180683.8900000006</v>
      </c>
      <c r="P9" s="676" t="s">
        <v>3548</v>
      </c>
    </row>
    <row r="10" spans="1:16" ht="19.5" customHeight="1">
      <c r="A10" s="450"/>
      <c r="B10" s="818" t="s">
        <v>3638</v>
      </c>
      <c r="C10" s="819"/>
      <c r="D10" s="826" t="s">
        <v>3639</v>
      </c>
      <c r="E10" s="826"/>
      <c r="F10" s="826"/>
      <c r="G10" s="450"/>
      <c r="H10" s="462" t="s">
        <v>3640</v>
      </c>
      <c r="I10" s="463" t="s">
        <v>3639</v>
      </c>
      <c r="J10" s="461">
        <f>SUMIF(F:F,I10,K:K)</f>
        <v>15493084.300000012</v>
      </c>
      <c r="K10" s="450"/>
      <c r="L10" s="454"/>
      <c r="M10" s="459">
        <v>2</v>
      </c>
      <c r="N10" s="460" t="s">
        <v>1235</v>
      </c>
      <c r="O10" s="461">
        <f>SUMIF(M:M,N10,K:K)</f>
        <v>1214745.19</v>
      </c>
      <c r="P10" s="79"/>
    </row>
    <row r="11" spans="1:16" ht="19.5" customHeight="1">
      <c r="A11" s="450"/>
      <c r="B11" s="818" t="s">
        <v>1022</v>
      </c>
      <c r="C11" s="819"/>
      <c r="D11" s="826" t="s">
        <v>3628</v>
      </c>
      <c r="E11" s="826"/>
      <c r="F11" s="826"/>
      <c r="G11" s="450"/>
      <c r="H11" s="462" t="s">
        <v>3641</v>
      </c>
      <c r="I11" s="463" t="s">
        <v>3642</v>
      </c>
      <c r="J11" s="461">
        <f>SUMIF(F:F,I11,K:K)</f>
        <v>0</v>
      </c>
      <c r="K11" s="450"/>
      <c r="L11" s="454"/>
      <c r="M11" s="459">
        <v>3</v>
      </c>
      <c r="N11" s="460" t="s">
        <v>1049</v>
      </c>
      <c r="O11" s="464">
        <f>SUMIF(M:M,N11,K:K)</f>
        <v>16459023</v>
      </c>
    </row>
    <row r="12" spans="1:16" ht="19.5" customHeight="1">
      <c r="A12" s="450"/>
      <c r="B12" s="818" t="s">
        <v>3643</v>
      </c>
      <c r="C12" s="819"/>
      <c r="D12" s="826" t="s">
        <v>3628</v>
      </c>
      <c r="E12" s="826"/>
      <c r="F12" s="826"/>
      <c r="G12" s="450"/>
      <c r="H12" s="462" t="s">
        <v>1704</v>
      </c>
      <c r="I12" s="463" t="s">
        <v>3644</v>
      </c>
      <c r="J12" s="461">
        <f>SUMIF(F:F,I12,K:K)</f>
        <v>0</v>
      </c>
      <c r="K12" s="450"/>
      <c r="L12" s="454"/>
      <c r="M12" s="459"/>
      <c r="N12" s="463"/>
      <c r="O12" s="464"/>
    </row>
    <row r="13" spans="1:16" ht="19.5" customHeight="1" thickBot="1">
      <c r="A13" s="450"/>
      <c r="B13" s="818" t="s">
        <v>3645</v>
      </c>
      <c r="C13" s="819"/>
      <c r="D13" s="826" t="s">
        <v>3628</v>
      </c>
      <c r="E13" s="826"/>
      <c r="F13" s="826"/>
      <c r="G13" s="450"/>
      <c r="H13" s="462" t="s">
        <v>1704</v>
      </c>
      <c r="I13" s="463" t="s">
        <v>3646</v>
      </c>
      <c r="J13" s="464">
        <f>SUMIF(F:F,I13,K:K)</f>
        <v>0</v>
      </c>
      <c r="K13" s="450"/>
      <c r="L13" s="465"/>
      <c r="M13" s="466"/>
      <c r="N13" s="467" t="s">
        <v>188</v>
      </c>
      <c r="O13" s="468">
        <f>SUBTOTAL(9,O9:O12)</f>
        <v>15493084.299999999</v>
      </c>
    </row>
    <row r="14" spans="1:16" ht="19.5" customHeight="1">
      <c r="A14" s="450"/>
      <c r="B14" s="818" t="s">
        <v>3647</v>
      </c>
      <c r="C14" s="819"/>
      <c r="D14" s="826" t="s">
        <v>3628</v>
      </c>
      <c r="E14" s="826"/>
      <c r="F14" s="826"/>
      <c r="G14" s="450"/>
      <c r="H14" s="462"/>
      <c r="I14" s="469"/>
      <c r="J14" s="470"/>
      <c r="K14" s="450"/>
      <c r="L14" s="450"/>
      <c r="M14" s="450"/>
      <c r="N14" s="450"/>
      <c r="O14" s="450"/>
    </row>
    <row r="15" spans="1:16" ht="19.5" customHeight="1" thickBot="1">
      <c r="A15" s="450"/>
      <c r="B15" s="818" t="s">
        <v>3648</v>
      </c>
      <c r="C15" s="819"/>
      <c r="D15" s="826" t="s">
        <v>3628</v>
      </c>
      <c r="E15" s="826"/>
      <c r="F15" s="826"/>
      <c r="G15" s="450"/>
      <c r="H15" s="471"/>
      <c r="I15" s="472" t="s">
        <v>188</v>
      </c>
      <c r="J15" s="468">
        <f>SUM(J10:J13)</f>
        <v>15493084.300000012</v>
      </c>
      <c r="K15" s="450"/>
      <c r="L15" s="450"/>
      <c r="M15" s="450"/>
      <c r="N15" s="450"/>
      <c r="O15" s="450"/>
    </row>
    <row r="16" spans="1:16" ht="19.5" customHeight="1">
      <c r="A16" s="450"/>
      <c r="B16" s="818" t="s">
        <v>3649</v>
      </c>
      <c r="C16" s="819"/>
      <c r="D16" s="826" t="s">
        <v>3628</v>
      </c>
      <c r="E16" s="826"/>
      <c r="F16" s="826"/>
      <c r="G16" s="450"/>
      <c r="H16" s="450"/>
      <c r="I16" s="450"/>
      <c r="J16" s="450"/>
      <c r="K16" s="450"/>
      <c r="L16" s="450"/>
      <c r="M16" s="450"/>
      <c r="N16" s="450"/>
      <c r="O16" s="450"/>
    </row>
    <row r="17" spans="1:16" ht="19.5" customHeight="1">
      <c r="A17" s="450"/>
      <c r="B17" s="818" t="s">
        <v>3650</v>
      </c>
      <c r="C17" s="819"/>
      <c r="D17" s="826" t="s">
        <v>3628</v>
      </c>
      <c r="E17" s="826"/>
      <c r="F17" s="826"/>
      <c r="G17" s="450"/>
      <c r="H17" s="450"/>
      <c r="I17" s="450"/>
      <c r="J17" s="450"/>
      <c r="K17" s="450"/>
      <c r="L17" s="450"/>
      <c r="M17" s="450"/>
      <c r="N17" s="450"/>
      <c r="O17" s="450"/>
    </row>
    <row r="18" spans="1:16" ht="19.5" customHeight="1">
      <c r="A18" s="450"/>
      <c r="B18" s="818" t="s">
        <v>1211</v>
      </c>
      <c r="C18" s="819"/>
      <c r="D18" s="826" t="s">
        <v>3628</v>
      </c>
      <c r="E18" s="826"/>
      <c r="F18" s="826"/>
      <c r="G18" s="450"/>
      <c r="H18" s="450"/>
      <c r="I18" s="450"/>
      <c r="J18" s="450"/>
      <c r="K18" s="450"/>
      <c r="L18" s="450"/>
      <c r="M18" s="450"/>
      <c r="N18" s="450"/>
      <c r="O18" s="450"/>
    </row>
    <row r="19" spans="1:16" ht="19.5" customHeight="1">
      <c r="A19" s="450"/>
      <c r="B19" s="818" t="s">
        <v>1212</v>
      </c>
      <c r="C19" s="819"/>
      <c r="D19" s="826" t="s">
        <v>3628</v>
      </c>
      <c r="E19" s="826"/>
      <c r="F19" s="826"/>
      <c r="G19" s="450"/>
      <c r="H19" s="450"/>
      <c r="I19" s="450"/>
      <c r="J19" s="450"/>
      <c r="K19" s="450"/>
      <c r="L19" s="450"/>
      <c r="M19" s="450"/>
      <c r="N19" s="450"/>
      <c r="O19" s="450"/>
    </row>
    <row r="20" spans="1:16" ht="19.5" customHeight="1">
      <c r="A20" s="450"/>
      <c r="B20" s="450"/>
      <c r="C20" s="450"/>
      <c r="D20" s="450"/>
      <c r="E20" s="450"/>
      <c r="F20" s="450"/>
      <c r="G20" s="450"/>
      <c r="H20" s="450"/>
      <c r="I20" s="450"/>
      <c r="J20" s="450"/>
      <c r="K20" s="450"/>
      <c r="L20" s="450"/>
      <c r="M20" s="450"/>
      <c r="N20" s="450"/>
      <c r="O20" s="450"/>
      <c r="P20" s="450"/>
    </row>
    <row r="21" spans="1:16" ht="32.85" customHeight="1">
      <c r="A21" s="450"/>
      <c r="B21" s="473" t="s">
        <v>3651</v>
      </c>
      <c r="C21" s="473" t="s">
        <v>3652</v>
      </c>
      <c r="D21" s="473" t="s">
        <v>3653</v>
      </c>
      <c r="E21" s="473" t="s">
        <v>3654</v>
      </c>
      <c r="F21" s="473" t="s">
        <v>1233</v>
      </c>
      <c r="G21" s="473" t="s">
        <v>989</v>
      </c>
      <c r="H21" s="473" t="s">
        <v>3655</v>
      </c>
      <c r="I21" s="473" t="s">
        <v>993</v>
      </c>
      <c r="J21" s="473" t="s">
        <v>1048</v>
      </c>
      <c r="K21" s="473" t="s">
        <v>3656</v>
      </c>
      <c r="L21" s="475" t="s">
        <v>3657</v>
      </c>
      <c r="M21" s="475" t="s">
        <v>3658</v>
      </c>
      <c r="N21" s="654">
        <v>0.97</v>
      </c>
      <c r="O21" s="475" t="s">
        <v>3659</v>
      </c>
      <c r="P21" s="475" t="s">
        <v>612</v>
      </c>
    </row>
    <row r="22" spans="1:16" ht="19.5" customHeight="1">
      <c r="A22" s="450"/>
      <c r="B22" s="476" t="s">
        <v>1023</v>
      </c>
      <c r="C22" s="476" t="s">
        <v>1223</v>
      </c>
      <c r="D22" s="476" t="s">
        <v>3660</v>
      </c>
      <c r="E22" s="476" t="s">
        <v>3661</v>
      </c>
      <c r="F22" s="476" t="s">
        <v>3639</v>
      </c>
      <c r="G22" s="476" t="s">
        <v>3662</v>
      </c>
      <c r="H22" s="476" t="s">
        <v>3663</v>
      </c>
      <c r="I22" s="476" t="s">
        <v>1283</v>
      </c>
      <c r="J22" s="476" t="s">
        <v>1285</v>
      </c>
      <c r="K22" s="647">
        <v>-2939570.04</v>
      </c>
      <c r="L22" s="478" t="s">
        <v>3664</v>
      </c>
      <c r="M22" s="478" t="s">
        <v>1235</v>
      </c>
      <c r="N22" s="646"/>
      <c r="O22" s="646"/>
      <c r="P22" s="646"/>
    </row>
    <row r="23" spans="1:16" ht="19.5" customHeight="1">
      <c r="A23" s="450"/>
      <c r="B23" s="476" t="s">
        <v>1023</v>
      </c>
      <c r="C23" s="476" t="s">
        <v>1223</v>
      </c>
      <c r="D23" s="476" t="s">
        <v>3660</v>
      </c>
      <c r="E23" s="476" t="s">
        <v>3661</v>
      </c>
      <c r="F23" s="476" t="s">
        <v>3639</v>
      </c>
      <c r="G23" s="476" t="s">
        <v>3662</v>
      </c>
      <c r="H23" s="476" t="s">
        <v>3665</v>
      </c>
      <c r="I23" s="476" t="s">
        <v>3666</v>
      </c>
      <c r="J23" s="476" t="s">
        <v>3667</v>
      </c>
      <c r="K23" s="645">
        <v>6771384.2800000003</v>
      </c>
      <c r="L23" s="478" t="s">
        <v>3668</v>
      </c>
      <c r="M23" s="478" t="s">
        <v>3603</v>
      </c>
      <c r="N23" s="646"/>
      <c r="O23" s="646"/>
      <c r="P23" s="646"/>
    </row>
    <row r="24" spans="1:16" ht="19.5" customHeight="1">
      <c r="A24" s="450"/>
      <c r="B24" s="476" t="s">
        <v>1023</v>
      </c>
      <c r="C24" s="476" t="s">
        <v>1223</v>
      </c>
      <c r="D24" s="476" t="s">
        <v>3660</v>
      </c>
      <c r="E24" s="476" t="s">
        <v>3661</v>
      </c>
      <c r="F24" s="476" t="s">
        <v>3639</v>
      </c>
      <c r="G24" s="476" t="s">
        <v>3662</v>
      </c>
      <c r="H24" s="476" t="s">
        <v>3669</v>
      </c>
      <c r="I24" s="476" t="s">
        <v>1073</v>
      </c>
      <c r="J24" s="476" t="s">
        <v>1077</v>
      </c>
      <c r="K24" s="647">
        <v>-37329030.75</v>
      </c>
      <c r="L24" s="478" t="s">
        <v>3670</v>
      </c>
      <c r="M24" s="478" t="s">
        <v>1049</v>
      </c>
      <c r="N24" s="644">
        <f>+$N$21*K24</f>
        <v>-36209159.827500001</v>
      </c>
      <c r="O24" s="644">
        <f>+K24*0.03</f>
        <v>-1119870.9224999999</v>
      </c>
      <c r="P24" s="644">
        <f>+K24-N24-O24</f>
        <v>0</v>
      </c>
    </row>
    <row r="25" spans="1:16" ht="19.5" customHeight="1">
      <c r="A25" s="450"/>
      <c r="B25" s="476" t="s">
        <v>1023</v>
      </c>
      <c r="C25" s="476" t="s">
        <v>1223</v>
      </c>
      <c r="D25" s="476" t="s">
        <v>3660</v>
      </c>
      <c r="E25" s="476" t="s">
        <v>3661</v>
      </c>
      <c r="F25" s="476" t="s">
        <v>3639</v>
      </c>
      <c r="G25" s="476" t="s">
        <v>3662</v>
      </c>
      <c r="H25" s="476" t="s">
        <v>3671</v>
      </c>
      <c r="I25" s="476" t="s">
        <v>1283</v>
      </c>
      <c r="J25" s="476" t="s">
        <v>1285</v>
      </c>
      <c r="K25" s="645">
        <v>3267933.94</v>
      </c>
      <c r="L25" s="478" t="s">
        <v>3664</v>
      </c>
      <c r="M25" s="478" t="s">
        <v>1235</v>
      </c>
      <c r="N25" s="646"/>
      <c r="O25" s="646"/>
      <c r="P25" s="646"/>
    </row>
    <row r="26" spans="1:16" ht="19.5" customHeight="1">
      <c r="A26" s="450"/>
      <c r="B26" s="476" t="s">
        <v>1023</v>
      </c>
      <c r="C26" s="476" t="s">
        <v>1223</v>
      </c>
      <c r="D26" s="476" t="s">
        <v>3660</v>
      </c>
      <c r="E26" s="476" t="s">
        <v>3661</v>
      </c>
      <c r="F26" s="476" t="s">
        <v>3639</v>
      </c>
      <c r="G26" s="476" t="s">
        <v>3662</v>
      </c>
      <c r="H26" s="476" t="s">
        <v>3672</v>
      </c>
      <c r="I26" s="476" t="s">
        <v>3666</v>
      </c>
      <c r="J26" s="476" t="s">
        <v>3667</v>
      </c>
      <c r="K26" s="647">
        <v>-7608027.21</v>
      </c>
      <c r="L26" s="478" t="s">
        <v>3668</v>
      </c>
      <c r="M26" s="478" t="s">
        <v>3603</v>
      </c>
      <c r="N26" s="646"/>
      <c r="O26" s="646"/>
      <c r="P26" s="646"/>
    </row>
    <row r="27" spans="1:16" ht="19.5" customHeight="1">
      <c r="A27" s="450"/>
      <c r="B27" s="476" t="s">
        <v>1023</v>
      </c>
      <c r="C27" s="476" t="s">
        <v>1223</v>
      </c>
      <c r="D27" s="476" t="s">
        <v>3660</v>
      </c>
      <c r="E27" s="476" t="s">
        <v>3661</v>
      </c>
      <c r="F27" s="476" t="s">
        <v>3639</v>
      </c>
      <c r="G27" s="476" t="s">
        <v>3662</v>
      </c>
      <c r="H27" s="476" t="s">
        <v>3673</v>
      </c>
      <c r="I27" s="476" t="s">
        <v>1073</v>
      </c>
      <c r="J27" s="476" t="s">
        <v>1077</v>
      </c>
      <c r="K27" s="645">
        <v>56400970.109999999</v>
      </c>
      <c r="L27" s="478" t="s">
        <v>3670</v>
      </c>
      <c r="M27" s="478" t="s">
        <v>1049</v>
      </c>
      <c r="N27" s="644">
        <f>+$N$21*K27</f>
        <v>54708941.006699994</v>
      </c>
      <c r="O27" s="644">
        <f>+K27*0.03</f>
        <v>1692029.1032999998</v>
      </c>
      <c r="P27" s="644">
        <f>+K27-N27-O27</f>
        <v>5.3551048040390015E-9</v>
      </c>
    </row>
    <row r="28" spans="1:16" ht="19.5" customHeight="1">
      <c r="A28" s="450"/>
      <c r="B28" s="476" t="s">
        <v>1024</v>
      </c>
      <c r="C28" s="476" t="s">
        <v>1223</v>
      </c>
      <c r="D28" s="476" t="s">
        <v>3660</v>
      </c>
      <c r="E28" s="476" t="s">
        <v>3661</v>
      </c>
      <c r="F28" s="476" t="s">
        <v>3639</v>
      </c>
      <c r="G28" s="476" t="s">
        <v>3662</v>
      </c>
      <c r="H28" s="476" t="s">
        <v>3674</v>
      </c>
      <c r="I28" s="476" t="s">
        <v>1283</v>
      </c>
      <c r="J28" s="476" t="s">
        <v>1285</v>
      </c>
      <c r="K28" s="647">
        <v>-3267933.94</v>
      </c>
      <c r="L28" s="478" t="s">
        <v>3664</v>
      </c>
      <c r="M28" s="478" t="s">
        <v>1235</v>
      </c>
      <c r="N28" s="646"/>
      <c r="O28" s="646"/>
      <c r="P28" s="646"/>
    </row>
    <row r="29" spans="1:16" ht="19.5" customHeight="1">
      <c r="A29" s="450"/>
      <c r="B29" s="476" t="s">
        <v>1024</v>
      </c>
      <c r="C29" s="476" t="s">
        <v>1223</v>
      </c>
      <c r="D29" s="476" t="s">
        <v>3660</v>
      </c>
      <c r="E29" s="476" t="s">
        <v>3661</v>
      </c>
      <c r="F29" s="476" t="s">
        <v>3639</v>
      </c>
      <c r="G29" s="476" t="s">
        <v>3662</v>
      </c>
      <c r="H29" s="476" t="s">
        <v>3675</v>
      </c>
      <c r="I29" s="476" t="s">
        <v>3666</v>
      </c>
      <c r="J29" s="476" t="s">
        <v>3667</v>
      </c>
      <c r="K29" s="645">
        <v>7608027.21</v>
      </c>
      <c r="L29" s="478" t="s">
        <v>3668</v>
      </c>
      <c r="M29" s="478" t="s">
        <v>3603</v>
      </c>
      <c r="N29" s="646"/>
      <c r="O29" s="646"/>
      <c r="P29" s="646"/>
    </row>
    <row r="30" spans="1:16" ht="19.5" customHeight="1">
      <c r="A30" s="450"/>
      <c r="B30" s="476" t="s">
        <v>1024</v>
      </c>
      <c r="C30" s="476" t="s">
        <v>1223</v>
      </c>
      <c r="D30" s="476" t="s">
        <v>3660</v>
      </c>
      <c r="E30" s="476" t="s">
        <v>3661</v>
      </c>
      <c r="F30" s="476" t="s">
        <v>3639</v>
      </c>
      <c r="G30" s="476" t="s">
        <v>3662</v>
      </c>
      <c r="H30" s="476" t="s">
        <v>3676</v>
      </c>
      <c r="I30" s="476" t="s">
        <v>1073</v>
      </c>
      <c r="J30" s="476" t="s">
        <v>1077</v>
      </c>
      <c r="K30" s="647">
        <v>-56400970.109999999</v>
      </c>
      <c r="L30" s="478" t="s">
        <v>3670</v>
      </c>
      <c r="M30" s="478" t="s">
        <v>1049</v>
      </c>
      <c r="N30" s="644">
        <f>+$N$21*K30</f>
        <v>-54708941.006699994</v>
      </c>
      <c r="O30" s="644">
        <f>+K30*0.03</f>
        <v>-1692029.1032999998</v>
      </c>
      <c r="P30" s="644">
        <f>+K30-N30-O30</f>
        <v>-5.3551048040390015E-9</v>
      </c>
    </row>
    <row r="31" spans="1:16" ht="19.5" customHeight="1">
      <c r="A31" s="450"/>
      <c r="B31" s="476" t="s">
        <v>1024</v>
      </c>
      <c r="C31" s="476" t="s">
        <v>1223</v>
      </c>
      <c r="D31" s="476" t="s">
        <v>3660</v>
      </c>
      <c r="E31" s="476" t="s">
        <v>3661</v>
      </c>
      <c r="F31" s="476" t="s">
        <v>3639</v>
      </c>
      <c r="G31" s="476" t="s">
        <v>3662</v>
      </c>
      <c r="H31" s="476" t="s">
        <v>3677</v>
      </c>
      <c r="I31" s="476" t="s">
        <v>1283</v>
      </c>
      <c r="J31" s="476" t="s">
        <v>1285</v>
      </c>
      <c r="K31" s="645">
        <v>3829698.6</v>
      </c>
      <c r="L31" s="478" t="s">
        <v>3664</v>
      </c>
      <c r="M31" s="478" t="s">
        <v>1235</v>
      </c>
      <c r="N31" s="646"/>
      <c r="O31" s="646"/>
      <c r="P31" s="646"/>
    </row>
    <row r="32" spans="1:16" ht="19.5" customHeight="1">
      <c r="A32" s="450"/>
      <c r="B32" s="476" t="s">
        <v>1024</v>
      </c>
      <c r="C32" s="476" t="s">
        <v>1223</v>
      </c>
      <c r="D32" s="476" t="s">
        <v>3660</v>
      </c>
      <c r="E32" s="476" t="s">
        <v>3661</v>
      </c>
      <c r="F32" s="476" t="s">
        <v>3639</v>
      </c>
      <c r="G32" s="476" t="s">
        <v>3662</v>
      </c>
      <c r="H32" s="476" t="s">
        <v>3678</v>
      </c>
      <c r="I32" s="476" t="s">
        <v>3666</v>
      </c>
      <c r="J32" s="476" t="s">
        <v>3667</v>
      </c>
      <c r="K32" s="647">
        <v>-1858328.77</v>
      </c>
      <c r="L32" s="478" t="s">
        <v>3668</v>
      </c>
      <c r="M32" s="478" t="s">
        <v>3603</v>
      </c>
      <c r="N32" s="646"/>
      <c r="O32" s="646"/>
      <c r="P32" s="646"/>
    </row>
    <row r="33" spans="1:16" ht="19.5" customHeight="1">
      <c r="A33" s="450"/>
      <c r="B33" s="476" t="s">
        <v>1024</v>
      </c>
      <c r="C33" s="476" t="s">
        <v>1223</v>
      </c>
      <c r="D33" s="476" t="s">
        <v>3660</v>
      </c>
      <c r="E33" s="476" t="s">
        <v>3661</v>
      </c>
      <c r="F33" s="476" t="s">
        <v>3639</v>
      </c>
      <c r="G33" s="476" t="s">
        <v>3662</v>
      </c>
      <c r="H33" s="476" t="s">
        <v>3679</v>
      </c>
      <c r="I33" s="476" t="s">
        <v>1073</v>
      </c>
      <c r="J33" s="476" t="s">
        <v>1077</v>
      </c>
      <c r="K33" s="645">
        <v>39651987.219999999</v>
      </c>
      <c r="L33" s="478" t="s">
        <v>3670</v>
      </c>
      <c r="M33" s="478" t="s">
        <v>1049</v>
      </c>
      <c r="N33" s="644">
        <f>+$N$21*K33</f>
        <v>38462427.603399999</v>
      </c>
      <c r="O33" s="644">
        <f>+K33*0.03</f>
        <v>1189559.6165999998</v>
      </c>
      <c r="P33" s="644">
        <f>+K33-N33-O33</f>
        <v>0</v>
      </c>
    </row>
    <row r="34" spans="1:16" ht="19.5" customHeight="1">
      <c r="A34" s="450"/>
      <c r="B34" s="476" t="s">
        <v>1025</v>
      </c>
      <c r="C34" s="476" t="s">
        <v>1223</v>
      </c>
      <c r="D34" s="476" t="s">
        <v>3660</v>
      </c>
      <c r="E34" s="476" t="s">
        <v>3661</v>
      </c>
      <c r="F34" s="476" t="s">
        <v>3639</v>
      </c>
      <c r="G34" s="476" t="s">
        <v>3662</v>
      </c>
      <c r="H34" s="476" t="s">
        <v>3680</v>
      </c>
      <c r="I34" s="476" t="s">
        <v>1283</v>
      </c>
      <c r="J34" s="476" t="s">
        <v>1285</v>
      </c>
      <c r="K34" s="647">
        <v>-3829698.6</v>
      </c>
      <c r="L34" s="478" t="s">
        <v>3664</v>
      </c>
      <c r="M34" s="478" t="s">
        <v>1235</v>
      </c>
      <c r="N34" s="646"/>
      <c r="O34" s="646"/>
      <c r="P34" s="646"/>
    </row>
    <row r="35" spans="1:16" ht="19.5" customHeight="1">
      <c r="A35" s="450"/>
      <c r="B35" s="476" t="s">
        <v>1025</v>
      </c>
      <c r="C35" s="476" t="s">
        <v>1223</v>
      </c>
      <c r="D35" s="476" t="s">
        <v>3660</v>
      </c>
      <c r="E35" s="476" t="s">
        <v>3661</v>
      </c>
      <c r="F35" s="476" t="s">
        <v>3639</v>
      </c>
      <c r="G35" s="476" t="s">
        <v>3662</v>
      </c>
      <c r="H35" s="476" t="s">
        <v>3681</v>
      </c>
      <c r="I35" s="476" t="s">
        <v>3666</v>
      </c>
      <c r="J35" s="476" t="s">
        <v>3667</v>
      </c>
      <c r="K35" s="645">
        <v>1858328.77</v>
      </c>
      <c r="L35" s="478" t="s">
        <v>3668</v>
      </c>
      <c r="M35" s="478" t="s">
        <v>3603</v>
      </c>
      <c r="N35" s="646"/>
      <c r="O35" s="646"/>
      <c r="P35" s="646"/>
    </row>
    <row r="36" spans="1:16" ht="19.5" customHeight="1">
      <c r="A36" s="450"/>
      <c r="B36" s="476" t="s">
        <v>1025</v>
      </c>
      <c r="C36" s="476" t="s">
        <v>1223</v>
      </c>
      <c r="D36" s="476" t="s">
        <v>3660</v>
      </c>
      <c r="E36" s="476" t="s">
        <v>3661</v>
      </c>
      <c r="F36" s="476" t="s">
        <v>3639</v>
      </c>
      <c r="G36" s="476" t="s">
        <v>3662</v>
      </c>
      <c r="H36" s="476" t="s">
        <v>3682</v>
      </c>
      <c r="I36" s="476" t="s">
        <v>1073</v>
      </c>
      <c r="J36" s="476" t="s">
        <v>1077</v>
      </c>
      <c r="K36" s="647">
        <v>-39651987.219999999</v>
      </c>
      <c r="L36" s="478" t="s">
        <v>3670</v>
      </c>
      <c r="M36" s="478" t="s">
        <v>1049</v>
      </c>
      <c r="N36" s="644">
        <f>+$N$21*K36</f>
        <v>-38462427.603399999</v>
      </c>
      <c r="O36" s="644">
        <f>+K36*0.03</f>
        <v>-1189559.6165999998</v>
      </c>
      <c r="P36" s="644">
        <f>+K36-N36-O36</f>
        <v>0</v>
      </c>
    </row>
    <row r="37" spans="1:16" ht="19.5" customHeight="1">
      <c r="A37" s="450"/>
      <c r="B37" s="476" t="s">
        <v>1025</v>
      </c>
      <c r="C37" s="476" t="s">
        <v>1223</v>
      </c>
      <c r="D37" s="476" t="s">
        <v>3660</v>
      </c>
      <c r="E37" s="476" t="s">
        <v>3661</v>
      </c>
      <c r="F37" s="476" t="s">
        <v>3639</v>
      </c>
      <c r="G37" s="476" t="s">
        <v>3662</v>
      </c>
      <c r="H37" s="476" t="s">
        <v>3683</v>
      </c>
      <c r="I37" s="476" t="s">
        <v>1283</v>
      </c>
      <c r="J37" s="476" t="s">
        <v>1285</v>
      </c>
      <c r="K37" s="645">
        <v>3685351.01</v>
      </c>
      <c r="L37" s="478" t="s">
        <v>3664</v>
      </c>
      <c r="M37" s="478" t="s">
        <v>1235</v>
      </c>
      <c r="N37" s="646"/>
      <c r="O37" s="646"/>
      <c r="P37" s="646"/>
    </row>
    <row r="38" spans="1:16" ht="19.5" customHeight="1">
      <c r="A38" s="450"/>
      <c r="B38" s="476" t="s">
        <v>1025</v>
      </c>
      <c r="C38" s="476" t="s">
        <v>1223</v>
      </c>
      <c r="D38" s="476" t="s">
        <v>3660</v>
      </c>
      <c r="E38" s="476" t="s">
        <v>3661</v>
      </c>
      <c r="F38" s="476" t="s">
        <v>3639</v>
      </c>
      <c r="G38" s="476" t="s">
        <v>3662</v>
      </c>
      <c r="H38" s="476" t="s">
        <v>3684</v>
      </c>
      <c r="I38" s="476" t="s">
        <v>3666</v>
      </c>
      <c r="J38" s="476" t="s">
        <v>3685</v>
      </c>
      <c r="K38" s="647">
        <v>-6054413.1100000003</v>
      </c>
      <c r="L38" s="478" t="s">
        <v>3668</v>
      </c>
      <c r="M38" s="478" t="s">
        <v>3603</v>
      </c>
      <c r="N38" s="646"/>
      <c r="O38" s="646"/>
      <c r="P38" s="646"/>
    </row>
    <row r="39" spans="1:16" ht="19.5" customHeight="1">
      <c r="A39" s="450"/>
      <c r="B39" s="476" t="s">
        <v>1025</v>
      </c>
      <c r="C39" s="476" t="s">
        <v>1223</v>
      </c>
      <c r="D39" s="476" t="s">
        <v>3660</v>
      </c>
      <c r="E39" s="476" t="s">
        <v>3661</v>
      </c>
      <c r="F39" s="476" t="s">
        <v>3639</v>
      </c>
      <c r="G39" s="476" t="s">
        <v>3662</v>
      </c>
      <c r="H39" s="476" t="s">
        <v>3686</v>
      </c>
      <c r="I39" s="476" t="s">
        <v>1073</v>
      </c>
      <c r="J39" s="476" t="s">
        <v>1077</v>
      </c>
      <c r="K39" s="645">
        <v>31297701.280000001</v>
      </c>
      <c r="L39" s="478" t="s">
        <v>3670</v>
      </c>
      <c r="M39" s="478" t="s">
        <v>1049</v>
      </c>
      <c r="N39" s="644">
        <f>+$N$21*K39</f>
        <v>30358770.241599999</v>
      </c>
      <c r="O39" s="644">
        <f>+K39*0.03</f>
        <v>938931.03839999996</v>
      </c>
      <c r="P39" s="644">
        <f>+K39-N39-O39</f>
        <v>1.862645149230957E-9</v>
      </c>
    </row>
    <row r="40" spans="1:16" ht="19.5" customHeight="1">
      <c r="A40" s="450"/>
      <c r="B40" s="476" t="s">
        <v>1030</v>
      </c>
      <c r="C40" s="476" t="s">
        <v>1223</v>
      </c>
      <c r="D40" s="476" t="s">
        <v>3660</v>
      </c>
      <c r="E40" s="476" t="s">
        <v>3661</v>
      </c>
      <c r="F40" s="476" t="s">
        <v>3639</v>
      </c>
      <c r="G40" s="476" t="s">
        <v>3662</v>
      </c>
      <c r="H40" s="476" t="s">
        <v>3687</v>
      </c>
      <c r="I40" s="476" t="s">
        <v>1283</v>
      </c>
      <c r="J40" s="476" t="s">
        <v>1285</v>
      </c>
      <c r="K40" s="647">
        <v>-3685351.01</v>
      </c>
      <c r="L40" s="478" t="s">
        <v>3664</v>
      </c>
      <c r="M40" s="478" t="s">
        <v>1235</v>
      </c>
      <c r="N40" s="646"/>
      <c r="O40" s="646"/>
      <c r="P40" s="646"/>
    </row>
    <row r="41" spans="1:16" ht="19.5" customHeight="1">
      <c r="A41" s="450"/>
      <c r="B41" s="476" t="s">
        <v>1030</v>
      </c>
      <c r="C41" s="476" t="s">
        <v>1223</v>
      </c>
      <c r="D41" s="476" t="s">
        <v>3660</v>
      </c>
      <c r="E41" s="476" t="s">
        <v>3661</v>
      </c>
      <c r="F41" s="476" t="s">
        <v>3639</v>
      </c>
      <c r="G41" s="476" t="s">
        <v>3662</v>
      </c>
      <c r="H41" s="476" t="s">
        <v>3688</v>
      </c>
      <c r="I41" s="476" t="s">
        <v>3666</v>
      </c>
      <c r="J41" s="476" t="s">
        <v>3685</v>
      </c>
      <c r="K41" s="645">
        <v>6054413.1100000003</v>
      </c>
      <c r="L41" s="478" t="s">
        <v>3668</v>
      </c>
      <c r="M41" s="478" t="s">
        <v>3603</v>
      </c>
      <c r="N41" s="646"/>
      <c r="O41" s="646"/>
      <c r="P41" s="646"/>
    </row>
    <row r="42" spans="1:16" ht="19.5" customHeight="1">
      <c r="A42" s="450"/>
      <c r="B42" s="476" t="s">
        <v>1030</v>
      </c>
      <c r="C42" s="476" t="s">
        <v>1223</v>
      </c>
      <c r="D42" s="476" t="s">
        <v>3660</v>
      </c>
      <c r="E42" s="476" t="s">
        <v>3661</v>
      </c>
      <c r="F42" s="476" t="s">
        <v>3639</v>
      </c>
      <c r="G42" s="476" t="s">
        <v>3662</v>
      </c>
      <c r="H42" s="476" t="s">
        <v>3689</v>
      </c>
      <c r="I42" s="476" t="s">
        <v>1073</v>
      </c>
      <c r="J42" s="476" t="s">
        <v>1077</v>
      </c>
      <c r="K42" s="647">
        <v>-31297701.280000001</v>
      </c>
      <c r="L42" s="478" t="s">
        <v>3670</v>
      </c>
      <c r="M42" s="478" t="s">
        <v>1049</v>
      </c>
      <c r="N42" s="644">
        <f>+$N$21*K42</f>
        <v>-30358770.241599999</v>
      </c>
      <c r="O42" s="644">
        <f>+K42*0.03</f>
        <v>-938931.03839999996</v>
      </c>
      <c r="P42" s="644">
        <f>+K42-N42-O42</f>
        <v>-1.862645149230957E-9</v>
      </c>
    </row>
    <row r="43" spans="1:16" ht="19.5" customHeight="1">
      <c r="A43" s="450"/>
      <c r="B43" s="476" t="s">
        <v>1030</v>
      </c>
      <c r="C43" s="476" t="s">
        <v>1223</v>
      </c>
      <c r="D43" s="476" t="s">
        <v>3660</v>
      </c>
      <c r="E43" s="476" t="s">
        <v>3661</v>
      </c>
      <c r="F43" s="476" t="s">
        <v>3639</v>
      </c>
      <c r="G43" s="476" t="s">
        <v>3662</v>
      </c>
      <c r="H43" s="476" t="s">
        <v>3690</v>
      </c>
      <c r="I43" s="476" t="s">
        <v>1283</v>
      </c>
      <c r="J43" s="476" t="s">
        <v>1285</v>
      </c>
      <c r="K43" s="645">
        <v>3416100.07</v>
      </c>
      <c r="L43" s="478" t="s">
        <v>3664</v>
      </c>
      <c r="M43" s="478" t="s">
        <v>1235</v>
      </c>
      <c r="N43" s="646"/>
      <c r="O43" s="646"/>
      <c r="P43" s="646"/>
    </row>
    <row r="44" spans="1:16" ht="19.5" customHeight="1">
      <c r="A44" s="450"/>
      <c r="B44" s="476" t="s">
        <v>1030</v>
      </c>
      <c r="C44" s="476" t="s">
        <v>1223</v>
      </c>
      <c r="D44" s="476" t="s">
        <v>3660</v>
      </c>
      <c r="E44" s="476" t="s">
        <v>3661</v>
      </c>
      <c r="F44" s="476" t="s">
        <v>3639</v>
      </c>
      <c r="G44" s="476" t="s">
        <v>3662</v>
      </c>
      <c r="H44" s="476" t="s">
        <v>3691</v>
      </c>
      <c r="I44" s="476" t="s">
        <v>3666</v>
      </c>
      <c r="J44" s="476" t="s">
        <v>3685</v>
      </c>
      <c r="K44" s="647">
        <v>-2145764.35</v>
      </c>
      <c r="L44" s="478" t="s">
        <v>3668</v>
      </c>
      <c r="M44" s="478" t="s">
        <v>3603</v>
      </c>
      <c r="N44" s="646"/>
      <c r="O44" s="646"/>
      <c r="P44" s="646"/>
    </row>
    <row r="45" spans="1:16" ht="19.5" customHeight="1">
      <c r="A45" s="450"/>
      <c r="B45" s="476" t="s">
        <v>1030</v>
      </c>
      <c r="C45" s="476" t="s">
        <v>1223</v>
      </c>
      <c r="D45" s="476" t="s">
        <v>3660</v>
      </c>
      <c r="E45" s="476" t="s">
        <v>3661</v>
      </c>
      <c r="F45" s="476" t="s">
        <v>3639</v>
      </c>
      <c r="G45" s="476" t="s">
        <v>3662</v>
      </c>
      <c r="H45" s="476" t="s">
        <v>3692</v>
      </c>
      <c r="I45" s="476" t="s">
        <v>1073</v>
      </c>
      <c r="J45" s="476" t="s">
        <v>1077</v>
      </c>
      <c r="K45" s="645">
        <v>19077678.109999999</v>
      </c>
      <c r="L45" s="478" t="s">
        <v>3670</v>
      </c>
      <c r="M45" s="478" t="s">
        <v>1049</v>
      </c>
      <c r="N45" s="644">
        <f>+$N$21*K45</f>
        <v>18505347.7667</v>
      </c>
      <c r="O45" s="644">
        <f>+K45*0.03</f>
        <v>572330.34329999995</v>
      </c>
      <c r="P45" s="644">
        <f>+K45-N45-O45</f>
        <v>0</v>
      </c>
    </row>
    <row r="46" spans="1:16" ht="19.5" customHeight="1">
      <c r="A46" s="450"/>
      <c r="B46" s="476" t="s">
        <v>1031</v>
      </c>
      <c r="C46" s="476" t="s">
        <v>1223</v>
      </c>
      <c r="D46" s="476" t="s">
        <v>3660</v>
      </c>
      <c r="E46" s="476" t="s">
        <v>3661</v>
      </c>
      <c r="F46" s="476" t="s">
        <v>3639</v>
      </c>
      <c r="G46" s="476" t="s">
        <v>3662</v>
      </c>
      <c r="H46" s="476" t="s">
        <v>3693</v>
      </c>
      <c r="I46" s="476" t="s">
        <v>3666</v>
      </c>
      <c r="J46" s="476" t="s">
        <v>3685</v>
      </c>
      <c r="K46" s="645">
        <v>2145764.35</v>
      </c>
      <c r="L46" s="478" t="s">
        <v>3668</v>
      </c>
      <c r="M46" s="478" t="s">
        <v>3603</v>
      </c>
      <c r="N46" s="646"/>
      <c r="O46" s="646"/>
      <c r="P46" s="646"/>
    </row>
    <row r="47" spans="1:16" ht="19.5" customHeight="1">
      <c r="A47" s="450"/>
      <c r="B47" s="476" t="s">
        <v>1031</v>
      </c>
      <c r="C47" s="476" t="s">
        <v>1223</v>
      </c>
      <c r="D47" s="476" t="s">
        <v>3660</v>
      </c>
      <c r="E47" s="476" t="s">
        <v>3661</v>
      </c>
      <c r="F47" s="476" t="s">
        <v>3639</v>
      </c>
      <c r="G47" s="476" t="s">
        <v>3662</v>
      </c>
      <c r="H47" s="476" t="s">
        <v>3694</v>
      </c>
      <c r="I47" s="476" t="s">
        <v>1283</v>
      </c>
      <c r="J47" s="476" t="s">
        <v>1285</v>
      </c>
      <c r="K47" s="647">
        <v>-3416100.07</v>
      </c>
      <c r="L47" s="478" t="s">
        <v>3664</v>
      </c>
      <c r="M47" s="478" t="s">
        <v>1235</v>
      </c>
      <c r="N47" s="646"/>
      <c r="O47" s="646"/>
      <c r="P47" s="646"/>
    </row>
    <row r="48" spans="1:16" ht="19.5" customHeight="1">
      <c r="A48" s="450"/>
      <c r="B48" s="476" t="s">
        <v>1031</v>
      </c>
      <c r="C48" s="476" t="s">
        <v>1223</v>
      </c>
      <c r="D48" s="476" t="s">
        <v>3660</v>
      </c>
      <c r="E48" s="476" t="s">
        <v>3661</v>
      </c>
      <c r="F48" s="476" t="s">
        <v>3639</v>
      </c>
      <c r="G48" s="476" t="s">
        <v>3662</v>
      </c>
      <c r="H48" s="476" t="s">
        <v>3695</v>
      </c>
      <c r="I48" s="476" t="s">
        <v>1073</v>
      </c>
      <c r="J48" s="476" t="s">
        <v>1077</v>
      </c>
      <c r="K48" s="647">
        <v>-19077678.109999999</v>
      </c>
      <c r="L48" s="478" t="s">
        <v>3670</v>
      </c>
      <c r="M48" s="478" t="s">
        <v>1049</v>
      </c>
      <c r="N48" s="644">
        <f>+$N$21*K48</f>
        <v>-18505347.7667</v>
      </c>
      <c r="O48" s="644">
        <f>+K48*0.03</f>
        <v>-572330.34329999995</v>
      </c>
      <c r="P48" s="644">
        <f>+K48-N48-O48</f>
        <v>0</v>
      </c>
    </row>
    <row r="49" spans="1:19" ht="19.5" customHeight="1">
      <c r="A49" s="450"/>
      <c r="B49" s="476" t="s">
        <v>1031</v>
      </c>
      <c r="C49" s="476" t="s">
        <v>1223</v>
      </c>
      <c r="D49" s="476" t="s">
        <v>3660</v>
      </c>
      <c r="E49" s="476" t="s">
        <v>3661</v>
      </c>
      <c r="F49" s="476" t="s">
        <v>3639</v>
      </c>
      <c r="G49" s="476" t="s">
        <v>3662</v>
      </c>
      <c r="H49" s="476" t="s">
        <v>3696</v>
      </c>
      <c r="I49" s="476" t="s">
        <v>1283</v>
      </c>
      <c r="J49" s="476" t="s">
        <v>1285</v>
      </c>
      <c r="K49" s="645">
        <v>2800175.36</v>
      </c>
      <c r="L49" s="478" t="s">
        <v>3664</v>
      </c>
      <c r="M49" s="478" t="s">
        <v>1235</v>
      </c>
      <c r="N49" s="646"/>
      <c r="O49" s="646"/>
      <c r="P49" s="646"/>
    </row>
    <row r="50" spans="1:19" ht="19.5" customHeight="1">
      <c r="A50" s="450"/>
      <c r="B50" s="476" t="s">
        <v>1031</v>
      </c>
      <c r="C50" s="476" t="s">
        <v>1223</v>
      </c>
      <c r="D50" s="476" t="s">
        <v>3660</v>
      </c>
      <c r="E50" s="476" t="s">
        <v>3661</v>
      </c>
      <c r="F50" s="476" t="s">
        <v>3639</v>
      </c>
      <c r="G50" s="476" t="s">
        <v>3662</v>
      </c>
      <c r="H50" s="476" t="s">
        <v>3697</v>
      </c>
      <c r="I50" s="476" t="s">
        <v>3666</v>
      </c>
      <c r="J50" s="476" t="s">
        <v>3685</v>
      </c>
      <c r="K50" s="647">
        <v>-856805.58</v>
      </c>
      <c r="L50" s="478" t="s">
        <v>3668</v>
      </c>
      <c r="M50" s="478" t="s">
        <v>3603</v>
      </c>
      <c r="N50" s="646"/>
      <c r="O50" s="646"/>
      <c r="P50" s="646"/>
    </row>
    <row r="51" spans="1:19" ht="19.5" customHeight="1">
      <c r="A51" s="450"/>
      <c r="B51" s="476" t="s">
        <v>1031</v>
      </c>
      <c r="C51" s="476" t="s">
        <v>1223</v>
      </c>
      <c r="D51" s="476" t="s">
        <v>3660</v>
      </c>
      <c r="E51" s="476" t="s">
        <v>3661</v>
      </c>
      <c r="F51" s="476" t="s">
        <v>3639</v>
      </c>
      <c r="G51" s="476" t="s">
        <v>3662</v>
      </c>
      <c r="H51" s="476" t="s">
        <v>3698</v>
      </c>
      <c r="I51" s="476" t="s">
        <v>1073</v>
      </c>
      <c r="J51" s="476" t="s">
        <v>1077</v>
      </c>
      <c r="K51" s="645">
        <v>9300803.9399999995</v>
      </c>
      <c r="L51" s="478" t="s">
        <v>3670</v>
      </c>
      <c r="M51" s="478" t="s">
        <v>1049</v>
      </c>
      <c r="N51" s="644">
        <f>+$N$21*K51</f>
        <v>9021779.8217999991</v>
      </c>
      <c r="O51" s="644">
        <f>+K51*0.03</f>
        <v>279024.11819999997</v>
      </c>
      <c r="P51" s="644">
        <f>+K51-N51-O51</f>
        <v>0</v>
      </c>
    </row>
    <row r="52" spans="1:19" ht="19.5" customHeight="1">
      <c r="A52" s="450"/>
      <c r="B52" s="476" t="s">
        <v>1032</v>
      </c>
      <c r="C52" s="476" t="s">
        <v>1223</v>
      </c>
      <c r="D52" s="476" t="s">
        <v>3660</v>
      </c>
      <c r="E52" s="476" t="s">
        <v>3661</v>
      </c>
      <c r="F52" s="476" t="s">
        <v>3639</v>
      </c>
      <c r="G52" s="476" t="s">
        <v>3662</v>
      </c>
      <c r="H52" s="476" t="s">
        <v>3699</v>
      </c>
      <c r="I52" s="476" t="s">
        <v>1283</v>
      </c>
      <c r="J52" s="476" t="s">
        <v>1285</v>
      </c>
      <c r="K52" s="647">
        <v>-2800175.36</v>
      </c>
      <c r="L52" s="478" t="s">
        <v>3664</v>
      </c>
      <c r="M52" s="478" t="s">
        <v>1235</v>
      </c>
      <c r="N52" s="646"/>
      <c r="O52" s="646"/>
      <c r="P52" s="646"/>
    </row>
    <row r="53" spans="1:19" ht="19.5" customHeight="1">
      <c r="A53" s="450"/>
      <c r="B53" s="476" t="s">
        <v>1032</v>
      </c>
      <c r="C53" s="476" t="s">
        <v>1223</v>
      </c>
      <c r="D53" s="476" t="s">
        <v>3660</v>
      </c>
      <c r="E53" s="476" t="s">
        <v>3661</v>
      </c>
      <c r="F53" s="476" t="s">
        <v>3639</v>
      </c>
      <c r="G53" s="476" t="s">
        <v>3662</v>
      </c>
      <c r="H53" s="476" t="s">
        <v>3700</v>
      </c>
      <c r="I53" s="476" t="s">
        <v>3666</v>
      </c>
      <c r="J53" s="476" t="s">
        <v>3685</v>
      </c>
      <c r="K53" s="645">
        <v>856805.58</v>
      </c>
      <c r="L53" s="478" t="s">
        <v>3668</v>
      </c>
      <c r="M53" s="478" t="s">
        <v>3603</v>
      </c>
      <c r="N53" s="646"/>
      <c r="O53" s="646"/>
      <c r="P53" s="646"/>
    </row>
    <row r="54" spans="1:19" ht="19.5" customHeight="1">
      <c r="A54" s="450"/>
      <c r="B54" s="476" t="s">
        <v>1032</v>
      </c>
      <c r="C54" s="476" t="s">
        <v>1223</v>
      </c>
      <c r="D54" s="476" t="s">
        <v>3660</v>
      </c>
      <c r="E54" s="476" t="s">
        <v>3661</v>
      </c>
      <c r="F54" s="476" t="s">
        <v>3639</v>
      </c>
      <c r="G54" s="476" t="s">
        <v>3662</v>
      </c>
      <c r="H54" s="476" t="s">
        <v>3701</v>
      </c>
      <c r="I54" s="476" t="s">
        <v>1073</v>
      </c>
      <c r="J54" s="476" t="s">
        <v>1077</v>
      </c>
      <c r="K54" s="647">
        <v>-9300803.9399999995</v>
      </c>
      <c r="L54" s="478" t="s">
        <v>3670</v>
      </c>
      <c r="M54" s="478" t="s">
        <v>1049</v>
      </c>
      <c r="N54" s="644">
        <f>+$N$21*K54</f>
        <v>-9021779.8217999991</v>
      </c>
      <c r="O54" s="644">
        <f>+K54*0.03</f>
        <v>-279024.11819999997</v>
      </c>
      <c r="P54" s="644">
        <f>+K54-N54-O54</f>
        <v>0</v>
      </c>
    </row>
    <row r="55" spans="1:19" ht="19.5" customHeight="1">
      <c r="A55" s="450"/>
      <c r="B55" s="476" t="s">
        <v>1032</v>
      </c>
      <c r="C55" s="476" t="s">
        <v>1223</v>
      </c>
      <c r="D55" s="476" t="s">
        <v>3660</v>
      </c>
      <c r="E55" s="476" t="s">
        <v>3661</v>
      </c>
      <c r="F55" s="476" t="s">
        <v>3639</v>
      </c>
      <c r="G55" s="476" t="s">
        <v>3662</v>
      </c>
      <c r="H55" s="476" t="s">
        <v>3702</v>
      </c>
      <c r="I55" s="476" t="s">
        <v>1283</v>
      </c>
      <c r="J55" s="476" t="s">
        <v>1285</v>
      </c>
      <c r="K55" s="645">
        <v>2330138.4900000002</v>
      </c>
      <c r="L55" s="478" t="s">
        <v>3664</v>
      </c>
      <c r="M55" s="478" t="s">
        <v>1235</v>
      </c>
      <c r="N55" s="646"/>
      <c r="O55" s="646"/>
      <c r="P55" s="646"/>
    </row>
    <row r="56" spans="1:19" ht="19.5" customHeight="1">
      <c r="A56" s="450"/>
      <c r="B56" s="476" t="s">
        <v>1032</v>
      </c>
      <c r="C56" s="476" t="s">
        <v>1223</v>
      </c>
      <c r="D56" s="476" t="s">
        <v>3660</v>
      </c>
      <c r="E56" s="476" t="s">
        <v>3661</v>
      </c>
      <c r="F56" s="476" t="s">
        <v>3639</v>
      </c>
      <c r="G56" s="476" t="s">
        <v>3662</v>
      </c>
      <c r="H56" s="476" t="s">
        <v>3703</v>
      </c>
      <c r="I56" s="476" t="s">
        <v>3666</v>
      </c>
      <c r="J56" s="476" t="s">
        <v>3685</v>
      </c>
      <c r="K56" s="647">
        <v>-2283801.91</v>
      </c>
      <c r="L56" s="478" t="s">
        <v>3668</v>
      </c>
      <c r="M56" s="478" t="s">
        <v>3603</v>
      </c>
      <c r="N56" s="646"/>
      <c r="O56" s="646"/>
      <c r="P56" s="646"/>
    </row>
    <row r="57" spans="1:19" ht="19.5" customHeight="1">
      <c r="A57" s="450"/>
      <c r="B57" s="476" t="s">
        <v>1032</v>
      </c>
      <c r="C57" s="476" t="s">
        <v>1223</v>
      </c>
      <c r="D57" s="476" t="s">
        <v>3660</v>
      </c>
      <c r="E57" s="476" t="s">
        <v>3661</v>
      </c>
      <c r="F57" s="476" t="s">
        <v>3639</v>
      </c>
      <c r="G57" s="476" t="s">
        <v>3662</v>
      </c>
      <c r="H57" s="476" t="s">
        <v>3704</v>
      </c>
      <c r="I57" s="476" t="s">
        <v>1073</v>
      </c>
      <c r="J57" s="476" t="s">
        <v>1077</v>
      </c>
      <c r="K57" s="645">
        <v>8016457.2199999997</v>
      </c>
      <c r="L57" s="478" t="s">
        <v>3670</v>
      </c>
      <c r="M57" s="478" t="s">
        <v>1049</v>
      </c>
      <c r="N57" s="644">
        <f>+$N$21*K57</f>
        <v>7775963.5033999998</v>
      </c>
      <c r="O57" s="644">
        <f>+K57*0.03</f>
        <v>240493.71659999999</v>
      </c>
      <c r="P57" s="644">
        <f>+K57-N57-O57</f>
        <v>0</v>
      </c>
    </row>
    <row r="58" spans="1:19" ht="19.5" customHeight="1">
      <c r="A58" s="450"/>
      <c r="B58" s="652" t="s">
        <v>1032</v>
      </c>
      <c r="C58" s="652">
        <v>5361</v>
      </c>
      <c r="D58" s="652" t="s">
        <v>3660</v>
      </c>
      <c r="E58" s="653" t="s">
        <v>3661</v>
      </c>
      <c r="F58" s="653" t="s">
        <v>3639</v>
      </c>
      <c r="G58" s="653" t="s">
        <v>3662</v>
      </c>
      <c r="H58" s="652">
        <v>400000005</v>
      </c>
      <c r="I58" s="652" t="s">
        <v>3705</v>
      </c>
      <c r="J58" s="652" t="s">
        <v>3706</v>
      </c>
      <c r="K58" s="651"/>
      <c r="L58" s="650" t="s">
        <v>3668</v>
      </c>
      <c r="M58" s="650" t="s">
        <v>3603</v>
      </c>
      <c r="N58" s="649"/>
      <c r="O58" s="649"/>
      <c r="P58" s="649"/>
      <c r="S58" s="648">
        <v>-11244173.720000001</v>
      </c>
    </row>
    <row r="59" spans="1:19" ht="19.5" customHeight="1">
      <c r="A59" s="450"/>
      <c r="B59" s="476" t="s">
        <v>1033</v>
      </c>
      <c r="C59" s="476" t="s">
        <v>1223</v>
      </c>
      <c r="D59" s="476" t="s">
        <v>3660</v>
      </c>
      <c r="E59" s="476" t="s">
        <v>3661</v>
      </c>
      <c r="F59" s="476" t="s">
        <v>3639</v>
      </c>
      <c r="G59" s="476" t="s">
        <v>3662</v>
      </c>
      <c r="H59" s="476" t="s">
        <v>3707</v>
      </c>
      <c r="I59" s="476" t="s">
        <v>3666</v>
      </c>
      <c r="J59" s="476" t="s">
        <v>3685</v>
      </c>
      <c r="K59" s="645">
        <v>2283801.91</v>
      </c>
      <c r="L59" s="478" t="s">
        <v>3668</v>
      </c>
      <c r="M59" s="478" t="s">
        <v>3603</v>
      </c>
      <c r="N59" s="646"/>
      <c r="O59" s="646"/>
      <c r="P59" s="646"/>
    </row>
    <row r="60" spans="1:19" ht="19.5" customHeight="1">
      <c r="A60" s="450"/>
      <c r="B60" s="476" t="s">
        <v>1033</v>
      </c>
      <c r="C60" s="476" t="s">
        <v>1223</v>
      </c>
      <c r="D60" s="476" t="s">
        <v>3660</v>
      </c>
      <c r="E60" s="476" t="s">
        <v>3661</v>
      </c>
      <c r="F60" s="476" t="s">
        <v>3639</v>
      </c>
      <c r="G60" s="476" t="s">
        <v>3662</v>
      </c>
      <c r="H60" s="476" t="s">
        <v>3708</v>
      </c>
      <c r="I60" s="476" t="s">
        <v>1283</v>
      </c>
      <c r="J60" s="476" t="s">
        <v>1285</v>
      </c>
      <c r="K60" s="647">
        <v>-2330138.4900000002</v>
      </c>
      <c r="L60" s="478" t="s">
        <v>3664</v>
      </c>
      <c r="M60" s="478" t="s">
        <v>1235</v>
      </c>
      <c r="N60" s="646"/>
      <c r="O60" s="646"/>
      <c r="P60" s="646"/>
    </row>
    <row r="61" spans="1:19" ht="19.5" customHeight="1">
      <c r="A61" s="450"/>
      <c r="B61" s="476" t="s">
        <v>1033</v>
      </c>
      <c r="C61" s="476" t="s">
        <v>1223</v>
      </c>
      <c r="D61" s="476" t="s">
        <v>3660</v>
      </c>
      <c r="E61" s="476" t="s">
        <v>3661</v>
      </c>
      <c r="F61" s="476" t="s">
        <v>3639</v>
      </c>
      <c r="G61" s="476" t="s">
        <v>3662</v>
      </c>
      <c r="H61" s="476" t="s">
        <v>3709</v>
      </c>
      <c r="I61" s="476" t="s">
        <v>1073</v>
      </c>
      <c r="J61" s="476" t="s">
        <v>1077</v>
      </c>
      <c r="K61" s="647">
        <v>-8016457.2199999997</v>
      </c>
      <c r="L61" s="478" t="s">
        <v>3670</v>
      </c>
      <c r="M61" s="478" t="s">
        <v>1049</v>
      </c>
      <c r="N61" s="644">
        <f>+$N$21*K61</f>
        <v>-7775963.5033999998</v>
      </c>
      <c r="O61" s="644">
        <f>+K61*0.03</f>
        <v>-240493.71659999999</v>
      </c>
      <c r="P61" s="644">
        <f>+K61-N61-O61</f>
        <v>0</v>
      </c>
    </row>
    <row r="62" spans="1:19" ht="19.5" customHeight="1">
      <c r="A62" s="450"/>
      <c r="B62" s="476" t="s">
        <v>1033</v>
      </c>
      <c r="C62" s="476" t="s">
        <v>1223</v>
      </c>
      <c r="D62" s="476" t="s">
        <v>3660</v>
      </c>
      <c r="E62" s="476" t="s">
        <v>3661</v>
      </c>
      <c r="F62" s="476" t="s">
        <v>3639</v>
      </c>
      <c r="G62" s="476" t="s">
        <v>3662</v>
      </c>
      <c r="H62" s="476" t="s">
        <v>3710</v>
      </c>
      <c r="I62" s="476" t="s">
        <v>1283</v>
      </c>
      <c r="J62" s="476" t="s">
        <v>1285</v>
      </c>
      <c r="K62" s="645">
        <v>2129408.46</v>
      </c>
      <c r="L62" s="478" t="s">
        <v>3664</v>
      </c>
      <c r="M62" s="478" t="s">
        <v>1235</v>
      </c>
      <c r="N62" s="646"/>
      <c r="O62" s="646"/>
      <c r="P62" s="646"/>
    </row>
    <row r="63" spans="1:19" ht="19.5" customHeight="1">
      <c r="A63" s="450"/>
      <c r="B63" s="476" t="s">
        <v>1033</v>
      </c>
      <c r="C63" s="476" t="s">
        <v>1223</v>
      </c>
      <c r="D63" s="476" t="s">
        <v>3660</v>
      </c>
      <c r="E63" s="476" t="s">
        <v>3661</v>
      </c>
      <c r="F63" s="476" t="s">
        <v>3639</v>
      </c>
      <c r="G63" s="476" t="s">
        <v>3662</v>
      </c>
      <c r="H63" s="476" t="s">
        <v>3711</v>
      </c>
      <c r="I63" s="476" t="s">
        <v>1073</v>
      </c>
      <c r="J63" s="476" t="s">
        <v>1077</v>
      </c>
      <c r="K63" s="645">
        <v>7736175.3200000003</v>
      </c>
      <c r="L63" s="478" t="s">
        <v>3670</v>
      </c>
      <c r="M63" s="478" t="s">
        <v>1049</v>
      </c>
      <c r="N63" s="644">
        <f>+$N$21*K63</f>
        <v>7504090.0603999998</v>
      </c>
      <c r="O63" s="644">
        <f>+K63*0.03</f>
        <v>232085.25959999999</v>
      </c>
      <c r="P63" s="644">
        <f>+K63-N63-O63</f>
        <v>4.6566128730773926E-10</v>
      </c>
    </row>
    <row r="64" spans="1:19" ht="19.5" customHeight="1">
      <c r="A64" s="450"/>
      <c r="B64" s="476" t="s">
        <v>1034</v>
      </c>
      <c r="C64" s="476" t="s">
        <v>1223</v>
      </c>
      <c r="D64" s="476" t="s">
        <v>3660</v>
      </c>
      <c r="E64" s="476" t="s">
        <v>3661</v>
      </c>
      <c r="F64" s="476" t="s">
        <v>3639</v>
      </c>
      <c r="G64" s="476" t="s">
        <v>3662</v>
      </c>
      <c r="H64" s="476" t="s">
        <v>3712</v>
      </c>
      <c r="I64" s="476" t="s">
        <v>1283</v>
      </c>
      <c r="J64" s="476" t="s">
        <v>1285</v>
      </c>
      <c r="K64" s="647">
        <v>-2129408.46</v>
      </c>
      <c r="L64" s="478" t="s">
        <v>3664</v>
      </c>
      <c r="M64" s="478" t="s">
        <v>1235</v>
      </c>
      <c r="N64" s="646"/>
      <c r="O64" s="646"/>
      <c r="P64" s="646"/>
    </row>
    <row r="65" spans="1:16" ht="19.5" customHeight="1">
      <c r="A65" s="450"/>
      <c r="B65" s="476" t="s">
        <v>1034</v>
      </c>
      <c r="C65" s="476" t="s">
        <v>1223</v>
      </c>
      <c r="D65" s="476" t="s">
        <v>3660</v>
      </c>
      <c r="E65" s="476" t="s">
        <v>3661</v>
      </c>
      <c r="F65" s="476" t="s">
        <v>3639</v>
      </c>
      <c r="G65" s="476" t="s">
        <v>3662</v>
      </c>
      <c r="H65" s="476" t="s">
        <v>3713</v>
      </c>
      <c r="I65" s="476" t="s">
        <v>1073</v>
      </c>
      <c r="J65" s="476" t="s">
        <v>1077</v>
      </c>
      <c r="K65" s="647">
        <v>-7736175.3200000003</v>
      </c>
      <c r="L65" s="478" t="s">
        <v>3670</v>
      </c>
      <c r="M65" s="478" t="s">
        <v>1049</v>
      </c>
      <c r="N65" s="644">
        <f>+$N$21*K65</f>
        <v>-7504090.0603999998</v>
      </c>
      <c r="O65" s="644">
        <f>+K65*0.03</f>
        <v>-232085.25959999999</v>
      </c>
      <c r="P65" s="644">
        <f>+K65-N65-O65</f>
        <v>-4.6566128730773926E-10</v>
      </c>
    </row>
    <row r="66" spans="1:16" ht="19.5" customHeight="1">
      <c r="A66" s="450"/>
      <c r="B66" s="476" t="s">
        <v>1034</v>
      </c>
      <c r="C66" s="476" t="s">
        <v>1223</v>
      </c>
      <c r="D66" s="476" t="s">
        <v>3660</v>
      </c>
      <c r="E66" s="476" t="s">
        <v>3661</v>
      </c>
      <c r="F66" s="476" t="s">
        <v>3639</v>
      </c>
      <c r="G66" s="476" t="s">
        <v>3662</v>
      </c>
      <c r="H66" s="476" t="s">
        <v>3714</v>
      </c>
      <c r="I66" s="476" t="s">
        <v>1283</v>
      </c>
      <c r="J66" s="476" t="s">
        <v>1285</v>
      </c>
      <c r="K66" s="645">
        <v>2087215.05</v>
      </c>
      <c r="L66" s="478" t="s">
        <v>3664</v>
      </c>
      <c r="M66" s="478" t="s">
        <v>1235</v>
      </c>
      <c r="N66" s="646"/>
      <c r="O66" s="646"/>
      <c r="P66" s="646"/>
    </row>
    <row r="67" spans="1:16" ht="19.5" customHeight="1">
      <c r="A67" s="450"/>
      <c r="B67" s="476" t="s">
        <v>1034</v>
      </c>
      <c r="C67" s="476" t="s">
        <v>1223</v>
      </c>
      <c r="D67" s="476" t="s">
        <v>3660</v>
      </c>
      <c r="E67" s="476" t="s">
        <v>3661</v>
      </c>
      <c r="F67" s="476" t="s">
        <v>3639</v>
      </c>
      <c r="G67" s="476" t="s">
        <v>3662</v>
      </c>
      <c r="H67" s="476" t="s">
        <v>3715</v>
      </c>
      <c r="I67" s="476" t="s">
        <v>3666</v>
      </c>
      <c r="J67" s="476" t="s">
        <v>3685</v>
      </c>
      <c r="K67" s="647">
        <v>-1567345.05</v>
      </c>
      <c r="L67" s="478" t="s">
        <v>3668</v>
      </c>
      <c r="M67" s="478" t="s">
        <v>3603</v>
      </c>
      <c r="N67" s="646"/>
      <c r="O67" s="646"/>
      <c r="P67" s="646"/>
    </row>
    <row r="68" spans="1:16" ht="19.5" customHeight="1">
      <c r="A68" s="450"/>
      <c r="B68" s="476" t="s">
        <v>1034</v>
      </c>
      <c r="C68" s="476" t="s">
        <v>1223</v>
      </c>
      <c r="D68" s="476" t="s">
        <v>3660</v>
      </c>
      <c r="E68" s="476" t="s">
        <v>3661</v>
      </c>
      <c r="F68" s="476" t="s">
        <v>3639</v>
      </c>
      <c r="G68" s="476" t="s">
        <v>3662</v>
      </c>
      <c r="H68" s="476" t="s">
        <v>3716</v>
      </c>
      <c r="I68" s="476" t="s">
        <v>1073</v>
      </c>
      <c r="J68" s="476" t="s">
        <v>1077</v>
      </c>
      <c r="K68" s="645">
        <v>7517835.1399999997</v>
      </c>
      <c r="L68" s="478" t="s">
        <v>3670</v>
      </c>
      <c r="M68" s="478" t="s">
        <v>1049</v>
      </c>
      <c r="N68" s="644">
        <f>+$N$21*K68</f>
        <v>7292300.0857999995</v>
      </c>
      <c r="O68" s="644">
        <f>+K68*0.03</f>
        <v>225535.05419999998</v>
      </c>
      <c r="P68" s="644">
        <f>+K68-N68-O68</f>
        <v>0</v>
      </c>
    </row>
    <row r="69" spans="1:16" ht="19.5" customHeight="1">
      <c r="A69" s="450"/>
      <c r="B69" s="476" t="s">
        <v>1035</v>
      </c>
      <c r="C69" s="476" t="s">
        <v>1223</v>
      </c>
      <c r="D69" s="476" t="s">
        <v>3660</v>
      </c>
      <c r="E69" s="476" t="s">
        <v>3661</v>
      </c>
      <c r="F69" s="476" t="s">
        <v>3639</v>
      </c>
      <c r="G69" s="476" t="s">
        <v>3662</v>
      </c>
      <c r="H69" s="476" t="s">
        <v>3717</v>
      </c>
      <c r="I69" s="476" t="s">
        <v>1283</v>
      </c>
      <c r="J69" s="476" t="s">
        <v>1285</v>
      </c>
      <c r="K69" s="647">
        <v>-2087215.05</v>
      </c>
      <c r="L69" s="478" t="s">
        <v>3664</v>
      </c>
      <c r="M69" s="478" t="s">
        <v>1235</v>
      </c>
      <c r="N69" s="646"/>
      <c r="O69" s="646"/>
      <c r="P69" s="646"/>
    </row>
    <row r="70" spans="1:16" ht="19.5" customHeight="1">
      <c r="A70" s="450"/>
      <c r="B70" s="476" t="s">
        <v>1035</v>
      </c>
      <c r="C70" s="476" t="s">
        <v>1223</v>
      </c>
      <c r="D70" s="476" t="s">
        <v>3660</v>
      </c>
      <c r="E70" s="476" t="s">
        <v>3661</v>
      </c>
      <c r="F70" s="476" t="s">
        <v>3639</v>
      </c>
      <c r="G70" s="476" t="s">
        <v>3662</v>
      </c>
      <c r="H70" s="476" t="s">
        <v>3718</v>
      </c>
      <c r="I70" s="476" t="s">
        <v>3666</v>
      </c>
      <c r="J70" s="476" t="s">
        <v>3685</v>
      </c>
      <c r="K70" s="645">
        <v>1567345.05</v>
      </c>
      <c r="L70" s="478" t="s">
        <v>3668</v>
      </c>
      <c r="M70" s="478" t="s">
        <v>3603</v>
      </c>
      <c r="N70" s="646"/>
      <c r="O70" s="646"/>
      <c r="P70" s="646"/>
    </row>
    <row r="71" spans="1:16" ht="19.5" customHeight="1">
      <c r="A71" s="450"/>
      <c r="B71" s="476" t="s">
        <v>1035</v>
      </c>
      <c r="C71" s="476" t="s">
        <v>1223</v>
      </c>
      <c r="D71" s="476" t="s">
        <v>3660</v>
      </c>
      <c r="E71" s="476" t="s">
        <v>3661</v>
      </c>
      <c r="F71" s="476" t="s">
        <v>3639</v>
      </c>
      <c r="G71" s="476" t="s">
        <v>3662</v>
      </c>
      <c r="H71" s="476" t="s">
        <v>3719</v>
      </c>
      <c r="I71" s="476" t="s">
        <v>1073</v>
      </c>
      <c r="J71" s="476" t="s">
        <v>1077</v>
      </c>
      <c r="K71" s="647">
        <v>-7517835.1399999997</v>
      </c>
      <c r="L71" s="478" t="s">
        <v>3670</v>
      </c>
      <c r="M71" s="478" t="s">
        <v>1049</v>
      </c>
      <c r="N71" s="644">
        <f>+$N$21*K71</f>
        <v>-7292300.0857999995</v>
      </c>
      <c r="O71" s="644">
        <f>+K71*0.03</f>
        <v>-225535.05419999998</v>
      </c>
      <c r="P71" s="644">
        <f>+K71-N71-O71</f>
        <v>0</v>
      </c>
    </row>
    <row r="72" spans="1:16" ht="19.5" customHeight="1">
      <c r="A72" s="450"/>
      <c r="B72" s="476" t="s">
        <v>1035</v>
      </c>
      <c r="C72" s="476" t="s">
        <v>1223</v>
      </c>
      <c r="D72" s="476" t="s">
        <v>3660</v>
      </c>
      <c r="E72" s="476" t="s">
        <v>3661</v>
      </c>
      <c r="F72" s="476" t="s">
        <v>3639</v>
      </c>
      <c r="G72" s="476" t="s">
        <v>3662</v>
      </c>
      <c r="H72" s="476" t="s">
        <v>3720</v>
      </c>
      <c r="I72" s="476" t="s">
        <v>1283</v>
      </c>
      <c r="J72" s="476" t="s">
        <v>1285</v>
      </c>
      <c r="K72" s="645">
        <v>2072870.49</v>
      </c>
      <c r="L72" s="478" t="s">
        <v>3664</v>
      </c>
      <c r="M72" s="478" t="s">
        <v>1235</v>
      </c>
      <c r="N72" s="646"/>
      <c r="O72" s="646"/>
      <c r="P72" s="646"/>
    </row>
    <row r="73" spans="1:16" ht="19.5" customHeight="1">
      <c r="A73" s="450"/>
      <c r="B73" s="476" t="s">
        <v>1035</v>
      </c>
      <c r="C73" s="476" t="s">
        <v>1223</v>
      </c>
      <c r="D73" s="476" t="s">
        <v>3660</v>
      </c>
      <c r="E73" s="476" t="s">
        <v>3661</v>
      </c>
      <c r="F73" s="476" t="s">
        <v>3639</v>
      </c>
      <c r="G73" s="476" t="s">
        <v>3662</v>
      </c>
      <c r="H73" s="476" t="s">
        <v>3721</v>
      </c>
      <c r="I73" s="476" t="s">
        <v>3666</v>
      </c>
      <c r="J73" s="476" t="s">
        <v>3722</v>
      </c>
      <c r="K73" s="647">
        <v>-2289088.89</v>
      </c>
      <c r="L73" s="478" t="s">
        <v>3668</v>
      </c>
      <c r="M73" s="478" t="s">
        <v>3603</v>
      </c>
      <c r="N73" s="646"/>
      <c r="O73" s="646"/>
      <c r="P73" s="646"/>
    </row>
    <row r="74" spans="1:16" ht="19.5" customHeight="1">
      <c r="A74" s="450"/>
      <c r="B74" s="476" t="s">
        <v>1035</v>
      </c>
      <c r="C74" s="476" t="s">
        <v>1223</v>
      </c>
      <c r="D74" s="476" t="s">
        <v>3660</v>
      </c>
      <c r="E74" s="476" t="s">
        <v>3661</v>
      </c>
      <c r="F74" s="476" t="s">
        <v>3639</v>
      </c>
      <c r="G74" s="476" t="s">
        <v>3662</v>
      </c>
      <c r="H74" s="476" t="s">
        <v>3723</v>
      </c>
      <c r="I74" s="476" t="s">
        <v>1073</v>
      </c>
      <c r="J74" s="476" t="s">
        <v>1077</v>
      </c>
      <c r="K74" s="645">
        <v>6559782.6299999999</v>
      </c>
      <c r="L74" s="478" t="s">
        <v>3670</v>
      </c>
      <c r="M74" s="478" t="s">
        <v>1049</v>
      </c>
      <c r="N74" s="644">
        <f>+$N$21*K74</f>
        <v>6362989.1510999994</v>
      </c>
      <c r="O74" s="644">
        <f>+K74*0.03</f>
        <v>196793.47889999999</v>
      </c>
      <c r="P74" s="644">
        <f>+K74-N74-O74</f>
        <v>4.6566128730773926E-10</v>
      </c>
    </row>
    <row r="75" spans="1:16" ht="19.5" customHeight="1">
      <c r="A75" s="450"/>
      <c r="B75" s="476" t="s">
        <v>1036</v>
      </c>
      <c r="C75" s="476" t="s">
        <v>1223</v>
      </c>
      <c r="D75" s="476" t="s">
        <v>3660</v>
      </c>
      <c r="E75" s="476" t="s">
        <v>3661</v>
      </c>
      <c r="F75" s="476" t="s">
        <v>3639</v>
      </c>
      <c r="G75" s="476" t="s">
        <v>3662</v>
      </c>
      <c r="H75" s="476" t="s">
        <v>3724</v>
      </c>
      <c r="I75" s="476" t="s">
        <v>1283</v>
      </c>
      <c r="J75" s="476" t="s">
        <v>1285</v>
      </c>
      <c r="K75" s="647">
        <v>-2072870.49</v>
      </c>
      <c r="L75" s="478" t="s">
        <v>3664</v>
      </c>
      <c r="M75" s="478" t="s">
        <v>1235</v>
      </c>
      <c r="N75" s="646"/>
      <c r="O75" s="646"/>
      <c r="P75" s="646"/>
    </row>
    <row r="76" spans="1:16" ht="19.5" customHeight="1">
      <c r="A76" s="450"/>
      <c r="B76" s="476" t="s">
        <v>1036</v>
      </c>
      <c r="C76" s="476" t="s">
        <v>1223</v>
      </c>
      <c r="D76" s="476" t="s">
        <v>3660</v>
      </c>
      <c r="E76" s="476" t="s">
        <v>3661</v>
      </c>
      <c r="F76" s="476" t="s">
        <v>3639</v>
      </c>
      <c r="G76" s="476" t="s">
        <v>3662</v>
      </c>
      <c r="H76" s="476" t="s">
        <v>3725</v>
      </c>
      <c r="I76" s="476" t="s">
        <v>3666</v>
      </c>
      <c r="J76" s="476" t="s">
        <v>3722</v>
      </c>
      <c r="K76" s="645">
        <v>2289088.89</v>
      </c>
      <c r="L76" s="478" t="s">
        <v>3668</v>
      </c>
      <c r="M76" s="478" t="s">
        <v>3603</v>
      </c>
      <c r="N76" s="646"/>
      <c r="O76" s="646"/>
      <c r="P76" s="646"/>
    </row>
    <row r="77" spans="1:16" ht="19.5" customHeight="1">
      <c r="A77" s="450"/>
      <c r="B77" s="476" t="s">
        <v>1036</v>
      </c>
      <c r="C77" s="476" t="s">
        <v>1223</v>
      </c>
      <c r="D77" s="476" t="s">
        <v>3660</v>
      </c>
      <c r="E77" s="476" t="s">
        <v>3661</v>
      </c>
      <c r="F77" s="476" t="s">
        <v>3639</v>
      </c>
      <c r="G77" s="476" t="s">
        <v>3662</v>
      </c>
      <c r="H77" s="476" t="s">
        <v>3726</v>
      </c>
      <c r="I77" s="476" t="s">
        <v>1073</v>
      </c>
      <c r="J77" s="476" t="s">
        <v>1077</v>
      </c>
      <c r="K77" s="647">
        <v>-6559782.6299999999</v>
      </c>
      <c r="L77" s="478" t="s">
        <v>3670</v>
      </c>
      <c r="M77" s="478" t="s">
        <v>1049</v>
      </c>
      <c r="N77" s="644">
        <f>+$N$21*K77</f>
        <v>-6362989.1510999994</v>
      </c>
      <c r="O77" s="644">
        <f>+K77*0.03</f>
        <v>-196793.47889999999</v>
      </c>
      <c r="P77" s="644">
        <f>+K77-N77-O77</f>
        <v>-4.6566128730773926E-10</v>
      </c>
    </row>
    <row r="78" spans="1:16" ht="19.5" customHeight="1">
      <c r="A78" s="450"/>
      <c r="B78" s="476" t="s">
        <v>1036</v>
      </c>
      <c r="C78" s="476" t="s">
        <v>1223</v>
      </c>
      <c r="D78" s="476" t="s">
        <v>3660</v>
      </c>
      <c r="E78" s="476" t="s">
        <v>3661</v>
      </c>
      <c r="F78" s="476" t="s">
        <v>3639</v>
      </c>
      <c r="G78" s="476" t="s">
        <v>3662</v>
      </c>
      <c r="H78" s="476" t="s">
        <v>3727</v>
      </c>
      <c r="I78" s="476" t="s">
        <v>1283</v>
      </c>
      <c r="J78" s="476" t="s">
        <v>1285</v>
      </c>
      <c r="K78" s="645">
        <v>1982937.71</v>
      </c>
      <c r="L78" s="478" t="s">
        <v>3664</v>
      </c>
      <c r="M78" s="478" t="s">
        <v>1235</v>
      </c>
      <c r="N78" s="646"/>
      <c r="O78" s="646"/>
      <c r="P78" s="646"/>
    </row>
    <row r="79" spans="1:16" ht="19.5" customHeight="1">
      <c r="A79" s="450"/>
      <c r="B79" s="476" t="s">
        <v>1036</v>
      </c>
      <c r="C79" s="476" t="s">
        <v>1223</v>
      </c>
      <c r="D79" s="476" t="s">
        <v>3660</v>
      </c>
      <c r="E79" s="476" t="s">
        <v>3661</v>
      </c>
      <c r="F79" s="476" t="s">
        <v>3639</v>
      </c>
      <c r="G79" s="476" t="s">
        <v>3662</v>
      </c>
      <c r="H79" s="476" t="s">
        <v>3728</v>
      </c>
      <c r="I79" s="476" t="s">
        <v>1073</v>
      </c>
      <c r="J79" s="476" t="s">
        <v>1077</v>
      </c>
      <c r="K79" s="645">
        <v>13819660.74</v>
      </c>
      <c r="L79" s="478" t="s">
        <v>3670</v>
      </c>
      <c r="M79" s="478" t="s">
        <v>1049</v>
      </c>
      <c r="N79" s="644">
        <f>+$N$21*K79</f>
        <v>13405070.9178</v>
      </c>
      <c r="O79" s="644">
        <f>+K79*0.03</f>
        <v>414589.8222</v>
      </c>
      <c r="P79" s="644">
        <f>+K79-N79-O79</f>
        <v>0</v>
      </c>
    </row>
    <row r="80" spans="1:16" ht="19.5" customHeight="1">
      <c r="A80" s="450"/>
      <c r="B80" s="476" t="s">
        <v>1037</v>
      </c>
      <c r="C80" s="476" t="s">
        <v>1223</v>
      </c>
      <c r="D80" s="476" t="s">
        <v>3660</v>
      </c>
      <c r="E80" s="476" t="s">
        <v>3661</v>
      </c>
      <c r="F80" s="476" t="s">
        <v>3639</v>
      </c>
      <c r="G80" s="476" t="s">
        <v>3662</v>
      </c>
      <c r="H80" s="476" t="s">
        <v>3729</v>
      </c>
      <c r="I80" s="476" t="s">
        <v>1283</v>
      </c>
      <c r="J80" s="476" t="s">
        <v>1285</v>
      </c>
      <c r="K80" s="647">
        <v>-1982937.71</v>
      </c>
      <c r="L80" s="478" t="s">
        <v>3664</v>
      </c>
      <c r="M80" s="478" t="s">
        <v>1235</v>
      </c>
      <c r="N80" s="646"/>
      <c r="O80" s="646"/>
      <c r="P80" s="646"/>
    </row>
    <row r="81" spans="1:17" ht="19.5" customHeight="1">
      <c r="A81" s="450"/>
      <c r="B81" s="476" t="s">
        <v>1037</v>
      </c>
      <c r="C81" s="476" t="s">
        <v>1223</v>
      </c>
      <c r="D81" s="476" t="s">
        <v>3660</v>
      </c>
      <c r="E81" s="476" t="s">
        <v>3661</v>
      </c>
      <c r="F81" s="476" t="s">
        <v>3639</v>
      </c>
      <c r="G81" s="476" t="s">
        <v>3662</v>
      </c>
      <c r="H81" s="476" t="s">
        <v>3730</v>
      </c>
      <c r="I81" s="476" t="s">
        <v>1073</v>
      </c>
      <c r="J81" s="476" t="s">
        <v>1077</v>
      </c>
      <c r="K81" s="647">
        <v>-13819660.74</v>
      </c>
      <c r="L81" s="478" t="s">
        <v>3670</v>
      </c>
      <c r="M81" s="478" t="s">
        <v>1049</v>
      </c>
      <c r="N81" s="644">
        <f>+$N$21*K81</f>
        <v>-13405070.9178</v>
      </c>
      <c r="O81" s="644">
        <f>+K81*0.03</f>
        <v>-414589.8222</v>
      </c>
      <c r="P81" s="644">
        <f>+K81-N81-O81</f>
        <v>0</v>
      </c>
    </row>
    <row r="82" spans="1:17" ht="19.5" customHeight="1">
      <c r="A82" s="450"/>
      <c r="B82" s="476" t="s">
        <v>1037</v>
      </c>
      <c r="C82" s="476" t="s">
        <v>1223</v>
      </c>
      <c r="D82" s="476" t="s">
        <v>3660</v>
      </c>
      <c r="E82" s="476" t="s">
        <v>3661</v>
      </c>
      <c r="F82" s="476" t="s">
        <v>3639</v>
      </c>
      <c r="G82" s="476" t="s">
        <v>3662</v>
      </c>
      <c r="H82" s="476" t="s">
        <v>3731</v>
      </c>
      <c r="I82" s="476" t="s">
        <v>1283</v>
      </c>
      <c r="J82" s="476" t="s">
        <v>1285</v>
      </c>
      <c r="K82" s="645">
        <v>2383045.61</v>
      </c>
      <c r="L82" s="478" t="s">
        <v>3664</v>
      </c>
      <c r="M82" s="478" t="s">
        <v>1235</v>
      </c>
      <c r="N82" s="646"/>
      <c r="O82" s="646"/>
      <c r="P82" s="646"/>
    </row>
    <row r="83" spans="1:17" ht="19.5" customHeight="1">
      <c r="A83" s="450"/>
      <c r="B83" s="476" t="s">
        <v>1037</v>
      </c>
      <c r="C83" s="476" t="s">
        <v>1223</v>
      </c>
      <c r="D83" s="476" t="s">
        <v>3660</v>
      </c>
      <c r="E83" s="476" t="s">
        <v>3661</v>
      </c>
      <c r="F83" s="476" t="s">
        <v>3639</v>
      </c>
      <c r="G83" s="476" t="s">
        <v>3662</v>
      </c>
      <c r="H83" s="476" t="s">
        <v>3732</v>
      </c>
      <c r="I83" s="476" t="s">
        <v>1073</v>
      </c>
      <c r="J83" s="476" t="s">
        <v>1077</v>
      </c>
      <c r="K83" s="645">
        <v>28250187.23</v>
      </c>
      <c r="L83" s="478" t="s">
        <v>3670</v>
      </c>
      <c r="M83" s="478" t="s">
        <v>1049</v>
      </c>
      <c r="N83" s="644">
        <f>+$N$21*K83</f>
        <v>27402681.6131</v>
      </c>
      <c r="O83" s="644">
        <f>+K83*0.03</f>
        <v>847505.61690000002</v>
      </c>
      <c r="P83" s="644">
        <f>+K83-N83-O83</f>
        <v>0</v>
      </c>
    </row>
    <row r="84" spans="1:17" ht="19.5" customHeight="1">
      <c r="A84" s="450"/>
      <c r="B84" s="476" t="s">
        <v>1038</v>
      </c>
      <c r="C84" s="476" t="s">
        <v>1223</v>
      </c>
      <c r="D84" s="476" t="s">
        <v>3660</v>
      </c>
      <c r="E84" s="476" t="s">
        <v>3661</v>
      </c>
      <c r="F84" s="476" t="s">
        <v>3639</v>
      </c>
      <c r="G84" s="476" t="s">
        <v>3662</v>
      </c>
      <c r="H84" s="476" t="s">
        <v>3733</v>
      </c>
      <c r="I84" s="476" t="s">
        <v>1283</v>
      </c>
      <c r="J84" s="476" t="s">
        <v>1285</v>
      </c>
      <c r="K84" s="647">
        <v>-2383045.61</v>
      </c>
      <c r="L84" s="478" t="s">
        <v>3664</v>
      </c>
      <c r="M84" s="478" t="s">
        <v>1235</v>
      </c>
      <c r="N84" s="646"/>
      <c r="O84" s="646"/>
      <c r="P84" s="646"/>
    </row>
    <row r="85" spans="1:17" ht="19.5" customHeight="1">
      <c r="A85" s="450"/>
      <c r="B85" s="476" t="s">
        <v>1038</v>
      </c>
      <c r="C85" s="476" t="s">
        <v>1223</v>
      </c>
      <c r="D85" s="476" t="s">
        <v>3660</v>
      </c>
      <c r="E85" s="476" t="s">
        <v>3661</v>
      </c>
      <c r="F85" s="476" t="s">
        <v>3639</v>
      </c>
      <c r="G85" s="476" t="s">
        <v>3662</v>
      </c>
      <c r="H85" s="476" t="s">
        <v>3734</v>
      </c>
      <c r="I85" s="476" t="s">
        <v>1073</v>
      </c>
      <c r="J85" s="476" t="s">
        <v>1077</v>
      </c>
      <c r="K85" s="647">
        <v>-28250187.23</v>
      </c>
      <c r="L85" s="478" t="s">
        <v>3670</v>
      </c>
      <c r="M85" s="478" t="s">
        <v>1049</v>
      </c>
      <c r="N85" s="644">
        <f>+$N$21*K85</f>
        <v>-27402681.6131</v>
      </c>
      <c r="O85" s="644">
        <f>+K85*0.03</f>
        <v>-847505.61690000002</v>
      </c>
      <c r="P85" s="644">
        <f>+K85-N85-O85</f>
        <v>0</v>
      </c>
    </row>
    <row r="86" spans="1:17" ht="19.5" customHeight="1">
      <c r="A86" s="450"/>
      <c r="B86" s="476" t="s">
        <v>1038</v>
      </c>
      <c r="C86" s="476" t="s">
        <v>1223</v>
      </c>
      <c r="D86" s="476" t="s">
        <v>3660</v>
      </c>
      <c r="E86" s="476" t="s">
        <v>3661</v>
      </c>
      <c r="F86" s="476" t="s">
        <v>3639</v>
      </c>
      <c r="G86" s="476" t="s">
        <v>3662</v>
      </c>
      <c r="H86" s="476" t="s">
        <v>3735</v>
      </c>
      <c r="I86" s="476" t="s">
        <v>1283</v>
      </c>
      <c r="J86" s="476" t="s">
        <v>1285</v>
      </c>
      <c r="K86" s="645">
        <v>4154315.23</v>
      </c>
      <c r="L86" s="478" t="s">
        <v>3664</v>
      </c>
      <c r="M86" s="478" t="s">
        <v>1235</v>
      </c>
      <c r="N86" s="646"/>
      <c r="O86" s="646"/>
      <c r="P86" s="646"/>
      <c r="Q86" s="676" t="s">
        <v>3570</v>
      </c>
    </row>
    <row r="87" spans="1:17" ht="19.5" customHeight="1">
      <c r="A87" s="450"/>
      <c r="B87" s="476" t="s">
        <v>1038</v>
      </c>
      <c r="C87" s="476" t="s">
        <v>1223</v>
      </c>
      <c r="D87" s="476" t="s">
        <v>3660</v>
      </c>
      <c r="E87" s="476" t="s">
        <v>3661</v>
      </c>
      <c r="F87" s="476" t="s">
        <v>3639</v>
      </c>
      <c r="G87" s="476" t="s">
        <v>3662</v>
      </c>
      <c r="H87" s="476" t="s">
        <v>3736</v>
      </c>
      <c r="I87" s="476" t="s">
        <v>3666</v>
      </c>
      <c r="J87" s="476" t="s">
        <v>3737</v>
      </c>
      <c r="K87" s="647">
        <v>-8952068.1699999999</v>
      </c>
      <c r="L87" s="478" t="s">
        <v>3668</v>
      </c>
      <c r="M87" s="478" t="s">
        <v>3603</v>
      </c>
      <c r="N87" s="646"/>
      <c r="O87" s="646"/>
      <c r="P87" s="646"/>
    </row>
    <row r="88" spans="1:17" ht="19.5" customHeight="1">
      <c r="A88" s="450"/>
      <c r="B88" s="476" t="s">
        <v>1038</v>
      </c>
      <c r="C88" s="476" t="s">
        <v>1223</v>
      </c>
      <c r="D88" s="476" t="s">
        <v>3660</v>
      </c>
      <c r="E88" s="476" t="s">
        <v>3661</v>
      </c>
      <c r="F88" s="476" t="s">
        <v>3639</v>
      </c>
      <c r="G88" s="476" t="s">
        <v>3662</v>
      </c>
      <c r="H88" s="476" t="s">
        <v>3738</v>
      </c>
      <c r="I88" s="476" t="s">
        <v>1073</v>
      </c>
      <c r="J88" s="476" t="s">
        <v>1075</v>
      </c>
      <c r="K88" s="645">
        <v>53788053.75</v>
      </c>
      <c r="L88" s="478" t="s">
        <v>3670</v>
      </c>
      <c r="M88" s="478" t="s">
        <v>1049</v>
      </c>
      <c r="N88" s="644">
        <f>+$N$21*K88</f>
        <v>52174412.137499996</v>
      </c>
      <c r="O88" s="644">
        <f>+K88*0.03</f>
        <v>1613641.6125</v>
      </c>
      <c r="P88" s="644">
        <f>+K88-N88-O88</f>
        <v>4.4237822294235229E-9</v>
      </c>
    </row>
    <row r="89" spans="1:17" ht="19.5" customHeight="1">
      <c r="A89" s="450"/>
      <c r="B89" s="479"/>
      <c r="C89" s="479"/>
      <c r="D89" s="479"/>
      <c r="E89" s="479"/>
      <c r="F89" s="479"/>
      <c r="G89" s="479"/>
      <c r="H89" s="479"/>
      <c r="I89" s="479"/>
      <c r="J89" s="480" t="s">
        <v>3739</v>
      </c>
      <c r="K89" s="643">
        <f>SUM(K22:K88)</f>
        <v>15493084.300000012</v>
      </c>
      <c r="L89" s="478"/>
      <c r="M89" s="478"/>
      <c r="N89" s="642">
        <f>SUM(N22:N88)</f>
        <v>15965252.309999995</v>
      </c>
      <c r="O89" s="642">
        <f>SUM(O22:O88)</f>
        <v>493770.69000000018</v>
      </c>
      <c r="P89" s="642">
        <f>SUM(P22:P88)</f>
        <v>4.4237822294235229E-9</v>
      </c>
    </row>
    <row r="90" spans="1:17" ht="19.5" customHeight="1">
      <c r="A90" s="450"/>
      <c r="B90" s="450"/>
      <c r="C90" s="450"/>
      <c r="D90" s="450"/>
      <c r="E90" s="450"/>
      <c r="F90" s="450"/>
      <c r="G90" s="450"/>
      <c r="H90" s="450"/>
      <c r="I90" s="450"/>
      <c r="J90" s="450"/>
      <c r="K90" s="450"/>
      <c r="L90" s="450"/>
      <c r="M90" s="450"/>
      <c r="N90" s="450"/>
      <c r="O90" s="677" t="s">
        <v>3550</v>
      </c>
      <c r="P90" s="450"/>
    </row>
    <row r="93" spans="1:17" ht="19.5" customHeight="1">
      <c r="N93" s="668">
        <f>SUMIF(M:M,N11,N:N)</f>
        <v>15965252.309999995</v>
      </c>
      <c r="O93" s="669"/>
    </row>
    <row r="94" spans="1:17" ht="19.5" customHeight="1">
      <c r="N94" s="668">
        <f>SUMIF(M:M,N10,K:K)</f>
        <v>1214745.19</v>
      </c>
      <c r="O94" s="670"/>
    </row>
    <row r="95" spans="1:17" ht="19.5" customHeight="1">
      <c r="N95" s="668">
        <f>SUM(N93:N94)</f>
        <v>17179997.499999996</v>
      </c>
      <c r="O95" s="676" t="s">
        <v>1079</v>
      </c>
    </row>
  </sheetData>
  <autoFilter ref="B21:P89" xr:uid="{00000000-0001-0000-0000-000000000000}"/>
  <mergeCells count="38">
    <mergeCell ref="B5:C5"/>
    <mergeCell ref="B6:C6"/>
    <mergeCell ref="D17:F17"/>
    <mergeCell ref="D18:F18"/>
    <mergeCell ref="D19:F19"/>
    <mergeCell ref="D5:F5"/>
    <mergeCell ref="D6:F6"/>
    <mergeCell ref="D14:F14"/>
    <mergeCell ref="D15:F15"/>
    <mergeCell ref="D16:F16"/>
    <mergeCell ref="D10:F10"/>
    <mergeCell ref="D9:F9"/>
    <mergeCell ref="D12:F12"/>
    <mergeCell ref="D13:F13"/>
    <mergeCell ref="B17:C17"/>
    <mergeCell ref="B18:C18"/>
    <mergeCell ref="D2:F2"/>
    <mergeCell ref="D3:F3"/>
    <mergeCell ref="B2:C2"/>
    <mergeCell ref="B3:C3"/>
    <mergeCell ref="B4:C4"/>
    <mergeCell ref="D4:F4"/>
    <mergeCell ref="B19:C19"/>
    <mergeCell ref="B15:C15"/>
    <mergeCell ref="B16:C16"/>
    <mergeCell ref="H8:J8"/>
    <mergeCell ref="L7:O7"/>
    <mergeCell ref="B12:C12"/>
    <mergeCell ref="B13:C13"/>
    <mergeCell ref="B14:C14"/>
    <mergeCell ref="B11:C11"/>
    <mergeCell ref="D11:F11"/>
    <mergeCell ref="D7:F7"/>
    <mergeCell ref="D8:F8"/>
    <mergeCell ref="B7:C7"/>
    <mergeCell ref="B8:C8"/>
    <mergeCell ref="B9:C9"/>
    <mergeCell ref="B10:C10"/>
  </mergeCells>
  <pageMargins left="0.7" right="0.7" top="0.75" bottom="0.75" header="0.3" footer="0.3"/>
  <pageSetup orientation="landscape" r:id="rId1"/>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287B90-8E36-497E-8B9E-D389B3273FB9}">
  <sheetPr>
    <tabColor rgb="FFFF0000"/>
  </sheetPr>
  <dimension ref="B1:P81"/>
  <sheetViews>
    <sheetView workbookViewId="0"/>
  </sheetViews>
  <sheetFormatPr defaultColWidth="9.140625" defaultRowHeight="12.75"/>
  <cols>
    <col min="1" max="1" width="6" style="482" customWidth="1"/>
    <col min="2" max="3" width="12.140625" style="482" customWidth="1"/>
    <col min="4" max="6" width="17.42578125" style="482" customWidth="1"/>
    <col min="7" max="11" width="22.140625" style="482" customWidth="1"/>
    <col min="12" max="12" width="26.28515625" style="482" customWidth="1"/>
    <col min="13" max="13" width="17.5703125" style="482" bestFit="1" customWidth="1"/>
    <col min="14" max="14" width="19" style="482" bestFit="1" customWidth="1"/>
    <col min="15" max="15" width="17.42578125" style="482" customWidth="1"/>
    <col min="16" max="16384" width="9.140625" style="482"/>
  </cols>
  <sheetData>
    <row r="1" spans="2:15" s="450" customFormat="1" ht="17.100000000000001" customHeight="1"/>
    <row r="2" spans="2:15" s="450" customFormat="1" ht="52.35" customHeight="1">
      <c r="B2" s="830" t="s">
        <v>3623</v>
      </c>
      <c r="C2" s="830"/>
      <c r="D2" s="827" t="s">
        <v>3740</v>
      </c>
      <c r="E2" s="828"/>
      <c r="F2" s="829"/>
    </row>
    <row r="3" spans="2:15" s="450" customFormat="1" ht="19.7" customHeight="1">
      <c r="B3" s="830" t="s">
        <v>3625</v>
      </c>
      <c r="C3" s="830"/>
      <c r="D3" s="826" t="s">
        <v>3741</v>
      </c>
      <c r="E3" s="826"/>
      <c r="F3" s="826"/>
    </row>
    <row r="4" spans="2:15" s="450" customFormat="1" ht="19.7" customHeight="1">
      <c r="B4" s="830" t="s">
        <v>3629</v>
      </c>
      <c r="C4" s="830"/>
      <c r="D4" s="826" t="s">
        <v>3628</v>
      </c>
      <c r="E4" s="826"/>
      <c r="F4" s="826"/>
    </row>
    <row r="5" spans="2:15" s="450" customFormat="1" ht="30.4" customHeight="1">
      <c r="B5" s="830" t="s">
        <v>978</v>
      </c>
      <c r="C5" s="830"/>
      <c r="D5" s="826" t="s">
        <v>3742</v>
      </c>
      <c r="E5" s="826"/>
      <c r="F5" s="826"/>
    </row>
    <row r="6" spans="2:15" s="450" customFormat="1" ht="19.7" customHeight="1" thickBot="1">
      <c r="B6" s="830" t="s">
        <v>3743</v>
      </c>
      <c r="C6" s="830"/>
      <c r="D6" s="826" t="s">
        <v>3628</v>
      </c>
      <c r="E6" s="826"/>
      <c r="F6" s="826"/>
    </row>
    <row r="7" spans="2:15" s="450" customFormat="1" ht="19.7" customHeight="1">
      <c r="B7" s="830" t="s">
        <v>3744</v>
      </c>
      <c r="C7" s="830"/>
      <c r="D7" s="826" t="s">
        <v>3628</v>
      </c>
      <c r="E7" s="826"/>
      <c r="F7" s="826"/>
      <c r="H7" s="451"/>
      <c r="I7" s="452"/>
      <c r="J7" s="453"/>
      <c r="L7" s="823" t="s">
        <v>3631</v>
      </c>
      <c r="M7" s="824"/>
      <c r="N7" s="824"/>
      <c r="O7" s="825"/>
    </row>
    <row r="8" spans="2:15" s="450" customFormat="1" ht="19.7" customHeight="1">
      <c r="B8" s="830" t="s">
        <v>3638</v>
      </c>
      <c r="C8" s="830"/>
      <c r="D8" s="826" t="s">
        <v>3639</v>
      </c>
      <c r="E8" s="826"/>
      <c r="F8" s="826"/>
      <c r="H8" s="820" t="s">
        <v>3633</v>
      </c>
      <c r="I8" s="821"/>
      <c r="J8" s="822"/>
      <c r="L8" s="454"/>
      <c r="M8" s="455" t="s">
        <v>3634</v>
      </c>
      <c r="N8" s="456" t="s">
        <v>1019</v>
      </c>
      <c r="O8" s="457" t="s">
        <v>3635</v>
      </c>
    </row>
    <row r="9" spans="2:15" s="450" customFormat="1" ht="19.7" customHeight="1">
      <c r="B9" s="830" t="s">
        <v>1022</v>
      </c>
      <c r="C9" s="830"/>
      <c r="D9" s="826" t="s">
        <v>3628</v>
      </c>
      <c r="E9" s="826"/>
      <c r="F9" s="826"/>
      <c r="H9" s="458" t="s">
        <v>3637</v>
      </c>
      <c r="I9" s="456" t="s">
        <v>1019</v>
      </c>
      <c r="J9" s="457" t="s">
        <v>3635</v>
      </c>
      <c r="L9" s="454"/>
      <c r="M9" s="459">
        <v>1</v>
      </c>
      <c r="N9" s="460" t="s">
        <v>3603</v>
      </c>
      <c r="O9" s="461">
        <f>SUMIF(M:M,N9,K:K)</f>
        <v>-1867703.6600000001</v>
      </c>
    </row>
    <row r="10" spans="2:15" s="450" customFormat="1" ht="19.7" customHeight="1">
      <c r="B10" s="830" t="s">
        <v>3643</v>
      </c>
      <c r="C10" s="830"/>
      <c r="D10" s="826" t="s">
        <v>3628</v>
      </c>
      <c r="E10" s="826"/>
      <c r="F10" s="826"/>
      <c r="H10" s="462" t="s">
        <v>3640</v>
      </c>
      <c r="I10" s="463" t="s">
        <v>3639</v>
      </c>
      <c r="J10" s="461">
        <f>SUMIF(F:F,I10,K:K)</f>
        <v>-947205.38000000268</v>
      </c>
      <c r="L10" s="454"/>
      <c r="M10" s="459">
        <v>2</v>
      </c>
      <c r="N10" s="460" t="s">
        <v>1235</v>
      </c>
      <c r="O10" s="461">
        <f>SUMIF(M:M,N10,K:K)</f>
        <v>611321.16999999993</v>
      </c>
    </row>
    <row r="11" spans="2:15" s="450" customFormat="1" ht="19.7" customHeight="1">
      <c r="B11" s="830" t="s">
        <v>3645</v>
      </c>
      <c r="C11" s="830"/>
      <c r="D11" s="826" t="s">
        <v>3628</v>
      </c>
      <c r="E11" s="826"/>
      <c r="F11" s="826"/>
      <c r="H11" s="462" t="s">
        <v>3641</v>
      </c>
      <c r="I11" s="463" t="s">
        <v>3642</v>
      </c>
      <c r="J11" s="461">
        <f>SUMIF(F:F,I11,K:K)</f>
        <v>0</v>
      </c>
      <c r="L11" s="454"/>
      <c r="M11" s="459">
        <v>3</v>
      </c>
      <c r="N11" s="460" t="s">
        <v>1049</v>
      </c>
      <c r="O11" s="464">
        <f>SUMIF(M:M,N11,K:K)</f>
        <v>309177.1099999994</v>
      </c>
    </row>
    <row r="12" spans="2:15" s="450" customFormat="1" ht="19.7" customHeight="1">
      <c r="B12" s="830" t="s">
        <v>3647</v>
      </c>
      <c r="C12" s="830"/>
      <c r="D12" s="826" t="s">
        <v>3628</v>
      </c>
      <c r="E12" s="826"/>
      <c r="F12" s="826"/>
      <c r="H12" s="462" t="s">
        <v>1704</v>
      </c>
      <c r="I12" s="463" t="s">
        <v>3644</v>
      </c>
      <c r="J12" s="461">
        <f>SUMIF(F:F,I12,K:K)</f>
        <v>0</v>
      </c>
      <c r="L12" s="454"/>
      <c r="M12" s="459"/>
      <c r="N12" s="463"/>
      <c r="O12" s="464"/>
    </row>
    <row r="13" spans="2:15" s="450" customFormat="1" ht="19.7" customHeight="1" thickBot="1">
      <c r="B13" s="830" t="s">
        <v>3648</v>
      </c>
      <c r="C13" s="830"/>
      <c r="D13" s="826" t="s">
        <v>3628</v>
      </c>
      <c r="E13" s="826"/>
      <c r="F13" s="826"/>
      <c r="H13" s="462" t="s">
        <v>1704</v>
      </c>
      <c r="I13" s="463" t="s">
        <v>3646</v>
      </c>
      <c r="J13" s="464">
        <f>SUMIF(F:F,I13,K:K)</f>
        <v>0</v>
      </c>
      <c r="L13" s="465"/>
      <c r="M13" s="466"/>
      <c r="N13" s="467" t="s">
        <v>188</v>
      </c>
      <c r="O13" s="468">
        <f>SUBTOTAL(9,O9:O12)</f>
        <v>-947205.38000000082</v>
      </c>
    </row>
    <row r="14" spans="2:15" s="450" customFormat="1" ht="19.7" customHeight="1">
      <c r="B14" s="830" t="s">
        <v>3649</v>
      </c>
      <c r="C14" s="830"/>
      <c r="D14" s="826" t="s">
        <v>3628</v>
      </c>
      <c r="E14" s="826"/>
      <c r="F14" s="826"/>
      <c r="H14" s="462"/>
      <c r="I14" s="469"/>
      <c r="J14" s="470"/>
    </row>
    <row r="15" spans="2:15" s="450" customFormat="1" ht="19.7" customHeight="1" thickBot="1">
      <c r="B15" s="830" t="s">
        <v>3650</v>
      </c>
      <c r="C15" s="830"/>
      <c r="D15" s="826" t="s">
        <v>3628</v>
      </c>
      <c r="E15" s="826"/>
      <c r="F15" s="826"/>
      <c r="H15" s="471"/>
      <c r="I15" s="472" t="s">
        <v>188</v>
      </c>
      <c r="J15" s="468">
        <f>SUM(J10:J13)</f>
        <v>-947205.38000000268</v>
      </c>
    </row>
    <row r="16" spans="2:15" s="450" customFormat="1" ht="19.7" customHeight="1">
      <c r="B16" s="830" t="s">
        <v>1211</v>
      </c>
      <c r="C16" s="830"/>
      <c r="D16" s="826" t="s">
        <v>3628</v>
      </c>
      <c r="E16" s="826"/>
      <c r="F16" s="826"/>
    </row>
    <row r="17" spans="2:16" s="450" customFormat="1" ht="19.7" customHeight="1">
      <c r="B17" s="830" t="s">
        <v>1212</v>
      </c>
      <c r="C17" s="830"/>
      <c r="D17" s="826" t="s">
        <v>3628</v>
      </c>
      <c r="E17" s="826"/>
      <c r="F17" s="826"/>
    </row>
    <row r="18" spans="2:16" s="450" customFormat="1" ht="22.9" customHeight="1"/>
    <row r="19" spans="2:16" s="450" customFormat="1" ht="30.4" customHeight="1">
      <c r="B19" s="473" t="s">
        <v>3745</v>
      </c>
      <c r="C19" s="473" t="s">
        <v>3652</v>
      </c>
      <c r="D19" s="473" t="s">
        <v>3653</v>
      </c>
      <c r="E19" s="473" t="s">
        <v>3654</v>
      </c>
      <c r="F19" s="473" t="s">
        <v>1233</v>
      </c>
      <c r="G19" s="473" t="s">
        <v>989</v>
      </c>
      <c r="H19" s="473" t="s">
        <v>3655</v>
      </c>
      <c r="I19" s="473" t="s">
        <v>993</v>
      </c>
      <c r="J19" s="473" t="s">
        <v>1048</v>
      </c>
      <c r="K19" s="473" t="s">
        <v>3656</v>
      </c>
      <c r="L19" s="474" t="s">
        <v>3746</v>
      </c>
      <c r="M19" s="475" t="s">
        <v>3747</v>
      </c>
      <c r="N19" s="484">
        <v>0.97</v>
      </c>
      <c r="O19" s="485" t="s">
        <v>3606</v>
      </c>
      <c r="P19" s="485" t="s">
        <v>612</v>
      </c>
    </row>
    <row r="20" spans="2:16" s="450" customFormat="1" ht="19.7" customHeight="1">
      <c r="B20" s="476" t="s">
        <v>3748</v>
      </c>
      <c r="C20" s="476" t="s">
        <v>1223</v>
      </c>
      <c r="D20" s="476" t="s">
        <v>3660</v>
      </c>
      <c r="E20" s="476" t="s">
        <v>3661</v>
      </c>
      <c r="F20" s="476" t="s">
        <v>3639</v>
      </c>
      <c r="G20" s="476" t="s">
        <v>3662</v>
      </c>
      <c r="H20" s="476" t="s">
        <v>3749</v>
      </c>
      <c r="I20" s="476" t="s">
        <v>1283</v>
      </c>
      <c r="J20" s="476" t="s">
        <v>1316</v>
      </c>
      <c r="K20" s="477">
        <v>-2328248.87</v>
      </c>
      <c r="L20" s="478" t="s">
        <v>3664</v>
      </c>
      <c r="M20" s="478" t="s">
        <v>1235</v>
      </c>
      <c r="N20" s="478"/>
      <c r="O20" s="478"/>
      <c r="P20" s="478"/>
    </row>
    <row r="21" spans="2:16" s="450" customFormat="1" ht="19.7" customHeight="1">
      <c r="B21" s="476" t="s">
        <v>3748</v>
      </c>
      <c r="C21" s="476" t="s">
        <v>1223</v>
      </c>
      <c r="D21" s="476" t="s">
        <v>3660</v>
      </c>
      <c r="E21" s="476" t="s">
        <v>3661</v>
      </c>
      <c r="F21" s="476" t="s">
        <v>3639</v>
      </c>
      <c r="G21" s="476" t="s">
        <v>3662</v>
      </c>
      <c r="H21" s="476" t="s">
        <v>3750</v>
      </c>
      <c r="I21" s="476" t="s">
        <v>3666</v>
      </c>
      <c r="J21" s="476" t="s">
        <v>3667</v>
      </c>
      <c r="K21" s="477">
        <v>4903680.62</v>
      </c>
      <c r="L21" s="478" t="s">
        <v>3668</v>
      </c>
      <c r="M21" s="478" t="s">
        <v>3603</v>
      </c>
      <c r="N21" s="478"/>
      <c r="O21" s="478"/>
      <c r="P21" s="478"/>
    </row>
    <row r="22" spans="2:16" s="450" customFormat="1" ht="19.7" customHeight="1">
      <c r="B22" s="476" t="s">
        <v>3748</v>
      </c>
      <c r="C22" s="476" t="s">
        <v>1223</v>
      </c>
      <c r="D22" s="476" t="s">
        <v>3660</v>
      </c>
      <c r="E22" s="476" t="s">
        <v>3661</v>
      </c>
      <c r="F22" s="476" t="s">
        <v>3639</v>
      </c>
      <c r="G22" s="476" t="s">
        <v>3662</v>
      </c>
      <c r="H22" s="476" t="s">
        <v>3751</v>
      </c>
      <c r="I22" s="476" t="s">
        <v>1073</v>
      </c>
      <c r="J22" s="476" t="s">
        <v>1077</v>
      </c>
      <c r="K22" s="477">
        <v>-37019853.640000001</v>
      </c>
      <c r="L22" s="478" t="s">
        <v>3670</v>
      </c>
      <c r="M22" s="478" t="s">
        <v>1049</v>
      </c>
      <c r="N22" s="486">
        <f>$N$19*K22</f>
        <v>-35909258.0308</v>
      </c>
      <c r="O22" s="486">
        <f>K22*0.03</f>
        <v>-1110595.6092000001</v>
      </c>
      <c r="P22" s="486">
        <f>K22-N22-O22</f>
        <v>0</v>
      </c>
    </row>
    <row r="23" spans="2:16" s="450" customFormat="1" ht="19.7" customHeight="1">
      <c r="B23" s="476" t="s">
        <v>3748</v>
      </c>
      <c r="C23" s="476" t="s">
        <v>1223</v>
      </c>
      <c r="D23" s="476" t="s">
        <v>3660</v>
      </c>
      <c r="E23" s="476" t="s">
        <v>3661</v>
      </c>
      <c r="F23" s="476" t="s">
        <v>3639</v>
      </c>
      <c r="G23" s="476" t="s">
        <v>3662</v>
      </c>
      <c r="H23" s="476" t="s">
        <v>3752</v>
      </c>
      <c r="I23" s="476" t="s">
        <v>1283</v>
      </c>
      <c r="J23" s="476" t="s">
        <v>3753</v>
      </c>
      <c r="K23" s="477">
        <v>2875696.63</v>
      </c>
      <c r="L23" s="478" t="s">
        <v>3664</v>
      </c>
      <c r="M23" s="478" t="s">
        <v>1235</v>
      </c>
      <c r="N23" s="478"/>
      <c r="O23" s="478"/>
      <c r="P23" s="478"/>
    </row>
    <row r="24" spans="2:16" s="450" customFormat="1" ht="19.7" customHeight="1">
      <c r="B24" s="476" t="s">
        <v>3748</v>
      </c>
      <c r="C24" s="476" t="s">
        <v>1223</v>
      </c>
      <c r="D24" s="476" t="s">
        <v>3660</v>
      </c>
      <c r="E24" s="476" t="s">
        <v>3661</v>
      </c>
      <c r="F24" s="476" t="s">
        <v>3639</v>
      </c>
      <c r="G24" s="476" t="s">
        <v>3662</v>
      </c>
      <c r="H24" s="476" t="s">
        <v>3754</v>
      </c>
      <c r="I24" s="476" t="s">
        <v>3666</v>
      </c>
      <c r="J24" s="476" t="s">
        <v>3667</v>
      </c>
      <c r="K24" s="477">
        <v>-4936876.25</v>
      </c>
      <c r="L24" s="478" t="s">
        <v>3668</v>
      </c>
      <c r="M24" s="478" t="s">
        <v>3603</v>
      </c>
      <c r="N24" s="478"/>
      <c r="O24" s="478"/>
      <c r="P24" s="478"/>
    </row>
    <row r="25" spans="2:16" s="450" customFormat="1" ht="19.7" customHeight="1">
      <c r="B25" s="476" t="s">
        <v>3748</v>
      </c>
      <c r="C25" s="476" t="s">
        <v>1223</v>
      </c>
      <c r="D25" s="476" t="s">
        <v>3660</v>
      </c>
      <c r="E25" s="476" t="s">
        <v>3661</v>
      </c>
      <c r="F25" s="476" t="s">
        <v>3639</v>
      </c>
      <c r="G25" s="476" t="s">
        <v>3662</v>
      </c>
      <c r="H25" s="476" t="s">
        <v>3755</v>
      </c>
      <c r="I25" s="476" t="s">
        <v>1073</v>
      </c>
      <c r="J25" s="476" t="s">
        <v>1077</v>
      </c>
      <c r="K25" s="477">
        <v>41769970</v>
      </c>
      <c r="L25" s="478" t="s">
        <v>3670</v>
      </c>
      <c r="M25" s="478" t="s">
        <v>1049</v>
      </c>
      <c r="N25" s="486">
        <f>$N$19*K25</f>
        <v>40516870.899999999</v>
      </c>
      <c r="O25" s="486">
        <f>K25*0.03</f>
        <v>1253099.0999999999</v>
      </c>
      <c r="P25" s="486">
        <f>K25-N25-O25</f>
        <v>0</v>
      </c>
    </row>
    <row r="26" spans="2:16" s="450" customFormat="1" ht="19.7" customHeight="1">
      <c r="B26" s="476" t="s">
        <v>3756</v>
      </c>
      <c r="C26" s="476" t="s">
        <v>1223</v>
      </c>
      <c r="D26" s="476" t="s">
        <v>3660</v>
      </c>
      <c r="E26" s="476" t="s">
        <v>3661</v>
      </c>
      <c r="F26" s="476" t="s">
        <v>3639</v>
      </c>
      <c r="G26" s="476" t="s">
        <v>3662</v>
      </c>
      <c r="H26" s="476" t="s">
        <v>3757</v>
      </c>
      <c r="I26" s="476" t="s">
        <v>1283</v>
      </c>
      <c r="J26" s="476" t="s">
        <v>3753</v>
      </c>
      <c r="K26" s="477">
        <v>-2875696.63</v>
      </c>
      <c r="L26" s="478" t="s">
        <v>3664</v>
      </c>
      <c r="M26" s="478" t="s">
        <v>1235</v>
      </c>
      <c r="N26" s="478"/>
      <c r="O26" s="478"/>
      <c r="P26" s="478"/>
    </row>
    <row r="27" spans="2:16" s="450" customFormat="1" ht="19.7" customHeight="1">
      <c r="B27" s="476" t="s">
        <v>3756</v>
      </c>
      <c r="C27" s="476" t="s">
        <v>1223</v>
      </c>
      <c r="D27" s="476" t="s">
        <v>3660</v>
      </c>
      <c r="E27" s="476" t="s">
        <v>3661</v>
      </c>
      <c r="F27" s="476" t="s">
        <v>3639</v>
      </c>
      <c r="G27" s="476" t="s">
        <v>3662</v>
      </c>
      <c r="H27" s="476" t="s">
        <v>3758</v>
      </c>
      <c r="I27" s="476" t="s">
        <v>3666</v>
      </c>
      <c r="J27" s="476" t="s">
        <v>3667</v>
      </c>
      <c r="K27" s="477">
        <v>4936876.25</v>
      </c>
      <c r="L27" s="478" t="s">
        <v>3668</v>
      </c>
      <c r="M27" s="478" t="s">
        <v>3603</v>
      </c>
      <c r="N27" s="478"/>
      <c r="O27" s="478"/>
      <c r="P27" s="478"/>
    </row>
    <row r="28" spans="2:16" s="450" customFormat="1" ht="19.7" customHeight="1">
      <c r="B28" s="476" t="s">
        <v>3756</v>
      </c>
      <c r="C28" s="476" t="s">
        <v>1223</v>
      </c>
      <c r="D28" s="476" t="s">
        <v>3660</v>
      </c>
      <c r="E28" s="476" t="s">
        <v>3661</v>
      </c>
      <c r="F28" s="476" t="s">
        <v>3639</v>
      </c>
      <c r="G28" s="476" t="s">
        <v>3662</v>
      </c>
      <c r="H28" s="476" t="s">
        <v>3759</v>
      </c>
      <c r="I28" s="476" t="s">
        <v>1073</v>
      </c>
      <c r="J28" s="476" t="s">
        <v>1077</v>
      </c>
      <c r="K28" s="477">
        <v>-41769970</v>
      </c>
      <c r="L28" s="478" t="s">
        <v>3670</v>
      </c>
      <c r="M28" s="478" t="s">
        <v>1049</v>
      </c>
      <c r="N28" s="486">
        <f>$N$19*K28</f>
        <v>-40516870.899999999</v>
      </c>
      <c r="O28" s="486">
        <f>K28*0.03</f>
        <v>-1253099.0999999999</v>
      </c>
      <c r="P28" s="486">
        <f>K28-N28-O28</f>
        <v>0</v>
      </c>
    </row>
    <row r="29" spans="2:16" s="450" customFormat="1" ht="19.7" customHeight="1">
      <c r="B29" s="476" t="s">
        <v>3756</v>
      </c>
      <c r="C29" s="476" t="s">
        <v>1223</v>
      </c>
      <c r="D29" s="476" t="s">
        <v>3660</v>
      </c>
      <c r="E29" s="476" t="s">
        <v>3661</v>
      </c>
      <c r="F29" s="476" t="s">
        <v>3639</v>
      </c>
      <c r="G29" s="476" t="s">
        <v>3662</v>
      </c>
      <c r="H29" s="476" t="s">
        <v>3760</v>
      </c>
      <c r="I29" s="476" t="s">
        <v>1283</v>
      </c>
      <c r="J29" s="476" t="s">
        <v>3753</v>
      </c>
      <c r="K29" s="477">
        <v>2938175.71</v>
      </c>
      <c r="L29" s="478" t="s">
        <v>3664</v>
      </c>
      <c r="M29" s="478" t="s">
        <v>1235</v>
      </c>
      <c r="N29" s="478"/>
      <c r="O29" s="478"/>
      <c r="P29" s="478"/>
    </row>
    <row r="30" spans="2:16" s="450" customFormat="1" ht="19.7" customHeight="1">
      <c r="B30" s="476" t="s">
        <v>3756</v>
      </c>
      <c r="C30" s="476" t="s">
        <v>1223</v>
      </c>
      <c r="D30" s="476" t="s">
        <v>3660</v>
      </c>
      <c r="E30" s="476" t="s">
        <v>3661</v>
      </c>
      <c r="F30" s="476" t="s">
        <v>3639</v>
      </c>
      <c r="G30" s="476" t="s">
        <v>3662</v>
      </c>
      <c r="H30" s="476" t="s">
        <v>3761</v>
      </c>
      <c r="I30" s="476" t="s">
        <v>1073</v>
      </c>
      <c r="J30" s="476" t="s">
        <v>1077</v>
      </c>
      <c r="K30" s="477">
        <v>30838594.170000002</v>
      </c>
      <c r="L30" s="478" t="s">
        <v>3670</v>
      </c>
      <c r="M30" s="478" t="s">
        <v>1049</v>
      </c>
      <c r="N30" s="486">
        <f>$N$19*K30</f>
        <v>29913436.344900001</v>
      </c>
      <c r="O30" s="486">
        <f>K30*0.03</f>
        <v>925157.82510000002</v>
      </c>
      <c r="P30" s="486">
        <f>K30-N30-O30</f>
        <v>9.3132257461547852E-10</v>
      </c>
    </row>
    <row r="31" spans="2:16" s="450" customFormat="1" ht="19.7" customHeight="1">
      <c r="B31" s="476" t="s">
        <v>3762</v>
      </c>
      <c r="C31" s="476" t="s">
        <v>1223</v>
      </c>
      <c r="D31" s="476" t="s">
        <v>3660</v>
      </c>
      <c r="E31" s="476" t="s">
        <v>3661</v>
      </c>
      <c r="F31" s="476" t="s">
        <v>3639</v>
      </c>
      <c r="G31" s="476" t="s">
        <v>3662</v>
      </c>
      <c r="H31" s="476" t="s">
        <v>3763</v>
      </c>
      <c r="I31" s="476" t="s">
        <v>1283</v>
      </c>
      <c r="J31" s="476" t="s">
        <v>3753</v>
      </c>
      <c r="K31" s="477">
        <v>-2938175.71</v>
      </c>
      <c r="L31" s="478" t="s">
        <v>3664</v>
      </c>
      <c r="M31" s="478" t="s">
        <v>1235</v>
      </c>
      <c r="N31" s="478"/>
      <c r="O31" s="478"/>
      <c r="P31" s="478"/>
    </row>
    <row r="32" spans="2:16" s="450" customFormat="1" ht="19.7" customHeight="1">
      <c r="B32" s="476" t="s">
        <v>3762</v>
      </c>
      <c r="C32" s="476" t="s">
        <v>1223</v>
      </c>
      <c r="D32" s="476" t="s">
        <v>3660</v>
      </c>
      <c r="E32" s="476" t="s">
        <v>3661</v>
      </c>
      <c r="F32" s="476" t="s">
        <v>3639</v>
      </c>
      <c r="G32" s="476" t="s">
        <v>3662</v>
      </c>
      <c r="H32" s="476" t="s">
        <v>3764</v>
      </c>
      <c r="I32" s="476" t="s">
        <v>1073</v>
      </c>
      <c r="J32" s="476" t="s">
        <v>1077</v>
      </c>
      <c r="K32" s="477">
        <v>-30838594.170000002</v>
      </c>
      <c r="L32" s="478" t="s">
        <v>3670</v>
      </c>
      <c r="M32" s="478" t="s">
        <v>1049</v>
      </c>
      <c r="N32" s="486">
        <f>$N$19*K32</f>
        <v>-29913436.344900001</v>
      </c>
      <c r="O32" s="486">
        <f>K32*0.03</f>
        <v>-925157.82510000002</v>
      </c>
      <c r="P32" s="486">
        <f>K32-N32-O32</f>
        <v>-9.3132257461547852E-10</v>
      </c>
    </row>
    <row r="33" spans="2:16" s="450" customFormat="1" ht="19.7" customHeight="1">
      <c r="B33" s="476" t="s">
        <v>3762</v>
      </c>
      <c r="C33" s="476" t="s">
        <v>1223</v>
      </c>
      <c r="D33" s="476" t="s">
        <v>3660</v>
      </c>
      <c r="E33" s="476" t="s">
        <v>3661</v>
      </c>
      <c r="F33" s="476" t="s">
        <v>3639</v>
      </c>
      <c r="G33" s="476" t="s">
        <v>3662</v>
      </c>
      <c r="H33" s="476" t="s">
        <v>3765</v>
      </c>
      <c r="I33" s="476" t="s">
        <v>1283</v>
      </c>
      <c r="J33" s="476" t="s">
        <v>3753</v>
      </c>
      <c r="K33" s="477">
        <v>2721032.6</v>
      </c>
      <c r="L33" s="478" t="s">
        <v>3664</v>
      </c>
      <c r="M33" s="478" t="s">
        <v>1235</v>
      </c>
      <c r="N33" s="478"/>
      <c r="O33" s="478"/>
      <c r="P33" s="478"/>
    </row>
    <row r="34" spans="2:16" s="450" customFormat="1" ht="19.7" customHeight="1">
      <c r="B34" s="476" t="s">
        <v>3762</v>
      </c>
      <c r="C34" s="476" t="s">
        <v>1223</v>
      </c>
      <c r="D34" s="476" t="s">
        <v>3660</v>
      </c>
      <c r="E34" s="476" t="s">
        <v>3661</v>
      </c>
      <c r="F34" s="476" t="s">
        <v>3639</v>
      </c>
      <c r="G34" s="476" t="s">
        <v>3662</v>
      </c>
      <c r="H34" s="476" t="s">
        <v>3766</v>
      </c>
      <c r="I34" s="476" t="s">
        <v>3666</v>
      </c>
      <c r="J34" s="476" t="s">
        <v>3667</v>
      </c>
      <c r="K34" s="477">
        <v>-3070983.68</v>
      </c>
      <c r="L34" s="478" t="s">
        <v>3668</v>
      </c>
      <c r="M34" s="478" t="s">
        <v>3603</v>
      </c>
      <c r="N34" s="478"/>
      <c r="O34" s="478"/>
      <c r="P34" s="478"/>
    </row>
    <row r="35" spans="2:16" s="450" customFormat="1" ht="19.7" customHeight="1">
      <c r="B35" s="476" t="s">
        <v>3762</v>
      </c>
      <c r="C35" s="476" t="s">
        <v>1223</v>
      </c>
      <c r="D35" s="476" t="s">
        <v>3660</v>
      </c>
      <c r="E35" s="476" t="s">
        <v>3661</v>
      </c>
      <c r="F35" s="476" t="s">
        <v>3639</v>
      </c>
      <c r="G35" s="476" t="s">
        <v>3662</v>
      </c>
      <c r="H35" s="476" t="s">
        <v>3767</v>
      </c>
      <c r="I35" s="476" t="s">
        <v>1073</v>
      </c>
      <c r="J35" s="476" t="s">
        <v>1077</v>
      </c>
      <c r="K35" s="477">
        <v>23761888.719999999</v>
      </c>
      <c r="L35" s="478" t="s">
        <v>3670</v>
      </c>
      <c r="M35" s="478" t="s">
        <v>1049</v>
      </c>
      <c r="N35" s="486">
        <f>$N$19*K35</f>
        <v>23049032.058399998</v>
      </c>
      <c r="O35" s="486">
        <f>K35*0.03</f>
        <v>712856.66159999999</v>
      </c>
      <c r="P35" s="486">
        <f>K35-N35-O35</f>
        <v>1.1641532182693481E-9</v>
      </c>
    </row>
    <row r="36" spans="2:16" s="450" customFormat="1" ht="19.7" customHeight="1">
      <c r="B36" s="476" t="s">
        <v>3768</v>
      </c>
      <c r="C36" s="476" t="s">
        <v>1223</v>
      </c>
      <c r="D36" s="476" t="s">
        <v>3660</v>
      </c>
      <c r="E36" s="476" t="s">
        <v>3661</v>
      </c>
      <c r="F36" s="476" t="s">
        <v>3639</v>
      </c>
      <c r="G36" s="476" t="s">
        <v>3662</v>
      </c>
      <c r="H36" s="476" t="s">
        <v>3769</v>
      </c>
      <c r="I36" s="476" t="s">
        <v>1283</v>
      </c>
      <c r="J36" s="476" t="s">
        <v>3753</v>
      </c>
      <c r="K36" s="477">
        <v>-2721032.6</v>
      </c>
      <c r="L36" s="478" t="s">
        <v>3664</v>
      </c>
      <c r="M36" s="478" t="s">
        <v>1235</v>
      </c>
      <c r="N36" s="478"/>
      <c r="O36" s="478"/>
      <c r="P36" s="478"/>
    </row>
    <row r="37" spans="2:16" s="450" customFormat="1" ht="19.7" customHeight="1">
      <c r="B37" s="476" t="s">
        <v>3768</v>
      </c>
      <c r="C37" s="476" t="s">
        <v>1223</v>
      </c>
      <c r="D37" s="476" t="s">
        <v>3660</v>
      </c>
      <c r="E37" s="476" t="s">
        <v>3661</v>
      </c>
      <c r="F37" s="476" t="s">
        <v>3639</v>
      </c>
      <c r="G37" s="476" t="s">
        <v>3662</v>
      </c>
      <c r="H37" s="476" t="s">
        <v>3770</v>
      </c>
      <c r="I37" s="476" t="s">
        <v>3666</v>
      </c>
      <c r="J37" s="476" t="s">
        <v>3667</v>
      </c>
      <c r="K37" s="477">
        <v>3070983.68</v>
      </c>
      <c r="L37" s="478" t="s">
        <v>3668</v>
      </c>
      <c r="M37" s="478" t="s">
        <v>3603</v>
      </c>
      <c r="N37" s="478"/>
      <c r="O37" s="478"/>
      <c r="P37" s="478"/>
    </row>
    <row r="38" spans="2:16" s="450" customFormat="1" ht="19.7" customHeight="1">
      <c r="B38" s="476" t="s">
        <v>3768</v>
      </c>
      <c r="C38" s="476" t="s">
        <v>1223</v>
      </c>
      <c r="D38" s="476" t="s">
        <v>3660</v>
      </c>
      <c r="E38" s="476" t="s">
        <v>3661</v>
      </c>
      <c r="F38" s="476" t="s">
        <v>3639</v>
      </c>
      <c r="G38" s="476" t="s">
        <v>3662</v>
      </c>
      <c r="H38" s="476" t="s">
        <v>3771</v>
      </c>
      <c r="I38" s="476" t="s">
        <v>1073</v>
      </c>
      <c r="J38" s="476" t="s">
        <v>1077</v>
      </c>
      <c r="K38" s="477">
        <v>-23761888.719999999</v>
      </c>
      <c r="L38" s="478" t="s">
        <v>3670</v>
      </c>
      <c r="M38" s="478" t="s">
        <v>1049</v>
      </c>
      <c r="N38" s="486">
        <f>$N$19*K38</f>
        <v>-23049032.058399998</v>
      </c>
      <c r="O38" s="486">
        <f>K38*0.03</f>
        <v>-712856.66159999999</v>
      </c>
      <c r="P38" s="486">
        <f>K38-N38-O38</f>
        <v>-1.1641532182693481E-9</v>
      </c>
    </row>
    <row r="39" spans="2:16" s="450" customFormat="1" ht="19.7" customHeight="1">
      <c r="B39" s="476" t="s">
        <v>3768</v>
      </c>
      <c r="C39" s="476" t="s">
        <v>1223</v>
      </c>
      <c r="D39" s="476" t="s">
        <v>3660</v>
      </c>
      <c r="E39" s="476" t="s">
        <v>3661</v>
      </c>
      <c r="F39" s="476" t="s">
        <v>3639</v>
      </c>
      <c r="G39" s="476" t="s">
        <v>3662</v>
      </c>
      <c r="H39" s="476" t="s">
        <v>3772</v>
      </c>
      <c r="I39" s="476" t="s">
        <v>1283</v>
      </c>
      <c r="J39" s="476" t="s">
        <v>3753</v>
      </c>
      <c r="K39" s="477">
        <v>2586010.38</v>
      </c>
      <c r="L39" s="478" t="s">
        <v>3664</v>
      </c>
      <c r="M39" s="478" t="s">
        <v>1235</v>
      </c>
      <c r="N39" s="478"/>
      <c r="O39" s="478"/>
      <c r="P39" s="478"/>
    </row>
    <row r="40" spans="2:16" s="450" customFormat="1" ht="19.7" customHeight="1">
      <c r="B40" s="476" t="s">
        <v>3768</v>
      </c>
      <c r="C40" s="476" t="s">
        <v>1223</v>
      </c>
      <c r="D40" s="476" t="s">
        <v>3660</v>
      </c>
      <c r="E40" s="476" t="s">
        <v>3661</v>
      </c>
      <c r="F40" s="476" t="s">
        <v>3639</v>
      </c>
      <c r="G40" s="476" t="s">
        <v>3662</v>
      </c>
      <c r="H40" s="476" t="s">
        <v>3773</v>
      </c>
      <c r="I40" s="476" t="s">
        <v>1073</v>
      </c>
      <c r="J40" s="476" t="s">
        <v>1077</v>
      </c>
      <c r="K40" s="477">
        <v>12967679.41</v>
      </c>
      <c r="L40" s="478" t="s">
        <v>3670</v>
      </c>
      <c r="M40" s="478" t="s">
        <v>1049</v>
      </c>
      <c r="N40" s="486">
        <f>$N$19*K40</f>
        <v>12578649.0277</v>
      </c>
      <c r="O40" s="486">
        <f>K40*0.03</f>
        <v>389030.3823</v>
      </c>
      <c r="P40" s="486">
        <f>K40-N40-O40</f>
        <v>6.4028427004814148E-10</v>
      </c>
    </row>
    <row r="41" spans="2:16" s="450" customFormat="1" ht="19.7" customHeight="1">
      <c r="B41" s="476" t="s">
        <v>3774</v>
      </c>
      <c r="C41" s="476" t="s">
        <v>1223</v>
      </c>
      <c r="D41" s="476" t="s">
        <v>3660</v>
      </c>
      <c r="E41" s="476" t="s">
        <v>3661</v>
      </c>
      <c r="F41" s="476" t="s">
        <v>3639</v>
      </c>
      <c r="G41" s="476" t="s">
        <v>3662</v>
      </c>
      <c r="H41" s="476" t="s">
        <v>3775</v>
      </c>
      <c r="I41" s="476" t="s">
        <v>1283</v>
      </c>
      <c r="J41" s="476" t="s">
        <v>3753</v>
      </c>
      <c r="K41" s="477">
        <v>-2586010.38</v>
      </c>
      <c r="L41" s="478" t="s">
        <v>3664</v>
      </c>
      <c r="M41" s="478" t="s">
        <v>1235</v>
      </c>
      <c r="N41" s="478" t="s">
        <v>936</v>
      </c>
      <c r="O41" s="478"/>
      <c r="P41" s="478"/>
    </row>
    <row r="42" spans="2:16" s="450" customFormat="1" ht="19.7" customHeight="1">
      <c r="B42" s="476" t="s">
        <v>3774</v>
      </c>
      <c r="C42" s="476" t="s">
        <v>1223</v>
      </c>
      <c r="D42" s="476" t="s">
        <v>3660</v>
      </c>
      <c r="E42" s="476" t="s">
        <v>3661</v>
      </c>
      <c r="F42" s="476" t="s">
        <v>3639</v>
      </c>
      <c r="G42" s="476" t="s">
        <v>3662</v>
      </c>
      <c r="H42" s="476" t="s">
        <v>3776</v>
      </c>
      <c r="I42" s="476" t="s">
        <v>1073</v>
      </c>
      <c r="J42" s="476" t="s">
        <v>1077</v>
      </c>
      <c r="K42" s="477">
        <v>-12967679.41</v>
      </c>
      <c r="L42" s="478" t="s">
        <v>3670</v>
      </c>
      <c r="M42" s="478" t="s">
        <v>1049</v>
      </c>
      <c r="N42" s="486">
        <f>$N$19*K42</f>
        <v>-12578649.0277</v>
      </c>
      <c r="O42" s="486">
        <f>K42*0.03</f>
        <v>-389030.3823</v>
      </c>
      <c r="P42" s="486">
        <f>K42-N42-O42</f>
        <v>-6.4028427004814148E-10</v>
      </c>
    </row>
    <row r="43" spans="2:16" s="450" customFormat="1" ht="19.7" customHeight="1">
      <c r="B43" s="476" t="s">
        <v>3774</v>
      </c>
      <c r="C43" s="476" t="s">
        <v>1223</v>
      </c>
      <c r="D43" s="476" t="s">
        <v>3660</v>
      </c>
      <c r="E43" s="476" t="s">
        <v>3661</v>
      </c>
      <c r="F43" s="476" t="s">
        <v>3639</v>
      </c>
      <c r="G43" s="476" t="s">
        <v>3662</v>
      </c>
      <c r="H43" s="476" t="s">
        <v>3777</v>
      </c>
      <c r="I43" s="476" t="s">
        <v>1283</v>
      </c>
      <c r="J43" s="476" t="s">
        <v>3753</v>
      </c>
      <c r="K43" s="477">
        <v>2277931.33</v>
      </c>
      <c r="L43" s="478" t="s">
        <v>3664</v>
      </c>
      <c r="M43" s="478" t="s">
        <v>1235</v>
      </c>
      <c r="N43" s="478"/>
      <c r="O43" s="478"/>
      <c r="P43" s="478"/>
    </row>
    <row r="44" spans="2:16" s="450" customFormat="1" ht="19.7" customHeight="1">
      <c r="B44" s="476" t="s">
        <v>3774</v>
      </c>
      <c r="C44" s="476" t="s">
        <v>1223</v>
      </c>
      <c r="D44" s="476" t="s">
        <v>3660</v>
      </c>
      <c r="E44" s="476" t="s">
        <v>3661</v>
      </c>
      <c r="F44" s="476" t="s">
        <v>3639</v>
      </c>
      <c r="G44" s="476" t="s">
        <v>3662</v>
      </c>
      <c r="H44" s="476" t="s">
        <v>3778</v>
      </c>
      <c r="I44" s="476" t="s">
        <v>1073</v>
      </c>
      <c r="J44" s="476" t="s">
        <v>1077</v>
      </c>
      <c r="K44" s="477">
        <v>9485311.4900000002</v>
      </c>
      <c r="L44" s="478" t="s">
        <v>3670</v>
      </c>
      <c r="M44" s="478" t="s">
        <v>1049</v>
      </c>
      <c r="N44" s="486">
        <f>$N$19*K44</f>
        <v>9200752.145299999</v>
      </c>
      <c r="O44" s="486">
        <f>K44*0.03</f>
        <v>284559.34470000002</v>
      </c>
      <c r="P44" s="486">
        <f>K44-N44-O44</f>
        <v>1.1641532182693481E-9</v>
      </c>
    </row>
    <row r="45" spans="2:16" s="450" customFormat="1" ht="19.7" customHeight="1">
      <c r="B45" s="476" t="s">
        <v>3779</v>
      </c>
      <c r="C45" s="476" t="s">
        <v>1223</v>
      </c>
      <c r="D45" s="476" t="s">
        <v>3660</v>
      </c>
      <c r="E45" s="476" t="s">
        <v>3661</v>
      </c>
      <c r="F45" s="476" t="s">
        <v>3639</v>
      </c>
      <c r="G45" s="476" t="s">
        <v>3662</v>
      </c>
      <c r="H45" s="476" t="s">
        <v>3780</v>
      </c>
      <c r="I45" s="476" t="s">
        <v>1283</v>
      </c>
      <c r="J45" s="476" t="s">
        <v>3753</v>
      </c>
      <c r="K45" s="477">
        <v>-2277931.33</v>
      </c>
      <c r="L45" s="478" t="s">
        <v>3664</v>
      </c>
      <c r="M45" s="478" t="s">
        <v>1235</v>
      </c>
      <c r="N45" s="478"/>
      <c r="O45" s="478"/>
      <c r="P45" s="478"/>
    </row>
    <row r="46" spans="2:16" s="450" customFormat="1" ht="19.7" customHeight="1">
      <c r="B46" s="476" t="s">
        <v>3779</v>
      </c>
      <c r="C46" s="476" t="s">
        <v>1223</v>
      </c>
      <c r="D46" s="476" t="s">
        <v>3660</v>
      </c>
      <c r="E46" s="476" t="s">
        <v>3661</v>
      </c>
      <c r="F46" s="476" t="s">
        <v>3639</v>
      </c>
      <c r="G46" s="476" t="s">
        <v>3662</v>
      </c>
      <c r="H46" s="476" t="s">
        <v>3781</v>
      </c>
      <c r="I46" s="476" t="s">
        <v>1073</v>
      </c>
      <c r="J46" s="476" t="s">
        <v>1077</v>
      </c>
      <c r="K46" s="477">
        <v>-9485311.4900000002</v>
      </c>
      <c r="L46" s="478" t="s">
        <v>3670</v>
      </c>
      <c r="M46" s="478" t="s">
        <v>1049</v>
      </c>
      <c r="N46" s="486">
        <f>$N$19*K46</f>
        <v>-9200752.145299999</v>
      </c>
      <c r="O46" s="486">
        <f>K46*0.03</f>
        <v>-284559.34470000002</v>
      </c>
      <c r="P46" s="486">
        <f>K46-N46-O46</f>
        <v>-1.1641532182693481E-9</v>
      </c>
    </row>
    <row r="47" spans="2:16" s="450" customFormat="1" ht="19.7" customHeight="1">
      <c r="B47" s="476" t="s">
        <v>3779</v>
      </c>
      <c r="C47" s="476" t="s">
        <v>1223</v>
      </c>
      <c r="D47" s="476" t="s">
        <v>3660</v>
      </c>
      <c r="E47" s="476" t="s">
        <v>3661</v>
      </c>
      <c r="F47" s="476" t="s">
        <v>3639</v>
      </c>
      <c r="G47" s="476" t="s">
        <v>3662</v>
      </c>
      <c r="H47" s="476" t="s">
        <v>3782</v>
      </c>
      <c r="I47" s="476" t="s">
        <v>1283</v>
      </c>
      <c r="J47" s="476" t="s">
        <v>3753</v>
      </c>
      <c r="K47" s="477">
        <v>1908038.66</v>
      </c>
      <c r="L47" s="478" t="s">
        <v>3664</v>
      </c>
      <c r="M47" s="478" t="s">
        <v>1235</v>
      </c>
      <c r="N47" s="478"/>
      <c r="O47" s="478"/>
      <c r="P47" s="478"/>
    </row>
    <row r="48" spans="2:16" s="450" customFormat="1" ht="19.7" customHeight="1">
      <c r="B48" s="476" t="s">
        <v>3779</v>
      </c>
      <c r="C48" s="476" t="s">
        <v>1223</v>
      </c>
      <c r="D48" s="476" t="s">
        <v>3660</v>
      </c>
      <c r="E48" s="476" t="s">
        <v>3661</v>
      </c>
      <c r="F48" s="476" t="s">
        <v>3639</v>
      </c>
      <c r="G48" s="476" t="s">
        <v>3662</v>
      </c>
      <c r="H48" s="476" t="s">
        <v>3783</v>
      </c>
      <c r="I48" s="476" t="s">
        <v>1073</v>
      </c>
      <c r="J48" s="476" t="s">
        <v>1077</v>
      </c>
      <c r="K48" s="477">
        <v>7052308.9100000001</v>
      </c>
      <c r="L48" s="478" t="s">
        <v>3670</v>
      </c>
      <c r="M48" s="478" t="s">
        <v>1049</v>
      </c>
      <c r="N48" s="486">
        <f>$N$19*K48</f>
        <v>6840739.6426999997</v>
      </c>
      <c r="O48" s="486">
        <f>K48*0.03</f>
        <v>211569.26730000001</v>
      </c>
      <c r="P48" s="486">
        <f>K48-N48-O48</f>
        <v>4.0745362639427185E-10</v>
      </c>
    </row>
    <row r="49" spans="2:16" s="450" customFormat="1" ht="19.7" customHeight="1">
      <c r="B49" s="476" t="s">
        <v>3779</v>
      </c>
      <c r="C49" s="476" t="s">
        <v>1223</v>
      </c>
      <c r="D49" s="476" t="s">
        <v>3660</v>
      </c>
      <c r="E49" s="476" t="s">
        <v>3661</v>
      </c>
      <c r="F49" s="476" t="s">
        <v>3639</v>
      </c>
      <c r="G49" s="476" t="s">
        <v>3662</v>
      </c>
      <c r="H49" s="476" t="s">
        <v>3784</v>
      </c>
      <c r="I49" s="476" t="s">
        <v>3666</v>
      </c>
      <c r="J49" s="476" t="s">
        <v>3667</v>
      </c>
      <c r="K49" s="477">
        <v>-995406.72</v>
      </c>
      <c r="L49" s="478" t="s">
        <v>3668</v>
      </c>
      <c r="M49" s="478" t="s">
        <v>3603</v>
      </c>
      <c r="N49" s="478"/>
      <c r="O49" s="478"/>
      <c r="P49" s="478"/>
    </row>
    <row r="50" spans="2:16" s="450" customFormat="1" ht="19.7" customHeight="1">
      <c r="B50" s="476" t="s">
        <v>3785</v>
      </c>
      <c r="C50" s="476" t="s">
        <v>1223</v>
      </c>
      <c r="D50" s="476" t="s">
        <v>3660</v>
      </c>
      <c r="E50" s="476" t="s">
        <v>3661</v>
      </c>
      <c r="F50" s="476" t="s">
        <v>3639</v>
      </c>
      <c r="G50" s="476" t="s">
        <v>3662</v>
      </c>
      <c r="H50" s="476" t="s">
        <v>3708</v>
      </c>
      <c r="I50" s="476" t="s">
        <v>1283</v>
      </c>
      <c r="J50" s="476" t="s">
        <v>3753</v>
      </c>
      <c r="K50" s="477">
        <v>-1908038.66</v>
      </c>
      <c r="L50" s="478" t="s">
        <v>3664</v>
      </c>
      <c r="M50" s="478" t="s">
        <v>1235</v>
      </c>
      <c r="N50" s="478"/>
      <c r="O50" s="478"/>
      <c r="P50" s="478"/>
    </row>
    <row r="51" spans="2:16" s="450" customFormat="1" ht="19.7" customHeight="1">
      <c r="B51" s="476" t="s">
        <v>3785</v>
      </c>
      <c r="C51" s="476" t="s">
        <v>1223</v>
      </c>
      <c r="D51" s="476" t="s">
        <v>3660</v>
      </c>
      <c r="E51" s="476" t="s">
        <v>3661</v>
      </c>
      <c r="F51" s="476" t="s">
        <v>3639</v>
      </c>
      <c r="G51" s="476" t="s">
        <v>3662</v>
      </c>
      <c r="H51" s="476" t="s">
        <v>3786</v>
      </c>
      <c r="I51" s="476" t="s">
        <v>1073</v>
      </c>
      <c r="J51" s="476" t="s">
        <v>1077</v>
      </c>
      <c r="K51" s="477">
        <v>-7052308.9100000001</v>
      </c>
      <c r="L51" s="478" t="s">
        <v>3670</v>
      </c>
      <c r="M51" s="478" t="s">
        <v>1049</v>
      </c>
      <c r="N51" s="486">
        <f>$N$19*K51</f>
        <v>-6840739.6426999997</v>
      </c>
      <c r="O51" s="486">
        <f>K51*0.03</f>
        <v>-211569.26730000001</v>
      </c>
      <c r="P51" s="486">
        <f>K51-N51-O51</f>
        <v>-4.0745362639427185E-10</v>
      </c>
    </row>
    <row r="52" spans="2:16" s="450" customFormat="1" ht="19.7" customHeight="1">
      <c r="B52" s="476" t="s">
        <v>3785</v>
      </c>
      <c r="C52" s="476" t="s">
        <v>1223</v>
      </c>
      <c r="D52" s="476" t="s">
        <v>3660</v>
      </c>
      <c r="E52" s="476" t="s">
        <v>3661</v>
      </c>
      <c r="F52" s="476" t="s">
        <v>3639</v>
      </c>
      <c r="G52" s="476" t="s">
        <v>3662</v>
      </c>
      <c r="H52" s="476" t="s">
        <v>3787</v>
      </c>
      <c r="I52" s="476" t="s">
        <v>3666</v>
      </c>
      <c r="J52" s="476" t="s">
        <v>3667</v>
      </c>
      <c r="K52" s="477">
        <v>995406.72</v>
      </c>
      <c r="L52" s="478" t="s">
        <v>3668</v>
      </c>
      <c r="M52" s="478" t="s">
        <v>3603</v>
      </c>
      <c r="N52" s="478"/>
      <c r="O52" s="478"/>
      <c r="P52" s="478"/>
    </row>
    <row r="53" spans="2:16" s="450" customFormat="1" ht="19.7" customHeight="1">
      <c r="B53" s="476" t="s">
        <v>3785</v>
      </c>
      <c r="C53" s="476" t="s">
        <v>1223</v>
      </c>
      <c r="D53" s="476" t="s">
        <v>3660</v>
      </c>
      <c r="E53" s="476" t="s">
        <v>3661</v>
      </c>
      <c r="F53" s="476" t="s">
        <v>3639</v>
      </c>
      <c r="G53" s="476" t="s">
        <v>3662</v>
      </c>
      <c r="H53" s="476" t="s">
        <v>3788</v>
      </c>
      <c r="I53" s="476" t="s">
        <v>1283</v>
      </c>
      <c r="J53" s="476" t="s">
        <v>3753</v>
      </c>
      <c r="K53" s="477">
        <v>1758364.81</v>
      </c>
      <c r="L53" s="478" t="s">
        <v>3664</v>
      </c>
      <c r="M53" s="478" t="s">
        <v>1235</v>
      </c>
      <c r="N53" s="478"/>
      <c r="O53" s="478"/>
      <c r="P53" s="478"/>
    </row>
    <row r="54" spans="2:16" s="450" customFormat="1" ht="19.7" customHeight="1">
      <c r="B54" s="476" t="s">
        <v>3785</v>
      </c>
      <c r="C54" s="476" t="s">
        <v>1223</v>
      </c>
      <c r="D54" s="476" t="s">
        <v>3660</v>
      </c>
      <c r="E54" s="476" t="s">
        <v>3661</v>
      </c>
      <c r="F54" s="476" t="s">
        <v>3639</v>
      </c>
      <c r="G54" s="476" t="s">
        <v>3662</v>
      </c>
      <c r="H54" s="476" t="s">
        <v>3789</v>
      </c>
      <c r="I54" s="476" t="s">
        <v>1073</v>
      </c>
      <c r="J54" s="476" t="s">
        <v>1077</v>
      </c>
      <c r="K54" s="477">
        <v>4712005.3</v>
      </c>
      <c r="L54" s="478" t="s">
        <v>3670</v>
      </c>
      <c r="M54" s="478" t="s">
        <v>1049</v>
      </c>
      <c r="N54" s="486">
        <f>$N$19*K54</f>
        <v>4570645.1409999998</v>
      </c>
      <c r="O54" s="486">
        <f>K54*0.03</f>
        <v>141360.15899999999</v>
      </c>
      <c r="P54" s="486">
        <f>K54-N54-O54</f>
        <v>0</v>
      </c>
    </row>
    <row r="55" spans="2:16" s="450" customFormat="1" ht="19.7" customHeight="1">
      <c r="B55" s="476" t="s">
        <v>3790</v>
      </c>
      <c r="C55" s="476" t="s">
        <v>1223</v>
      </c>
      <c r="D55" s="476" t="s">
        <v>3660</v>
      </c>
      <c r="E55" s="476" t="s">
        <v>3661</v>
      </c>
      <c r="F55" s="476" t="s">
        <v>3639</v>
      </c>
      <c r="G55" s="476" t="s">
        <v>3662</v>
      </c>
      <c r="H55" s="476" t="s">
        <v>3791</v>
      </c>
      <c r="I55" s="476" t="s">
        <v>1283</v>
      </c>
      <c r="J55" s="476" t="s">
        <v>3753</v>
      </c>
      <c r="K55" s="477">
        <v>-1758364.81</v>
      </c>
      <c r="L55" s="478" t="s">
        <v>3664</v>
      </c>
      <c r="M55" s="478" t="s">
        <v>1235</v>
      </c>
      <c r="N55" s="478"/>
      <c r="O55" s="478"/>
      <c r="P55" s="478"/>
    </row>
    <row r="56" spans="2:16" s="450" customFormat="1" ht="19.7" customHeight="1">
      <c r="B56" s="476" t="s">
        <v>3790</v>
      </c>
      <c r="C56" s="476" t="s">
        <v>1223</v>
      </c>
      <c r="D56" s="476" t="s">
        <v>3660</v>
      </c>
      <c r="E56" s="476" t="s">
        <v>3661</v>
      </c>
      <c r="F56" s="476" t="s">
        <v>3639</v>
      </c>
      <c r="G56" s="476" t="s">
        <v>3662</v>
      </c>
      <c r="H56" s="476" t="s">
        <v>3792</v>
      </c>
      <c r="I56" s="476" t="s">
        <v>1073</v>
      </c>
      <c r="J56" s="476" t="s">
        <v>1077</v>
      </c>
      <c r="K56" s="477">
        <v>-4712005.3</v>
      </c>
      <c r="L56" s="478" t="s">
        <v>3670</v>
      </c>
      <c r="M56" s="478" t="s">
        <v>1049</v>
      </c>
      <c r="N56" s="486">
        <f>$N$19*K56</f>
        <v>-4570645.1409999998</v>
      </c>
      <c r="O56" s="486">
        <f>K56*0.03</f>
        <v>-141360.15899999999</v>
      </c>
      <c r="P56" s="486">
        <f>K56-N56-O56</f>
        <v>0</v>
      </c>
    </row>
    <row r="57" spans="2:16" s="450" customFormat="1" ht="19.7" customHeight="1">
      <c r="B57" s="476" t="s">
        <v>3790</v>
      </c>
      <c r="C57" s="476" t="s">
        <v>1223</v>
      </c>
      <c r="D57" s="476" t="s">
        <v>3660</v>
      </c>
      <c r="E57" s="476" t="s">
        <v>3661</v>
      </c>
      <c r="F57" s="476" t="s">
        <v>3639</v>
      </c>
      <c r="G57" s="476" t="s">
        <v>3662</v>
      </c>
      <c r="H57" s="476" t="s">
        <v>3793</v>
      </c>
      <c r="I57" s="476" t="s">
        <v>1283</v>
      </c>
      <c r="J57" s="476" t="s">
        <v>3753</v>
      </c>
      <c r="K57" s="477">
        <v>1748133.74</v>
      </c>
      <c r="L57" s="478" t="s">
        <v>3664</v>
      </c>
      <c r="M57" s="478" t="s">
        <v>1235</v>
      </c>
      <c r="N57" s="478"/>
      <c r="O57" s="478"/>
      <c r="P57" s="478"/>
    </row>
    <row r="58" spans="2:16" s="450" customFormat="1" ht="19.7" customHeight="1">
      <c r="B58" s="476" t="s">
        <v>3790</v>
      </c>
      <c r="C58" s="476" t="s">
        <v>1223</v>
      </c>
      <c r="D58" s="476" t="s">
        <v>3660</v>
      </c>
      <c r="E58" s="476" t="s">
        <v>3661</v>
      </c>
      <c r="F58" s="476" t="s">
        <v>3639</v>
      </c>
      <c r="G58" s="476" t="s">
        <v>3662</v>
      </c>
      <c r="H58" s="476" t="s">
        <v>3794</v>
      </c>
      <c r="I58" s="476" t="s">
        <v>3666</v>
      </c>
      <c r="J58" s="476" t="s">
        <v>3667</v>
      </c>
      <c r="K58" s="477">
        <v>-823177.21</v>
      </c>
      <c r="L58" s="478" t="s">
        <v>3668</v>
      </c>
      <c r="M58" s="478" t="s">
        <v>3603</v>
      </c>
      <c r="N58" s="478"/>
      <c r="O58" s="478"/>
      <c r="P58" s="478"/>
    </row>
    <row r="59" spans="2:16" s="450" customFormat="1" ht="19.7" customHeight="1">
      <c r="B59" s="476" t="s">
        <v>3790</v>
      </c>
      <c r="C59" s="476" t="s">
        <v>1223</v>
      </c>
      <c r="D59" s="476" t="s">
        <v>3660</v>
      </c>
      <c r="E59" s="476" t="s">
        <v>3661</v>
      </c>
      <c r="F59" s="476" t="s">
        <v>3639</v>
      </c>
      <c r="G59" s="476" t="s">
        <v>3662</v>
      </c>
      <c r="H59" s="476" t="s">
        <v>3795</v>
      </c>
      <c r="I59" s="476" t="s">
        <v>1073</v>
      </c>
      <c r="J59" s="476" t="s">
        <v>1077</v>
      </c>
      <c r="K59" s="477">
        <v>6722117.5099999998</v>
      </c>
      <c r="L59" s="478" t="s">
        <v>3670</v>
      </c>
      <c r="M59" s="478" t="s">
        <v>1049</v>
      </c>
      <c r="N59" s="486">
        <f>$N$19*K59</f>
        <v>6520453.9846999999</v>
      </c>
      <c r="O59" s="486">
        <f>K59*0.03</f>
        <v>201663.52529999998</v>
      </c>
      <c r="P59" s="486">
        <f>K59-N59-O59</f>
        <v>0</v>
      </c>
    </row>
    <row r="60" spans="2:16" s="450" customFormat="1" ht="19.7" customHeight="1">
      <c r="B60" s="476" t="s">
        <v>3796</v>
      </c>
      <c r="C60" s="476" t="s">
        <v>1223</v>
      </c>
      <c r="D60" s="476" t="s">
        <v>3660</v>
      </c>
      <c r="E60" s="476" t="s">
        <v>3661</v>
      </c>
      <c r="F60" s="476" t="s">
        <v>3639</v>
      </c>
      <c r="G60" s="476" t="s">
        <v>3662</v>
      </c>
      <c r="H60" s="476" t="s">
        <v>3797</v>
      </c>
      <c r="I60" s="476" t="s">
        <v>1283</v>
      </c>
      <c r="J60" s="476" t="s">
        <v>3753</v>
      </c>
      <c r="K60" s="477">
        <v>-1748133.74</v>
      </c>
      <c r="L60" s="478" t="s">
        <v>3664</v>
      </c>
      <c r="M60" s="478" t="s">
        <v>1235</v>
      </c>
      <c r="N60" s="478"/>
      <c r="O60" s="478"/>
      <c r="P60" s="478"/>
    </row>
    <row r="61" spans="2:16" s="450" customFormat="1" ht="19.7" customHeight="1">
      <c r="B61" s="476" t="s">
        <v>3796</v>
      </c>
      <c r="C61" s="476" t="s">
        <v>1223</v>
      </c>
      <c r="D61" s="476" t="s">
        <v>3660</v>
      </c>
      <c r="E61" s="476" t="s">
        <v>3661</v>
      </c>
      <c r="F61" s="476" t="s">
        <v>3639</v>
      </c>
      <c r="G61" s="476" t="s">
        <v>3662</v>
      </c>
      <c r="H61" s="476" t="s">
        <v>3721</v>
      </c>
      <c r="I61" s="476" t="s">
        <v>3666</v>
      </c>
      <c r="J61" s="476" t="s">
        <v>3667</v>
      </c>
      <c r="K61" s="477">
        <v>823177.21</v>
      </c>
      <c r="L61" s="478" t="s">
        <v>3668</v>
      </c>
      <c r="M61" s="478" t="s">
        <v>3603</v>
      </c>
      <c r="N61" s="478"/>
      <c r="O61" s="478"/>
      <c r="P61" s="478"/>
    </row>
    <row r="62" spans="2:16" s="450" customFormat="1" ht="19.7" customHeight="1">
      <c r="B62" s="476" t="s">
        <v>3796</v>
      </c>
      <c r="C62" s="476" t="s">
        <v>1223</v>
      </c>
      <c r="D62" s="476" t="s">
        <v>3660</v>
      </c>
      <c r="E62" s="476" t="s">
        <v>3661</v>
      </c>
      <c r="F62" s="476" t="s">
        <v>3639</v>
      </c>
      <c r="G62" s="476" t="s">
        <v>3662</v>
      </c>
      <c r="H62" s="476" t="s">
        <v>3798</v>
      </c>
      <c r="I62" s="476" t="s">
        <v>1073</v>
      </c>
      <c r="J62" s="476" t="s">
        <v>1077</v>
      </c>
      <c r="K62" s="477">
        <v>-6722117.5099999998</v>
      </c>
      <c r="L62" s="478" t="s">
        <v>3670</v>
      </c>
      <c r="M62" s="478" t="s">
        <v>1049</v>
      </c>
      <c r="N62" s="486">
        <f>$N$19*K62</f>
        <v>-6520453.9846999999</v>
      </c>
      <c r="O62" s="486">
        <f>K62*0.03</f>
        <v>-201663.52529999998</v>
      </c>
      <c r="P62" s="486">
        <f>K62-N62-O62</f>
        <v>0</v>
      </c>
    </row>
    <row r="63" spans="2:16" s="450" customFormat="1" ht="19.7" customHeight="1">
      <c r="B63" s="476" t="s">
        <v>3796</v>
      </c>
      <c r="C63" s="476" t="s">
        <v>1223</v>
      </c>
      <c r="D63" s="476" t="s">
        <v>3660</v>
      </c>
      <c r="E63" s="476" t="s">
        <v>3661</v>
      </c>
      <c r="F63" s="476" t="s">
        <v>3639</v>
      </c>
      <c r="G63" s="476" t="s">
        <v>3662</v>
      </c>
      <c r="H63" s="476" t="s">
        <v>3799</v>
      </c>
      <c r="I63" s="476" t="s">
        <v>1283</v>
      </c>
      <c r="J63" s="476" t="s">
        <v>3753</v>
      </c>
      <c r="K63" s="477">
        <v>1666052.14</v>
      </c>
      <c r="L63" s="478" t="s">
        <v>3664</v>
      </c>
      <c r="M63" s="478" t="s">
        <v>1235</v>
      </c>
      <c r="N63" s="478"/>
      <c r="O63" s="478"/>
      <c r="P63" s="478"/>
    </row>
    <row r="64" spans="2:16" s="450" customFormat="1" ht="19.7" customHeight="1">
      <c r="B64" s="476" t="s">
        <v>3796</v>
      </c>
      <c r="C64" s="476" t="s">
        <v>1223</v>
      </c>
      <c r="D64" s="476" t="s">
        <v>3660</v>
      </c>
      <c r="E64" s="476" t="s">
        <v>3661</v>
      </c>
      <c r="F64" s="476" t="s">
        <v>3639</v>
      </c>
      <c r="G64" s="476" t="s">
        <v>3662</v>
      </c>
      <c r="H64" s="476" t="s">
        <v>3800</v>
      </c>
      <c r="I64" s="476" t="s">
        <v>3666</v>
      </c>
      <c r="J64" s="476" t="s">
        <v>3667</v>
      </c>
      <c r="K64" s="477">
        <v>-1237234.44</v>
      </c>
      <c r="L64" s="478" t="s">
        <v>3668</v>
      </c>
      <c r="M64" s="478" t="s">
        <v>3603</v>
      </c>
      <c r="N64" s="478"/>
      <c r="O64" s="478"/>
      <c r="P64" s="478"/>
    </row>
    <row r="65" spans="2:16" s="450" customFormat="1" ht="19.7" customHeight="1">
      <c r="B65" s="476" t="s">
        <v>3796</v>
      </c>
      <c r="C65" s="476" t="s">
        <v>1223</v>
      </c>
      <c r="D65" s="476" t="s">
        <v>3660</v>
      </c>
      <c r="E65" s="476" t="s">
        <v>3661</v>
      </c>
      <c r="F65" s="476" t="s">
        <v>3639</v>
      </c>
      <c r="G65" s="476" t="s">
        <v>3662</v>
      </c>
      <c r="H65" s="476" t="s">
        <v>3801</v>
      </c>
      <c r="I65" s="476" t="s">
        <v>1073</v>
      </c>
      <c r="J65" s="476" t="s">
        <v>1077</v>
      </c>
      <c r="K65" s="477">
        <v>5519222.4299999997</v>
      </c>
      <c r="L65" s="478" t="s">
        <v>3670</v>
      </c>
      <c r="M65" s="478" t="s">
        <v>1049</v>
      </c>
      <c r="N65" s="486">
        <f>$N$19*K65</f>
        <v>5353645.7570999991</v>
      </c>
      <c r="O65" s="486">
        <f>K65*0.03</f>
        <v>165576.67289999998</v>
      </c>
      <c r="P65" s="486">
        <f>K65-N65-O65</f>
        <v>6.1118043959140778E-10</v>
      </c>
    </row>
    <row r="66" spans="2:16" s="450" customFormat="1" ht="19.7" customHeight="1">
      <c r="B66" s="476" t="s">
        <v>3802</v>
      </c>
      <c r="C66" s="476" t="s">
        <v>1223</v>
      </c>
      <c r="D66" s="476" t="s">
        <v>3660</v>
      </c>
      <c r="E66" s="476" t="s">
        <v>3661</v>
      </c>
      <c r="F66" s="476" t="s">
        <v>3639</v>
      </c>
      <c r="G66" s="476" t="s">
        <v>3662</v>
      </c>
      <c r="H66" s="476" t="s">
        <v>3803</v>
      </c>
      <c r="I66" s="476" t="s">
        <v>1283</v>
      </c>
      <c r="J66" s="476" t="s">
        <v>3753</v>
      </c>
      <c r="K66" s="477">
        <v>-1666052.14</v>
      </c>
      <c r="L66" s="478" t="s">
        <v>3664</v>
      </c>
      <c r="M66" s="478" t="s">
        <v>1235</v>
      </c>
      <c r="N66" s="478"/>
      <c r="O66" s="478"/>
      <c r="P66" s="478"/>
    </row>
    <row r="67" spans="2:16" s="450" customFormat="1" ht="19.7" customHeight="1">
      <c r="B67" s="476" t="s">
        <v>3802</v>
      </c>
      <c r="C67" s="476" t="s">
        <v>1223</v>
      </c>
      <c r="D67" s="476" t="s">
        <v>3660</v>
      </c>
      <c r="E67" s="476" t="s">
        <v>3661</v>
      </c>
      <c r="F67" s="476" t="s">
        <v>3639</v>
      </c>
      <c r="G67" s="476" t="s">
        <v>3662</v>
      </c>
      <c r="H67" s="476" t="s">
        <v>3804</v>
      </c>
      <c r="I67" s="476" t="s">
        <v>3666</v>
      </c>
      <c r="J67" s="476" t="s">
        <v>3667</v>
      </c>
      <c r="K67" s="477">
        <v>1237234.44</v>
      </c>
      <c r="L67" s="478" t="s">
        <v>3668</v>
      </c>
      <c r="M67" s="478" t="s">
        <v>3603</v>
      </c>
      <c r="N67" s="478"/>
      <c r="O67" s="478"/>
      <c r="P67" s="478"/>
    </row>
    <row r="68" spans="2:16" s="450" customFormat="1" ht="19.7" customHeight="1">
      <c r="B68" s="476" t="s">
        <v>3802</v>
      </c>
      <c r="C68" s="476" t="s">
        <v>1223</v>
      </c>
      <c r="D68" s="476" t="s">
        <v>3660</v>
      </c>
      <c r="E68" s="476" t="s">
        <v>3661</v>
      </c>
      <c r="F68" s="476" t="s">
        <v>3639</v>
      </c>
      <c r="G68" s="476" t="s">
        <v>3662</v>
      </c>
      <c r="H68" s="476" t="s">
        <v>3805</v>
      </c>
      <c r="I68" s="476" t="s">
        <v>1073</v>
      </c>
      <c r="J68" s="476" t="s">
        <v>1077</v>
      </c>
      <c r="K68" s="477">
        <v>-5519222.4299999997</v>
      </c>
      <c r="L68" s="478" t="s">
        <v>3670</v>
      </c>
      <c r="M68" s="478" t="s">
        <v>1049</v>
      </c>
      <c r="N68" s="486">
        <f>$N$19*K68</f>
        <v>-5353645.7570999991</v>
      </c>
      <c r="O68" s="486">
        <f>K68*0.03</f>
        <v>-165576.67289999998</v>
      </c>
      <c r="P68" s="486">
        <f>K68-N68-O68</f>
        <v>-6.1118043959140778E-10</v>
      </c>
    </row>
    <row r="69" spans="2:16" s="450" customFormat="1" ht="19.7" customHeight="1">
      <c r="B69" s="476" t="s">
        <v>3802</v>
      </c>
      <c r="C69" s="476" t="s">
        <v>1223</v>
      </c>
      <c r="D69" s="476" t="s">
        <v>3660</v>
      </c>
      <c r="E69" s="476" t="s">
        <v>3661</v>
      </c>
      <c r="F69" s="476" t="s">
        <v>3639</v>
      </c>
      <c r="G69" s="476" t="s">
        <v>3662</v>
      </c>
      <c r="H69" s="476" t="s">
        <v>3806</v>
      </c>
      <c r="I69" s="476" t="s">
        <v>1283</v>
      </c>
      <c r="J69" s="476" t="s">
        <v>1285</v>
      </c>
      <c r="K69" s="477">
        <v>1745164.09</v>
      </c>
      <c r="L69" s="478" t="s">
        <v>3664</v>
      </c>
      <c r="M69" s="478" t="s">
        <v>1235</v>
      </c>
      <c r="N69" s="478"/>
      <c r="O69" s="478"/>
      <c r="P69" s="478"/>
    </row>
    <row r="70" spans="2:16" s="450" customFormat="1" ht="19.7" customHeight="1">
      <c r="B70" s="476" t="s">
        <v>3802</v>
      </c>
      <c r="C70" s="476" t="s">
        <v>1223</v>
      </c>
      <c r="D70" s="476" t="s">
        <v>3660</v>
      </c>
      <c r="E70" s="476" t="s">
        <v>3661</v>
      </c>
      <c r="F70" s="476" t="s">
        <v>3639</v>
      </c>
      <c r="G70" s="476" t="s">
        <v>3662</v>
      </c>
      <c r="H70" s="476" t="s">
        <v>3807</v>
      </c>
      <c r="I70" s="476" t="s">
        <v>1073</v>
      </c>
      <c r="J70" s="476" t="s">
        <v>1077</v>
      </c>
      <c r="K70" s="477">
        <v>10948690.689999999</v>
      </c>
      <c r="L70" s="478" t="s">
        <v>3670</v>
      </c>
      <c r="M70" s="478" t="s">
        <v>1049</v>
      </c>
      <c r="N70" s="486">
        <f>$N$19*K70</f>
        <v>10620229.9693</v>
      </c>
      <c r="O70" s="486">
        <f>K70*0.03</f>
        <v>328460.72069999995</v>
      </c>
      <c r="P70" s="486">
        <f>K70-N70-O70</f>
        <v>-4.6566128730773926E-10</v>
      </c>
    </row>
    <row r="71" spans="2:16" s="450" customFormat="1" ht="19.7" customHeight="1">
      <c r="B71" s="476" t="s">
        <v>3808</v>
      </c>
      <c r="C71" s="476" t="s">
        <v>1223</v>
      </c>
      <c r="D71" s="476" t="s">
        <v>3660</v>
      </c>
      <c r="E71" s="476" t="s">
        <v>3661</v>
      </c>
      <c r="F71" s="476" t="s">
        <v>3639</v>
      </c>
      <c r="G71" s="476" t="s">
        <v>3662</v>
      </c>
      <c r="H71" s="476" t="s">
        <v>3809</v>
      </c>
      <c r="I71" s="476" t="s">
        <v>1283</v>
      </c>
      <c r="J71" s="476" t="s">
        <v>1285</v>
      </c>
      <c r="K71" s="477">
        <v>-1745164.09</v>
      </c>
      <c r="L71" s="478" t="s">
        <v>3664</v>
      </c>
      <c r="M71" s="478" t="s">
        <v>1235</v>
      </c>
      <c r="N71" s="478"/>
      <c r="O71" s="478"/>
      <c r="P71" s="478"/>
    </row>
    <row r="72" spans="2:16" s="450" customFormat="1" ht="19.7" customHeight="1">
      <c r="B72" s="476" t="s">
        <v>3808</v>
      </c>
      <c r="C72" s="476" t="s">
        <v>1223</v>
      </c>
      <c r="D72" s="476" t="s">
        <v>3660</v>
      </c>
      <c r="E72" s="476" t="s">
        <v>3661</v>
      </c>
      <c r="F72" s="476" t="s">
        <v>3639</v>
      </c>
      <c r="G72" s="476" t="s">
        <v>3662</v>
      </c>
      <c r="H72" s="476" t="s">
        <v>3810</v>
      </c>
      <c r="I72" s="476" t="s">
        <v>1073</v>
      </c>
      <c r="J72" s="476" t="s">
        <v>1077</v>
      </c>
      <c r="K72" s="477">
        <v>-10948690.689999999</v>
      </c>
      <c r="L72" s="478" t="s">
        <v>3670</v>
      </c>
      <c r="M72" s="478" t="s">
        <v>1049</v>
      </c>
      <c r="N72" s="486">
        <f>$N$19*K72</f>
        <v>-10620229.9693</v>
      </c>
      <c r="O72" s="486">
        <f>K72*0.03</f>
        <v>-328460.72069999995</v>
      </c>
      <c r="P72" s="486">
        <f>K72-N72-O72</f>
        <v>4.6566128730773926E-10</v>
      </c>
    </row>
    <row r="73" spans="2:16" s="450" customFormat="1" ht="19.7" customHeight="1">
      <c r="B73" s="476" t="s">
        <v>3808</v>
      </c>
      <c r="C73" s="476" t="s">
        <v>1223</v>
      </c>
      <c r="D73" s="476" t="s">
        <v>3660</v>
      </c>
      <c r="E73" s="476" t="s">
        <v>3661</v>
      </c>
      <c r="F73" s="476" t="s">
        <v>3639</v>
      </c>
      <c r="G73" s="476" t="s">
        <v>3662</v>
      </c>
      <c r="H73" s="476" t="s">
        <v>3811</v>
      </c>
      <c r="I73" s="476" t="s">
        <v>1283</v>
      </c>
      <c r="J73" s="476" t="s">
        <v>1285</v>
      </c>
      <c r="K73" s="477">
        <v>1924529.46</v>
      </c>
      <c r="L73" s="478" t="s">
        <v>3664</v>
      </c>
      <c r="M73" s="478" t="s">
        <v>1235</v>
      </c>
      <c r="N73" s="478"/>
      <c r="O73" s="478"/>
      <c r="P73" s="478"/>
    </row>
    <row r="74" spans="2:16" s="450" customFormat="1" ht="19.7" customHeight="1">
      <c r="B74" s="476" t="s">
        <v>3808</v>
      </c>
      <c r="C74" s="476" t="s">
        <v>1223</v>
      </c>
      <c r="D74" s="476" t="s">
        <v>3660</v>
      </c>
      <c r="E74" s="476" t="s">
        <v>3661</v>
      </c>
      <c r="F74" s="476" t="s">
        <v>3639</v>
      </c>
      <c r="G74" s="476" t="s">
        <v>3662</v>
      </c>
      <c r="H74" s="476" t="s">
        <v>3812</v>
      </c>
      <c r="I74" s="476" t="s">
        <v>1073</v>
      </c>
      <c r="J74" s="476" t="s">
        <v>1077</v>
      </c>
      <c r="K74" s="477">
        <v>30750754.550000001</v>
      </c>
      <c r="L74" s="478" t="s">
        <v>3670</v>
      </c>
      <c r="M74" s="478" t="s">
        <v>1049</v>
      </c>
      <c r="N74" s="486">
        <f>$N$19*K74</f>
        <v>29828231.9135</v>
      </c>
      <c r="O74" s="486">
        <f>K74*0.03</f>
        <v>922522.63650000002</v>
      </c>
      <c r="P74" s="486">
        <f>K74-N74-O74</f>
        <v>9.3132257461547852E-10</v>
      </c>
    </row>
    <row r="75" spans="2:16" s="450" customFormat="1" ht="19.7" customHeight="1">
      <c r="B75" s="476" t="s">
        <v>3813</v>
      </c>
      <c r="C75" s="476" t="s">
        <v>1223</v>
      </c>
      <c r="D75" s="476" t="s">
        <v>3660</v>
      </c>
      <c r="E75" s="476" t="s">
        <v>3661</v>
      </c>
      <c r="F75" s="476" t="s">
        <v>3639</v>
      </c>
      <c r="G75" s="476" t="s">
        <v>3662</v>
      </c>
      <c r="H75" s="476" t="s">
        <v>3814</v>
      </c>
      <c r="I75" s="476" t="s">
        <v>1283</v>
      </c>
      <c r="J75" s="476" t="s">
        <v>1285</v>
      </c>
      <c r="K75" s="483">
        <v>-1924529.46</v>
      </c>
      <c r="L75" s="478" t="s">
        <v>3664</v>
      </c>
      <c r="M75" s="478" t="s">
        <v>1235</v>
      </c>
      <c r="N75" s="478"/>
      <c r="O75" s="478"/>
      <c r="P75" s="478"/>
    </row>
    <row r="76" spans="2:16" s="450" customFormat="1" ht="19.7" customHeight="1">
      <c r="B76" s="476" t="s">
        <v>3813</v>
      </c>
      <c r="C76" s="476" t="s">
        <v>1223</v>
      </c>
      <c r="D76" s="476" t="s">
        <v>3660</v>
      </c>
      <c r="E76" s="476" t="s">
        <v>3661</v>
      </c>
      <c r="F76" s="476" t="s">
        <v>3639</v>
      </c>
      <c r="G76" s="476" t="s">
        <v>3662</v>
      </c>
      <c r="H76" s="476" t="s">
        <v>3815</v>
      </c>
      <c r="I76" s="476" t="s">
        <v>1073</v>
      </c>
      <c r="J76" s="476" t="s">
        <v>1077</v>
      </c>
      <c r="K76" s="483">
        <v>-30750754.550000001</v>
      </c>
      <c r="L76" s="478" t="s">
        <v>3670</v>
      </c>
      <c r="M76" s="478" t="s">
        <v>1049</v>
      </c>
      <c r="N76" s="486">
        <f>$N$19*K76</f>
        <v>-29828231.9135</v>
      </c>
      <c r="O76" s="486">
        <f>K76*0.03</f>
        <v>-922522.63650000002</v>
      </c>
      <c r="P76" s="486">
        <f>K76-N76-O76</f>
        <v>-9.3132257461547852E-10</v>
      </c>
    </row>
    <row r="77" spans="2:16" s="450" customFormat="1" ht="19.7" customHeight="1">
      <c r="B77" s="476" t="s">
        <v>3813</v>
      </c>
      <c r="C77" s="476" t="s">
        <v>1223</v>
      </c>
      <c r="D77" s="476" t="s">
        <v>3660</v>
      </c>
      <c r="E77" s="476" t="s">
        <v>3661</v>
      </c>
      <c r="F77" s="476" t="s">
        <v>3639</v>
      </c>
      <c r="G77" s="476" t="s">
        <v>3662</v>
      </c>
      <c r="H77" s="476" t="s">
        <v>3816</v>
      </c>
      <c r="I77" s="476" t="s">
        <v>1283</v>
      </c>
      <c r="J77" s="476" t="s">
        <v>1285</v>
      </c>
      <c r="K77" s="483">
        <v>2939570.04</v>
      </c>
      <c r="L77" s="478" t="s">
        <v>3664</v>
      </c>
      <c r="M77" s="478" t="s">
        <v>1235</v>
      </c>
      <c r="N77" s="478"/>
      <c r="O77" s="478"/>
      <c r="P77" s="478"/>
    </row>
    <row r="78" spans="2:16" s="450" customFormat="1" ht="19.7" customHeight="1">
      <c r="B78" s="476" t="s">
        <v>3813</v>
      </c>
      <c r="C78" s="476" t="s">
        <v>1223</v>
      </c>
      <c r="D78" s="476" t="s">
        <v>3660</v>
      </c>
      <c r="E78" s="476" t="s">
        <v>3661</v>
      </c>
      <c r="F78" s="476" t="s">
        <v>3639</v>
      </c>
      <c r="G78" s="476" t="s">
        <v>3662</v>
      </c>
      <c r="H78" s="476" t="s">
        <v>3817</v>
      </c>
      <c r="I78" s="476" t="s">
        <v>3666</v>
      </c>
      <c r="J78" s="476" t="s">
        <v>3667</v>
      </c>
      <c r="K78" s="483">
        <v>-6771384.2800000003</v>
      </c>
      <c r="L78" s="478" t="s">
        <v>3668</v>
      </c>
      <c r="M78" s="478" t="s">
        <v>3603</v>
      </c>
      <c r="N78" s="478"/>
      <c r="O78" s="478"/>
      <c r="P78" s="478"/>
    </row>
    <row r="79" spans="2:16" s="450" customFormat="1" ht="19.7" customHeight="1">
      <c r="B79" s="476" t="s">
        <v>3813</v>
      </c>
      <c r="C79" s="476" t="s">
        <v>1223</v>
      </c>
      <c r="D79" s="476" t="s">
        <v>3660</v>
      </c>
      <c r="E79" s="476" t="s">
        <v>3661</v>
      </c>
      <c r="F79" s="476" t="s">
        <v>3639</v>
      </c>
      <c r="G79" s="476" t="s">
        <v>3662</v>
      </c>
      <c r="H79" s="476" t="s">
        <v>3818</v>
      </c>
      <c r="I79" s="476" t="s">
        <v>1073</v>
      </c>
      <c r="J79" s="476" t="s">
        <v>1077</v>
      </c>
      <c r="K79" s="483">
        <v>37329030.75</v>
      </c>
      <c r="L79" s="478" t="s">
        <v>3670</v>
      </c>
      <c r="M79" s="478" t="s">
        <v>1049</v>
      </c>
      <c r="N79" s="486">
        <f>$N$19*K79</f>
        <v>36209159.827500001</v>
      </c>
      <c r="O79" s="486">
        <f>K79*0.03</f>
        <v>1119870.9224999999</v>
      </c>
      <c r="P79" s="486">
        <f>K79-N79-O79</f>
        <v>0</v>
      </c>
    </row>
    <row r="80" spans="2:16" s="450" customFormat="1" ht="19.7" customHeight="1">
      <c r="B80" s="479"/>
      <c r="C80" s="479"/>
      <c r="D80" s="479"/>
      <c r="E80" s="479"/>
      <c r="F80" s="479"/>
      <c r="G80" s="479"/>
      <c r="H80" s="479"/>
      <c r="I80" s="479"/>
      <c r="J80" s="480" t="s">
        <v>3739</v>
      </c>
      <c r="K80" s="481">
        <v>11662447.810000001</v>
      </c>
      <c r="N80" s="481">
        <f>SUM(N20:N79)</f>
        <v>299901.79670000076</v>
      </c>
      <c r="O80" s="481">
        <f>SUM(O20:O79)</f>
        <v>9275.3132999998052</v>
      </c>
      <c r="P80" s="481">
        <f>SUM(P20:P79)</f>
        <v>0</v>
      </c>
    </row>
    <row r="81" s="450" customFormat="1" ht="28.7" customHeight="1"/>
  </sheetData>
  <autoFilter ref="B19:N80" xr:uid="{B5307E76-C8FA-401A-9A05-DDE79014B6BF}"/>
  <mergeCells count="34">
    <mergeCell ref="B2:C2"/>
    <mergeCell ref="D2:F2"/>
    <mergeCell ref="B3:C3"/>
    <mergeCell ref="D3:F3"/>
    <mergeCell ref="B4:C4"/>
    <mergeCell ref="D4:F4"/>
    <mergeCell ref="B5:C5"/>
    <mergeCell ref="D5:F5"/>
    <mergeCell ref="B6:C6"/>
    <mergeCell ref="D6:F6"/>
    <mergeCell ref="B7:C7"/>
    <mergeCell ref="D7:F7"/>
    <mergeCell ref="L7:O7"/>
    <mergeCell ref="B8:C8"/>
    <mergeCell ref="D8:F8"/>
    <mergeCell ref="H8:J8"/>
    <mergeCell ref="B9:C9"/>
    <mergeCell ref="D9:F9"/>
    <mergeCell ref="B10:C10"/>
    <mergeCell ref="D10:F10"/>
    <mergeCell ref="B11:C11"/>
    <mergeCell ref="D11:F11"/>
    <mergeCell ref="B12:C12"/>
    <mergeCell ref="D12:F12"/>
    <mergeCell ref="B16:C16"/>
    <mergeCell ref="D16:F16"/>
    <mergeCell ref="B17:C17"/>
    <mergeCell ref="D17:F17"/>
    <mergeCell ref="B13:C13"/>
    <mergeCell ref="D13:F13"/>
    <mergeCell ref="B14:C14"/>
    <mergeCell ref="D14:F14"/>
    <mergeCell ref="B15:C15"/>
    <mergeCell ref="D15:F15"/>
  </mergeCells>
  <pageMargins left="0.7" right="0.7" top="0.75" bottom="0.75" header="0.3" footer="0.3"/>
  <pageSetup paperSize="5" orientation="landscape" r:id="rId1"/>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tabColor rgb="FFFF0000"/>
    <pageSetUpPr fitToPage="1"/>
  </sheetPr>
  <dimension ref="A1:W465"/>
  <sheetViews>
    <sheetView workbookViewId="0"/>
  </sheetViews>
  <sheetFormatPr defaultRowHeight="15"/>
  <cols>
    <col min="1" max="1" width="44.42578125" bestFit="1" customWidth="1"/>
    <col min="2" max="2" width="12.5703125" bestFit="1" customWidth="1"/>
    <col min="3" max="5" width="16.7109375" customWidth="1"/>
  </cols>
  <sheetData>
    <row r="1" spans="1:12">
      <c r="D1" t="s">
        <v>0</v>
      </c>
    </row>
    <row r="2" spans="1:12">
      <c r="D2" t="s">
        <v>1</v>
      </c>
    </row>
    <row r="3" spans="1:12">
      <c r="D3" t="s">
        <v>3540</v>
      </c>
    </row>
    <row r="4" spans="1:12">
      <c r="D4" t="s">
        <v>3</v>
      </c>
    </row>
    <row r="6" spans="1:12">
      <c r="A6" s="80" t="s">
        <v>3541</v>
      </c>
    </row>
    <row r="9" spans="1:12">
      <c r="A9" s="7" t="s">
        <v>3542</v>
      </c>
      <c r="B9" s="5" t="s">
        <v>3819</v>
      </c>
    </row>
    <row r="11" spans="1:12">
      <c r="A11" s="22" t="s">
        <v>3589</v>
      </c>
      <c r="C11" s="40" t="s">
        <v>3590</v>
      </c>
    </row>
    <row r="12" spans="1:12">
      <c r="A12" t="s">
        <v>3544</v>
      </c>
      <c r="B12" s="3">
        <v>29337335</v>
      </c>
      <c r="C12" t="s">
        <v>3555</v>
      </c>
    </row>
    <row r="13" spans="1:12">
      <c r="A13" t="s">
        <v>3545</v>
      </c>
      <c r="B13" s="101">
        <v>34444421.890000001</v>
      </c>
      <c r="C13" t="s">
        <v>3608</v>
      </c>
      <c r="K13" s="26"/>
      <c r="L13" s="26"/>
    </row>
    <row r="14" spans="1:12">
      <c r="A14" t="s">
        <v>3547</v>
      </c>
      <c r="B14" s="3">
        <f>B13-B12</f>
        <v>5107086.8900000006</v>
      </c>
      <c r="K14" s="26"/>
      <c r="L14" s="26"/>
    </row>
    <row r="15" spans="1:12">
      <c r="B15" s="3"/>
      <c r="K15" s="26"/>
      <c r="L15" s="26"/>
    </row>
    <row r="16" spans="1:12">
      <c r="A16" t="s">
        <v>3591</v>
      </c>
      <c r="B16" s="3">
        <f>-'Unbilled revenue (Bal Sht)_20'!R10</f>
        <v>681684.33000000007</v>
      </c>
      <c r="C16" t="s">
        <v>3592</v>
      </c>
      <c r="K16" s="26"/>
      <c r="L16" s="26"/>
    </row>
    <row r="17" spans="1:12">
      <c r="A17" t="s">
        <v>3549</v>
      </c>
      <c r="B17" s="101">
        <f>-'Unbilled revenue (Bal Sht)_20'!R95</f>
        <v>-168931.24920000008</v>
      </c>
      <c r="C17" t="s">
        <v>3593</v>
      </c>
      <c r="K17" s="26"/>
      <c r="L17" s="26"/>
    </row>
    <row r="18" spans="1:12">
      <c r="B18" s="3"/>
      <c r="K18" s="26"/>
      <c r="L18" s="26"/>
    </row>
    <row r="19" spans="1:12" ht="15.75" thickBot="1">
      <c r="A19" t="s">
        <v>3551</v>
      </c>
      <c r="B19" s="4">
        <f>SUM(B14:B17)</f>
        <v>5619839.9708000002</v>
      </c>
      <c r="C19" t="s">
        <v>3594</v>
      </c>
      <c r="K19" s="26"/>
      <c r="L19" s="26"/>
    </row>
    <row r="20" spans="1:12" ht="15.75" thickTop="1">
      <c r="K20" s="26"/>
      <c r="L20" s="26"/>
    </row>
    <row r="21" spans="1:12">
      <c r="K21" s="26"/>
      <c r="L21" s="26"/>
    </row>
    <row r="22" spans="1:12">
      <c r="K22" s="26"/>
      <c r="L22" s="26"/>
    </row>
    <row r="23" spans="1:12">
      <c r="A23" s="7" t="s">
        <v>3553</v>
      </c>
      <c r="B23" s="5" t="s">
        <v>3819</v>
      </c>
      <c r="K23" s="26"/>
      <c r="L23" s="26"/>
    </row>
    <row r="24" spans="1:12">
      <c r="K24" s="26"/>
      <c r="L24" s="26"/>
    </row>
    <row r="25" spans="1:12">
      <c r="A25" s="22" t="s">
        <v>3595</v>
      </c>
      <c r="B25" s="22"/>
      <c r="K25" s="26"/>
      <c r="L25" s="26"/>
    </row>
    <row r="26" spans="1:12">
      <c r="A26" s="24" t="s">
        <v>3554</v>
      </c>
      <c r="K26" s="26"/>
      <c r="L26" s="26"/>
    </row>
    <row r="27" spans="1:12">
      <c r="A27" t="s">
        <v>3820</v>
      </c>
      <c r="B27" s="3">
        <v>30447148</v>
      </c>
      <c r="C27" t="s">
        <v>3555</v>
      </c>
      <c r="K27" s="26"/>
      <c r="L27" s="26"/>
    </row>
    <row r="28" spans="1:12">
      <c r="A28" t="s">
        <v>3821</v>
      </c>
      <c r="B28" s="101">
        <f>-34039558-1869700</f>
        <v>-35909258</v>
      </c>
      <c r="C28" t="s">
        <v>3556</v>
      </c>
      <c r="K28" s="26"/>
      <c r="L28" s="26"/>
    </row>
    <row r="29" spans="1:12">
      <c r="A29" t="s">
        <v>3557</v>
      </c>
      <c r="B29" s="101">
        <f>SUM(B27:B28)</f>
        <v>-5462110</v>
      </c>
      <c r="C29" t="s">
        <v>3596</v>
      </c>
      <c r="K29" s="26"/>
      <c r="L29" s="26"/>
    </row>
    <row r="30" spans="1:12">
      <c r="K30" s="26"/>
      <c r="L30" s="26"/>
    </row>
    <row r="31" spans="1:12">
      <c r="A31" s="24" t="s">
        <v>3597</v>
      </c>
      <c r="K31" s="26"/>
      <c r="L31" s="26"/>
    </row>
    <row r="32" spans="1:12">
      <c r="A32" t="s">
        <v>3822</v>
      </c>
      <c r="B32" s="3">
        <v>14208345</v>
      </c>
      <c r="C32" t="s">
        <v>3555</v>
      </c>
      <c r="K32" s="26"/>
      <c r="L32" s="26"/>
    </row>
    <row r="33" spans="1:12">
      <c r="A33" t="s">
        <v>3823</v>
      </c>
      <c r="B33" s="3">
        <v>-15431566</v>
      </c>
      <c r="C33" t="s">
        <v>3556</v>
      </c>
      <c r="K33" s="26"/>
      <c r="L33" s="26"/>
    </row>
    <row r="34" spans="1:12">
      <c r="A34" t="s">
        <v>3559</v>
      </c>
      <c r="B34" s="624">
        <f>SUM(B32:B33)</f>
        <v>-1223221</v>
      </c>
      <c r="K34" s="26"/>
      <c r="L34" s="26"/>
    </row>
    <row r="35" spans="1:12">
      <c r="K35" s="26"/>
      <c r="L35" s="26"/>
    </row>
    <row r="36" spans="1:12">
      <c r="A36" s="24" t="s">
        <v>3560</v>
      </c>
      <c r="B36" s="3"/>
      <c r="K36" s="26"/>
      <c r="L36" s="26"/>
    </row>
    <row r="37" spans="1:12">
      <c r="A37" t="s">
        <v>3824</v>
      </c>
      <c r="B37" s="3">
        <f>B27-B32</f>
        <v>16238803</v>
      </c>
      <c r="K37" s="26"/>
      <c r="L37" s="26"/>
    </row>
    <row r="38" spans="1:12">
      <c r="A38" t="s">
        <v>3825</v>
      </c>
      <c r="B38" s="3">
        <f>B28-B33</f>
        <v>-20477692</v>
      </c>
      <c r="C38" s="3"/>
      <c r="D38" s="24"/>
      <c r="K38" s="26"/>
      <c r="L38" s="26"/>
    </row>
    <row r="39" spans="1:12" ht="15.75" thickBot="1">
      <c r="A39" t="s">
        <v>3562</v>
      </c>
      <c r="B39" s="625">
        <f>SUM(B37:B38)</f>
        <v>-4238889</v>
      </c>
      <c r="C39" s="7" t="s">
        <v>3563</v>
      </c>
      <c r="K39" s="26"/>
      <c r="L39" s="26"/>
    </row>
    <row r="40" spans="1:12" ht="15.75" thickTop="1">
      <c r="K40" s="26"/>
      <c r="L40" s="26"/>
    </row>
    <row r="41" spans="1:12">
      <c r="A41" s="24" t="s">
        <v>3564</v>
      </c>
      <c r="K41" s="26"/>
      <c r="L41" s="26"/>
    </row>
    <row r="42" spans="1:12">
      <c r="A42" t="s">
        <v>3826</v>
      </c>
      <c r="B42" s="3">
        <v>-1911770</v>
      </c>
      <c r="C42" t="s">
        <v>3555</v>
      </c>
      <c r="K42" s="26"/>
      <c r="L42" s="26"/>
    </row>
    <row r="43" spans="1:12">
      <c r="A43" t="s">
        <v>3827</v>
      </c>
      <c r="B43" s="3">
        <f>2516372+411806</f>
        <v>2928178</v>
      </c>
      <c r="C43" t="s">
        <v>3566</v>
      </c>
      <c r="K43" s="26"/>
      <c r="L43" s="26"/>
    </row>
    <row r="44" spans="1:12">
      <c r="A44" t="s">
        <v>3568</v>
      </c>
      <c r="B44" s="624">
        <f>SUM(B42:B43)</f>
        <v>1016408</v>
      </c>
      <c r="C44" s="7" t="s">
        <v>3569</v>
      </c>
      <c r="K44" s="26"/>
      <c r="L44" s="26"/>
    </row>
    <row r="45" spans="1:12">
      <c r="B45" s="3"/>
      <c r="K45" s="26"/>
      <c r="L45" s="26"/>
    </row>
    <row r="46" spans="1:12">
      <c r="K46" s="26"/>
      <c r="L46" s="26"/>
    </row>
    <row r="47" spans="1:12">
      <c r="A47" s="22" t="s">
        <v>3598</v>
      </c>
      <c r="K47" s="26"/>
      <c r="L47" s="26"/>
    </row>
    <row r="48" spans="1:12">
      <c r="A48" t="s">
        <v>3828</v>
      </c>
      <c r="B48" s="3">
        <v>2170519</v>
      </c>
      <c r="C48" t="s">
        <v>3555</v>
      </c>
      <c r="K48" s="26"/>
      <c r="L48" s="26"/>
    </row>
    <row r="49" spans="1:12">
      <c r="A49" t="s">
        <v>3829</v>
      </c>
      <c r="B49" s="3">
        <v>-2328249</v>
      </c>
      <c r="C49" t="s">
        <v>3599</v>
      </c>
      <c r="K49" s="26"/>
      <c r="L49" s="26"/>
    </row>
    <row r="50" spans="1:12" ht="15.75" thickBot="1">
      <c r="A50" t="s">
        <v>3571</v>
      </c>
      <c r="B50" s="625">
        <f>SUM(B48:B49)</f>
        <v>-157730</v>
      </c>
      <c r="C50" s="39" t="s">
        <v>3600</v>
      </c>
      <c r="K50" s="26"/>
      <c r="L50" s="26"/>
    </row>
    <row r="51" spans="1:12" ht="15.75" thickTop="1">
      <c r="B51" s="3"/>
      <c r="K51" s="26"/>
      <c r="L51" s="26"/>
    </row>
    <row r="52" spans="1:12">
      <c r="A52" s="24" t="s">
        <v>612</v>
      </c>
      <c r="B52" s="3">
        <f>SUM(B19,B29,B50)</f>
        <v>-2.9199999757111073E-2</v>
      </c>
      <c r="K52" s="26"/>
      <c r="L52" s="26"/>
    </row>
    <row r="53" spans="1:12">
      <c r="B53" s="3"/>
      <c r="K53" s="26"/>
      <c r="L53" s="26"/>
    </row>
    <row r="54" spans="1:12">
      <c r="B54" s="3"/>
      <c r="K54" s="26"/>
      <c r="L54" s="26"/>
    </row>
    <row r="55" spans="1:12">
      <c r="B55" s="9"/>
      <c r="K55" s="26"/>
      <c r="L55" s="26"/>
    </row>
    <row r="56" spans="1:12">
      <c r="A56" s="22" t="s">
        <v>3572</v>
      </c>
      <c r="B56" s="9"/>
      <c r="K56" s="26"/>
      <c r="L56" s="26"/>
    </row>
    <row r="57" spans="1:12">
      <c r="A57" s="24" t="s">
        <v>3573</v>
      </c>
      <c r="K57" s="26"/>
      <c r="L57" s="26"/>
    </row>
    <row r="58" spans="1:12">
      <c r="A58" t="s">
        <v>3830</v>
      </c>
      <c r="B58" s="3">
        <v>13531</v>
      </c>
      <c r="C58" t="s">
        <v>3555</v>
      </c>
      <c r="K58" s="26"/>
      <c r="L58" s="26"/>
    </row>
    <row r="59" spans="1:12">
      <c r="A59" t="s">
        <v>3831</v>
      </c>
      <c r="B59" s="3">
        <f>2082240+340760</f>
        <v>2423000</v>
      </c>
      <c r="C59" t="s">
        <v>3574</v>
      </c>
      <c r="K59" s="26"/>
      <c r="L59" s="26"/>
    </row>
    <row r="60" spans="1:12">
      <c r="A60" t="s">
        <v>152</v>
      </c>
      <c r="B60" s="624">
        <f>SUM(B58:B59)</f>
        <v>2436531</v>
      </c>
      <c r="C60" s="7" t="s">
        <v>3576</v>
      </c>
      <c r="K60" s="26"/>
      <c r="L60" s="26"/>
    </row>
    <row r="61" spans="1:12">
      <c r="B61" s="3"/>
      <c r="K61" s="26"/>
      <c r="L61" s="26"/>
    </row>
    <row r="62" spans="1:12">
      <c r="A62" s="24" t="s">
        <v>3577</v>
      </c>
      <c r="B62" s="3"/>
      <c r="K62" s="26"/>
      <c r="L62" s="26"/>
    </row>
    <row r="63" spans="1:12">
      <c r="A63" t="s">
        <v>3832</v>
      </c>
      <c r="B63" s="3">
        <v>-13679627</v>
      </c>
      <c r="C63" t="s">
        <v>3555</v>
      </c>
      <c r="K63" s="26"/>
      <c r="L63" s="26"/>
    </row>
    <row r="64" spans="1:12">
      <c r="A64" t="s">
        <v>3833</v>
      </c>
      <c r="B64" s="3">
        <v>14426572</v>
      </c>
      <c r="C64" t="s">
        <v>3578</v>
      </c>
      <c r="K64" s="26"/>
      <c r="L64" s="26"/>
    </row>
    <row r="65" spans="1:12">
      <c r="A65" t="s">
        <v>3580</v>
      </c>
      <c r="B65" s="624">
        <f>SUM(B62:B64)</f>
        <v>746945</v>
      </c>
      <c r="C65" s="7" t="s">
        <v>3576</v>
      </c>
      <c r="K65" s="26"/>
      <c r="L65" s="26"/>
    </row>
    <row r="66" spans="1:12">
      <c r="K66" s="26"/>
      <c r="L66" s="26"/>
    </row>
    <row r="67" spans="1:12" ht="15.75" thickBot="1">
      <c r="A67" t="s">
        <v>3581</v>
      </c>
      <c r="B67" s="4">
        <f>B65+B60+B50+B44+B39</f>
        <v>-196735</v>
      </c>
      <c r="C67" t="s">
        <v>3582</v>
      </c>
      <c r="K67" s="26"/>
      <c r="L67" s="26"/>
    </row>
    <row r="68" spans="1:12" ht="15.75" thickTop="1">
      <c r="B68" s="3"/>
      <c r="K68" s="26"/>
      <c r="L68" s="26"/>
    </row>
    <row r="69" spans="1:12">
      <c r="B69" s="3"/>
      <c r="K69" s="26"/>
      <c r="L69" s="26"/>
    </row>
    <row r="70" spans="1:12">
      <c r="B70" s="3"/>
      <c r="K70" s="26"/>
      <c r="L70" s="26"/>
    </row>
    <row r="71" spans="1:12">
      <c r="A71" t="s">
        <v>3583</v>
      </c>
      <c r="K71" s="26"/>
      <c r="L71" s="26"/>
    </row>
    <row r="72" spans="1:12">
      <c r="A72" t="str">
        <f>A37</f>
        <v>1-December 2019 Unbilled Margin</v>
      </c>
      <c r="B72" s="3">
        <f>B37</f>
        <v>16238803</v>
      </c>
      <c r="K72" s="26"/>
      <c r="L72" s="26"/>
    </row>
    <row r="73" spans="1:12">
      <c r="A73" t="str">
        <f>A42</f>
        <v>3-December 2019 Unbilled Energy Efficiency</v>
      </c>
      <c r="B73" s="3">
        <f>B42</f>
        <v>-1911770</v>
      </c>
      <c r="K73" s="26"/>
      <c r="L73" s="26"/>
    </row>
    <row r="74" spans="1:12">
      <c r="A74" t="str">
        <f>A50</f>
        <v>Unbilled Transportation inc/(dec)</v>
      </c>
      <c r="B74" s="3">
        <f>B50</f>
        <v>-157730</v>
      </c>
      <c r="K74" s="26"/>
      <c r="L74" s="26"/>
    </row>
    <row r="75" spans="1:12">
      <c r="A75" t="str">
        <f>A58</f>
        <v>7-December 2019 Unbilled DAC</v>
      </c>
      <c r="B75" s="3">
        <f>B58</f>
        <v>13531</v>
      </c>
      <c r="K75" s="26"/>
      <c r="L75" s="26"/>
    </row>
    <row r="76" spans="1:12">
      <c r="A76" t="str">
        <f>A63</f>
        <v>9-December 2019 Unbilled RDM</v>
      </c>
      <c r="B76" s="101">
        <f>B63</f>
        <v>-13679627</v>
      </c>
      <c r="K76" s="26"/>
      <c r="L76" s="26"/>
    </row>
    <row r="77" spans="1:12">
      <c r="A77" t="s">
        <v>3584</v>
      </c>
      <c r="B77" s="3">
        <f>SUM(B72:B76)</f>
        <v>503207</v>
      </c>
      <c r="K77" s="26"/>
      <c r="L77" s="26"/>
    </row>
    <row r="78" spans="1:12">
      <c r="A78" s="6" t="s">
        <v>3585</v>
      </c>
      <c r="B78" s="101">
        <f>-B67</f>
        <v>196735</v>
      </c>
      <c r="K78" s="26"/>
      <c r="L78" s="26"/>
    </row>
    <row r="79" spans="1:12">
      <c r="A79" t="s">
        <v>3586</v>
      </c>
      <c r="B79" s="3">
        <f>SUM(B77:B78)</f>
        <v>699942</v>
      </c>
      <c r="K79" s="26"/>
      <c r="L79" s="26"/>
    </row>
    <row r="80" spans="1:12">
      <c r="A80" t="s">
        <v>3587</v>
      </c>
      <c r="B80" s="181">
        <v>699941</v>
      </c>
      <c r="C80" t="s">
        <v>3601</v>
      </c>
      <c r="K80" s="26"/>
      <c r="L80" s="26"/>
    </row>
    <row r="81" spans="1:12">
      <c r="A81" t="s">
        <v>347</v>
      </c>
      <c r="B81" s="3">
        <f>B79-B80</f>
        <v>1</v>
      </c>
      <c r="K81" s="26"/>
      <c r="L81" s="26"/>
    </row>
    <row r="82" spans="1:12">
      <c r="K82" s="26"/>
      <c r="L82" s="26"/>
    </row>
    <row r="83" spans="1:12">
      <c r="B83" s="3"/>
      <c r="C83" s="3"/>
      <c r="D83" s="3"/>
      <c r="E83" s="3"/>
      <c r="K83" s="26"/>
      <c r="L83" s="26"/>
    </row>
    <row r="84" spans="1:12">
      <c r="B84" s="3"/>
      <c r="C84" s="3"/>
      <c r="D84" s="3"/>
      <c r="E84" s="3"/>
      <c r="K84" s="26"/>
      <c r="L84" s="26"/>
    </row>
    <row r="85" spans="1:12">
      <c r="B85" s="3"/>
      <c r="C85" s="3"/>
      <c r="D85" s="3"/>
      <c r="E85" s="3"/>
      <c r="K85" s="26"/>
      <c r="L85" s="26"/>
    </row>
    <row r="86" spans="1:12">
      <c r="B86" s="3"/>
      <c r="C86" s="3"/>
      <c r="D86" s="3"/>
      <c r="E86" s="3"/>
      <c r="K86" s="26"/>
      <c r="L86" s="26"/>
    </row>
    <row r="87" spans="1:12">
      <c r="B87" s="3"/>
      <c r="C87" s="3"/>
      <c r="D87" s="3"/>
      <c r="E87" s="3"/>
      <c r="K87" s="26"/>
      <c r="L87" s="26"/>
    </row>
    <row r="88" spans="1:12">
      <c r="B88" s="3"/>
      <c r="C88" s="3"/>
      <c r="D88" s="3"/>
      <c r="E88" s="3"/>
      <c r="K88" s="26"/>
      <c r="L88" s="26"/>
    </row>
    <row r="89" spans="1:12">
      <c r="B89" s="3"/>
      <c r="C89" s="3"/>
      <c r="D89" s="3"/>
      <c r="E89" s="3"/>
      <c r="K89" s="26"/>
      <c r="L89" s="26"/>
    </row>
    <row r="90" spans="1:12">
      <c r="B90" s="3"/>
      <c r="C90" s="3"/>
      <c r="D90" s="3"/>
      <c r="E90" s="3"/>
      <c r="K90" s="26"/>
      <c r="L90" s="26"/>
    </row>
    <row r="91" spans="1:12">
      <c r="B91" s="3"/>
      <c r="C91" s="3"/>
      <c r="D91" s="3"/>
      <c r="E91" s="3"/>
      <c r="K91" s="26"/>
      <c r="L91" s="26"/>
    </row>
    <row r="92" spans="1:12">
      <c r="B92" s="3"/>
      <c r="C92" s="3"/>
      <c r="D92" s="3"/>
      <c r="E92" s="3"/>
      <c r="K92" s="26"/>
      <c r="L92" s="26"/>
    </row>
    <row r="93" spans="1:12">
      <c r="B93" s="3"/>
      <c r="C93" s="3"/>
      <c r="D93" s="3"/>
      <c r="E93" s="3"/>
      <c r="K93" s="26"/>
      <c r="L93" s="26"/>
    </row>
    <row r="94" spans="1:12">
      <c r="B94" s="3"/>
      <c r="C94" s="3"/>
      <c r="D94" s="3"/>
      <c r="E94" s="3"/>
      <c r="K94" s="26"/>
      <c r="L94" s="26"/>
    </row>
    <row r="95" spans="1:12">
      <c r="B95" s="3"/>
      <c r="C95" s="3"/>
      <c r="D95" s="3"/>
      <c r="E95" s="3"/>
      <c r="K95" s="26"/>
      <c r="L95" s="26"/>
    </row>
    <row r="96" spans="1:12">
      <c r="B96" s="3"/>
      <c r="C96" s="3"/>
      <c r="D96" s="3"/>
      <c r="E96" s="3"/>
      <c r="K96" s="26"/>
      <c r="L96" s="26"/>
    </row>
    <row r="97" spans="2:12">
      <c r="B97" s="3"/>
      <c r="C97" s="3"/>
      <c r="D97" s="3"/>
      <c r="K97" s="26"/>
      <c r="L97" s="26"/>
    </row>
    <row r="98" spans="2:12">
      <c r="B98" s="3"/>
      <c r="C98" s="3"/>
      <c r="D98" s="3"/>
      <c r="K98" s="26"/>
      <c r="L98" s="26"/>
    </row>
    <row r="99" spans="2:12">
      <c r="B99" s="3"/>
      <c r="C99" s="3"/>
      <c r="D99" s="3"/>
      <c r="K99" s="26"/>
      <c r="L99" s="26"/>
    </row>
    <row r="100" spans="2:12">
      <c r="B100" s="3"/>
      <c r="C100" s="3"/>
      <c r="D100" s="3"/>
      <c r="E100" s="3"/>
      <c r="K100" s="26"/>
      <c r="L100" s="26"/>
    </row>
    <row r="101" spans="2:12">
      <c r="B101" s="3"/>
      <c r="C101" s="3"/>
      <c r="D101" s="3"/>
      <c r="E101" s="3"/>
      <c r="K101" s="26"/>
      <c r="L101" s="26"/>
    </row>
    <row r="102" spans="2:12">
      <c r="B102" s="3"/>
      <c r="C102" s="3"/>
      <c r="D102" s="3"/>
      <c r="E102" s="3"/>
      <c r="K102" s="26"/>
      <c r="L102" s="26"/>
    </row>
    <row r="103" spans="2:12">
      <c r="B103" s="3"/>
      <c r="C103" s="3"/>
      <c r="D103" s="3"/>
      <c r="E103" s="3"/>
      <c r="K103" s="26"/>
      <c r="L103" s="26"/>
    </row>
    <row r="104" spans="2:12">
      <c r="B104" s="3"/>
      <c r="C104" s="3"/>
      <c r="D104" s="3"/>
      <c r="E104" s="3"/>
      <c r="K104" s="26"/>
      <c r="L104" s="26"/>
    </row>
    <row r="105" spans="2:12">
      <c r="K105" s="26"/>
      <c r="L105" s="26"/>
    </row>
    <row r="106" spans="2:12">
      <c r="K106" s="26"/>
      <c r="L106" s="26"/>
    </row>
    <row r="107" spans="2:12">
      <c r="K107" s="26"/>
      <c r="L107" s="26"/>
    </row>
    <row r="108" spans="2:12">
      <c r="K108" s="26"/>
      <c r="L108" s="26"/>
    </row>
    <row r="109" spans="2:12">
      <c r="K109" s="26"/>
      <c r="L109" s="26"/>
    </row>
    <row r="110" spans="2:12">
      <c r="K110" s="26"/>
      <c r="L110" s="26"/>
    </row>
    <row r="111" spans="2:12">
      <c r="K111" s="26"/>
      <c r="L111" s="26"/>
    </row>
    <row r="112" spans="2:12">
      <c r="K112" s="26"/>
      <c r="L112" s="26"/>
    </row>
    <row r="113" spans="11:12">
      <c r="K113" s="26"/>
      <c r="L113" s="26"/>
    </row>
    <row r="114" spans="11:12">
      <c r="K114" s="26"/>
      <c r="L114" s="26"/>
    </row>
    <row r="115" spans="11:12">
      <c r="K115" s="26"/>
      <c r="L115" s="26"/>
    </row>
    <row r="116" spans="11:12">
      <c r="K116" s="26"/>
      <c r="L116" s="26"/>
    </row>
    <row r="117" spans="11:12">
      <c r="K117" s="26"/>
      <c r="L117" s="26"/>
    </row>
    <row r="118" spans="11:12">
      <c r="K118" s="26"/>
      <c r="L118" s="26"/>
    </row>
    <row r="119" spans="11:12">
      <c r="K119" s="26"/>
      <c r="L119" s="26"/>
    </row>
    <row r="120" spans="11:12">
      <c r="K120" s="26"/>
      <c r="L120" s="26"/>
    </row>
    <row r="121" spans="11:12">
      <c r="K121" s="26"/>
      <c r="L121" s="26"/>
    </row>
    <row r="122" spans="11:12">
      <c r="K122" s="26"/>
      <c r="L122" s="26"/>
    </row>
    <row r="123" spans="11:12">
      <c r="K123" s="26"/>
      <c r="L123" s="26"/>
    </row>
    <row r="124" spans="11:12">
      <c r="K124" s="26"/>
      <c r="L124" s="26"/>
    </row>
    <row r="125" spans="11:12">
      <c r="K125" s="26"/>
      <c r="L125" s="26"/>
    </row>
    <row r="126" spans="11:12">
      <c r="K126" s="26"/>
      <c r="L126" s="26"/>
    </row>
    <row r="127" spans="11:12">
      <c r="K127" s="26"/>
      <c r="L127" s="26"/>
    </row>
    <row r="128" spans="11:12">
      <c r="K128" s="26"/>
      <c r="L128" s="26"/>
    </row>
    <row r="129" spans="11:12">
      <c r="K129" s="26"/>
      <c r="L129" s="26"/>
    </row>
    <row r="130" spans="11:12">
      <c r="K130" s="26"/>
      <c r="L130" s="26"/>
    </row>
    <row r="131" spans="11:12">
      <c r="K131" s="26"/>
      <c r="L131" s="26"/>
    </row>
    <row r="132" spans="11:12">
      <c r="K132" s="26"/>
      <c r="L132" s="26"/>
    </row>
    <row r="133" spans="11:12">
      <c r="K133" s="26"/>
      <c r="L133" s="26"/>
    </row>
    <row r="134" spans="11:12">
      <c r="K134" s="26"/>
      <c r="L134" s="26"/>
    </row>
    <row r="135" spans="11:12">
      <c r="K135" s="26"/>
      <c r="L135" s="26"/>
    </row>
    <row r="136" spans="11:12">
      <c r="K136" s="26"/>
      <c r="L136" s="26"/>
    </row>
    <row r="137" spans="11:12">
      <c r="K137" s="26"/>
      <c r="L137" s="26"/>
    </row>
    <row r="138" spans="11:12">
      <c r="K138" s="26"/>
      <c r="L138" s="26"/>
    </row>
    <row r="139" spans="11:12">
      <c r="K139" s="26"/>
      <c r="L139" s="26"/>
    </row>
    <row r="140" spans="11:12">
      <c r="K140" s="26"/>
      <c r="L140" s="26"/>
    </row>
    <row r="141" spans="11:12">
      <c r="K141" s="26"/>
      <c r="L141" s="26"/>
    </row>
    <row r="142" spans="11:12">
      <c r="K142" s="26"/>
      <c r="L142" s="26"/>
    </row>
    <row r="143" spans="11:12">
      <c r="K143" s="26"/>
      <c r="L143" s="26"/>
    </row>
    <row r="144" spans="11:12">
      <c r="K144" s="26"/>
      <c r="L144" s="26"/>
    </row>
    <row r="145" spans="11:12">
      <c r="K145" s="26"/>
      <c r="L145" s="26"/>
    </row>
    <row r="146" spans="11:12">
      <c r="K146" s="26"/>
      <c r="L146" s="26"/>
    </row>
    <row r="147" spans="11:12">
      <c r="K147" s="26"/>
      <c r="L147" s="26"/>
    </row>
    <row r="148" spans="11:12">
      <c r="K148" s="26"/>
      <c r="L148" s="26"/>
    </row>
    <row r="149" spans="11:12">
      <c r="K149" s="26"/>
      <c r="L149" s="26"/>
    </row>
    <row r="150" spans="11:12">
      <c r="K150" s="26"/>
      <c r="L150" s="26"/>
    </row>
    <row r="151" spans="11:12">
      <c r="K151" s="26"/>
      <c r="L151" s="26"/>
    </row>
    <row r="152" spans="11:12">
      <c r="K152" s="26"/>
      <c r="L152" s="26"/>
    </row>
    <row r="153" spans="11:12">
      <c r="K153" s="26"/>
      <c r="L153" s="26"/>
    </row>
    <row r="154" spans="11:12">
      <c r="K154" s="26"/>
      <c r="L154" s="26"/>
    </row>
    <row r="155" spans="11:12">
      <c r="K155" s="26"/>
      <c r="L155" s="26"/>
    </row>
    <row r="156" spans="11:12">
      <c r="K156" s="26"/>
      <c r="L156" s="26"/>
    </row>
    <row r="157" spans="11:12">
      <c r="K157" s="26"/>
      <c r="L157" s="26"/>
    </row>
    <row r="158" spans="11:12">
      <c r="K158" s="26"/>
      <c r="L158" s="26"/>
    </row>
    <row r="159" spans="11:12">
      <c r="K159" s="26"/>
      <c r="L159" s="26"/>
    </row>
    <row r="160" spans="11:12">
      <c r="K160" s="26"/>
      <c r="L160" s="26"/>
    </row>
    <row r="161" spans="11:12">
      <c r="K161" s="26"/>
      <c r="L161" s="26"/>
    </row>
    <row r="162" spans="11:12">
      <c r="K162" s="26"/>
      <c r="L162" s="26"/>
    </row>
    <row r="163" spans="11:12">
      <c r="K163" s="26"/>
      <c r="L163" s="26"/>
    </row>
    <row r="164" spans="11:12">
      <c r="K164" s="26"/>
      <c r="L164" s="26"/>
    </row>
    <row r="165" spans="11:12">
      <c r="K165" s="26"/>
      <c r="L165" s="26"/>
    </row>
    <row r="166" spans="11:12">
      <c r="K166" s="26"/>
      <c r="L166" s="26"/>
    </row>
    <row r="167" spans="11:12">
      <c r="K167" s="26"/>
      <c r="L167" s="26"/>
    </row>
    <row r="168" spans="11:12">
      <c r="K168" s="26"/>
      <c r="L168" s="26"/>
    </row>
    <row r="169" spans="11:12">
      <c r="K169" s="26"/>
      <c r="L169" s="26"/>
    </row>
    <row r="170" spans="11:12">
      <c r="K170" s="26"/>
      <c r="L170" s="26"/>
    </row>
    <row r="171" spans="11:12">
      <c r="K171" s="26"/>
      <c r="L171" s="26"/>
    </row>
    <row r="172" spans="11:12">
      <c r="K172" s="26"/>
      <c r="L172" s="26"/>
    </row>
    <row r="173" spans="11:12">
      <c r="K173" s="26"/>
      <c r="L173" s="26"/>
    </row>
    <row r="174" spans="11:12">
      <c r="K174" s="26"/>
      <c r="L174" s="26"/>
    </row>
    <row r="175" spans="11:12">
      <c r="K175" s="26"/>
      <c r="L175" s="26"/>
    </row>
    <row r="176" spans="11:12">
      <c r="K176" s="26"/>
      <c r="L176" s="26"/>
    </row>
    <row r="177" spans="11:12">
      <c r="K177" s="26"/>
      <c r="L177" s="26"/>
    </row>
    <row r="178" spans="11:12">
      <c r="K178" s="26"/>
      <c r="L178" s="26"/>
    </row>
    <row r="179" spans="11:12">
      <c r="K179" s="26"/>
      <c r="L179" s="26"/>
    </row>
    <row r="180" spans="11:12">
      <c r="K180" s="26"/>
      <c r="L180" s="26"/>
    </row>
    <row r="181" spans="11:12">
      <c r="K181" s="26"/>
      <c r="L181" s="26"/>
    </row>
    <row r="182" spans="11:12">
      <c r="K182" s="26"/>
      <c r="L182" s="26"/>
    </row>
    <row r="183" spans="11:12">
      <c r="K183" s="26"/>
      <c r="L183" s="26"/>
    </row>
    <row r="184" spans="11:12">
      <c r="K184" s="26"/>
      <c r="L184" s="26"/>
    </row>
    <row r="185" spans="11:12">
      <c r="K185" s="26"/>
      <c r="L185" s="26"/>
    </row>
    <row r="186" spans="11:12">
      <c r="K186" s="26"/>
      <c r="L186" s="26"/>
    </row>
    <row r="187" spans="11:12">
      <c r="K187" s="26"/>
      <c r="L187" s="26"/>
    </row>
    <row r="188" spans="11:12">
      <c r="K188" s="26"/>
      <c r="L188" s="26"/>
    </row>
    <row r="189" spans="11:12">
      <c r="K189" s="26"/>
      <c r="L189" s="26"/>
    </row>
    <row r="190" spans="11:12">
      <c r="K190" s="26"/>
      <c r="L190" s="26"/>
    </row>
    <row r="191" spans="11:12">
      <c r="K191" s="26"/>
      <c r="L191" s="26"/>
    </row>
    <row r="192" spans="11:12">
      <c r="K192" s="26"/>
      <c r="L192" s="26"/>
    </row>
    <row r="193" spans="11:12">
      <c r="K193" s="26"/>
      <c r="L193" s="26"/>
    </row>
    <row r="194" spans="11:12">
      <c r="K194" s="26"/>
      <c r="L194" s="26"/>
    </row>
    <row r="195" spans="11:12">
      <c r="K195" s="26"/>
      <c r="L195" s="26"/>
    </row>
    <row r="196" spans="11:12">
      <c r="K196" s="26"/>
      <c r="L196" s="26"/>
    </row>
    <row r="197" spans="11:12">
      <c r="K197" s="26"/>
      <c r="L197" s="26"/>
    </row>
    <row r="198" spans="11:12">
      <c r="K198" s="26"/>
      <c r="L198" s="26"/>
    </row>
    <row r="199" spans="11:12">
      <c r="K199" s="26"/>
      <c r="L199" s="26"/>
    </row>
    <row r="200" spans="11:12">
      <c r="K200" s="26"/>
      <c r="L200" s="26"/>
    </row>
    <row r="201" spans="11:12">
      <c r="K201" s="26"/>
      <c r="L201" s="26"/>
    </row>
    <row r="202" spans="11:12">
      <c r="K202" s="26"/>
      <c r="L202" s="26"/>
    </row>
    <row r="203" spans="11:12">
      <c r="K203" s="26"/>
      <c r="L203" s="26"/>
    </row>
    <row r="204" spans="11:12">
      <c r="K204" s="26"/>
      <c r="L204" s="26"/>
    </row>
    <row r="465" spans="23:23">
      <c r="W465" t="s">
        <v>3565</v>
      </c>
    </row>
  </sheetData>
  <pageMargins left="0.5" right="0.5" top="0.5" bottom="0.5" header="0.3" footer="0.3"/>
  <pageSetup scale="35" fitToHeight="0" orientation="portrait" r:id="rId1"/>
  <rowBreaks count="2" manualBreakCount="2">
    <brk id="54" max="9" man="1"/>
    <brk id="82" max="9" man="1"/>
  </rowBreaks>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tabColor rgb="FFFF0000"/>
  </sheetPr>
  <dimension ref="A1:X154"/>
  <sheetViews>
    <sheetView workbookViewId="0"/>
  </sheetViews>
  <sheetFormatPr defaultRowHeight="15"/>
  <cols>
    <col min="2" max="2" width="15.140625" bestFit="1" customWidth="1"/>
    <col min="3" max="3" width="13.28515625" bestFit="1" customWidth="1"/>
    <col min="4" max="4" width="14.42578125" bestFit="1" customWidth="1"/>
    <col min="5" max="5" width="17.28515625" bestFit="1" customWidth="1"/>
    <col min="6" max="6" width="18.85546875" bestFit="1" customWidth="1"/>
    <col min="7" max="7" width="16.7109375" bestFit="1" customWidth="1"/>
    <col min="8" max="8" width="14.42578125" bestFit="1" customWidth="1"/>
    <col min="9" max="9" width="11.7109375" bestFit="1" customWidth="1"/>
    <col min="10" max="10" width="27.28515625" bestFit="1" customWidth="1"/>
    <col min="11" max="11" width="25.5703125" bestFit="1" customWidth="1"/>
    <col min="12" max="12" width="20.28515625" bestFit="1" customWidth="1"/>
    <col min="13" max="13" width="18.5703125" bestFit="1" customWidth="1"/>
    <col min="14" max="14" width="16" bestFit="1" customWidth="1"/>
    <col min="15" max="15" width="25.7109375" bestFit="1" customWidth="1"/>
    <col min="16" max="16" width="17.140625" bestFit="1" customWidth="1"/>
    <col min="17" max="17" width="22.140625" customWidth="1"/>
    <col min="18" max="18" width="13.42578125" customWidth="1"/>
    <col min="19" max="19" width="8.7109375" bestFit="1" customWidth="1"/>
    <col min="20" max="20" width="26.42578125" customWidth="1"/>
    <col min="21" max="21" width="45.7109375" customWidth="1"/>
    <col min="22" max="22" width="13.5703125" customWidth="1"/>
    <col min="23" max="23" width="25.42578125" customWidth="1"/>
  </cols>
  <sheetData>
    <row r="1" spans="1:23">
      <c r="A1" s="50"/>
      <c r="B1" s="50"/>
      <c r="C1" s="50"/>
      <c r="D1" s="50"/>
      <c r="E1" s="50"/>
      <c r="F1" s="50"/>
      <c r="G1" s="50"/>
      <c r="H1" s="50"/>
      <c r="I1" s="50"/>
      <c r="J1" s="50"/>
      <c r="K1" s="50"/>
      <c r="L1" s="55"/>
      <c r="M1" s="56"/>
      <c r="N1" s="57"/>
      <c r="O1" s="50"/>
      <c r="P1" s="50"/>
      <c r="Q1" s="58"/>
      <c r="R1" s="26"/>
      <c r="S1" s="26"/>
      <c r="T1" s="26"/>
      <c r="U1" s="26"/>
      <c r="V1" s="26"/>
      <c r="W1" s="26"/>
    </row>
    <row r="2" spans="1:23" ht="59.25" customHeight="1">
      <c r="A2" s="51"/>
      <c r="B2" s="837" t="s">
        <v>3623</v>
      </c>
      <c r="C2" s="837"/>
      <c r="D2" s="837"/>
      <c r="E2" s="838" t="s">
        <v>3834</v>
      </c>
      <c r="F2" s="838"/>
      <c r="G2" s="838"/>
      <c r="H2" s="51"/>
      <c r="I2" s="51"/>
      <c r="J2" s="51"/>
      <c r="K2" s="51"/>
      <c r="L2" s="59"/>
      <c r="M2" s="60"/>
      <c r="N2" s="61"/>
      <c r="O2" s="51"/>
      <c r="P2" s="51"/>
      <c r="Q2" s="62"/>
      <c r="R2" s="26"/>
      <c r="S2" s="26"/>
      <c r="T2" s="26"/>
      <c r="U2" s="26"/>
      <c r="V2" s="26"/>
      <c r="W2" s="26"/>
    </row>
    <row r="3" spans="1:23" ht="14.45" customHeight="1">
      <c r="A3" s="50"/>
      <c r="B3" s="837" t="s">
        <v>3625</v>
      </c>
      <c r="C3" s="837"/>
      <c r="D3" s="837"/>
      <c r="E3" s="838" t="s">
        <v>3741</v>
      </c>
      <c r="F3" s="838"/>
      <c r="G3" s="838"/>
      <c r="H3" s="50"/>
      <c r="I3" s="50"/>
      <c r="J3" s="50"/>
      <c r="K3" s="50"/>
      <c r="L3" s="55"/>
      <c r="M3" s="56"/>
      <c r="N3" s="57"/>
      <c r="O3" s="50"/>
      <c r="P3" s="50"/>
      <c r="Q3" s="58"/>
      <c r="R3" s="26"/>
      <c r="S3" s="26"/>
      <c r="T3" s="26"/>
      <c r="U3" s="26"/>
      <c r="V3" s="26"/>
      <c r="W3" s="26"/>
    </row>
    <row r="4" spans="1:23">
      <c r="A4" s="50"/>
      <c r="B4" s="837" t="s">
        <v>3629</v>
      </c>
      <c r="C4" s="837"/>
      <c r="D4" s="837"/>
      <c r="E4" s="838" t="s">
        <v>3628</v>
      </c>
      <c r="F4" s="838"/>
      <c r="G4" s="838"/>
      <c r="H4" s="50"/>
      <c r="I4" s="50"/>
      <c r="J4" s="50"/>
      <c r="K4" s="50"/>
      <c r="L4" s="55"/>
      <c r="M4" s="56"/>
      <c r="N4" s="57"/>
      <c r="O4" s="50"/>
      <c r="P4" s="50"/>
      <c r="Q4" s="58"/>
      <c r="R4" s="26"/>
      <c r="S4" s="26"/>
      <c r="T4" s="26"/>
      <c r="U4" s="26"/>
      <c r="V4" s="26"/>
      <c r="W4" s="26"/>
    </row>
    <row r="5" spans="1:23" ht="41.25" customHeight="1">
      <c r="A5" s="50"/>
      <c r="B5" s="837" t="s">
        <v>978</v>
      </c>
      <c r="C5" s="837"/>
      <c r="D5" s="837"/>
      <c r="E5" s="838" t="s">
        <v>3742</v>
      </c>
      <c r="F5" s="838"/>
      <c r="G5" s="838"/>
      <c r="H5" s="50"/>
      <c r="I5" s="50"/>
      <c r="J5" s="50"/>
      <c r="K5" s="50"/>
      <c r="L5" s="55"/>
      <c r="M5" s="56"/>
      <c r="N5" s="57"/>
      <c r="O5" s="50"/>
      <c r="P5" s="50"/>
      <c r="Q5" s="58"/>
      <c r="R5" s="26"/>
      <c r="S5" s="26"/>
      <c r="T5" s="26"/>
      <c r="U5" s="26"/>
      <c r="V5" s="26"/>
      <c r="W5" s="26"/>
    </row>
    <row r="6" spans="1:23" ht="15.75" thickBot="1">
      <c r="A6" s="50"/>
      <c r="B6" s="837" t="s">
        <v>3630</v>
      </c>
      <c r="C6" s="837"/>
      <c r="D6" s="837"/>
      <c r="E6" s="838" t="s">
        <v>3628</v>
      </c>
      <c r="F6" s="838"/>
      <c r="G6" s="838"/>
      <c r="H6" s="50"/>
      <c r="I6" s="50"/>
      <c r="J6" s="50"/>
      <c r="K6" s="50"/>
      <c r="L6" s="55"/>
      <c r="M6" s="56"/>
      <c r="N6" s="57"/>
      <c r="O6" s="50"/>
      <c r="P6" s="50"/>
      <c r="Q6" s="58"/>
      <c r="R6" s="26"/>
      <c r="S6" s="26"/>
      <c r="T6" s="26"/>
      <c r="U6" s="26"/>
      <c r="V6" s="26"/>
      <c r="W6" s="26"/>
    </row>
    <row r="7" spans="1:23" ht="15.75" thickBot="1">
      <c r="A7" s="50"/>
      <c r="B7" s="837" t="s">
        <v>3632</v>
      </c>
      <c r="C7" s="837"/>
      <c r="D7" s="837"/>
      <c r="E7" s="838" t="s">
        <v>3639</v>
      </c>
      <c r="F7" s="838"/>
      <c r="G7" s="838"/>
      <c r="H7" s="50"/>
      <c r="I7" s="50"/>
      <c r="J7" s="50"/>
      <c r="K7" s="128"/>
      <c r="L7" s="129"/>
      <c r="M7" s="130"/>
      <c r="N7" s="57"/>
      <c r="O7" s="50"/>
      <c r="P7" s="50"/>
      <c r="Q7" s="58"/>
      <c r="R7" s="26"/>
      <c r="S7" s="26"/>
      <c r="T7" s="26"/>
      <c r="U7" s="26"/>
      <c r="V7" s="26"/>
      <c r="W7" s="26"/>
    </row>
    <row r="8" spans="1:23">
      <c r="A8" s="50"/>
      <c r="B8" s="837" t="s">
        <v>3636</v>
      </c>
      <c r="C8" s="837"/>
      <c r="D8" s="837"/>
      <c r="E8" s="838" t="s">
        <v>3628</v>
      </c>
      <c r="F8" s="838"/>
      <c r="G8" s="838"/>
      <c r="H8" s="50"/>
      <c r="I8" s="50"/>
      <c r="J8" s="50"/>
      <c r="K8" s="831" t="s">
        <v>3633</v>
      </c>
      <c r="L8" s="832"/>
      <c r="M8" s="833"/>
      <c r="N8" s="127"/>
      <c r="O8" s="834" t="s">
        <v>3631</v>
      </c>
      <c r="P8" s="835"/>
      <c r="Q8" s="835"/>
      <c r="R8" s="836"/>
      <c r="S8" s="26"/>
      <c r="T8" s="26"/>
      <c r="U8" s="26"/>
      <c r="V8" s="26"/>
      <c r="W8" s="26"/>
    </row>
    <row r="9" spans="1:23" ht="36.75" customHeight="1">
      <c r="A9" s="50"/>
      <c r="B9" s="837" t="s">
        <v>3638</v>
      </c>
      <c r="C9" s="837"/>
      <c r="D9" s="837"/>
      <c r="E9" s="838" t="s">
        <v>3628</v>
      </c>
      <c r="F9" s="838"/>
      <c r="G9" s="838"/>
      <c r="H9" s="50"/>
      <c r="I9" s="50"/>
      <c r="J9" s="50"/>
      <c r="K9" s="63" t="s">
        <v>3637</v>
      </c>
      <c r="L9" s="64" t="s">
        <v>1019</v>
      </c>
      <c r="M9" s="65" t="s">
        <v>3635</v>
      </c>
      <c r="N9" s="57"/>
      <c r="O9" s="104"/>
      <c r="P9" s="102" t="s">
        <v>3634</v>
      </c>
      <c r="Q9" s="64" t="s">
        <v>1019</v>
      </c>
      <c r="R9" s="65" t="s">
        <v>3635</v>
      </c>
      <c r="S9" s="26"/>
      <c r="T9" s="26"/>
      <c r="U9" s="26"/>
      <c r="V9" s="26"/>
      <c r="W9" s="26"/>
    </row>
    <row r="10" spans="1:23">
      <c r="A10" s="50"/>
      <c r="B10" s="52" t="s">
        <v>1022</v>
      </c>
      <c r="C10" s="53"/>
      <c r="D10" s="54"/>
      <c r="E10" s="838" t="s">
        <v>3628</v>
      </c>
      <c r="F10" s="838"/>
      <c r="G10" s="838"/>
      <c r="H10" s="50"/>
      <c r="I10" s="50"/>
      <c r="J10" s="50"/>
      <c r="K10" s="66" t="s">
        <v>3640</v>
      </c>
      <c r="L10" s="67" t="s">
        <v>3639</v>
      </c>
      <c r="M10" s="68">
        <f>SUMIF(G:G,L10,N:N)</f>
        <v>5107086.9100000039</v>
      </c>
      <c r="N10" s="57"/>
      <c r="O10" s="104"/>
      <c r="P10" s="74">
        <v>1</v>
      </c>
      <c r="Q10" s="69" t="s">
        <v>3603</v>
      </c>
      <c r="R10" s="68">
        <f>SUMIF(P:P,Q10,N:N)</f>
        <v>-681684.33000000007</v>
      </c>
      <c r="S10" s="26"/>
      <c r="T10" s="26"/>
      <c r="U10" s="26"/>
      <c r="V10" s="26"/>
      <c r="W10" s="26"/>
    </row>
    <row r="11" spans="1:23">
      <c r="A11" s="50"/>
      <c r="B11" s="52" t="s">
        <v>3643</v>
      </c>
      <c r="C11" s="53"/>
      <c r="D11" s="54"/>
      <c r="E11" s="838" t="s">
        <v>3628</v>
      </c>
      <c r="F11" s="838"/>
      <c r="G11" s="838"/>
      <c r="H11" s="50"/>
      <c r="I11" s="50"/>
      <c r="J11" s="50"/>
      <c r="K11" s="66" t="s">
        <v>3641</v>
      </c>
      <c r="L11" s="67" t="s">
        <v>3642</v>
      </c>
      <c r="M11" s="68">
        <f>SUMIF(G:G,L11,N:N)</f>
        <v>0</v>
      </c>
      <c r="N11" s="57"/>
      <c r="O11" s="104"/>
      <c r="P11" s="74">
        <v>2</v>
      </c>
      <c r="Q11" s="69" t="s">
        <v>1235</v>
      </c>
      <c r="R11" s="68">
        <f>SUMIF(P:P,Q11,N:N)</f>
        <v>157729.60000000009</v>
      </c>
      <c r="S11" s="26"/>
      <c r="T11" s="26"/>
      <c r="U11" s="26"/>
      <c r="V11" s="26"/>
      <c r="W11" s="26"/>
    </row>
    <row r="12" spans="1:23" ht="17.25">
      <c r="A12" s="50"/>
      <c r="B12" s="52"/>
      <c r="C12" s="53"/>
      <c r="D12" s="54"/>
      <c r="E12" s="838" t="s">
        <v>3628</v>
      </c>
      <c r="F12" s="838"/>
      <c r="G12" s="838"/>
      <c r="H12" s="50"/>
      <c r="I12" s="50"/>
      <c r="J12" s="50"/>
      <c r="K12" s="66" t="s">
        <v>1704</v>
      </c>
      <c r="L12" s="67" t="s">
        <v>3644</v>
      </c>
      <c r="M12" s="68">
        <f>SUMIF(G:G,L12,N:N)</f>
        <v>0</v>
      </c>
      <c r="N12" s="57"/>
      <c r="O12" s="104"/>
      <c r="P12" s="74">
        <v>3</v>
      </c>
      <c r="Q12" s="69" t="s">
        <v>1049</v>
      </c>
      <c r="R12" s="70">
        <f>SUMIF(P:P,Q12,N:N)</f>
        <v>5631041.6400000006</v>
      </c>
      <c r="S12" s="26"/>
      <c r="T12" s="26"/>
      <c r="U12" s="26"/>
      <c r="V12" s="26"/>
      <c r="W12" s="26"/>
    </row>
    <row r="13" spans="1:23" ht="17.25">
      <c r="A13" s="50"/>
      <c r="B13" s="52" t="s">
        <v>3645</v>
      </c>
      <c r="C13" s="53"/>
      <c r="D13" s="54"/>
      <c r="E13" s="838" t="s">
        <v>3628</v>
      </c>
      <c r="F13" s="838"/>
      <c r="G13" s="838"/>
      <c r="H13" s="50"/>
      <c r="I13" s="50"/>
      <c r="J13" s="50"/>
      <c r="K13" s="66" t="s">
        <v>1704</v>
      </c>
      <c r="L13" s="67" t="s">
        <v>3646</v>
      </c>
      <c r="M13" s="70">
        <f>SUMIF(G:G,L13,N:N)</f>
        <v>0</v>
      </c>
      <c r="N13" s="57"/>
      <c r="O13" s="104"/>
      <c r="P13" s="74"/>
      <c r="Q13" s="67"/>
      <c r="R13" s="70"/>
      <c r="S13" s="26"/>
      <c r="T13" s="26"/>
      <c r="U13" s="26"/>
      <c r="V13" s="26"/>
      <c r="W13" s="26"/>
    </row>
    <row r="14" spans="1:23" ht="15.75" thickBot="1">
      <c r="A14" s="50"/>
      <c r="B14" s="52" t="s">
        <v>3647</v>
      </c>
      <c r="C14" s="53"/>
      <c r="D14" s="54"/>
      <c r="E14" s="838" t="s">
        <v>3628</v>
      </c>
      <c r="F14" s="838"/>
      <c r="G14" s="838"/>
      <c r="H14" s="50"/>
      <c r="I14" s="50"/>
      <c r="J14" s="50"/>
      <c r="K14" s="66"/>
      <c r="L14" s="55"/>
      <c r="M14" s="131"/>
      <c r="N14" s="57"/>
      <c r="O14" s="106"/>
      <c r="P14" s="103"/>
      <c r="Q14" s="73" t="s">
        <v>188</v>
      </c>
      <c r="R14" s="72">
        <f>SUBTOTAL(9,R10:R13)</f>
        <v>5107086.91</v>
      </c>
      <c r="S14" s="26"/>
      <c r="T14" s="26"/>
      <c r="U14" s="26"/>
      <c r="V14" s="26"/>
      <c r="W14" s="26"/>
    </row>
    <row r="15" spans="1:23" ht="15.75" thickBot="1">
      <c r="A15" s="50"/>
      <c r="B15" s="52" t="s">
        <v>3648</v>
      </c>
      <c r="C15" s="53"/>
      <c r="D15" s="54"/>
      <c r="E15" s="838" t="s">
        <v>3628</v>
      </c>
      <c r="F15" s="838"/>
      <c r="G15" s="838"/>
      <c r="H15" s="50"/>
      <c r="I15" s="50"/>
      <c r="J15" s="50"/>
      <c r="K15" s="71"/>
      <c r="L15" s="105" t="s">
        <v>188</v>
      </c>
      <c r="M15" s="72">
        <f>SUM(M10:M13)</f>
        <v>5107086.9100000039</v>
      </c>
      <c r="N15" s="57"/>
      <c r="O15" s="74"/>
      <c r="P15" s="75"/>
      <c r="Q15" s="76"/>
      <c r="R15" s="26"/>
      <c r="S15" s="26"/>
      <c r="T15" s="26"/>
      <c r="U15" s="26"/>
      <c r="V15" s="26"/>
      <c r="W15" s="26"/>
    </row>
    <row r="16" spans="1:23" ht="17.25">
      <c r="A16" s="50"/>
      <c r="B16" s="52" t="s">
        <v>3649</v>
      </c>
      <c r="C16" s="53"/>
      <c r="D16" s="54"/>
      <c r="E16" s="838" t="s">
        <v>3628</v>
      </c>
      <c r="F16" s="838"/>
      <c r="G16" s="838"/>
      <c r="H16" s="50"/>
      <c r="I16" s="50"/>
      <c r="J16" s="50"/>
      <c r="K16" s="50"/>
      <c r="L16" s="55"/>
      <c r="M16" s="56"/>
      <c r="N16" s="57"/>
      <c r="O16" s="74"/>
      <c r="P16" s="75"/>
      <c r="Q16" s="77"/>
      <c r="R16" s="26"/>
      <c r="S16" s="26"/>
      <c r="T16" s="26"/>
      <c r="U16" s="26"/>
      <c r="V16" s="26"/>
      <c r="W16" s="26"/>
    </row>
    <row r="17" spans="1:23">
      <c r="A17" s="50"/>
      <c r="B17" s="52" t="s">
        <v>3650</v>
      </c>
      <c r="C17" s="53"/>
      <c r="D17" s="54"/>
      <c r="E17" s="838" t="s">
        <v>3628</v>
      </c>
      <c r="F17" s="838"/>
      <c r="G17" s="838"/>
      <c r="H17" s="50"/>
      <c r="I17" s="50"/>
      <c r="J17" s="50"/>
      <c r="K17" s="50"/>
      <c r="L17" s="55"/>
      <c r="M17" s="56"/>
      <c r="N17" s="57"/>
      <c r="O17" s="50"/>
      <c r="P17" s="50"/>
      <c r="Q17" s="50"/>
      <c r="R17" s="26"/>
      <c r="S17" s="26"/>
      <c r="T17" s="26"/>
      <c r="U17" s="26"/>
      <c r="V17" s="26"/>
      <c r="W17" s="26"/>
    </row>
    <row r="18" spans="1:23">
      <c r="A18" s="50"/>
      <c r="B18" s="52" t="s">
        <v>1211</v>
      </c>
      <c r="C18" s="53"/>
      <c r="D18" s="54"/>
      <c r="E18" s="838" t="s">
        <v>3628</v>
      </c>
      <c r="F18" s="838"/>
      <c r="G18" s="838"/>
      <c r="H18" s="50"/>
      <c r="I18" s="50"/>
      <c r="J18" s="50"/>
      <c r="K18" s="50"/>
      <c r="L18" s="55"/>
      <c r="M18" s="56"/>
      <c r="N18" s="57"/>
      <c r="O18" s="50"/>
      <c r="P18" s="50"/>
      <c r="Q18" s="58"/>
      <c r="R18" s="26"/>
      <c r="S18" s="26"/>
      <c r="T18" s="26"/>
      <c r="U18" s="26"/>
      <c r="V18" s="26"/>
      <c r="W18" s="26"/>
    </row>
    <row r="19" spans="1:23">
      <c r="A19" s="50"/>
      <c r="B19" s="52" t="s">
        <v>1212</v>
      </c>
      <c r="C19" s="53"/>
      <c r="D19" s="54"/>
      <c r="E19" s="838" t="s">
        <v>3628</v>
      </c>
      <c r="F19" s="838"/>
      <c r="G19" s="838"/>
      <c r="H19" s="50"/>
      <c r="I19" s="50"/>
      <c r="J19" s="50"/>
      <c r="K19" s="50"/>
      <c r="L19" s="55"/>
      <c r="M19" s="56"/>
      <c r="N19" s="57"/>
      <c r="O19" s="50"/>
      <c r="P19" s="50"/>
      <c r="Q19" s="58"/>
      <c r="R19" s="26"/>
      <c r="S19" s="26"/>
      <c r="T19" s="26"/>
      <c r="U19" s="26"/>
      <c r="V19" s="26"/>
      <c r="W19" s="26"/>
    </row>
    <row r="20" spans="1:23" ht="24.75" customHeight="1">
      <c r="A20" s="50"/>
      <c r="B20" s="50"/>
      <c r="C20" s="50"/>
      <c r="D20" s="50"/>
      <c r="E20" s="50"/>
      <c r="F20" s="50"/>
      <c r="G20" s="50"/>
      <c r="H20" s="50"/>
      <c r="I20" s="50"/>
      <c r="J20" s="50"/>
      <c r="K20" s="50"/>
      <c r="L20" s="55"/>
      <c r="M20" s="56"/>
      <c r="N20" s="138" t="s">
        <v>3835</v>
      </c>
      <c r="O20" s="138" t="s">
        <v>3835</v>
      </c>
      <c r="P20" s="50"/>
      <c r="Q20" s="58"/>
      <c r="R20" s="26"/>
      <c r="S20" s="26"/>
    </row>
    <row r="21" spans="1:23" ht="24">
      <c r="A21" s="50"/>
      <c r="B21" s="132" t="s">
        <v>3836</v>
      </c>
      <c r="C21" s="132" t="s">
        <v>3651</v>
      </c>
      <c r="D21" s="132" t="s">
        <v>3652</v>
      </c>
      <c r="E21" s="132" t="s">
        <v>3653</v>
      </c>
      <c r="F21" s="132" t="s">
        <v>3654</v>
      </c>
      <c r="G21" s="132" t="s">
        <v>1233</v>
      </c>
      <c r="H21" s="132" t="s">
        <v>989</v>
      </c>
      <c r="I21" s="132" t="s">
        <v>3837</v>
      </c>
      <c r="J21" s="132" t="s">
        <v>3655</v>
      </c>
      <c r="K21" s="132" t="s">
        <v>993</v>
      </c>
      <c r="L21" s="132" t="s">
        <v>1047</v>
      </c>
      <c r="M21" s="132" t="s">
        <v>1048</v>
      </c>
      <c r="N21" s="233" t="s">
        <v>3533</v>
      </c>
      <c r="O21" s="203" t="s">
        <v>3746</v>
      </c>
      <c r="P21" s="132" t="s">
        <v>3747</v>
      </c>
      <c r="Q21" s="163">
        <v>0.97</v>
      </c>
      <c r="R21" s="132" t="s">
        <v>3606</v>
      </c>
      <c r="S21" s="132" t="s">
        <v>612</v>
      </c>
      <c r="T21" s="26"/>
    </row>
    <row r="22" spans="1:23" ht="15" customHeight="1">
      <c r="A22" s="50"/>
      <c r="B22" s="133" t="s">
        <v>3838</v>
      </c>
      <c r="C22" s="133" t="s">
        <v>3839</v>
      </c>
      <c r="D22" s="133" t="s">
        <v>1223</v>
      </c>
      <c r="E22" s="133" t="s">
        <v>3660</v>
      </c>
      <c r="F22" s="133" t="s">
        <v>3661</v>
      </c>
      <c r="G22" s="133" t="s">
        <v>3639</v>
      </c>
      <c r="H22" s="133" t="s">
        <v>3662</v>
      </c>
      <c r="I22" s="133" t="s">
        <v>3840</v>
      </c>
      <c r="J22" s="133" t="s">
        <v>3663</v>
      </c>
      <c r="K22" s="133" t="s">
        <v>3666</v>
      </c>
      <c r="L22" s="133" t="s">
        <v>3666</v>
      </c>
      <c r="M22" s="133" t="s">
        <v>3841</v>
      </c>
      <c r="N22" s="234">
        <v>4221996.29</v>
      </c>
      <c r="O22" s="228" t="s">
        <v>3668</v>
      </c>
      <c r="P22" s="228" t="s">
        <v>3603</v>
      </c>
      <c r="Q22" s="134"/>
      <c r="R22" s="134"/>
      <c r="S22" s="134"/>
      <c r="T22" s="26"/>
    </row>
    <row r="23" spans="1:23">
      <c r="A23" s="50"/>
      <c r="B23" s="133" t="s">
        <v>3842</v>
      </c>
      <c r="C23" s="133" t="s">
        <v>3839</v>
      </c>
      <c r="D23" s="133" t="s">
        <v>1223</v>
      </c>
      <c r="E23" s="133" t="s">
        <v>3660</v>
      </c>
      <c r="F23" s="133" t="s">
        <v>3661</v>
      </c>
      <c r="G23" s="133" t="s">
        <v>3639</v>
      </c>
      <c r="H23" s="133" t="s">
        <v>3662</v>
      </c>
      <c r="I23" s="133" t="s">
        <v>3840</v>
      </c>
      <c r="J23" s="133" t="s">
        <v>3843</v>
      </c>
      <c r="K23" s="133" t="s">
        <v>1283</v>
      </c>
      <c r="L23" s="133" t="s">
        <v>3844</v>
      </c>
      <c r="M23" s="133" t="s">
        <v>1314</v>
      </c>
      <c r="N23" s="134">
        <v>-2170519.27</v>
      </c>
      <c r="O23" s="228" t="s">
        <v>3664</v>
      </c>
      <c r="P23" s="228" t="s">
        <v>1235</v>
      </c>
      <c r="Q23" s="166"/>
      <c r="R23" s="166"/>
      <c r="S23" s="166"/>
      <c r="T23" s="26"/>
    </row>
    <row r="24" spans="1:23" ht="15" customHeight="1">
      <c r="A24" s="50"/>
      <c r="B24" s="133" t="s">
        <v>3845</v>
      </c>
      <c r="C24" s="133" t="s">
        <v>3846</v>
      </c>
      <c r="D24" s="133" t="s">
        <v>1223</v>
      </c>
      <c r="E24" s="133" t="s">
        <v>3660</v>
      </c>
      <c r="F24" s="133" t="s">
        <v>3661</v>
      </c>
      <c r="G24" s="133" t="s">
        <v>3639</v>
      </c>
      <c r="H24" s="133" t="s">
        <v>3662</v>
      </c>
      <c r="I24" s="133" t="s">
        <v>3840</v>
      </c>
      <c r="J24" s="133" t="s">
        <v>3815</v>
      </c>
      <c r="K24" s="133" t="s">
        <v>1283</v>
      </c>
      <c r="L24" s="133" t="s">
        <v>3844</v>
      </c>
      <c r="M24" s="133" t="s">
        <v>1316</v>
      </c>
      <c r="N24" s="135">
        <v>2328248.87</v>
      </c>
      <c r="O24" s="228" t="s">
        <v>3664</v>
      </c>
      <c r="P24" s="228" t="s">
        <v>1235</v>
      </c>
      <c r="Q24" s="167"/>
      <c r="R24" s="167"/>
      <c r="S24" s="167"/>
      <c r="T24" s="26"/>
    </row>
    <row r="25" spans="1:23" ht="15" customHeight="1">
      <c r="A25" s="50"/>
      <c r="B25" s="133" t="s">
        <v>3845</v>
      </c>
      <c r="C25" s="133" t="s">
        <v>3846</v>
      </c>
      <c r="D25" s="133" t="s">
        <v>1223</v>
      </c>
      <c r="E25" s="133" t="s">
        <v>3660</v>
      </c>
      <c r="F25" s="133" t="s">
        <v>3661</v>
      </c>
      <c r="G25" s="133" t="s">
        <v>3639</v>
      </c>
      <c r="H25" s="133" t="s">
        <v>3662</v>
      </c>
      <c r="I25" s="133" t="s">
        <v>3840</v>
      </c>
      <c r="J25" s="133" t="s">
        <v>3847</v>
      </c>
      <c r="K25" s="133" t="s">
        <v>3666</v>
      </c>
      <c r="L25" s="133" t="s">
        <v>3666</v>
      </c>
      <c r="M25" s="133" t="s">
        <v>3667</v>
      </c>
      <c r="N25" s="235">
        <v>-4903680.62</v>
      </c>
      <c r="O25" s="228" t="s">
        <v>3668</v>
      </c>
      <c r="P25" s="228" t="s">
        <v>3603</v>
      </c>
      <c r="Q25" s="167"/>
      <c r="R25" s="167"/>
      <c r="S25" s="167"/>
      <c r="T25" s="26"/>
    </row>
    <row r="26" spans="1:23">
      <c r="A26" s="50"/>
      <c r="B26" s="133" t="s">
        <v>3848</v>
      </c>
      <c r="C26" s="133" t="s">
        <v>3846</v>
      </c>
      <c r="D26" s="133" t="s">
        <v>1223</v>
      </c>
      <c r="E26" s="133" t="s">
        <v>3660</v>
      </c>
      <c r="F26" s="133" t="s">
        <v>3661</v>
      </c>
      <c r="G26" s="133" t="s">
        <v>3639</v>
      </c>
      <c r="H26" s="133" t="s">
        <v>3662</v>
      </c>
      <c r="I26" s="133" t="s">
        <v>3840</v>
      </c>
      <c r="J26" s="133" t="s">
        <v>3849</v>
      </c>
      <c r="K26" s="133" t="s">
        <v>1073</v>
      </c>
      <c r="L26" s="133" t="s">
        <v>1074</v>
      </c>
      <c r="M26" s="133" t="s">
        <v>1077</v>
      </c>
      <c r="N26" s="135">
        <v>37019853.640000001</v>
      </c>
      <c r="O26" s="228" t="s">
        <v>3670</v>
      </c>
      <c r="P26" s="228" t="s">
        <v>1049</v>
      </c>
      <c r="Q26" s="167">
        <f>$Q$21*N26</f>
        <v>35909258.0308</v>
      </c>
      <c r="R26" s="167">
        <f>N26*0.03</f>
        <v>1110595.6092000001</v>
      </c>
      <c r="S26" s="167">
        <f>N26-Q26-R26</f>
        <v>0</v>
      </c>
      <c r="T26" s="26"/>
    </row>
    <row r="27" spans="1:23" ht="15" customHeight="1">
      <c r="A27" s="50"/>
      <c r="B27" s="133" t="s">
        <v>3850</v>
      </c>
      <c r="C27" s="133" t="s">
        <v>3839</v>
      </c>
      <c r="D27" s="133" t="s">
        <v>1223</v>
      </c>
      <c r="E27" s="133" t="s">
        <v>3660</v>
      </c>
      <c r="F27" s="133" t="s">
        <v>3661</v>
      </c>
      <c r="G27" s="133" t="s">
        <v>3639</v>
      </c>
      <c r="H27" s="133" t="s">
        <v>3662</v>
      </c>
      <c r="I27" s="133" t="s">
        <v>3840</v>
      </c>
      <c r="J27" s="133" t="s">
        <v>3851</v>
      </c>
      <c r="K27" s="133" t="s">
        <v>1073</v>
      </c>
      <c r="L27" s="133" t="s">
        <v>1074</v>
      </c>
      <c r="M27" s="133" t="s">
        <v>1075</v>
      </c>
      <c r="N27" s="134">
        <v>-31388812</v>
      </c>
      <c r="O27" s="228" t="s">
        <v>3670</v>
      </c>
      <c r="P27" s="228" t="s">
        <v>1049</v>
      </c>
      <c r="Q27" s="167">
        <f>$Q$21*N27</f>
        <v>-30447147.640000001</v>
      </c>
      <c r="R27" s="167">
        <f>N27*0.03</f>
        <v>-941664.36</v>
      </c>
      <c r="S27" s="167">
        <f>N27-Q27-R27</f>
        <v>0</v>
      </c>
      <c r="T27" s="26"/>
    </row>
    <row r="28" spans="1:23" ht="15" customHeight="1">
      <c r="A28" s="50"/>
      <c r="B28" s="133" t="s">
        <v>3852</v>
      </c>
      <c r="C28" s="133" t="s">
        <v>3839</v>
      </c>
      <c r="D28" s="133" t="s">
        <v>1223</v>
      </c>
      <c r="E28" s="133" t="s">
        <v>3660</v>
      </c>
      <c r="F28" s="133" t="s">
        <v>3661</v>
      </c>
      <c r="G28" s="133" t="s">
        <v>3639</v>
      </c>
      <c r="H28" s="133" t="s">
        <v>3662</v>
      </c>
      <c r="I28" s="133" t="s">
        <v>3840</v>
      </c>
      <c r="J28" s="133" t="s">
        <v>3853</v>
      </c>
      <c r="K28" s="133" t="s">
        <v>1283</v>
      </c>
      <c r="L28" s="133" t="s">
        <v>3844</v>
      </c>
      <c r="M28" s="133" t="s">
        <v>1314</v>
      </c>
      <c r="N28" s="135">
        <v>2467941.13</v>
      </c>
      <c r="O28" s="228" t="s">
        <v>3664</v>
      </c>
      <c r="P28" s="228" t="s">
        <v>1235</v>
      </c>
      <c r="Q28" s="167"/>
      <c r="R28" s="167"/>
      <c r="S28" s="167"/>
      <c r="T28" s="26"/>
    </row>
    <row r="29" spans="1:23">
      <c r="A29" s="50"/>
      <c r="B29" s="133" t="s">
        <v>3852</v>
      </c>
      <c r="C29" s="133" t="s">
        <v>3839</v>
      </c>
      <c r="D29" s="133" t="s">
        <v>1223</v>
      </c>
      <c r="E29" s="133" t="s">
        <v>3660</v>
      </c>
      <c r="F29" s="133" t="s">
        <v>3661</v>
      </c>
      <c r="G29" s="133" t="s">
        <v>3639</v>
      </c>
      <c r="H29" s="133" t="s">
        <v>3662</v>
      </c>
      <c r="I29" s="133" t="s">
        <v>3840</v>
      </c>
      <c r="J29" s="133" t="s">
        <v>3854</v>
      </c>
      <c r="K29" s="133" t="s">
        <v>3666</v>
      </c>
      <c r="L29" s="133" t="s">
        <v>3666</v>
      </c>
      <c r="M29" s="133" t="s">
        <v>3841</v>
      </c>
      <c r="N29" s="235">
        <v>-6365015.6900000004</v>
      </c>
      <c r="O29" s="228" t="s">
        <v>3668</v>
      </c>
      <c r="P29" s="228" t="s">
        <v>3603</v>
      </c>
      <c r="Q29" s="167"/>
      <c r="R29" s="167"/>
      <c r="S29" s="167"/>
      <c r="T29" s="26"/>
    </row>
    <row r="30" spans="1:23" ht="15" customHeight="1">
      <c r="A30" s="50"/>
      <c r="B30" s="133" t="s">
        <v>3855</v>
      </c>
      <c r="C30" s="133" t="s">
        <v>3839</v>
      </c>
      <c r="D30" s="133" t="s">
        <v>1223</v>
      </c>
      <c r="E30" s="133" t="s">
        <v>3660</v>
      </c>
      <c r="F30" s="133" t="s">
        <v>3661</v>
      </c>
      <c r="G30" s="133" t="s">
        <v>3639</v>
      </c>
      <c r="H30" s="133" t="s">
        <v>3662</v>
      </c>
      <c r="I30" s="133" t="s">
        <v>3840</v>
      </c>
      <c r="J30" s="133" t="s">
        <v>3856</v>
      </c>
      <c r="K30" s="133" t="s">
        <v>1073</v>
      </c>
      <c r="L30" s="133" t="s">
        <v>1074</v>
      </c>
      <c r="M30" s="133" t="s">
        <v>1075</v>
      </c>
      <c r="N30" s="135">
        <v>29570463.969999999</v>
      </c>
      <c r="O30" s="228" t="s">
        <v>3670</v>
      </c>
      <c r="P30" s="228" t="s">
        <v>1049</v>
      </c>
      <c r="Q30" s="167">
        <f>$Q$21*N30</f>
        <v>28683350.050899997</v>
      </c>
      <c r="R30" s="167">
        <f>N30*0.03</f>
        <v>887113.91909999994</v>
      </c>
      <c r="S30" s="167">
        <f>N30-Q30-R30</f>
        <v>1.5133991837501526E-9</v>
      </c>
      <c r="T30" s="26"/>
    </row>
    <row r="31" spans="1:23">
      <c r="A31" s="50"/>
      <c r="B31" s="133" t="s">
        <v>3855</v>
      </c>
      <c r="C31" s="133" t="s">
        <v>3857</v>
      </c>
      <c r="D31" s="133" t="s">
        <v>1223</v>
      </c>
      <c r="E31" s="133" t="s">
        <v>3660</v>
      </c>
      <c r="F31" s="133" t="s">
        <v>3661</v>
      </c>
      <c r="G31" s="133" t="s">
        <v>3639</v>
      </c>
      <c r="H31" s="133" t="s">
        <v>3662</v>
      </c>
      <c r="I31" s="133" t="s">
        <v>3840</v>
      </c>
      <c r="J31" s="133" t="s">
        <v>3858</v>
      </c>
      <c r="K31" s="133" t="s">
        <v>1283</v>
      </c>
      <c r="L31" s="133" t="s">
        <v>3844</v>
      </c>
      <c r="M31" s="133" t="s">
        <v>1314</v>
      </c>
      <c r="N31" s="134">
        <v>-2467941.13</v>
      </c>
      <c r="O31" s="228" t="s">
        <v>3664</v>
      </c>
      <c r="P31" s="228" t="s">
        <v>1235</v>
      </c>
      <c r="Q31" s="167"/>
      <c r="R31" s="167"/>
      <c r="S31" s="167"/>
      <c r="T31" s="26"/>
    </row>
    <row r="32" spans="1:23" ht="15" customHeight="1">
      <c r="A32" s="50"/>
      <c r="B32" s="133" t="s">
        <v>3855</v>
      </c>
      <c r="C32" s="133" t="s">
        <v>3857</v>
      </c>
      <c r="D32" s="133" t="s">
        <v>1223</v>
      </c>
      <c r="E32" s="133" t="s">
        <v>3660</v>
      </c>
      <c r="F32" s="133" t="s">
        <v>3661</v>
      </c>
      <c r="G32" s="133" t="s">
        <v>3639</v>
      </c>
      <c r="H32" s="133" t="s">
        <v>3662</v>
      </c>
      <c r="I32" s="133" t="s">
        <v>3840</v>
      </c>
      <c r="J32" s="133" t="s">
        <v>3859</v>
      </c>
      <c r="K32" s="133" t="s">
        <v>3666</v>
      </c>
      <c r="L32" s="133" t="s">
        <v>3666</v>
      </c>
      <c r="M32" s="133" t="s">
        <v>3841</v>
      </c>
      <c r="N32" s="234">
        <v>6365015.6900000004</v>
      </c>
      <c r="O32" s="228" t="s">
        <v>3668</v>
      </c>
      <c r="P32" s="228" t="s">
        <v>3603</v>
      </c>
      <c r="Q32" s="167"/>
      <c r="R32" s="167"/>
      <c r="S32" s="167"/>
      <c r="T32" s="26"/>
    </row>
    <row r="33" spans="1:24">
      <c r="A33" s="50"/>
      <c r="B33" s="133" t="s">
        <v>3860</v>
      </c>
      <c r="C33" s="133" t="s">
        <v>3857</v>
      </c>
      <c r="D33" s="133" t="s">
        <v>1223</v>
      </c>
      <c r="E33" s="133" t="s">
        <v>3660</v>
      </c>
      <c r="F33" s="133" t="s">
        <v>3661</v>
      </c>
      <c r="G33" s="133" t="s">
        <v>3639</v>
      </c>
      <c r="H33" s="133" t="s">
        <v>3662</v>
      </c>
      <c r="I33" s="133" t="s">
        <v>3840</v>
      </c>
      <c r="J33" s="133" t="s">
        <v>3861</v>
      </c>
      <c r="K33" s="133" t="s">
        <v>1073</v>
      </c>
      <c r="L33" s="133" t="s">
        <v>1074</v>
      </c>
      <c r="M33" s="133" t="s">
        <v>1075</v>
      </c>
      <c r="N33" s="134">
        <v>-29570463.969999999</v>
      </c>
      <c r="O33" s="228" t="s">
        <v>3670</v>
      </c>
      <c r="P33" s="228" t="s">
        <v>1049</v>
      </c>
      <c r="Q33" s="167">
        <f>$Q$21*N33</f>
        <v>-28683350.050899997</v>
      </c>
      <c r="R33" s="167">
        <f>N33*0.03</f>
        <v>-887113.91909999994</v>
      </c>
      <c r="S33" s="167">
        <f>N33-Q33-R33</f>
        <v>-1.5133991837501526E-9</v>
      </c>
      <c r="T33" s="26"/>
    </row>
    <row r="34" spans="1:24" ht="15" customHeight="1">
      <c r="A34" s="50"/>
      <c r="B34" s="133" t="s">
        <v>3862</v>
      </c>
      <c r="C34" s="133" t="s">
        <v>3857</v>
      </c>
      <c r="D34" s="133" t="s">
        <v>1223</v>
      </c>
      <c r="E34" s="133" t="s">
        <v>3660</v>
      </c>
      <c r="F34" s="133" t="s">
        <v>3661</v>
      </c>
      <c r="G34" s="133" t="s">
        <v>3639</v>
      </c>
      <c r="H34" s="133" t="s">
        <v>3662</v>
      </c>
      <c r="I34" s="133" t="s">
        <v>3840</v>
      </c>
      <c r="J34" s="133" t="s">
        <v>3863</v>
      </c>
      <c r="K34" s="133" t="s">
        <v>1283</v>
      </c>
      <c r="L34" s="133" t="s">
        <v>3844</v>
      </c>
      <c r="M34" s="133" t="s">
        <v>1314</v>
      </c>
      <c r="N34" s="135">
        <v>2680261.2599999998</v>
      </c>
      <c r="O34" s="228" t="s">
        <v>3664</v>
      </c>
      <c r="P34" s="228" t="s">
        <v>1235</v>
      </c>
      <c r="Q34" s="167"/>
      <c r="R34" s="167"/>
      <c r="S34" s="167"/>
      <c r="T34" s="26"/>
    </row>
    <row r="35" spans="1:24">
      <c r="A35" s="50"/>
      <c r="B35" s="133" t="s">
        <v>3862</v>
      </c>
      <c r="C35" s="133" t="s">
        <v>3857</v>
      </c>
      <c r="D35" s="133" t="s">
        <v>1223</v>
      </c>
      <c r="E35" s="133" t="s">
        <v>3660</v>
      </c>
      <c r="F35" s="133" t="s">
        <v>3661</v>
      </c>
      <c r="G35" s="133" t="s">
        <v>3639</v>
      </c>
      <c r="H35" s="133" t="s">
        <v>3662</v>
      </c>
      <c r="I35" s="133" t="s">
        <v>3840</v>
      </c>
      <c r="J35" s="133" t="s">
        <v>3864</v>
      </c>
      <c r="K35" s="133" t="s">
        <v>3666</v>
      </c>
      <c r="L35" s="133" t="s">
        <v>3666</v>
      </c>
      <c r="M35" s="133" t="s">
        <v>3841</v>
      </c>
      <c r="N35" s="235">
        <v>-3565214.74</v>
      </c>
      <c r="O35" s="228" t="s">
        <v>3668</v>
      </c>
      <c r="P35" s="228" t="s">
        <v>3603</v>
      </c>
      <c r="Q35" s="167"/>
      <c r="R35" s="167"/>
      <c r="S35" s="167"/>
      <c r="T35" s="26"/>
    </row>
    <row r="36" spans="1:24" ht="15" customHeight="1">
      <c r="A36" s="50"/>
      <c r="B36" s="133" t="s">
        <v>3865</v>
      </c>
      <c r="C36" s="133" t="s">
        <v>3857</v>
      </c>
      <c r="D36" s="133" t="s">
        <v>1223</v>
      </c>
      <c r="E36" s="133" t="s">
        <v>3660</v>
      </c>
      <c r="F36" s="133" t="s">
        <v>3661</v>
      </c>
      <c r="G36" s="133" t="s">
        <v>3639</v>
      </c>
      <c r="H36" s="133" t="s">
        <v>3662</v>
      </c>
      <c r="I36" s="133" t="s">
        <v>3840</v>
      </c>
      <c r="J36" s="133" t="s">
        <v>3760</v>
      </c>
      <c r="K36" s="133" t="s">
        <v>1073</v>
      </c>
      <c r="L36" s="133" t="s">
        <v>1074</v>
      </c>
      <c r="M36" s="133" t="s">
        <v>1075</v>
      </c>
      <c r="N36" s="135">
        <v>28068526.140000001</v>
      </c>
      <c r="O36" s="228" t="s">
        <v>3670</v>
      </c>
      <c r="P36" s="228" t="s">
        <v>1049</v>
      </c>
      <c r="Q36" s="167">
        <f>$Q$21*N36</f>
        <v>27226470.355799999</v>
      </c>
      <c r="R36" s="167">
        <f>N36*0.03</f>
        <v>842055.78419999999</v>
      </c>
      <c r="S36" s="167">
        <f>N36-Q36-R36</f>
        <v>1.5133991837501526E-9</v>
      </c>
      <c r="T36" s="26"/>
      <c r="U36" s="26"/>
    </row>
    <row r="37" spans="1:24" ht="15" customHeight="1">
      <c r="A37" s="50"/>
      <c r="B37" s="133" t="s">
        <v>3865</v>
      </c>
      <c r="C37" s="133" t="s">
        <v>3866</v>
      </c>
      <c r="D37" s="133" t="s">
        <v>1223</v>
      </c>
      <c r="E37" s="133" t="s">
        <v>3660</v>
      </c>
      <c r="F37" s="133" t="s">
        <v>3661</v>
      </c>
      <c r="G37" s="133" t="s">
        <v>3639</v>
      </c>
      <c r="H37" s="133" t="s">
        <v>3662</v>
      </c>
      <c r="I37" s="133" t="s">
        <v>3840</v>
      </c>
      <c r="J37" s="133" t="s">
        <v>3867</v>
      </c>
      <c r="K37" s="133" t="s">
        <v>1283</v>
      </c>
      <c r="L37" s="133" t="s">
        <v>3844</v>
      </c>
      <c r="M37" s="133" t="s">
        <v>1314</v>
      </c>
      <c r="N37" s="134">
        <v>-2680261.2599999998</v>
      </c>
      <c r="O37" s="228" t="s">
        <v>3664</v>
      </c>
      <c r="P37" s="228" t="s">
        <v>1235</v>
      </c>
      <c r="Q37" s="167"/>
      <c r="R37" s="167"/>
      <c r="S37" s="167"/>
      <c r="T37" s="26"/>
    </row>
    <row r="38" spans="1:24">
      <c r="A38" s="50"/>
      <c r="B38" s="133" t="s">
        <v>3865</v>
      </c>
      <c r="C38" s="133" t="s">
        <v>3866</v>
      </c>
      <c r="D38" s="133" t="s">
        <v>1223</v>
      </c>
      <c r="E38" s="133" t="s">
        <v>3660</v>
      </c>
      <c r="F38" s="133" t="s">
        <v>3661</v>
      </c>
      <c r="G38" s="133" t="s">
        <v>3639</v>
      </c>
      <c r="H38" s="133" t="s">
        <v>3662</v>
      </c>
      <c r="I38" s="133" t="s">
        <v>3840</v>
      </c>
      <c r="J38" s="133" t="s">
        <v>3868</v>
      </c>
      <c r="K38" s="133" t="s">
        <v>3666</v>
      </c>
      <c r="L38" s="133" t="s">
        <v>3666</v>
      </c>
      <c r="M38" s="133" t="s">
        <v>3841</v>
      </c>
      <c r="N38" s="234">
        <v>3565214.74</v>
      </c>
      <c r="O38" s="228" t="s">
        <v>3668</v>
      </c>
      <c r="P38" s="228" t="s">
        <v>3603</v>
      </c>
      <c r="Q38" s="167"/>
      <c r="R38" s="167"/>
      <c r="S38" s="167"/>
      <c r="T38" s="26"/>
    </row>
    <row r="39" spans="1:24" ht="15" customHeight="1">
      <c r="A39" s="78"/>
      <c r="B39" s="133" t="s">
        <v>3869</v>
      </c>
      <c r="C39" s="133" t="s">
        <v>3866</v>
      </c>
      <c r="D39" s="133" t="s">
        <v>1223</v>
      </c>
      <c r="E39" s="133" t="s">
        <v>3660</v>
      </c>
      <c r="F39" s="133" t="s">
        <v>3661</v>
      </c>
      <c r="G39" s="133" t="s">
        <v>3639</v>
      </c>
      <c r="H39" s="133" t="s">
        <v>3662</v>
      </c>
      <c r="I39" s="133" t="s">
        <v>3840</v>
      </c>
      <c r="J39" s="133" t="s">
        <v>3870</v>
      </c>
      <c r="K39" s="133" t="s">
        <v>1073</v>
      </c>
      <c r="L39" s="133" t="s">
        <v>1074</v>
      </c>
      <c r="M39" s="133" t="s">
        <v>1075</v>
      </c>
      <c r="N39" s="134">
        <v>-28068526.140000001</v>
      </c>
      <c r="O39" s="228" t="s">
        <v>3670</v>
      </c>
      <c r="P39" s="228" t="s">
        <v>1049</v>
      </c>
      <c r="Q39" s="167">
        <f>$Q$21*N39</f>
        <v>-27226470.355799999</v>
      </c>
      <c r="R39" s="167">
        <f>N39*0.03</f>
        <v>-842055.78419999999</v>
      </c>
      <c r="S39" s="167">
        <f>N39-Q39-R39</f>
        <v>-1.5133991837501526E-9</v>
      </c>
      <c r="T39" s="26"/>
    </row>
    <row r="40" spans="1:24" ht="15" customHeight="1">
      <c r="A40" s="78"/>
      <c r="B40" s="133" t="s">
        <v>3871</v>
      </c>
      <c r="C40" s="133" t="s">
        <v>3866</v>
      </c>
      <c r="D40" s="133" t="s">
        <v>1223</v>
      </c>
      <c r="E40" s="133" t="s">
        <v>3660</v>
      </c>
      <c r="F40" s="133" t="s">
        <v>3661</v>
      </c>
      <c r="G40" s="133" t="s">
        <v>3639</v>
      </c>
      <c r="H40" s="133" t="s">
        <v>3662</v>
      </c>
      <c r="I40" s="133" t="s">
        <v>3840</v>
      </c>
      <c r="J40" s="133" t="s">
        <v>3872</v>
      </c>
      <c r="K40" s="133" t="s">
        <v>3666</v>
      </c>
      <c r="L40" s="133" t="s">
        <v>3666</v>
      </c>
      <c r="M40" s="133" t="s">
        <v>3667</v>
      </c>
      <c r="N40" s="235">
        <v>-3062052.06</v>
      </c>
      <c r="O40" s="228" t="s">
        <v>3668</v>
      </c>
      <c r="P40" s="228" t="s">
        <v>3603</v>
      </c>
      <c r="Q40" s="167"/>
      <c r="R40" s="167"/>
      <c r="S40" s="167"/>
      <c r="T40" s="26"/>
    </row>
    <row r="41" spans="1:24">
      <c r="A41" s="26"/>
      <c r="B41" s="133" t="s">
        <v>3873</v>
      </c>
      <c r="C41" s="133" t="s">
        <v>3874</v>
      </c>
      <c r="D41" s="133" t="s">
        <v>1223</v>
      </c>
      <c r="E41" s="133" t="s">
        <v>3660</v>
      </c>
      <c r="F41" s="133" t="s">
        <v>3661</v>
      </c>
      <c r="G41" s="133" t="s">
        <v>3639</v>
      </c>
      <c r="H41" s="133" t="s">
        <v>3662</v>
      </c>
      <c r="I41" s="133" t="s">
        <v>3840</v>
      </c>
      <c r="J41" s="133" t="s">
        <v>3875</v>
      </c>
      <c r="K41" s="133" t="s">
        <v>3666</v>
      </c>
      <c r="L41" s="133" t="s">
        <v>3666</v>
      </c>
      <c r="M41" s="133" t="s">
        <v>3667</v>
      </c>
      <c r="N41" s="234">
        <v>3062052.06</v>
      </c>
      <c r="O41" s="228" t="s">
        <v>3668</v>
      </c>
      <c r="P41" s="228" t="s">
        <v>3603</v>
      </c>
      <c r="Q41" s="167"/>
      <c r="R41" s="167"/>
      <c r="S41" s="167"/>
      <c r="T41" s="26"/>
    </row>
    <row r="42" spans="1:24" ht="15" customHeight="1">
      <c r="A42" s="26"/>
      <c r="B42" s="133" t="s">
        <v>3873</v>
      </c>
      <c r="C42" s="133" t="s">
        <v>3866</v>
      </c>
      <c r="D42" s="133" t="s">
        <v>1223</v>
      </c>
      <c r="E42" s="133" t="s">
        <v>3660</v>
      </c>
      <c r="F42" s="133" t="s">
        <v>3661</v>
      </c>
      <c r="G42" s="133" t="s">
        <v>3639</v>
      </c>
      <c r="H42" s="133" t="s">
        <v>3662</v>
      </c>
      <c r="I42" s="133" t="s">
        <v>3840</v>
      </c>
      <c r="J42" s="133" t="s">
        <v>3876</v>
      </c>
      <c r="K42" s="133" t="s">
        <v>1283</v>
      </c>
      <c r="L42" s="133" t="s">
        <v>3844</v>
      </c>
      <c r="M42" s="133" t="s">
        <v>1315</v>
      </c>
      <c r="N42" s="135">
        <v>2503293.42</v>
      </c>
      <c r="O42" s="228" t="s">
        <v>3664</v>
      </c>
      <c r="P42" s="228" t="s">
        <v>1235</v>
      </c>
      <c r="Q42" s="167"/>
      <c r="R42" s="167"/>
      <c r="S42" s="167"/>
      <c r="T42" s="26"/>
    </row>
    <row r="43" spans="1:24">
      <c r="A43" s="26"/>
      <c r="B43" s="133" t="s">
        <v>3877</v>
      </c>
      <c r="C43" s="133" t="s">
        <v>3874</v>
      </c>
      <c r="D43" s="133" t="s">
        <v>1223</v>
      </c>
      <c r="E43" s="133" t="s">
        <v>3660</v>
      </c>
      <c r="F43" s="133" t="s">
        <v>3661</v>
      </c>
      <c r="G43" s="133" t="s">
        <v>3639</v>
      </c>
      <c r="H43" s="133" t="s">
        <v>3662</v>
      </c>
      <c r="I43" s="133" t="s">
        <v>3840</v>
      </c>
      <c r="J43" s="133" t="s">
        <v>3878</v>
      </c>
      <c r="K43" s="133" t="s">
        <v>1283</v>
      </c>
      <c r="L43" s="133" t="s">
        <v>3844</v>
      </c>
      <c r="M43" s="133" t="s">
        <v>1315</v>
      </c>
      <c r="N43" s="134">
        <v>-2503293.42</v>
      </c>
      <c r="O43" s="228" t="s">
        <v>3664</v>
      </c>
      <c r="P43" s="228" t="s">
        <v>1235</v>
      </c>
      <c r="Q43" s="167"/>
      <c r="R43" s="167"/>
      <c r="S43" s="167"/>
      <c r="T43" s="26"/>
    </row>
    <row r="44" spans="1:24" ht="15" customHeight="1">
      <c r="A44" s="26"/>
      <c r="B44" s="133" t="s">
        <v>3879</v>
      </c>
      <c r="C44" s="133" t="s">
        <v>3866</v>
      </c>
      <c r="D44" s="133" t="s">
        <v>1223</v>
      </c>
      <c r="E44" s="133" t="s">
        <v>3660</v>
      </c>
      <c r="F44" s="133" t="s">
        <v>3661</v>
      </c>
      <c r="G44" s="133" t="s">
        <v>3639</v>
      </c>
      <c r="H44" s="133" t="s">
        <v>3662</v>
      </c>
      <c r="I44" s="133" t="s">
        <v>3840</v>
      </c>
      <c r="J44" s="133" t="s">
        <v>3880</v>
      </c>
      <c r="K44" s="133" t="s">
        <v>1073</v>
      </c>
      <c r="L44" s="133" t="s">
        <v>1074</v>
      </c>
      <c r="M44" s="133" t="s">
        <v>1075</v>
      </c>
      <c r="N44" s="135">
        <v>21740231.149999999</v>
      </c>
      <c r="O44" s="228" t="s">
        <v>3670</v>
      </c>
      <c r="P44" s="228" t="s">
        <v>1049</v>
      </c>
      <c r="Q44" s="167">
        <f>$Q$21*N44</f>
        <v>21088024.215499997</v>
      </c>
      <c r="R44" s="167">
        <f>N44*0.03</f>
        <v>652206.93449999997</v>
      </c>
      <c r="S44" s="167">
        <f>N44-Q44-R44</f>
        <v>1.3969838619232178E-9</v>
      </c>
      <c r="T44" s="26"/>
      <c r="U44" s="26"/>
      <c r="V44" s="26"/>
      <c r="W44" s="26"/>
      <c r="X44" s="26"/>
    </row>
    <row r="45" spans="1:24">
      <c r="A45" s="26"/>
      <c r="B45" s="133" t="s">
        <v>3881</v>
      </c>
      <c r="C45" s="133" t="s">
        <v>3874</v>
      </c>
      <c r="D45" s="133" t="s">
        <v>1223</v>
      </c>
      <c r="E45" s="133" t="s">
        <v>3660</v>
      </c>
      <c r="F45" s="133" t="s">
        <v>3661</v>
      </c>
      <c r="G45" s="133" t="s">
        <v>3639</v>
      </c>
      <c r="H45" s="133" t="s">
        <v>3662</v>
      </c>
      <c r="I45" s="133" t="s">
        <v>3840</v>
      </c>
      <c r="J45" s="133" t="s">
        <v>3882</v>
      </c>
      <c r="K45" s="133" t="s">
        <v>1073</v>
      </c>
      <c r="L45" s="133" t="s">
        <v>1074</v>
      </c>
      <c r="M45" s="133" t="s">
        <v>1075</v>
      </c>
      <c r="N45" s="134">
        <v>-21740231.149999999</v>
      </c>
      <c r="O45" s="228" t="s">
        <v>3670</v>
      </c>
      <c r="P45" s="228" t="s">
        <v>1049</v>
      </c>
      <c r="Q45" s="167">
        <f>$Q$21*N45</f>
        <v>-21088024.215499997</v>
      </c>
      <c r="R45" s="167">
        <f>N45*0.03</f>
        <v>-652206.93449999997</v>
      </c>
      <c r="S45" s="167">
        <f>N45-Q45-R45</f>
        <v>-1.3969838619232178E-9</v>
      </c>
      <c r="T45" s="26"/>
      <c r="U45" s="26"/>
      <c r="V45" s="26"/>
      <c r="W45" s="26"/>
      <c r="X45" s="26"/>
    </row>
    <row r="46" spans="1:24" ht="15" customHeight="1">
      <c r="A46" s="26"/>
      <c r="B46" s="133" t="s">
        <v>3883</v>
      </c>
      <c r="C46" s="133" t="s">
        <v>3874</v>
      </c>
      <c r="D46" s="133" t="s">
        <v>1223</v>
      </c>
      <c r="E46" s="133" t="s">
        <v>3660</v>
      </c>
      <c r="F46" s="133" t="s">
        <v>3661</v>
      </c>
      <c r="G46" s="133" t="s">
        <v>3639</v>
      </c>
      <c r="H46" s="133" t="s">
        <v>3662</v>
      </c>
      <c r="I46" s="133" t="s">
        <v>3840</v>
      </c>
      <c r="J46" s="133" t="s">
        <v>3884</v>
      </c>
      <c r="K46" s="133" t="s">
        <v>1283</v>
      </c>
      <c r="L46" s="133" t="s">
        <v>3844</v>
      </c>
      <c r="M46" s="133" t="s">
        <v>1315</v>
      </c>
      <c r="N46" s="135">
        <v>2314590.42</v>
      </c>
      <c r="O46" s="228" t="s">
        <v>3664</v>
      </c>
      <c r="P46" s="228" t="s">
        <v>1235</v>
      </c>
      <c r="Q46" s="167"/>
      <c r="R46" s="167"/>
      <c r="S46" s="167"/>
      <c r="T46" s="26"/>
      <c r="U46" s="26"/>
      <c r="V46" s="26"/>
      <c r="W46" s="26"/>
      <c r="X46" s="26"/>
    </row>
    <row r="47" spans="1:24">
      <c r="A47" s="26"/>
      <c r="B47" s="133" t="s">
        <v>3885</v>
      </c>
      <c r="C47" s="133" t="s">
        <v>3874</v>
      </c>
      <c r="D47" s="133" t="s">
        <v>1223</v>
      </c>
      <c r="E47" s="133" t="s">
        <v>3660</v>
      </c>
      <c r="F47" s="133" t="s">
        <v>3661</v>
      </c>
      <c r="G47" s="133" t="s">
        <v>3639</v>
      </c>
      <c r="H47" s="133" t="s">
        <v>3662</v>
      </c>
      <c r="I47" s="133" t="s">
        <v>3840</v>
      </c>
      <c r="J47" s="133" t="s">
        <v>3886</v>
      </c>
      <c r="K47" s="133" t="s">
        <v>3666</v>
      </c>
      <c r="L47" s="133" t="s">
        <v>3666</v>
      </c>
      <c r="M47" s="133" t="s">
        <v>3667</v>
      </c>
      <c r="N47" s="235">
        <v>-2024818.56</v>
      </c>
      <c r="O47" s="228" t="s">
        <v>3668</v>
      </c>
      <c r="P47" s="228" t="s">
        <v>3603</v>
      </c>
      <c r="Q47" s="167"/>
      <c r="R47" s="167"/>
      <c r="S47" s="167"/>
      <c r="T47" s="26"/>
      <c r="U47" s="26"/>
      <c r="V47" s="26"/>
      <c r="W47" s="26"/>
      <c r="X47" s="26"/>
    </row>
    <row r="48" spans="1:24" ht="15" customHeight="1">
      <c r="A48" s="26"/>
      <c r="B48" s="133" t="s">
        <v>3885</v>
      </c>
      <c r="C48" s="133" t="s">
        <v>3887</v>
      </c>
      <c r="D48" s="133" t="s">
        <v>1223</v>
      </c>
      <c r="E48" s="133" t="s">
        <v>3660</v>
      </c>
      <c r="F48" s="133" t="s">
        <v>3661</v>
      </c>
      <c r="G48" s="133" t="s">
        <v>3639</v>
      </c>
      <c r="H48" s="133" t="s">
        <v>3662</v>
      </c>
      <c r="I48" s="133" t="s">
        <v>3840</v>
      </c>
      <c r="J48" s="133" t="s">
        <v>3888</v>
      </c>
      <c r="K48" s="133" t="s">
        <v>1283</v>
      </c>
      <c r="L48" s="133" t="s">
        <v>3844</v>
      </c>
      <c r="M48" s="133" t="s">
        <v>1315</v>
      </c>
      <c r="N48" s="134">
        <v>-2314590.42</v>
      </c>
      <c r="O48" s="228" t="s">
        <v>3664</v>
      </c>
      <c r="P48" s="228" t="s">
        <v>1235</v>
      </c>
      <c r="Q48" s="167"/>
      <c r="R48" s="167"/>
      <c r="S48" s="167"/>
      <c r="T48" s="26"/>
      <c r="U48" s="26"/>
      <c r="V48" s="26"/>
      <c r="W48" s="26"/>
      <c r="X48" s="26"/>
    </row>
    <row r="49" spans="1:24">
      <c r="A49" s="26"/>
      <c r="B49" s="133" t="s">
        <v>3889</v>
      </c>
      <c r="C49" s="133" t="s">
        <v>3887</v>
      </c>
      <c r="D49" s="133" t="s">
        <v>1223</v>
      </c>
      <c r="E49" s="133" t="s">
        <v>3660</v>
      </c>
      <c r="F49" s="133" t="s">
        <v>3661</v>
      </c>
      <c r="G49" s="133" t="s">
        <v>3639</v>
      </c>
      <c r="H49" s="133" t="s">
        <v>3662</v>
      </c>
      <c r="I49" s="133" t="s">
        <v>3840</v>
      </c>
      <c r="J49" s="133" t="s">
        <v>3890</v>
      </c>
      <c r="K49" s="133" t="s">
        <v>3666</v>
      </c>
      <c r="L49" s="133" t="s">
        <v>3666</v>
      </c>
      <c r="M49" s="133" t="s">
        <v>3667</v>
      </c>
      <c r="N49" s="234">
        <v>2024818.56</v>
      </c>
      <c r="O49" s="228" t="s">
        <v>3668</v>
      </c>
      <c r="P49" s="228" t="s">
        <v>3603</v>
      </c>
      <c r="Q49" s="167"/>
      <c r="R49" s="167"/>
      <c r="S49" s="167"/>
      <c r="T49" s="26"/>
      <c r="U49" s="26"/>
      <c r="V49" s="26"/>
      <c r="W49" s="26"/>
      <c r="X49" s="26"/>
    </row>
    <row r="50" spans="1:24" ht="15" customHeight="1">
      <c r="A50" s="26"/>
      <c r="B50" s="133" t="s">
        <v>3891</v>
      </c>
      <c r="C50" s="133" t="s">
        <v>3874</v>
      </c>
      <c r="D50" s="133" t="s">
        <v>1223</v>
      </c>
      <c r="E50" s="133" t="s">
        <v>3660</v>
      </c>
      <c r="F50" s="133" t="s">
        <v>3661</v>
      </c>
      <c r="G50" s="133" t="s">
        <v>3639</v>
      </c>
      <c r="H50" s="133" t="s">
        <v>3662</v>
      </c>
      <c r="I50" s="133" t="s">
        <v>3840</v>
      </c>
      <c r="J50" s="133" t="s">
        <v>3694</v>
      </c>
      <c r="K50" s="133" t="s">
        <v>1073</v>
      </c>
      <c r="L50" s="133" t="s">
        <v>1074</v>
      </c>
      <c r="M50" s="133" t="s">
        <v>1075</v>
      </c>
      <c r="N50" s="135">
        <v>19336973</v>
      </c>
      <c r="O50" s="228" t="s">
        <v>3670</v>
      </c>
      <c r="P50" s="228" t="s">
        <v>1049</v>
      </c>
      <c r="Q50" s="167">
        <f>$Q$21*N50</f>
        <v>18756863.809999999</v>
      </c>
      <c r="R50" s="167">
        <f>N50*0.03</f>
        <v>580109.18999999994</v>
      </c>
      <c r="S50" s="167">
        <f>N50-Q50-R50</f>
        <v>1.3969838619232178E-9</v>
      </c>
      <c r="T50" s="26"/>
      <c r="U50" s="26"/>
      <c r="V50" s="26"/>
      <c r="W50" s="26"/>
      <c r="X50" s="26"/>
    </row>
    <row r="51" spans="1:24" ht="15" customHeight="1">
      <c r="A51" s="26"/>
      <c r="B51" s="133" t="s">
        <v>3892</v>
      </c>
      <c r="C51" s="133" t="s">
        <v>3887</v>
      </c>
      <c r="D51" s="133" t="s">
        <v>1223</v>
      </c>
      <c r="E51" s="133" t="s">
        <v>3660</v>
      </c>
      <c r="F51" s="133" t="s">
        <v>3661</v>
      </c>
      <c r="G51" s="133" t="s">
        <v>3639</v>
      </c>
      <c r="H51" s="133" t="s">
        <v>3662</v>
      </c>
      <c r="I51" s="133" t="s">
        <v>3840</v>
      </c>
      <c r="J51" s="133" t="s">
        <v>3893</v>
      </c>
      <c r="K51" s="133" t="s">
        <v>1073</v>
      </c>
      <c r="L51" s="133" t="s">
        <v>1074</v>
      </c>
      <c r="M51" s="133" t="s">
        <v>1075</v>
      </c>
      <c r="N51" s="134">
        <v>-19336973</v>
      </c>
      <c r="O51" s="228" t="s">
        <v>3670</v>
      </c>
      <c r="P51" s="228" t="s">
        <v>1049</v>
      </c>
      <c r="Q51" s="167">
        <f>$Q$21*N51</f>
        <v>-18756863.809999999</v>
      </c>
      <c r="R51" s="167">
        <f>N51*0.03</f>
        <v>-580109.18999999994</v>
      </c>
      <c r="S51" s="167">
        <f>N51-Q51-R51</f>
        <v>-1.3969838619232178E-9</v>
      </c>
      <c r="T51" s="26"/>
      <c r="U51" s="26"/>
      <c r="V51" s="26"/>
      <c r="W51" s="26"/>
      <c r="X51" s="26"/>
    </row>
    <row r="52" spans="1:24">
      <c r="A52" s="26"/>
      <c r="B52" s="133" t="s">
        <v>3894</v>
      </c>
      <c r="C52" s="133" t="s">
        <v>3887</v>
      </c>
      <c r="D52" s="133" t="s">
        <v>1223</v>
      </c>
      <c r="E52" s="133" t="s">
        <v>3660</v>
      </c>
      <c r="F52" s="133" t="s">
        <v>3661</v>
      </c>
      <c r="G52" s="133" t="s">
        <v>3639</v>
      </c>
      <c r="H52" s="133" t="s">
        <v>3662</v>
      </c>
      <c r="I52" s="133" t="s">
        <v>3840</v>
      </c>
      <c r="J52" s="133" t="s">
        <v>3895</v>
      </c>
      <c r="K52" s="133" t="s">
        <v>1283</v>
      </c>
      <c r="L52" s="133" t="s">
        <v>3844</v>
      </c>
      <c r="M52" s="133" t="s">
        <v>1316</v>
      </c>
      <c r="N52" s="135">
        <v>2244766.19</v>
      </c>
      <c r="O52" s="228" t="s">
        <v>3664</v>
      </c>
      <c r="P52" s="228" t="s">
        <v>1235</v>
      </c>
      <c r="Q52" s="167"/>
      <c r="R52" s="167"/>
      <c r="S52" s="167"/>
      <c r="T52" s="26"/>
      <c r="U52" s="26"/>
      <c r="V52" s="26"/>
      <c r="W52" s="26"/>
      <c r="X52" s="26"/>
    </row>
    <row r="53" spans="1:24" ht="15" customHeight="1">
      <c r="A53" s="26"/>
      <c r="B53" s="133" t="s">
        <v>3896</v>
      </c>
      <c r="C53" s="133" t="s">
        <v>3887</v>
      </c>
      <c r="D53" s="133" t="s">
        <v>1223</v>
      </c>
      <c r="E53" s="133" t="s">
        <v>3660</v>
      </c>
      <c r="F53" s="133" t="s">
        <v>3661</v>
      </c>
      <c r="G53" s="133" t="s">
        <v>3639</v>
      </c>
      <c r="H53" s="133" t="s">
        <v>3662</v>
      </c>
      <c r="I53" s="133" t="s">
        <v>3840</v>
      </c>
      <c r="J53" s="133" t="s">
        <v>3897</v>
      </c>
      <c r="K53" s="133" t="s">
        <v>3666</v>
      </c>
      <c r="L53" s="133" t="s">
        <v>3666</v>
      </c>
      <c r="M53" s="133" t="s">
        <v>3667</v>
      </c>
      <c r="N53" s="235">
        <v>-994294.63</v>
      </c>
      <c r="O53" s="228" t="s">
        <v>3668</v>
      </c>
      <c r="P53" s="228" t="s">
        <v>3603</v>
      </c>
      <c r="Q53" s="167"/>
      <c r="R53" s="167"/>
      <c r="S53" s="167"/>
      <c r="T53" s="26"/>
      <c r="U53" s="26"/>
      <c r="V53" s="26"/>
      <c r="W53" s="26"/>
      <c r="X53" s="26"/>
    </row>
    <row r="54" spans="1:24" ht="15" customHeight="1">
      <c r="A54" s="26"/>
      <c r="B54" s="133" t="s">
        <v>3896</v>
      </c>
      <c r="C54" s="133" t="s">
        <v>3898</v>
      </c>
      <c r="D54" s="133" t="s">
        <v>1223</v>
      </c>
      <c r="E54" s="133" t="s">
        <v>3660</v>
      </c>
      <c r="F54" s="133" t="s">
        <v>3661</v>
      </c>
      <c r="G54" s="133" t="s">
        <v>3639</v>
      </c>
      <c r="H54" s="133" t="s">
        <v>3662</v>
      </c>
      <c r="I54" s="133" t="s">
        <v>3840</v>
      </c>
      <c r="J54" s="133" t="s">
        <v>3899</v>
      </c>
      <c r="K54" s="133" t="s">
        <v>1283</v>
      </c>
      <c r="L54" s="133" t="s">
        <v>3844</v>
      </c>
      <c r="M54" s="133" t="s">
        <v>1316</v>
      </c>
      <c r="N54" s="134">
        <v>-2244766.19</v>
      </c>
      <c r="O54" s="228" t="s">
        <v>3664</v>
      </c>
      <c r="P54" s="228" t="s">
        <v>1235</v>
      </c>
      <c r="Q54" s="167"/>
      <c r="R54" s="167"/>
      <c r="S54" s="167"/>
      <c r="T54" s="26"/>
      <c r="U54" s="26"/>
      <c r="V54" s="26"/>
      <c r="W54" s="26"/>
      <c r="X54" s="26"/>
    </row>
    <row r="55" spans="1:24">
      <c r="A55" s="26"/>
      <c r="B55" s="133" t="s">
        <v>3900</v>
      </c>
      <c r="C55" s="133" t="s">
        <v>3898</v>
      </c>
      <c r="D55" s="133" t="s">
        <v>1223</v>
      </c>
      <c r="E55" s="133" t="s">
        <v>3660</v>
      </c>
      <c r="F55" s="133" t="s">
        <v>3661</v>
      </c>
      <c r="G55" s="133" t="s">
        <v>3639</v>
      </c>
      <c r="H55" s="133" t="s">
        <v>3662</v>
      </c>
      <c r="I55" s="133" t="s">
        <v>3840</v>
      </c>
      <c r="J55" s="133" t="s">
        <v>3901</v>
      </c>
      <c r="K55" s="133" t="s">
        <v>3666</v>
      </c>
      <c r="L55" s="133" t="s">
        <v>3666</v>
      </c>
      <c r="M55" s="133" t="s">
        <v>3667</v>
      </c>
      <c r="N55" s="234">
        <v>994294.63</v>
      </c>
      <c r="O55" s="228" t="s">
        <v>3668</v>
      </c>
      <c r="P55" s="228" t="s">
        <v>3603</v>
      </c>
      <c r="Q55" s="167"/>
      <c r="R55" s="167"/>
      <c r="S55" s="167"/>
      <c r="T55" s="26"/>
      <c r="U55" s="26"/>
      <c r="V55" s="26"/>
      <c r="W55" s="26"/>
      <c r="X55" s="26"/>
    </row>
    <row r="56" spans="1:24" ht="15" customHeight="1">
      <c r="A56" s="26"/>
      <c r="B56" s="133" t="s">
        <v>3902</v>
      </c>
      <c r="C56" s="133" t="s">
        <v>3887</v>
      </c>
      <c r="D56" s="133" t="s">
        <v>1223</v>
      </c>
      <c r="E56" s="133" t="s">
        <v>3660</v>
      </c>
      <c r="F56" s="133" t="s">
        <v>3661</v>
      </c>
      <c r="G56" s="133" t="s">
        <v>3639</v>
      </c>
      <c r="H56" s="133" t="s">
        <v>3662</v>
      </c>
      <c r="I56" s="133" t="s">
        <v>3840</v>
      </c>
      <c r="J56" s="133" t="s">
        <v>3903</v>
      </c>
      <c r="K56" s="133" t="s">
        <v>1073</v>
      </c>
      <c r="L56" s="133" t="s">
        <v>1074</v>
      </c>
      <c r="M56" s="133" t="s">
        <v>1075</v>
      </c>
      <c r="N56" s="135">
        <v>8877688.6799999997</v>
      </c>
      <c r="O56" s="228" t="s">
        <v>3670</v>
      </c>
      <c r="P56" s="228" t="s">
        <v>1049</v>
      </c>
      <c r="Q56" s="167">
        <f>$Q$21*N56</f>
        <v>8611358.0196000002</v>
      </c>
      <c r="R56" s="167">
        <f>N56*0.03</f>
        <v>266330.66039999999</v>
      </c>
      <c r="S56" s="167">
        <f>N56-Q56-R56</f>
        <v>-5.2386894822120667E-10</v>
      </c>
      <c r="T56" s="26"/>
      <c r="U56" s="26"/>
      <c r="V56" s="26"/>
      <c r="W56" s="26"/>
      <c r="X56" s="26"/>
    </row>
    <row r="57" spans="1:24">
      <c r="A57" s="26"/>
      <c r="B57" s="133" t="s">
        <v>3904</v>
      </c>
      <c r="C57" s="133" t="s">
        <v>3898</v>
      </c>
      <c r="D57" s="133" t="s">
        <v>1223</v>
      </c>
      <c r="E57" s="133" t="s">
        <v>3660</v>
      </c>
      <c r="F57" s="133" t="s">
        <v>3661</v>
      </c>
      <c r="G57" s="133" t="s">
        <v>3639</v>
      </c>
      <c r="H57" s="133" t="s">
        <v>3662</v>
      </c>
      <c r="I57" s="133" t="s">
        <v>3840</v>
      </c>
      <c r="J57" s="133" t="s">
        <v>3905</v>
      </c>
      <c r="K57" s="133" t="s">
        <v>1073</v>
      </c>
      <c r="L57" s="133" t="s">
        <v>1074</v>
      </c>
      <c r="M57" s="133" t="s">
        <v>1075</v>
      </c>
      <c r="N57" s="134">
        <v>-8877688.6799999997</v>
      </c>
      <c r="O57" s="228" t="s">
        <v>3670</v>
      </c>
      <c r="P57" s="228" t="s">
        <v>1049</v>
      </c>
      <c r="Q57" s="167">
        <f>$Q$21*N57</f>
        <v>-8611358.0196000002</v>
      </c>
      <c r="R57" s="167">
        <f>N57*0.03</f>
        <v>-266330.66039999999</v>
      </c>
      <c r="S57" s="167">
        <f>N57-Q57-R57</f>
        <v>5.2386894822120667E-10</v>
      </c>
      <c r="T57" s="26"/>
      <c r="U57" s="26"/>
      <c r="V57" s="26"/>
      <c r="W57" s="26"/>
      <c r="X57" s="26"/>
    </row>
    <row r="58" spans="1:24" ht="15" customHeight="1">
      <c r="A58" s="26"/>
      <c r="B58" s="133" t="s">
        <v>3906</v>
      </c>
      <c r="C58" s="133" t="s">
        <v>3898</v>
      </c>
      <c r="D58" s="133" t="s">
        <v>1223</v>
      </c>
      <c r="E58" s="133" t="s">
        <v>3660</v>
      </c>
      <c r="F58" s="133" t="s">
        <v>3661</v>
      </c>
      <c r="G58" s="133" t="s">
        <v>3639</v>
      </c>
      <c r="H58" s="133" t="s">
        <v>3662</v>
      </c>
      <c r="I58" s="133" t="s">
        <v>3840</v>
      </c>
      <c r="J58" s="133" t="s">
        <v>3907</v>
      </c>
      <c r="K58" s="133" t="s">
        <v>1283</v>
      </c>
      <c r="L58" s="133" t="s">
        <v>3844</v>
      </c>
      <c r="M58" s="133" t="s">
        <v>1316</v>
      </c>
      <c r="N58" s="135">
        <v>1812135.17</v>
      </c>
      <c r="O58" s="228" t="s">
        <v>3664</v>
      </c>
      <c r="P58" s="228" t="s">
        <v>1235</v>
      </c>
      <c r="Q58" s="167"/>
      <c r="R58" s="167"/>
      <c r="S58" s="167"/>
      <c r="T58" s="26"/>
      <c r="U58" s="26"/>
      <c r="V58" s="26"/>
      <c r="W58" s="26"/>
      <c r="X58" s="26"/>
    </row>
    <row r="59" spans="1:24">
      <c r="A59" s="26"/>
      <c r="B59" s="133" t="s">
        <v>3908</v>
      </c>
      <c r="C59" s="133" t="s">
        <v>3898</v>
      </c>
      <c r="D59" s="133" t="s">
        <v>1223</v>
      </c>
      <c r="E59" s="133" t="s">
        <v>3660</v>
      </c>
      <c r="F59" s="133" t="s">
        <v>3661</v>
      </c>
      <c r="G59" s="133" t="s">
        <v>3639</v>
      </c>
      <c r="H59" s="133" t="s">
        <v>3662</v>
      </c>
      <c r="I59" s="133" t="s">
        <v>3840</v>
      </c>
      <c r="J59" s="133" t="s">
        <v>3909</v>
      </c>
      <c r="K59" s="133" t="s">
        <v>3666</v>
      </c>
      <c r="L59" s="133" t="s">
        <v>3666</v>
      </c>
      <c r="M59" s="133" t="s">
        <v>3667</v>
      </c>
      <c r="N59" s="235">
        <v>-64856.65</v>
      </c>
      <c r="O59" s="228" t="s">
        <v>3668</v>
      </c>
      <c r="P59" s="228" t="s">
        <v>3603</v>
      </c>
      <c r="Q59" s="167"/>
      <c r="R59" s="167"/>
      <c r="S59" s="167"/>
      <c r="T59" s="26"/>
      <c r="U59" s="26"/>
      <c r="V59" s="26"/>
      <c r="W59" s="26"/>
      <c r="X59" s="26"/>
    </row>
    <row r="60" spans="1:24" ht="15" customHeight="1">
      <c r="A60" s="26"/>
      <c r="B60" s="133" t="s">
        <v>3908</v>
      </c>
      <c r="C60" s="133" t="s">
        <v>3910</v>
      </c>
      <c r="D60" s="133" t="s">
        <v>1223</v>
      </c>
      <c r="E60" s="133" t="s">
        <v>3660</v>
      </c>
      <c r="F60" s="133" t="s">
        <v>3661</v>
      </c>
      <c r="G60" s="133" t="s">
        <v>3639</v>
      </c>
      <c r="H60" s="133" t="s">
        <v>3662</v>
      </c>
      <c r="I60" s="133" t="s">
        <v>3840</v>
      </c>
      <c r="J60" s="133" t="s">
        <v>3911</v>
      </c>
      <c r="K60" s="133" t="s">
        <v>1283</v>
      </c>
      <c r="L60" s="133" t="s">
        <v>3844</v>
      </c>
      <c r="M60" s="133" t="s">
        <v>1316</v>
      </c>
      <c r="N60" s="134">
        <v>-1812135.17</v>
      </c>
      <c r="O60" s="228" t="s">
        <v>3664</v>
      </c>
      <c r="P60" s="228" t="s">
        <v>1235</v>
      </c>
      <c r="Q60" s="167"/>
      <c r="R60" s="167"/>
      <c r="S60" s="167"/>
      <c r="T60" s="26"/>
      <c r="U60" s="26"/>
      <c r="V60" s="26"/>
      <c r="W60" s="26"/>
      <c r="X60" s="26"/>
    </row>
    <row r="61" spans="1:24">
      <c r="A61" s="26"/>
      <c r="B61" s="133" t="s">
        <v>3912</v>
      </c>
      <c r="C61" s="133" t="s">
        <v>3910</v>
      </c>
      <c r="D61" s="133" t="s">
        <v>1223</v>
      </c>
      <c r="E61" s="133" t="s">
        <v>3660</v>
      </c>
      <c r="F61" s="133" t="s">
        <v>3661</v>
      </c>
      <c r="G61" s="133" t="s">
        <v>3639</v>
      </c>
      <c r="H61" s="133" t="s">
        <v>3662</v>
      </c>
      <c r="I61" s="133" t="s">
        <v>3840</v>
      </c>
      <c r="J61" s="133" t="s">
        <v>3913</v>
      </c>
      <c r="K61" s="133" t="s">
        <v>3666</v>
      </c>
      <c r="L61" s="133" t="s">
        <v>3666</v>
      </c>
      <c r="M61" s="133" t="s">
        <v>3667</v>
      </c>
      <c r="N61" s="234">
        <v>64856.65</v>
      </c>
      <c r="O61" s="228" t="s">
        <v>3668</v>
      </c>
      <c r="P61" s="228" t="s">
        <v>3603</v>
      </c>
      <c r="Q61" s="167"/>
      <c r="R61" s="167"/>
      <c r="S61" s="167"/>
      <c r="T61" s="26"/>
      <c r="U61" s="26"/>
      <c r="V61" s="26"/>
      <c r="W61" s="26"/>
      <c r="X61" s="26"/>
    </row>
    <row r="62" spans="1:24" ht="15" customHeight="1">
      <c r="A62" s="26"/>
      <c r="B62" s="133" t="s">
        <v>3914</v>
      </c>
      <c r="C62" s="133" t="s">
        <v>3898</v>
      </c>
      <c r="D62" s="133" t="s">
        <v>1223</v>
      </c>
      <c r="E62" s="133" t="s">
        <v>3660</v>
      </c>
      <c r="F62" s="133" t="s">
        <v>3661</v>
      </c>
      <c r="G62" s="133" t="s">
        <v>3639</v>
      </c>
      <c r="H62" s="133" t="s">
        <v>3662</v>
      </c>
      <c r="I62" s="133" t="s">
        <v>3840</v>
      </c>
      <c r="J62" s="133" t="s">
        <v>3915</v>
      </c>
      <c r="K62" s="133" t="s">
        <v>1073</v>
      </c>
      <c r="L62" s="133" t="s">
        <v>1074</v>
      </c>
      <c r="M62" s="133" t="s">
        <v>1075</v>
      </c>
      <c r="N62" s="135">
        <v>5508650.3399999999</v>
      </c>
      <c r="O62" s="228" t="s">
        <v>3670</v>
      </c>
      <c r="P62" s="228" t="s">
        <v>1049</v>
      </c>
      <c r="Q62" s="167">
        <f>$Q$21*N62</f>
        <v>5343390.8297999995</v>
      </c>
      <c r="R62" s="167">
        <f>N62*0.03</f>
        <v>165259.51019999999</v>
      </c>
      <c r="S62" s="167">
        <f>N62-Q62-R62</f>
        <v>3.7834979593753815E-10</v>
      </c>
      <c r="T62" s="26"/>
      <c r="U62" s="26"/>
      <c r="V62" s="26"/>
      <c r="W62" s="26"/>
      <c r="X62" s="26"/>
    </row>
    <row r="63" spans="1:24">
      <c r="A63" s="26"/>
      <c r="B63" s="133" t="s">
        <v>3916</v>
      </c>
      <c r="C63" s="133" t="s">
        <v>3910</v>
      </c>
      <c r="D63" s="133" t="s">
        <v>1223</v>
      </c>
      <c r="E63" s="133" t="s">
        <v>3660</v>
      </c>
      <c r="F63" s="133" t="s">
        <v>3661</v>
      </c>
      <c r="G63" s="133" t="s">
        <v>3639</v>
      </c>
      <c r="H63" s="133" t="s">
        <v>3662</v>
      </c>
      <c r="I63" s="133" t="s">
        <v>3840</v>
      </c>
      <c r="J63" s="133" t="s">
        <v>3708</v>
      </c>
      <c r="K63" s="133" t="s">
        <v>1073</v>
      </c>
      <c r="L63" s="133" t="s">
        <v>1074</v>
      </c>
      <c r="M63" s="133" t="s">
        <v>1075</v>
      </c>
      <c r="N63" s="134">
        <v>-5508650.3399999999</v>
      </c>
      <c r="O63" s="228" t="s">
        <v>3670</v>
      </c>
      <c r="P63" s="228" t="s">
        <v>1049</v>
      </c>
      <c r="Q63" s="167">
        <f>$Q$21*N63</f>
        <v>-5343390.8297999995</v>
      </c>
      <c r="R63" s="167">
        <f>N63*0.03</f>
        <v>-165259.51019999999</v>
      </c>
      <c r="S63" s="167">
        <f>N63-Q63-R63</f>
        <v>-3.7834979593753815E-10</v>
      </c>
      <c r="T63" s="26"/>
      <c r="U63" s="26"/>
      <c r="V63" s="26"/>
      <c r="W63" s="26"/>
      <c r="X63" s="26"/>
    </row>
    <row r="64" spans="1:24" ht="15" customHeight="1">
      <c r="A64" s="26"/>
      <c r="B64" s="133" t="s">
        <v>3917</v>
      </c>
      <c r="C64" s="133" t="s">
        <v>3910</v>
      </c>
      <c r="D64" s="133" t="s">
        <v>1223</v>
      </c>
      <c r="E64" s="133" t="s">
        <v>3660</v>
      </c>
      <c r="F64" s="133" t="s">
        <v>3661</v>
      </c>
      <c r="G64" s="133" t="s">
        <v>3639</v>
      </c>
      <c r="H64" s="133" t="s">
        <v>3662</v>
      </c>
      <c r="I64" s="133" t="s">
        <v>3840</v>
      </c>
      <c r="J64" s="133" t="s">
        <v>3918</v>
      </c>
      <c r="K64" s="133" t="s">
        <v>1283</v>
      </c>
      <c r="L64" s="133" t="s">
        <v>3844</v>
      </c>
      <c r="M64" s="133" t="s">
        <v>1316</v>
      </c>
      <c r="N64" s="135">
        <v>1648439.39</v>
      </c>
      <c r="O64" s="228" t="s">
        <v>3664</v>
      </c>
      <c r="P64" s="228" t="s">
        <v>1235</v>
      </c>
      <c r="Q64" s="167"/>
      <c r="R64" s="167"/>
      <c r="S64" s="167"/>
      <c r="T64" s="26"/>
      <c r="U64" s="26"/>
      <c r="V64" s="26"/>
      <c r="W64" s="26"/>
      <c r="X64" s="26"/>
    </row>
    <row r="65" spans="1:24" ht="15" customHeight="1">
      <c r="A65" s="26"/>
      <c r="B65" s="133" t="s">
        <v>3919</v>
      </c>
      <c r="C65" s="133" t="s">
        <v>3920</v>
      </c>
      <c r="D65" s="133" t="s">
        <v>1223</v>
      </c>
      <c r="E65" s="133" t="s">
        <v>3660</v>
      </c>
      <c r="F65" s="133" t="s">
        <v>3661</v>
      </c>
      <c r="G65" s="133" t="s">
        <v>3639</v>
      </c>
      <c r="H65" s="133" t="s">
        <v>3662</v>
      </c>
      <c r="I65" s="133" t="s">
        <v>3840</v>
      </c>
      <c r="J65" s="133" t="s">
        <v>3921</v>
      </c>
      <c r="K65" s="133" t="s">
        <v>1283</v>
      </c>
      <c r="L65" s="133" t="s">
        <v>3844</v>
      </c>
      <c r="M65" s="133" t="s">
        <v>1316</v>
      </c>
      <c r="N65" s="134">
        <v>-1648439.39</v>
      </c>
      <c r="O65" s="228" t="s">
        <v>3664</v>
      </c>
      <c r="P65" s="228" t="s">
        <v>1235</v>
      </c>
      <c r="Q65" s="167"/>
      <c r="R65" s="167"/>
      <c r="S65" s="167"/>
      <c r="T65" s="26"/>
      <c r="U65" s="26"/>
      <c r="V65" s="26"/>
      <c r="W65" s="26"/>
      <c r="X65" s="26"/>
    </row>
    <row r="66" spans="1:24">
      <c r="A66" s="26"/>
      <c r="B66" s="133" t="s">
        <v>3922</v>
      </c>
      <c r="C66" s="133" t="s">
        <v>3910</v>
      </c>
      <c r="D66" s="133" t="s">
        <v>1223</v>
      </c>
      <c r="E66" s="133" t="s">
        <v>3660</v>
      </c>
      <c r="F66" s="133" t="s">
        <v>3661</v>
      </c>
      <c r="G66" s="133" t="s">
        <v>3639</v>
      </c>
      <c r="H66" s="133" t="s">
        <v>3662</v>
      </c>
      <c r="I66" s="133" t="s">
        <v>3840</v>
      </c>
      <c r="J66" s="133" t="s">
        <v>3923</v>
      </c>
      <c r="K66" s="133" t="s">
        <v>3666</v>
      </c>
      <c r="L66" s="133" t="s">
        <v>3666</v>
      </c>
      <c r="M66" s="133" t="s">
        <v>3667</v>
      </c>
      <c r="N66" s="235">
        <v>-1248624.6000000001</v>
      </c>
      <c r="O66" s="228" t="s">
        <v>3668</v>
      </c>
      <c r="P66" s="228" t="s">
        <v>3603</v>
      </c>
      <c r="Q66" s="167"/>
      <c r="R66" s="167"/>
      <c r="S66" s="167"/>
      <c r="T66" s="26"/>
      <c r="U66" s="26"/>
      <c r="V66" s="26"/>
      <c r="W66" s="26"/>
      <c r="X66" s="26"/>
    </row>
    <row r="67" spans="1:24" ht="15" customHeight="1">
      <c r="A67" s="26"/>
      <c r="B67" s="133" t="s">
        <v>3924</v>
      </c>
      <c r="C67" s="133" t="s">
        <v>3920</v>
      </c>
      <c r="D67" s="133" t="s">
        <v>1223</v>
      </c>
      <c r="E67" s="133" t="s">
        <v>3660</v>
      </c>
      <c r="F67" s="133" t="s">
        <v>3661</v>
      </c>
      <c r="G67" s="133" t="s">
        <v>3639</v>
      </c>
      <c r="H67" s="133" t="s">
        <v>3662</v>
      </c>
      <c r="I67" s="133" t="s">
        <v>3840</v>
      </c>
      <c r="J67" s="133" t="s">
        <v>3925</v>
      </c>
      <c r="K67" s="133" t="s">
        <v>3666</v>
      </c>
      <c r="L67" s="133" t="s">
        <v>3666</v>
      </c>
      <c r="M67" s="133" t="s">
        <v>3667</v>
      </c>
      <c r="N67" s="234">
        <v>1248624.6000000001</v>
      </c>
      <c r="O67" s="228" t="s">
        <v>3668</v>
      </c>
      <c r="P67" s="228" t="s">
        <v>3603</v>
      </c>
      <c r="Q67" s="167"/>
      <c r="R67" s="167"/>
      <c r="S67" s="167"/>
      <c r="T67" s="26"/>
      <c r="U67" s="26"/>
      <c r="V67" s="26"/>
      <c r="W67" s="26"/>
      <c r="X67" s="26"/>
    </row>
    <row r="68" spans="1:24" ht="15" customHeight="1">
      <c r="A68" s="26"/>
      <c r="B68" s="133" t="s">
        <v>3926</v>
      </c>
      <c r="C68" s="133" t="s">
        <v>3910</v>
      </c>
      <c r="D68" s="133" t="s">
        <v>1223</v>
      </c>
      <c r="E68" s="133" t="s">
        <v>3660</v>
      </c>
      <c r="F68" s="133" t="s">
        <v>3661</v>
      </c>
      <c r="G68" s="133" t="s">
        <v>3639</v>
      </c>
      <c r="H68" s="133" t="s">
        <v>3662</v>
      </c>
      <c r="I68" s="133" t="s">
        <v>3840</v>
      </c>
      <c r="J68" s="133" t="s">
        <v>3927</v>
      </c>
      <c r="K68" s="133" t="s">
        <v>1073</v>
      </c>
      <c r="L68" s="133" t="s">
        <v>1074</v>
      </c>
      <c r="M68" s="133" t="s">
        <v>1157</v>
      </c>
      <c r="N68" s="135">
        <v>3303215.11</v>
      </c>
      <c r="O68" s="228" t="s">
        <v>3670</v>
      </c>
      <c r="P68" s="228" t="s">
        <v>1049</v>
      </c>
      <c r="Q68" s="167">
        <f>$Q$21*N68</f>
        <v>3204118.6566999997</v>
      </c>
      <c r="R68" s="167">
        <f>N68*0.03</f>
        <v>99096.453299999994</v>
      </c>
      <c r="S68" s="167">
        <f>N68-Q68-R68</f>
        <v>1.7462298274040222E-10</v>
      </c>
      <c r="T68" s="26"/>
      <c r="U68" s="26"/>
      <c r="V68" s="26"/>
      <c r="W68" s="26"/>
      <c r="X68" s="26"/>
    </row>
    <row r="69" spans="1:24">
      <c r="A69" s="26"/>
      <c r="B69" s="133" t="s">
        <v>3928</v>
      </c>
      <c r="C69" s="133" t="s">
        <v>3920</v>
      </c>
      <c r="D69" s="133" t="s">
        <v>1223</v>
      </c>
      <c r="E69" s="133" t="s">
        <v>3660</v>
      </c>
      <c r="F69" s="133" t="s">
        <v>3661</v>
      </c>
      <c r="G69" s="133" t="s">
        <v>3639</v>
      </c>
      <c r="H69" s="133" t="s">
        <v>3662</v>
      </c>
      <c r="I69" s="133" t="s">
        <v>3840</v>
      </c>
      <c r="J69" s="133" t="s">
        <v>3929</v>
      </c>
      <c r="K69" s="133" t="s">
        <v>1073</v>
      </c>
      <c r="L69" s="133" t="s">
        <v>1074</v>
      </c>
      <c r="M69" s="133" t="s">
        <v>1157</v>
      </c>
      <c r="N69" s="134">
        <v>-3303215.11</v>
      </c>
      <c r="O69" s="228" t="s">
        <v>3670</v>
      </c>
      <c r="P69" s="228" t="s">
        <v>1049</v>
      </c>
      <c r="Q69" s="167">
        <f>$Q$21*N69</f>
        <v>-3204118.6566999997</v>
      </c>
      <c r="R69" s="167">
        <f>N69*0.03</f>
        <v>-99096.453299999994</v>
      </c>
      <c r="S69" s="167">
        <f>N69-Q69-R69</f>
        <v>-1.7462298274040222E-10</v>
      </c>
      <c r="T69" s="26"/>
      <c r="U69" s="26"/>
      <c r="V69" s="26"/>
      <c r="W69" s="26"/>
      <c r="X69" s="26"/>
    </row>
    <row r="70" spans="1:24" ht="15" customHeight="1">
      <c r="A70" s="26"/>
      <c r="B70" s="133" t="s">
        <v>3930</v>
      </c>
      <c r="C70" s="133" t="s">
        <v>3920</v>
      </c>
      <c r="D70" s="133" t="s">
        <v>1223</v>
      </c>
      <c r="E70" s="133" t="s">
        <v>3660</v>
      </c>
      <c r="F70" s="133" t="s">
        <v>3661</v>
      </c>
      <c r="G70" s="133" t="s">
        <v>3639</v>
      </c>
      <c r="H70" s="133" t="s">
        <v>3662</v>
      </c>
      <c r="I70" s="133" t="s">
        <v>3840</v>
      </c>
      <c r="J70" s="133" t="s">
        <v>3792</v>
      </c>
      <c r="K70" s="133" t="s">
        <v>1283</v>
      </c>
      <c r="L70" s="133" t="s">
        <v>3844</v>
      </c>
      <c r="M70" s="133" t="s">
        <v>1316</v>
      </c>
      <c r="N70" s="135">
        <v>1660103.86</v>
      </c>
      <c r="O70" s="228" t="s">
        <v>3664</v>
      </c>
      <c r="P70" s="228" t="s">
        <v>1235</v>
      </c>
      <c r="Q70" s="167"/>
      <c r="R70" s="167"/>
      <c r="S70" s="167"/>
      <c r="T70" s="26"/>
      <c r="U70" s="26"/>
      <c r="V70" s="26"/>
      <c r="W70" s="26"/>
      <c r="X70" s="26"/>
    </row>
    <row r="71" spans="1:24">
      <c r="A71" s="26"/>
      <c r="B71" s="133" t="s">
        <v>3931</v>
      </c>
      <c r="C71" s="133" t="s">
        <v>3920</v>
      </c>
      <c r="D71" s="133" t="s">
        <v>1223</v>
      </c>
      <c r="E71" s="133" t="s">
        <v>3660</v>
      </c>
      <c r="F71" s="133" t="s">
        <v>3661</v>
      </c>
      <c r="G71" s="133" t="s">
        <v>3639</v>
      </c>
      <c r="H71" s="133" t="s">
        <v>3662</v>
      </c>
      <c r="I71" s="133" t="s">
        <v>3840</v>
      </c>
      <c r="J71" s="133" t="s">
        <v>3932</v>
      </c>
      <c r="K71" s="133" t="s">
        <v>3666</v>
      </c>
      <c r="L71" s="133" t="s">
        <v>3666</v>
      </c>
      <c r="M71" s="133" t="s">
        <v>3667</v>
      </c>
      <c r="N71" s="235">
        <v>-749107.9</v>
      </c>
      <c r="O71" s="228" t="s">
        <v>3668</v>
      </c>
      <c r="P71" s="228" t="s">
        <v>3603</v>
      </c>
      <c r="Q71" s="167"/>
      <c r="R71" s="167"/>
      <c r="S71" s="167"/>
      <c r="T71" s="26"/>
      <c r="U71" s="26"/>
      <c r="V71" s="26"/>
      <c r="W71" s="26"/>
      <c r="X71" s="26"/>
    </row>
    <row r="72" spans="1:24" ht="15" customHeight="1">
      <c r="A72" s="26"/>
      <c r="B72" s="133" t="s">
        <v>3931</v>
      </c>
      <c r="C72" s="133" t="s">
        <v>3933</v>
      </c>
      <c r="D72" s="133" t="s">
        <v>1223</v>
      </c>
      <c r="E72" s="133" t="s">
        <v>3660</v>
      </c>
      <c r="F72" s="133" t="s">
        <v>3661</v>
      </c>
      <c r="G72" s="133" t="s">
        <v>3639</v>
      </c>
      <c r="H72" s="133" t="s">
        <v>3662</v>
      </c>
      <c r="I72" s="133" t="s">
        <v>3840</v>
      </c>
      <c r="J72" s="133" t="s">
        <v>3715</v>
      </c>
      <c r="K72" s="133" t="s">
        <v>1283</v>
      </c>
      <c r="L72" s="133" t="s">
        <v>3844</v>
      </c>
      <c r="M72" s="133" t="s">
        <v>1316</v>
      </c>
      <c r="N72" s="134">
        <v>-1660103.86</v>
      </c>
      <c r="O72" s="228" t="s">
        <v>3664</v>
      </c>
      <c r="P72" s="228" t="s">
        <v>1235</v>
      </c>
      <c r="Q72" s="167"/>
      <c r="R72" s="167"/>
      <c r="S72" s="167"/>
      <c r="T72" s="26"/>
      <c r="U72" s="26"/>
      <c r="V72" s="26"/>
      <c r="W72" s="26"/>
      <c r="X72" s="26"/>
    </row>
    <row r="73" spans="1:24">
      <c r="A73" s="26"/>
      <c r="B73" s="133" t="s">
        <v>3934</v>
      </c>
      <c r="C73" s="133" t="s">
        <v>3933</v>
      </c>
      <c r="D73" s="133" t="s">
        <v>1223</v>
      </c>
      <c r="E73" s="133" t="s">
        <v>3660</v>
      </c>
      <c r="F73" s="133" t="s">
        <v>3661</v>
      </c>
      <c r="G73" s="133" t="s">
        <v>3639</v>
      </c>
      <c r="H73" s="133" t="s">
        <v>3662</v>
      </c>
      <c r="I73" s="133" t="s">
        <v>3840</v>
      </c>
      <c r="J73" s="133" t="s">
        <v>3935</v>
      </c>
      <c r="K73" s="133" t="s">
        <v>3666</v>
      </c>
      <c r="L73" s="133" t="s">
        <v>3666</v>
      </c>
      <c r="M73" s="133" t="s">
        <v>3667</v>
      </c>
      <c r="N73" s="234">
        <v>749107.9</v>
      </c>
      <c r="O73" s="228" t="s">
        <v>3668</v>
      </c>
      <c r="P73" s="228" t="s">
        <v>3603</v>
      </c>
      <c r="Q73" s="167"/>
      <c r="R73" s="167"/>
      <c r="S73" s="167"/>
      <c r="T73" s="26"/>
      <c r="U73" s="26"/>
      <c r="V73" s="26"/>
      <c r="W73" s="26"/>
      <c r="X73" s="26"/>
    </row>
    <row r="74" spans="1:24" ht="15" customHeight="1">
      <c r="A74" s="26"/>
      <c r="B74" s="133" t="s">
        <v>3936</v>
      </c>
      <c r="C74" s="133" t="s">
        <v>3920</v>
      </c>
      <c r="D74" s="133" t="s">
        <v>1223</v>
      </c>
      <c r="E74" s="133" t="s">
        <v>3660</v>
      </c>
      <c r="F74" s="133" t="s">
        <v>3661</v>
      </c>
      <c r="G74" s="133" t="s">
        <v>3639</v>
      </c>
      <c r="H74" s="133" t="s">
        <v>3662</v>
      </c>
      <c r="I74" s="133" t="s">
        <v>3840</v>
      </c>
      <c r="J74" s="133" t="s">
        <v>3937</v>
      </c>
      <c r="K74" s="133" t="s">
        <v>1073</v>
      </c>
      <c r="L74" s="133" t="s">
        <v>1074</v>
      </c>
      <c r="M74" s="133" t="s">
        <v>1157</v>
      </c>
      <c r="N74" s="135">
        <v>6703901.4100000001</v>
      </c>
      <c r="O74" s="228" t="s">
        <v>3670</v>
      </c>
      <c r="P74" s="228" t="s">
        <v>1049</v>
      </c>
      <c r="Q74" s="167">
        <f>$Q$21*N74</f>
        <v>6502784.3677000003</v>
      </c>
      <c r="R74" s="167">
        <f>N74*0.03</f>
        <v>201117.0423</v>
      </c>
      <c r="S74" s="167">
        <f>N74-Q74-R74</f>
        <v>0</v>
      </c>
      <c r="T74" s="26"/>
      <c r="U74" s="26"/>
      <c r="V74" s="26"/>
      <c r="W74" s="26"/>
      <c r="X74" s="26"/>
    </row>
    <row r="75" spans="1:24" ht="15" customHeight="1">
      <c r="A75" s="26"/>
      <c r="B75" s="133" t="s">
        <v>3938</v>
      </c>
      <c r="C75" s="133" t="s">
        <v>3933</v>
      </c>
      <c r="D75" s="133" t="s">
        <v>1223</v>
      </c>
      <c r="E75" s="133" t="s">
        <v>3660</v>
      </c>
      <c r="F75" s="133" t="s">
        <v>3661</v>
      </c>
      <c r="G75" s="133" t="s">
        <v>3639</v>
      </c>
      <c r="H75" s="133" t="s">
        <v>3662</v>
      </c>
      <c r="I75" s="133" t="s">
        <v>3840</v>
      </c>
      <c r="J75" s="133" t="s">
        <v>3939</v>
      </c>
      <c r="K75" s="133" t="s">
        <v>1073</v>
      </c>
      <c r="L75" s="133" t="s">
        <v>1074</v>
      </c>
      <c r="M75" s="133" t="s">
        <v>1157</v>
      </c>
      <c r="N75" s="134">
        <v>-6703901.4100000001</v>
      </c>
      <c r="O75" s="228" t="s">
        <v>3670</v>
      </c>
      <c r="P75" s="228" t="s">
        <v>1049</v>
      </c>
      <c r="Q75" s="167">
        <f>$Q$21*N75</f>
        <v>-6502784.3677000003</v>
      </c>
      <c r="R75" s="167">
        <f>N75*0.03</f>
        <v>-201117.0423</v>
      </c>
      <c r="S75" s="167">
        <f>N75-Q75-R75</f>
        <v>0</v>
      </c>
      <c r="T75" s="26"/>
      <c r="U75" s="26"/>
      <c r="V75" s="26"/>
      <c r="W75" s="26"/>
      <c r="X75" s="26"/>
    </row>
    <row r="76" spans="1:24">
      <c r="A76" s="26"/>
      <c r="B76" s="133" t="s">
        <v>3940</v>
      </c>
      <c r="C76" s="133" t="s">
        <v>3933</v>
      </c>
      <c r="D76" s="133" t="s">
        <v>1223</v>
      </c>
      <c r="E76" s="133" t="s">
        <v>3660</v>
      </c>
      <c r="F76" s="133" t="s">
        <v>3661</v>
      </c>
      <c r="G76" s="133" t="s">
        <v>3639</v>
      </c>
      <c r="H76" s="133" t="s">
        <v>3662</v>
      </c>
      <c r="I76" s="133" t="s">
        <v>3840</v>
      </c>
      <c r="J76" s="133" t="s">
        <v>3724</v>
      </c>
      <c r="K76" s="133" t="s">
        <v>1283</v>
      </c>
      <c r="L76" s="133" t="s">
        <v>3844</v>
      </c>
      <c r="M76" s="133" t="s">
        <v>1316</v>
      </c>
      <c r="N76" s="135">
        <v>1682425.93</v>
      </c>
      <c r="O76" s="228" t="s">
        <v>3664</v>
      </c>
      <c r="P76" s="228" t="s">
        <v>1235</v>
      </c>
      <c r="Q76" s="167"/>
      <c r="R76" s="167"/>
      <c r="S76" s="167"/>
      <c r="T76" s="26"/>
      <c r="U76" s="26"/>
      <c r="V76" s="26"/>
      <c r="W76" s="26"/>
      <c r="X76" s="26"/>
    </row>
    <row r="77" spans="1:24" ht="15" customHeight="1">
      <c r="A77" s="26"/>
      <c r="B77" s="133" t="s">
        <v>3941</v>
      </c>
      <c r="C77" s="133" t="s">
        <v>3942</v>
      </c>
      <c r="D77" s="133" t="s">
        <v>1223</v>
      </c>
      <c r="E77" s="133" t="s">
        <v>3660</v>
      </c>
      <c r="F77" s="133" t="s">
        <v>3661</v>
      </c>
      <c r="G77" s="133" t="s">
        <v>3639</v>
      </c>
      <c r="H77" s="133" t="s">
        <v>3662</v>
      </c>
      <c r="I77" s="133" t="s">
        <v>3840</v>
      </c>
      <c r="J77" s="133" t="s">
        <v>3943</v>
      </c>
      <c r="K77" s="133" t="s">
        <v>1283</v>
      </c>
      <c r="L77" s="133" t="s">
        <v>3844</v>
      </c>
      <c r="M77" s="133" t="s">
        <v>1316</v>
      </c>
      <c r="N77" s="134">
        <v>-1682425.93</v>
      </c>
      <c r="O77" s="228" t="s">
        <v>3664</v>
      </c>
      <c r="P77" s="228" t="s">
        <v>1235</v>
      </c>
      <c r="Q77" s="167"/>
      <c r="R77" s="167"/>
      <c r="S77" s="167"/>
      <c r="T77" s="26"/>
      <c r="U77" s="26"/>
      <c r="V77" s="26"/>
      <c r="W77" s="26"/>
      <c r="X77" s="26"/>
    </row>
    <row r="78" spans="1:24" ht="15" customHeight="1">
      <c r="A78" s="26"/>
      <c r="B78" s="133" t="s">
        <v>3944</v>
      </c>
      <c r="C78" s="133" t="s">
        <v>3933</v>
      </c>
      <c r="D78" s="133" t="s">
        <v>1223</v>
      </c>
      <c r="E78" s="133" t="s">
        <v>3660</v>
      </c>
      <c r="F78" s="133" t="s">
        <v>3661</v>
      </c>
      <c r="G78" s="133" t="s">
        <v>3639</v>
      </c>
      <c r="H78" s="133" t="s">
        <v>3662</v>
      </c>
      <c r="I78" s="133" t="s">
        <v>3840</v>
      </c>
      <c r="J78" s="133" t="s">
        <v>3945</v>
      </c>
      <c r="K78" s="133" t="s">
        <v>3666</v>
      </c>
      <c r="L78" s="133" t="s">
        <v>3666</v>
      </c>
      <c r="M78" s="133" t="s">
        <v>3667</v>
      </c>
      <c r="N78" s="235">
        <v>-2107003.79</v>
      </c>
      <c r="O78" s="228" t="s">
        <v>3668</v>
      </c>
      <c r="P78" s="228" t="s">
        <v>3603</v>
      </c>
      <c r="Q78" s="167"/>
      <c r="R78" s="167"/>
      <c r="S78" s="167"/>
      <c r="T78" s="26"/>
      <c r="U78" s="26"/>
      <c r="V78" s="26"/>
      <c r="W78" s="26"/>
      <c r="X78" s="26"/>
    </row>
    <row r="79" spans="1:24">
      <c r="A79" s="26"/>
      <c r="B79" s="133" t="s">
        <v>3946</v>
      </c>
      <c r="C79" s="133" t="s">
        <v>3942</v>
      </c>
      <c r="D79" s="133" t="s">
        <v>1223</v>
      </c>
      <c r="E79" s="133" t="s">
        <v>3660</v>
      </c>
      <c r="F79" s="133" t="s">
        <v>3661</v>
      </c>
      <c r="G79" s="133" t="s">
        <v>3639</v>
      </c>
      <c r="H79" s="133" t="s">
        <v>3662</v>
      </c>
      <c r="I79" s="133" t="s">
        <v>3840</v>
      </c>
      <c r="J79" s="133" t="s">
        <v>3947</v>
      </c>
      <c r="K79" s="133" t="s">
        <v>3666</v>
      </c>
      <c r="L79" s="133" t="s">
        <v>3666</v>
      </c>
      <c r="M79" s="133" t="s">
        <v>3667</v>
      </c>
      <c r="N79" s="234">
        <v>2107003.79</v>
      </c>
      <c r="O79" s="228" t="s">
        <v>3668</v>
      </c>
      <c r="P79" s="228" t="s">
        <v>3603</v>
      </c>
      <c r="Q79" s="167"/>
      <c r="R79" s="167"/>
      <c r="S79" s="167"/>
      <c r="T79" s="26"/>
      <c r="U79" s="26"/>
      <c r="V79" s="26"/>
      <c r="W79" s="26"/>
      <c r="X79" s="26"/>
    </row>
    <row r="80" spans="1:24" ht="15" customHeight="1">
      <c r="A80" s="26"/>
      <c r="B80" s="133" t="s">
        <v>3948</v>
      </c>
      <c r="C80" s="133" t="s">
        <v>3933</v>
      </c>
      <c r="D80" s="133" t="s">
        <v>1223</v>
      </c>
      <c r="E80" s="133" t="s">
        <v>3660</v>
      </c>
      <c r="F80" s="133" t="s">
        <v>3661</v>
      </c>
      <c r="G80" s="133" t="s">
        <v>3639</v>
      </c>
      <c r="H80" s="133" t="s">
        <v>3662</v>
      </c>
      <c r="I80" s="133" t="s">
        <v>3840</v>
      </c>
      <c r="J80" s="133" t="s">
        <v>3949</v>
      </c>
      <c r="K80" s="133" t="s">
        <v>1073</v>
      </c>
      <c r="L80" s="133" t="s">
        <v>1074</v>
      </c>
      <c r="M80" s="133" t="s">
        <v>1157</v>
      </c>
      <c r="N80" s="135">
        <v>6887751.7800000003</v>
      </c>
      <c r="O80" s="228" t="s">
        <v>3670</v>
      </c>
      <c r="P80" s="228" t="s">
        <v>1049</v>
      </c>
      <c r="Q80" s="167">
        <f>$Q$21*N80</f>
        <v>6681119.2265999997</v>
      </c>
      <c r="R80" s="167">
        <f>N80*0.03</f>
        <v>206632.5534</v>
      </c>
      <c r="S80" s="167">
        <f>N80-Q80-R80</f>
        <v>5.5297277867794037E-10</v>
      </c>
      <c r="T80" s="26"/>
      <c r="U80" s="26"/>
      <c r="V80" s="26"/>
      <c r="W80" s="26"/>
      <c r="X80" s="26"/>
    </row>
    <row r="81" spans="1:24" ht="15" customHeight="1">
      <c r="A81" s="26"/>
      <c r="B81" s="133" t="s">
        <v>3950</v>
      </c>
      <c r="C81" s="133" t="s">
        <v>3942</v>
      </c>
      <c r="D81" s="133" t="s">
        <v>1223</v>
      </c>
      <c r="E81" s="133" t="s">
        <v>3660</v>
      </c>
      <c r="F81" s="133" t="s">
        <v>3661</v>
      </c>
      <c r="G81" s="133" t="s">
        <v>3639</v>
      </c>
      <c r="H81" s="133" t="s">
        <v>3662</v>
      </c>
      <c r="I81" s="133" t="s">
        <v>3840</v>
      </c>
      <c r="J81" s="133" t="s">
        <v>3951</v>
      </c>
      <c r="K81" s="133" t="s">
        <v>1073</v>
      </c>
      <c r="L81" s="133" t="s">
        <v>1074</v>
      </c>
      <c r="M81" s="133" t="s">
        <v>1157</v>
      </c>
      <c r="N81" s="134">
        <v>-6887751.7800000003</v>
      </c>
      <c r="O81" s="228" t="s">
        <v>3670</v>
      </c>
      <c r="P81" s="228" t="s">
        <v>1049</v>
      </c>
      <c r="Q81" s="167">
        <f>$Q$21*N81</f>
        <v>-6681119.2265999997</v>
      </c>
      <c r="R81" s="167">
        <f>N81*0.03</f>
        <v>-206632.5534</v>
      </c>
      <c r="S81" s="167">
        <f>N81-Q81-R81</f>
        <v>-5.5297277867794037E-10</v>
      </c>
      <c r="T81" s="26"/>
      <c r="U81" s="26"/>
      <c r="V81" s="26"/>
      <c r="W81" s="26"/>
      <c r="X81" s="26"/>
    </row>
    <row r="82" spans="1:24" ht="15" customHeight="1">
      <c r="A82" s="26"/>
      <c r="B82" s="133" t="s">
        <v>3952</v>
      </c>
      <c r="C82" s="133" t="s">
        <v>3942</v>
      </c>
      <c r="D82" s="133" t="s">
        <v>1223</v>
      </c>
      <c r="E82" s="133" t="s">
        <v>3660</v>
      </c>
      <c r="F82" s="133" t="s">
        <v>3661</v>
      </c>
      <c r="G82" s="133" t="s">
        <v>3639</v>
      </c>
      <c r="H82" s="133" t="s">
        <v>3662</v>
      </c>
      <c r="I82" s="133" t="s">
        <v>3840</v>
      </c>
      <c r="J82" s="133" t="s">
        <v>3953</v>
      </c>
      <c r="K82" s="133" t="s">
        <v>1283</v>
      </c>
      <c r="L82" s="133" t="s">
        <v>3844</v>
      </c>
      <c r="M82" s="133" t="s">
        <v>1316</v>
      </c>
      <c r="N82" s="135">
        <v>1700998.05</v>
      </c>
      <c r="O82" s="228" t="s">
        <v>3664</v>
      </c>
      <c r="P82" s="228" t="s">
        <v>1235</v>
      </c>
      <c r="Q82" s="167"/>
      <c r="R82" s="167"/>
      <c r="S82" s="167"/>
      <c r="T82" s="26"/>
      <c r="U82" s="26"/>
      <c r="V82" s="26"/>
      <c r="W82" s="26"/>
      <c r="X82" s="26"/>
    </row>
    <row r="83" spans="1:24" ht="15" customHeight="1">
      <c r="A83" s="26"/>
      <c r="B83" s="133" t="s">
        <v>3952</v>
      </c>
      <c r="C83" s="133" t="s">
        <v>3942</v>
      </c>
      <c r="D83" s="133" t="s">
        <v>1223</v>
      </c>
      <c r="E83" s="133" t="s">
        <v>3660</v>
      </c>
      <c r="F83" s="133" t="s">
        <v>3661</v>
      </c>
      <c r="G83" s="133" t="s">
        <v>3639</v>
      </c>
      <c r="H83" s="133" t="s">
        <v>3662</v>
      </c>
      <c r="I83" s="133" t="s">
        <v>3840</v>
      </c>
      <c r="J83" s="133" t="s">
        <v>3731</v>
      </c>
      <c r="K83" s="133" t="s">
        <v>3666</v>
      </c>
      <c r="L83" s="133" t="s">
        <v>3666</v>
      </c>
      <c r="M83" s="133" t="s">
        <v>3667</v>
      </c>
      <c r="N83" s="235">
        <v>-3229211.71</v>
      </c>
      <c r="O83" s="228" t="s">
        <v>3668</v>
      </c>
      <c r="P83" s="228" t="s">
        <v>3603</v>
      </c>
      <c r="Q83" s="167"/>
      <c r="R83" s="167"/>
      <c r="S83" s="167"/>
      <c r="T83" s="26"/>
      <c r="U83" s="26"/>
      <c r="V83" s="26"/>
      <c r="W83" s="26"/>
      <c r="X83" s="26"/>
    </row>
    <row r="84" spans="1:24" ht="15" customHeight="1">
      <c r="A84" s="26"/>
      <c r="B84" s="133" t="s">
        <v>3954</v>
      </c>
      <c r="C84" s="133" t="s">
        <v>3955</v>
      </c>
      <c r="D84" s="133" t="s">
        <v>1223</v>
      </c>
      <c r="E84" s="133" t="s">
        <v>3660</v>
      </c>
      <c r="F84" s="133" t="s">
        <v>3661</v>
      </c>
      <c r="G84" s="133" t="s">
        <v>3639</v>
      </c>
      <c r="H84" s="133" t="s">
        <v>3662</v>
      </c>
      <c r="I84" s="133" t="s">
        <v>3840</v>
      </c>
      <c r="J84" s="133" t="s">
        <v>3956</v>
      </c>
      <c r="K84" s="133" t="s">
        <v>1283</v>
      </c>
      <c r="L84" s="133" t="s">
        <v>3844</v>
      </c>
      <c r="M84" s="133" t="s">
        <v>1316</v>
      </c>
      <c r="N84" s="134">
        <v>-1700998.05</v>
      </c>
      <c r="O84" s="228" t="s">
        <v>3664</v>
      </c>
      <c r="P84" s="228" t="s">
        <v>1235</v>
      </c>
      <c r="Q84" s="167"/>
      <c r="R84" s="167"/>
      <c r="S84" s="167"/>
      <c r="T84" s="26"/>
      <c r="U84" s="26"/>
      <c r="V84" s="26"/>
      <c r="W84" s="26"/>
      <c r="X84" s="26"/>
    </row>
    <row r="85" spans="1:24">
      <c r="A85" s="26"/>
      <c r="B85" s="133" t="s">
        <v>3954</v>
      </c>
      <c r="C85" s="133" t="s">
        <v>3955</v>
      </c>
      <c r="D85" s="133" t="s">
        <v>1223</v>
      </c>
      <c r="E85" s="133" t="s">
        <v>3660</v>
      </c>
      <c r="F85" s="133" t="s">
        <v>3661</v>
      </c>
      <c r="G85" s="133" t="s">
        <v>3639</v>
      </c>
      <c r="H85" s="133" t="s">
        <v>3662</v>
      </c>
      <c r="I85" s="133" t="s">
        <v>3840</v>
      </c>
      <c r="J85" s="133" t="s">
        <v>3957</v>
      </c>
      <c r="K85" s="133" t="s">
        <v>3666</v>
      </c>
      <c r="L85" s="133" t="s">
        <v>3666</v>
      </c>
      <c r="M85" s="133" t="s">
        <v>3667</v>
      </c>
      <c r="N85" s="234">
        <v>3229211.71</v>
      </c>
      <c r="O85" s="228" t="s">
        <v>3668</v>
      </c>
      <c r="P85" s="228" t="s">
        <v>3603</v>
      </c>
      <c r="Q85" s="167"/>
      <c r="R85" s="167"/>
      <c r="S85" s="167"/>
      <c r="T85" s="26"/>
      <c r="U85" s="26"/>
      <c r="V85" s="26"/>
      <c r="W85" s="26"/>
      <c r="X85" s="26"/>
    </row>
    <row r="86" spans="1:24">
      <c r="A86" s="26"/>
      <c r="B86" s="133" t="s">
        <v>3958</v>
      </c>
      <c r="C86" s="133" t="s">
        <v>3942</v>
      </c>
      <c r="D86" s="133" t="s">
        <v>1223</v>
      </c>
      <c r="E86" s="133" t="s">
        <v>3660</v>
      </c>
      <c r="F86" s="133" t="s">
        <v>3661</v>
      </c>
      <c r="G86" s="133" t="s">
        <v>3639</v>
      </c>
      <c r="H86" s="133" t="s">
        <v>3662</v>
      </c>
      <c r="I86" s="133" t="s">
        <v>3840</v>
      </c>
      <c r="J86" s="133" t="s">
        <v>3734</v>
      </c>
      <c r="K86" s="133" t="s">
        <v>1073</v>
      </c>
      <c r="L86" s="133" t="s">
        <v>1074</v>
      </c>
      <c r="M86" s="133" t="s">
        <v>1157</v>
      </c>
      <c r="N86" s="135">
        <v>11663155.84</v>
      </c>
      <c r="O86" s="228" t="s">
        <v>3670</v>
      </c>
      <c r="P86" s="228" t="s">
        <v>1049</v>
      </c>
      <c r="Q86" s="167">
        <f>$Q$21*N86</f>
        <v>11313261.164799999</v>
      </c>
      <c r="R86" s="167">
        <f>N86*0.03</f>
        <v>349894.6752</v>
      </c>
      <c r="S86" s="167">
        <f>N86-Q86-R86</f>
        <v>0</v>
      </c>
      <c r="T86" s="26"/>
      <c r="U86" s="26"/>
      <c r="V86" s="26"/>
      <c r="W86" s="26"/>
      <c r="X86" s="26"/>
    </row>
    <row r="87" spans="1:24">
      <c r="A87" s="26"/>
      <c r="B87" s="133" t="s">
        <v>3959</v>
      </c>
      <c r="C87" s="133" t="s">
        <v>3955</v>
      </c>
      <c r="D87" s="133" t="s">
        <v>1223</v>
      </c>
      <c r="E87" s="133" t="s">
        <v>3660</v>
      </c>
      <c r="F87" s="133" t="s">
        <v>3661</v>
      </c>
      <c r="G87" s="133" t="s">
        <v>3639</v>
      </c>
      <c r="H87" s="133" t="s">
        <v>3662</v>
      </c>
      <c r="I87" s="133" t="s">
        <v>3840</v>
      </c>
      <c r="J87" s="133" t="s">
        <v>3960</v>
      </c>
      <c r="K87" s="133" t="s">
        <v>1073</v>
      </c>
      <c r="L87" s="133" t="s">
        <v>1074</v>
      </c>
      <c r="M87" s="133" t="s">
        <v>1157</v>
      </c>
      <c r="N87" s="134">
        <v>-11663155.84</v>
      </c>
      <c r="O87" s="228" t="s">
        <v>3670</v>
      </c>
      <c r="P87" s="228" t="s">
        <v>1049</v>
      </c>
      <c r="Q87" s="167">
        <f>$Q$21*N87</f>
        <v>-11313261.164799999</v>
      </c>
      <c r="R87" s="167">
        <f>N87*0.03</f>
        <v>-349894.6752</v>
      </c>
      <c r="S87" s="167">
        <f>N87-Q87-R87</f>
        <v>0</v>
      </c>
      <c r="T87" s="26"/>
      <c r="U87" s="26"/>
      <c r="V87" s="26"/>
      <c r="W87" s="26"/>
      <c r="X87" s="26"/>
    </row>
    <row r="88" spans="1:24">
      <c r="A88" s="26"/>
      <c r="B88" s="133" t="s">
        <v>3961</v>
      </c>
      <c r="C88" s="133" t="s">
        <v>3955</v>
      </c>
      <c r="D88" s="133" t="s">
        <v>1223</v>
      </c>
      <c r="E88" s="133" t="s">
        <v>3660</v>
      </c>
      <c r="F88" s="133" t="s">
        <v>3661</v>
      </c>
      <c r="G88" s="133" t="s">
        <v>3639</v>
      </c>
      <c r="H88" s="133" t="s">
        <v>3662</v>
      </c>
      <c r="I88" s="133" t="s">
        <v>3840</v>
      </c>
      <c r="J88" s="133" t="s">
        <v>3962</v>
      </c>
      <c r="K88" s="133" t="s">
        <v>1283</v>
      </c>
      <c r="L88" s="133" t="s">
        <v>3844</v>
      </c>
      <c r="M88" s="133" t="s">
        <v>1316</v>
      </c>
      <c r="N88" s="135">
        <v>1949373.21</v>
      </c>
      <c r="O88" s="228" t="s">
        <v>3664</v>
      </c>
      <c r="P88" s="228" t="s">
        <v>1235</v>
      </c>
      <c r="Q88" s="167"/>
      <c r="R88" s="167"/>
      <c r="S88" s="167"/>
      <c r="T88" s="26"/>
      <c r="U88" s="26"/>
      <c r="V88" s="26"/>
      <c r="W88" s="26"/>
      <c r="X88" s="26"/>
    </row>
    <row r="89" spans="1:24">
      <c r="A89" s="26"/>
      <c r="B89" s="133" t="s">
        <v>3963</v>
      </c>
      <c r="C89" s="133" t="s">
        <v>3955</v>
      </c>
      <c r="D89" s="133" t="s">
        <v>1223</v>
      </c>
      <c r="E89" s="133" t="s">
        <v>3660</v>
      </c>
      <c r="F89" s="133" t="s">
        <v>3661</v>
      </c>
      <c r="G89" s="133" t="s">
        <v>3639</v>
      </c>
      <c r="H89" s="133" t="s">
        <v>3662</v>
      </c>
      <c r="I89" s="133" t="s">
        <v>3840</v>
      </c>
      <c r="J89" s="133" t="s">
        <v>3964</v>
      </c>
      <c r="K89" s="133" t="s">
        <v>3666</v>
      </c>
      <c r="L89" s="133" t="s">
        <v>3666</v>
      </c>
      <c r="M89" s="133" t="s">
        <v>3667</v>
      </c>
      <c r="N89" s="235">
        <v>-2117589.62</v>
      </c>
      <c r="O89" s="228" t="s">
        <v>3668</v>
      </c>
      <c r="P89" s="228" t="s">
        <v>3603</v>
      </c>
      <c r="Q89" s="167"/>
      <c r="R89" s="167"/>
      <c r="S89" s="167"/>
      <c r="T89" s="26"/>
      <c r="U89" s="26"/>
      <c r="V89" s="26"/>
      <c r="W89" s="26"/>
      <c r="X89" s="26"/>
    </row>
    <row r="90" spans="1:24">
      <c r="A90" s="26"/>
      <c r="B90" s="133" t="s">
        <v>3963</v>
      </c>
      <c r="C90" s="133" t="s">
        <v>3846</v>
      </c>
      <c r="D90" s="133" t="s">
        <v>1223</v>
      </c>
      <c r="E90" s="133" t="s">
        <v>3660</v>
      </c>
      <c r="F90" s="133" t="s">
        <v>3661</v>
      </c>
      <c r="G90" s="133" t="s">
        <v>3639</v>
      </c>
      <c r="H90" s="133" t="s">
        <v>3662</v>
      </c>
      <c r="I90" s="133" t="s">
        <v>3840</v>
      </c>
      <c r="J90" s="133" t="s">
        <v>3965</v>
      </c>
      <c r="K90" s="133" t="s">
        <v>1283</v>
      </c>
      <c r="L90" s="133" t="s">
        <v>3844</v>
      </c>
      <c r="M90" s="133" t="s">
        <v>1316</v>
      </c>
      <c r="N90" s="134">
        <v>-1949373.21</v>
      </c>
      <c r="O90" s="228" t="s">
        <v>3664</v>
      </c>
      <c r="P90" s="228" t="s">
        <v>1235</v>
      </c>
      <c r="Q90" s="167"/>
      <c r="R90" s="167"/>
      <c r="S90" s="167"/>
      <c r="T90" s="26"/>
      <c r="U90" s="26"/>
      <c r="V90" s="26"/>
      <c r="W90" s="26"/>
      <c r="X90" s="26"/>
    </row>
    <row r="91" spans="1:24">
      <c r="A91" s="26"/>
      <c r="B91" s="133" t="s">
        <v>3966</v>
      </c>
      <c r="C91" s="133" t="s">
        <v>3846</v>
      </c>
      <c r="D91" s="133" t="s">
        <v>1223</v>
      </c>
      <c r="E91" s="133" t="s">
        <v>3660</v>
      </c>
      <c r="F91" s="133" t="s">
        <v>3661</v>
      </c>
      <c r="G91" s="133" t="s">
        <v>3639</v>
      </c>
      <c r="H91" s="133" t="s">
        <v>3662</v>
      </c>
      <c r="I91" s="133" t="s">
        <v>3840</v>
      </c>
      <c r="J91" s="133" t="s">
        <v>3738</v>
      </c>
      <c r="K91" s="133" t="s">
        <v>3666</v>
      </c>
      <c r="L91" s="133" t="s">
        <v>3666</v>
      </c>
      <c r="M91" s="133" t="s">
        <v>3667</v>
      </c>
      <c r="N91" s="234">
        <v>2117589.62</v>
      </c>
      <c r="O91" s="228" t="s">
        <v>3668</v>
      </c>
      <c r="P91" s="228" t="s">
        <v>3603</v>
      </c>
      <c r="Q91" s="167"/>
      <c r="R91" s="167"/>
      <c r="S91" s="167"/>
      <c r="T91" s="26"/>
      <c r="U91" s="26"/>
      <c r="V91" s="26"/>
      <c r="W91" s="26"/>
      <c r="X91" s="26"/>
    </row>
    <row r="92" spans="1:24">
      <c r="A92" s="26"/>
      <c r="B92" s="133" t="s">
        <v>3967</v>
      </c>
      <c r="C92" s="133" t="s">
        <v>3955</v>
      </c>
      <c r="D92" s="133" t="s">
        <v>1223</v>
      </c>
      <c r="E92" s="133" t="s">
        <v>3660</v>
      </c>
      <c r="F92" s="133" t="s">
        <v>3661</v>
      </c>
      <c r="G92" s="133" t="s">
        <v>3639</v>
      </c>
      <c r="H92" s="133" t="s">
        <v>3662</v>
      </c>
      <c r="I92" s="133" t="s">
        <v>3840</v>
      </c>
      <c r="J92" s="133" t="s">
        <v>3968</v>
      </c>
      <c r="K92" s="133" t="s">
        <v>1073</v>
      </c>
      <c r="L92" s="133" t="s">
        <v>1074</v>
      </c>
      <c r="M92" s="133" t="s">
        <v>1157</v>
      </c>
      <c r="N92" s="135">
        <v>22002985.109999999</v>
      </c>
      <c r="O92" s="228" t="s">
        <v>3670</v>
      </c>
      <c r="P92" s="228" t="s">
        <v>1049</v>
      </c>
      <c r="Q92" s="167">
        <f>$Q$21*N92</f>
        <v>21342895.556699999</v>
      </c>
      <c r="R92" s="167">
        <f>N92*0.03</f>
        <v>660089.55329999991</v>
      </c>
      <c r="S92" s="167">
        <f>N92-Q92-R92</f>
        <v>0</v>
      </c>
      <c r="T92" s="26"/>
      <c r="U92" s="26"/>
      <c r="V92" s="26"/>
      <c r="W92" s="26"/>
      <c r="X92" s="26"/>
    </row>
    <row r="93" spans="1:24">
      <c r="A93" s="26"/>
      <c r="B93" s="133" t="s">
        <v>3969</v>
      </c>
      <c r="C93" s="133" t="s">
        <v>3846</v>
      </c>
      <c r="D93" s="133" t="s">
        <v>1223</v>
      </c>
      <c r="E93" s="133" t="s">
        <v>3660</v>
      </c>
      <c r="F93" s="133" t="s">
        <v>3661</v>
      </c>
      <c r="G93" s="133" t="s">
        <v>3639</v>
      </c>
      <c r="H93" s="133" t="s">
        <v>3662</v>
      </c>
      <c r="I93" s="133" t="s">
        <v>3840</v>
      </c>
      <c r="J93" s="133" t="s">
        <v>3970</v>
      </c>
      <c r="K93" s="133" t="s">
        <v>1073</v>
      </c>
      <c r="L93" s="133" t="s">
        <v>1074</v>
      </c>
      <c r="M93" s="133" t="s">
        <v>1157</v>
      </c>
      <c r="N93" s="134">
        <v>-22002985.109999999</v>
      </c>
      <c r="O93" s="228" t="s">
        <v>3670</v>
      </c>
      <c r="P93" s="228" t="s">
        <v>1049</v>
      </c>
      <c r="Q93" s="167">
        <f>$Q$21*N93</f>
        <v>-21342895.556699999</v>
      </c>
      <c r="R93" s="167">
        <f>N93*0.03</f>
        <v>-660089.55329999991</v>
      </c>
      <c r="S93" s="167">
        <f>N93-Q93-R93</f>
        <v>0</v>
      </c>
      <c r="T93" s="26"/>
      <c r="U93" s="26"/>
      <c r="V93" s="26"/>
      <c r="W93" s="26"/>
      <c r="X93" s="26"/>
    </row>
    <row r="94" spans="1:24">
      <c r="A94" s="26"/>
      <c r="B94" s="136"/>
      <c r="C94" s="136"/>
      <c r="D94" s="136"/>
      <c r="E94" s="136"/>
      <c r="F94" s="136"/>
      <c r="G94" s="136"/>
      <c r="H94" s="136"/>
      <c r="I94" s="136"/>
      <c r="J94" s="136"/>
      <c r="K94" s="136"/>
      <c r="L94" s="136"/>
      <c r="M94" s="136"/>
      <c r="N94" s="136"/>
      <c r="O94" s="204"/>
      <c r="P94" s="164"/>
      <c r="Q94" s="167"/>
      <c r="R94" s="167"/>
      <c r="S94" s="167"/>
      <c r="T94" s="26"/>
      <c r="U94" s="26"/>
      <c r="V94" s="26"/>
      <c r="W94" s="26"/>
      <c r="X94" s="26"/>
    </row>
    <row r="95" spans="1:24">
      <c r="A95" s="26"/>
      <c r="B95" s="136"/>
      <c r="C95" s="136"/>
      <c r="D95" s="136"/>
      <c r="E95" s="136"/>
      <c r="F95" s="136"/>
      <c r="G95" s="136"/>
      <c r="H95" s="136"/>
      <c r="I95" s="136"/>
      <c r="J95" s="136"/>
      <c r="K95" s="136"/>
      <c r="L95" s="136"/>
      <c r="M95" s="137" t="s">
        <v>3739</v>
      </c>
      <c r="N95" s="236">
        <v>5107086.91</v>
      </c>
      <c r="O95" s="206"/>
      <c r="P95" s="165"/>
      <c r="Q95" s="167">
        <f>SUM(Q22:Q94)</f>
        <v>5462110.3907999992</v>
      </c>
      <c r="R95" s="167">
        <f>SUM(R22:R94)</f>
        <v>168931.24920000008</v>
      </c>
      <c r="S95" s="167">
        <f>SUM(S22:S94)</f>
        <v>0</v>
      </c>
      <c r="T95" s="26"/>
      <c r="U95" s="26"/>
      <c r="V95" s="26"/>
      <c r="W95" s="26"/>
      <c r="X95" s="26"/>
    </row>
    <row r="96" spans="1:24">
      <c r="A96" s="26"/>
      <c r="B96" s="26"/>
      <c r="C96" s="26"/>
      <c r="D96" s="26"/>
      <c r="E96" s="26"/>
      <c r="F96" s="26"/>
      <c r="G96" s="26"/>
      <c r="H96" s="26"/>
      <c r="I96" s="26"/>
      <c r="J96" s="26"/>
      <c r="K96" s="26"/>
      <c r="L96" s="26"/>
      <c r="M96" s="26"/>
      <c r="N96" s="26"/>
      <c r="O96" s="26"/>
      <c r="P96" s="168"/>
      <c r="Q96" s="168"/>
      <c r="R96" s="168"/>
      <c r="S96" s="26"/>
      <c r="T96" s="26"/>
      <c r="U96" s="26"/>
      <c r="V96" s="26"/>
      <c r="W96" s="26"/>
    </row>
    <row r="97" spans="1:23">
      <c r="A97" s="26"/>
      <c r="B97" s="26"/>
      <c r="C97" s="26"/>
      <c r="D97" s="26"/>
      <c r="E97" s="26"/>
      <c r="F97" s="26"/>
      <c r="G97" s="26"/>
      <c r="H97" s="26"/>
      <c r="I97" s="26"/>
      <c r="J97" s="26"/>
      <c r="K97" s="26"/>
      <c r="L97" s="26"/>
      <c r="M97" s="26"/>
      <c r="N97" s="26"/>
      <c r="O97" s="26"/>
      <c r="P97" s="26"/>
      <c r="Q97" s="26"/>
      <c r="R97" s="26"/>
      <c r="S97" s="26"/>
      <c r="T97" s="26"/>
      <c r="U97" s="26"/>
      <c r="V97" s="26"/>
      <c r="W97" s="26"/>
    </row>
    <row r="98" spans="1:23">
      <c r="A98" s="26"/>
      <c r="B98" s="26"/>
      <c r="C98" s="26"/>
      <c r="D98" s="26"/>
      <c r="E98" s="26"/>
      <c r="F98" s="26"/>
      <c r="G98" s="26"/>
      <c r="H98" s="26"/>
      <c r="I98" s="26"/>
      <c r="J98" s="26"/>
      <c r="K98" s="26"/>
      <c r="L98" s="26"/>
      <c r="M98" s="26"/>
      <c r="N98" s="26"/>
      <c r="O98" s="26"/>
      <c r="P98" s="92"/>
      <c r="Q98" s="26"/>
      <c r="R98" s="26"/>
      <c r="S98" s="26"/>
      <c r="T98" s="26"/>
      <c r="U98" s="26"/>
      <c r="V98" s="26"/>
      <c r="W98" s="26"/>
    </row>
    <row r="99" spans="1:23">
      <c r="A99" s="26"/>
      <c r="B99" s="26"/>
      <c r="C99" s="26"/>
      <c r="D99" s="26"/>
      <c r="E99" s="26"/>
      <c r="F99" s="26"/>
      <c r="G99" s="26"/>
      <c r="H99" s="26"/>
      <c r="I99" s="26"/>
      <c r="J99" s="26"/>
      <c r="K99" s="26"/>
      <c r="L99" s="26"/>
      <c r="M99" s="26"/>
      <c r="N99" s="26"/>
      <c r="O99" s="26"/>
      <c r="P99" s="26"/>
      <c r="Q99" s="26"/>
      <c r="R99" s="26"/>
      <c r="S99" s="26"/>
      <c r="T99" s="26"/>
      <c r="U99" s="26"/>
      <c r="V99" s="26"/>
      <c r="W99" s="26"/>
    </row>
    <row r="100" spans="1:23">
      <c r="A100" s="26"/>
      <c r="B100" s="26"/>
      <c r="C100" s="26"/>
      <c r="D100" s="26"/>
      <c r="E100" s="26"/>
      <c r="F100" s="26"/>
      <c r="G100" s="26"/>
      <c r="H100" s="26"/>
      <c r="I100" s="26"/>
      <c r="J100" s="26"/>
      <c r="K100" s="26"/>
      <c r="L100" s="26"/>
      <c r="M100" s="26"/>
      <c r="N100" s="26"/>
      <c r="O100" s="26"/>
      <c r="P100" s="92"/>
      <c r="Q100" s="26"/>
      <c r="R100" s="26"/>
      <c r="S100" s="26"/>
      <c r="T100" s="26"/>
      <c r="U100" s="26"/>
      <c r="V100" s="26"/>
      <c r="W100" s="26"/>
    </row>
    <row r="101" spans="1:23">
      <c r="A101" s="26"/>
      <c r="B101" s="26"/>
      <c r="C101" s="26"/>
      <c r="D101" s="26"/>
      <c r="E101" s="26"/>
      <c r="F101" s="26"/>
      <c r="G101" s="26"/>
      <c r="H101" s="26"/>
      <c r="I101" s="26"/>
      <c r="J101" s="26"/>
      <c r="K101" s="26"/>
      <c r="L101" s="26"/>
      <c r="M101" s="26"/>
      <c r="N101" s="26"/>
      <c r="O101" s="26"/>
      <c r="P101" s="92"/>
      <c r="Q101" s="26"/>
      <c r="R101" s="26"/>
      <c r="S101" s="26"/>
      <c r="T101" s="26"/>
      <c r="U101" s="26"/>
      <c r="V101" s="26"/>
      <c r="W101" s="26"/>
    </row>
    <row r="102" spans="1:23">
      <c r="A102" s="26"/>
      <c r="B102" s="26"/>
      <c r="C102" s="26"/>
      <c r="D102" s="26"/>
      <c r="E102" s="26"/>
      <c r="F102" s="26"/>
      <c r="G102" s="26"/>
      <c r="H102" s="26"/>
      <c r="I102" s="26"/>
      <c r="J102" s="26"/>
      <c r="K102" s="26"/>
      <c r="L102" s="26"/>
      <c r="M102" s="26"/>
      <c r="N102" s="26"/>
      <c r="O102" s="26"/>
      <c r="P102" s="26"/>
      <c r="Q102" s="26"/>
      <c r="R102" s="26"/>
      <c r="S102" s="26"/>
      <c r="T102" s="26"/>
      <c r="U102" s="26"/>
      <c r="V102" s="26"/>
      <c r="W102" s="26"/>
    </row>
    <row r="103" spans="1:23">
      <c r="A103" s="26"/>
      <c r="B103" s="26"/>
      <c r="C103" s="26"/>
      <c r="D103" s="26"/>
      <c r="E103" s="26"/>
      <c r="F103" s="26"/>
      <c r="G103" s="26"/>
      <c r="H103" s="26"/>
      <c r="I103" s="26"/>
      <c r="J103" s="26"/>
      <c r="K103" s="26"/>
      <c r="L103" s="26"/>
      <c r="M103" s="26"/>
      <c r="N103" s="26"/>
      <c r="O103" s="26"/>
      <c r="P103" s="26"/>
      <c r="Q103" s="26"/>
      <c r="R103" s="26"/>
      <c r="S103" s="26"/>
      <c r="T103" s="26"/>
      <c r="U103" s="26"/>
      <c r="V103" s="26"/>
      <c r="W103" s="26"/>
    </row>
    <row r="104" spans="1:23">
      <c r="A104" s="26"/>
      <c r="B104" s="26"/>
      <c r="C104" s="26"/>
      <c r="D104" s="26"/>
      <c r="E104" s="26"/>
      <c r="F104" s="26"/>
      <c r="G104" s="26"/>
      <c r="H104" s="26"/>
      <c r="I104" s="26"/>
      <c r="J104" s="26"/>
      <c r="K104" s="26"/>
      <c r="L104" s="26"/>
      <c r="M104" s="26"/>
      <c r="N104" s="26"/>
      <c r="O104" s="26"/>
      <c r="P104" s="26"/>
      <c r="Q104" s="26"/>
      <c r="R104" s="26"/>
      <c r="S104" s="26"/>
      <c r="T104" s="26"/>
      <c r="U104" s="26"/>
      <c r="V104" s="26"/>
      <c r="W104" s="26"/>
    </row>
    <row r="105" spans="1:23">
      <c r="A105" s="26"/>
      <c r="B105" s="26"/>
      <c r="C105" s="26"/>
      <c r="D105" s="26"/>
      <c r="E105" s="26"/>
      <c r="F105" s="26"/>
      <c r="G105" s="26"/>
      <c r="H105" s="26"/>
      <c r="I105" s="26"/>
      <c r="J105" s="26"/>
      <c r="K105" s="26"/>
      <c r="L105" s="26"/>
      <c r="M105" s="26"/>
      <c r="N105" s="26"/>
      <c r="O105" s="26"/>
      <c r="P105" s="26"/>
      <c r="Q105" s="26"/>
      <c r="R105" s="26"/>
      <c r="S105" s="26"/>
      <c r="T105" s="26"/>
      <c r="U105" s="26"/>
      <c r="V105" s="26"/>
      <c r="W105" s="26"/>
    </row>
    <row r="106" spans="1:23">
      <c r="A106" s="26"/>
      <c r="B106" s="26"/>
      <c r="C106" s="26"/>
      <c r="D106" s="26"/>
      <c r="E106" s="26"/>
      <c r="F106" s="26"/>
      <c r="G106" s="26"/>
      <c r="H106" s="26"/>
      <c r="I106" s="26"/>
      <c r="J106" s="26"/>
      <c r="K106" s="26"/>
      <c r="L106" s="26"/>
      <c r="M106" s="26"/>
      <c r="N106" s="26"/>
      <c r="O106" s="26"/>
      <c r="P106" s="26"/>
      <c r="Q106" s="26"/>
      <c r="R106" s="26"/>
      <c r="S106" s="26"/>
      <c r="T106" s="26"/>
      <c r="U106" s="26"/>
      <c r="V106" s="26"/>
      <c r="W106" s="26"/>
    </row>
    <row r="107" spans="1:23">
      <c r="A107" s="26"/>
      <c r="B107" s="26"/>
      <c r="C107" s="26"/>
      <c r="D107" s="26"/>
      <c r="E107" s="26"/>
      <c r="F107" s="26"/>
      <c r="G107" s="26"/>
      <c r="H107" s="26"/>
      <c r="I107" s="26"/>
      <c r="J107" s="26"/>
      <c r="K107" s="26"/>
      <c r="L107" s="26"/>
      <c r="M107" s="26"/>
      <c r="N107" s="26"/>
      <c r="O107" s="26"/>
      <c r="P107" s="26"/>
      <c r="Q107" s="26"/>
      <c r="R107" s="26"/>
      <c r="S107" s="26"/>
      <c r="T107" s="26"/>
      <c r="U107" s="26"/>
      <c r="V107" s="26"/>
      <c r="W107" s="26"/>
    </row>
    <row r="108" spans="1:23">
      <c r="A108" s="26"/>
      <c r="B108" s="26"/>
      <c r="C108" s="26"/>
      <c r="D108" s="26"/>
      <c r="E108" s="26"/>
      <c r="F108" s="26"/>
      <c r="G108" s="26"/>
      <c r="H108" s="26"/>
      <c r="I108" s="26"/>
      <c r="J108" s="26"/>
      <c r="K108" s="26"/>
      <c r="L108" s="26"/>
      <c r="M108" s="26"/>
      <c r="N108" s="26"/>
      <c r="O108" s="26"/>
      <c r="P108" s="26"/>
      <c r="Q108" s="26"/>
      <c r="R108" s="26"/>
      <c r="S108" s="26"/>
      <c r="T108" s="26"/>
      <c r="U108" s="26"/>
      <c r="V108" s="26"/>
      <c r="W108" s="26"/>
    </row>
    <row r="109" spans="1:23">
      <c r="A109" s="26"/>
      <c r="B109" s="26"/>
      <c r="C109" s="26"/>
      <c r="D109" s="26"/>
      <c r="E109" s="26"/>
      <c r="F109" s="26"/>
      <c r="G109" s="26"/>
      <c r="H109" s="26"/>
      <c r="I109" s="26"/>
      <c r="J109" s="26"/>
      <c r="K109" s="26"/>
      <c r="L109" s="26"/>
      <c r="M109" s="26"/>
      <c r="N109" s="26"/>
      <c r="O109" s="26"/>
      <c r="P109" s="26"/>
      <c r="Q109" s="26"/>
      <c r="R109" s="26"/>
      <c r="S109" s="26"/>
      <c r="T109" s="26"/>
      <c r="U109" s="26"/>
      <c r="V109" s="26"/>
      <c r="W109" s="26"/>
    </row>
    <row r="110" spans="1:23">
      <c r="A110" s="26"/>
      <c r="B110" s="26"/>
      <c r="C110" s="26"/>
      <c r="D110" s="26"/>
      <c r="E110" s="26"/>
      <c r="F110" s="26"/>
      <c r="G110" s="26"/>
      <c r="H110" s="26"/>
      <c r="I110" s="26"/>
      <c r="J110" s="26"/>
      <c r="K110" s="26"/>
      <c r="L110" s="26"/>
      <c r="M110" s="26"/>
      <c r="N110" s="26"/>
      <c r="O110" s="26"/>
      <c r="P110" s="26"/>
      <c r="Q110" s="26"/>
      <c r="R110" s="26"/>
      <c r="S110" s="26"/>
      <c r="T110" s="26"/>
      <c r="U110" s="26"/>
      <c r="V110" s="26"/>
      <c r="W110" s="26"/>
    </row>
    <row r="111" spans="1:23">
      <c r="A111" s="26"/>
      <c r="B111" s="26"/>
      <c r="C111" s="26"/>
      <c r="D111" s="26"/>
      <c r="E111" s="26"/>
      <c r="F111" s="26"/>
      <c r="G111" s="26"/>
      <c r="H111" s="26"/>
      <c r="I111" s="26"/>
      <c r="J111" s="26"/>
      <c r="K111" s="26"/>
      <c r="L111" s="26"/>
      <c r="M111" s="26"/>
      <c r="N111" s="26"/>
      <c r="O111" s="26"/>
      <c r="P111" s="26"/>
      <c r="Q111" s="26"/>
      <c r="R111" s="26"/>
      <c r="S111" s="26"/>
      <c r="T111" s="26"/>
      <c r="U111" s="26"/>
      <c r="V111" s="26"/>
      <c r="W111" s="26"/>
    </row>
    <row r="112" spans="1:23">
      <c r="A112" s="26"/>
      <c r="B112" s="26"/>
      <c r="C112" s="26"/>
      <c r="D112" s="26"/>
      <c r="E112" s="26"/>
      <c r="F112" s="26"/>
      <c r="G112" s="26"/>
      <c r="H112" s="26"/>
      <c r="I112" s="26"/>
      <c r="J112" s="26"/>
      <c r="K112" s="26"/>
      <c r="L112" s="26"/>
      <c r="M112" s="26"/>
      <c r="N112" s="26"/>
      <c r="O112" s="26"/>
      <c r="P112" s="26"/>
      <c r="Q112" s="26"/>
      <c r="R112" s="26"/>
      <c r="S112" s="26"/>
      <c r="T112" s="26"/>
      <c r="U112" s="26"/>
      <c r="V112" s="26"/>
      <c r="W112" s="26"/>
    </row>
    <row r="113" spans="1:23">
      <c r="A113" s="26"/>
      <c r="B113" s="26"/>
      <c r="C113" s="26"/>
      <c r="D113" s="26"/>
      <c r="E113" s="26"/>
      <c r="F113" s="26"/>
      <c r="G113" s="26"/>
      <c r="H113" s="26"/>
      <c r="I113" s="26"/>
      <c r="J113" s="26"/>
      <c r="K113" s="26"/>
      <c r="L113" s="26"/>
      <c r="M113" s="26"/>
      <c r="N113" s="26"/>
      <c r="O113" s="26"/>
      <c r="P113" s="26"/>
      <c r="Q113" s="26"/>
      <c r="R113" s="26"/>
      <c r="S113" s="26"/>
      <c r="T113" s="26"/>
      <c r="U113" s="26"/>
      <c r="V113" s="26"/>
      <c r="W113" s="26"/>
    </row>
    <row r="114" spans="1:23">
      <c r="A114" s="26"/>
      <c r="B114" s="26"/>
      <c r="C114" s="26"/>
      <c r="D114" s="26"/>
      <c r="E114" s="26"/>
      <c r="F114" s="26"/>
      <c r="G114" s="26"/>
      <c r="H114" s="26"/>
      <c r="I114" s="26"/>
      <c r="J114" s="26"/>
      <c r="K114" s="26"/>
      <c r="L114" s="26"/>
      <c r="M114" s="26"/>
      <c r="N114" s="26"/>
      <c r="O114" s="26"/>
      <c r="P114" s="26"/>
      <c r="Q114" s="26"/>
      <c r="R114" s="26"/>
      <c r="S114" s="26"/>
      <c r="T114" s="26"/>
      <c r="U114" s="26"/>
      <c r="V114" s="26"/>
      <c r="W114" s="26"/>
    </row>
    <row r="115" spans="1:23">
      <c r="A115" s="26"/>
      <c r="B115" s="26"/>
      <c r="C115" s="26"/>
      <c r="D115" s="26"/>
      <c r="E115" s="26"/>
      <c r="F115" s="26"/>
      <c r="G115" s="26"/>
      <c r="H115" s="26"/>
      <c r="I115" s="26"/>
      <c r="J115" s="26"/>
      <c r="K115" s="26"/>
      <c r="L115" s="26"/>
      <c r="M115" s="26"/>
      <c r="N115" s="26"/>
      <c r="O115" s="26"/>
      <c r="P115" s="26"/>
      <c r="Q115" s="26"/>
      <c r="R115" s="26"/>
      <c r="S115" s="26"/>
      <c r="T115" s="26"/>
      <c r="U115" s="26"/>
      <c r="V115" s="26"/>
      <c r="W115" s="26"/>
    </row>
    <row r="116" spans="1:23">
      <c r="A116" s="26"/>
      <c r="B116" s="26"/>
      <c r="C116" s="26"/>
      <c r="D116" s="26"/>
      <c r="E116" s="26"/>
      <c r="F116" s="26"/>
      <c r="G116" s="26"/>
      <c r="H116" s="26"/>
      <c r="I116" s="26"/>
      <c r="J116" s="26"/>
      <c r="K116" s="26"/>
      <c r="L116" s="26"/>
      <c r="M116" s="26"/>
      <c r="N116" s="26"/>
      <c r="O116" s="26"/>
      <c r="P116" s="26"/>
      <c r="Q116" s="26"/>
      <c r="R116" s="26"/>
      <c r="S116" s="26"/>
      <c r="T116" s="26"/>
      <c r="U116" s="26"/>
      <c r="V116" s="26"/>
      <c r="W116" s="26"/>
    </row>
    <row r="117" spans="1:23">
      <c r="A117" s="26"/>
      <c r="B117" s="26"/>
      <c r="C117" s="26"/>
      <c r="D117" s="26"/>
      <c r="E117" s="26"/>
      <c r="F117" s="26"/>
      <c r="G117" s="26"/>
      <c r="H117" s="26"/>
      <c r="I117" s="26"/>
      <c r="J117" s="26"/>
      <c r="K117" s="26"/>
      <c r="L117" s="26"/>
      <c r="M117" s="26"/>
      <c r="N117" s="26"/>
      <c r="O117" s="26"/>
      <c r="P117" s="26"/>
      <c r="Q117" s="26"/>
      <c r="R117" s="26"/>
      <c r="S117" s="26"/>
      <c r="T117" s="26"/>
      <c r="U117" s="26"/>
      <c r="V117" s="26"/>
      <c r="W117" s="26"/>
    </row>
    <row r="118" spans="1:23">
      <c r="A118" s="26"/>
      <c r="B118" s="26"/>
      <c r="C118" s="26"/>
      <c r="D118" s="26"/>
      <c r="E118" s="26"/>
      <c r="F118" s="26"/>
      <c r="G118" s="26"/>
      <c r="H118" s="26"/>
      <c r="I118" s="26"/>
      <c r="J118" s="26"/>
      <c r="K118" s="26"/>
      <c r="L118" s="26"/>
      <c r="M118" s="26"/>
      <c r="N118" s="26"/>
      <c r="O118" s="26"/>
      <c r="P118" s="26"/>
      <c r="Q118" s="26"/>
      <c r="R118" s="26"/>
      <c r="S118" s="26"/>
      <c r="T118" s="26"/>
      <c r="U118" s="26"/>
      <c r="V118" s="26"/>
      <c r="W118" s="26"/>
    </row>
    <row r="119" spans="1:23">
      <c r="A119" s="26"/>
      <c r="B119" s="26"/>
      <c r="C119" s="26"/>
      <c r="D119" s="26"/>
      <c r="E119" s="26"/>
      <c r="F119" s="26"/>
      <c r="G119" s="26"/>
      <c r="H119" s="26"/>
      <c r="I119" s="26"/>
      <c r="J119" s="26"/>
      <c r="K119" s="26"/>
      <c r="L119" s="26"/>
      <c r="M119" s="26"/>
      <c r="N119" s="26"/>
      <c r="O119" s="26"/>
      <c r="P119" s="26"/>
      <c r="Q119" s="26"/>
      <c r="R119" s="26"/>
      <c r="S119" s="26"/>
      <c r="T119" s="26"/>
      <c r="U119" s="26"/>
      <c r="V119" s="26"/>
      <c r="W119" s="26"/>
    </row>
    <row r="120" spans="1:23">
      <c r="A120" s="26"/>
      <c r="B120" s="26"/>
      <c r="C120" s="26"/>
      <c r="D120" s="26"/>
      <c r="E120" s="26"/>
      <c r="F120" s="26"/>
      <c r="G120" s="26"/>
      <c r="H120" s="26"/>
      <c r="I120" s="26"/>
      <c r="J120" s="26"/>
      <c r="K120" s="26"/>
      <c r="L120" s="26"/>
      <c r="M120" s="26"/>
      <c r="N120" s="26"/>
      <c r="O120" s="26"/>
      <c r="P120" s="26"/>
      <c r="Q120" s="26"/>
      <c r="R120" s="26"/>
      <c r="S120" s="26"/>
      <c r="T120" s="26"/>
      <c r="U120" s="26"/>
      <c r="V120" s="26"/>
      <c r="W120" s="26"/>
    </row>
    <row r="121" spans="1:23">
      <c r="A121" s="26"/>
      <c r="B121" s="26"/>
      <c r="C121" s="26"/>
      <c r="D121" s="26"/>
      <c r="E121" s="26"/>
      <c r="F121" s="26"/>
      <c r="G121" s="26"/>
      <c r="H121" s="26"/>
      <c r="I121" s="26"/>
      <c r="J121" s="26"/>
      <c r="K121" s="26"/>
      <c r="L121" s="26"/>
      <c r="M121" s="26"/>
      <c r="N121" s="26"/>
      <c r="O121" s="26"/>
      <c r="P121" s="26"/>
      <c r="Q121" s="26"/>
      <c r="R121" s="26"/>
      <c r="S121" s="26"/>
      <c r="T121" s="26"/>
      <c r="U121" s="26"/>
      <c r="V121" s="26"/>
      <c r="W121" s="26"/>
    </row>
    <row r="122" spans="1:23">
      <c r="A122" s="26"/>
      <c r="B122" s="26"/>
      <c r="C122" s="26"/>
      <c r="D122" s="26"/>
      <c r="E122" s="26"/>
      <c r="F122" s="26"/>
      <c r="G122" s="26"/>
      <c r="H122" s="26"/>
      <c r="I122" s="26"/>
      <c r="J122" s="26"/>
      <c r="K122" s="26"/>
      <c r="L122" s="26"/>
      <c r="M122" s="26"/>
      <c r="N122" s="26"/>
      <c r="O122" s="26"/>
      <c r="P122" s="26"/>
      <c r="Q122" s="26"/>
      <c r="R122" s="26"/>
      <c r="S122" s="26"/>
      <c r="T122" s="26"/>
      <c r="U122" s="26"/>
      <c r="V122" s="26"/>
      <c r="W122" s="26"/>
    </row>
    <row r="123" spans="1:23">
      <c r="A123" s="26"/>
      <c r="B123" s="26"/>
      <c r="C123" s="26"/>
      <c r="D123" s="26"/>
      <c r="E123" s="26"/>
      <c r="F123" s="26"/>
      <c r="G123" s="26"/>
      <c r="H123" s="26"/>
      <c r="I123" s="26"/>
      <c r="J123" s="26"/>
      <c r="K123" s="26"/>
      <c r="L123" s="26"/>
      <c r="M123" s="26"/>
      <c r="N123" s="26"/>
      <c r="O123" s="26"/>
      <c r="P123" s="26"/>
      <c r="Q123" s="26"/>
      <c r="R123" s="26"/>
      <c r="S123" s="26"/>
      <c r="T123" s="26"/>
      <c r="U123" s="26"/>
      <c r="V123" s="26"/>
      <c r="W123" s="26"/>
    </row>
    <row r="124" spans="1:23">
      <c r="A124" s="26"/>
      <c r="B124" s="26"/>
      <c r="C124" s="26"/>
      <c r="D124" s="26"/>
      <c r="E124" s="26"/>
      <c r="F124" s="26"/>
      <c r="G124" s="26"/>
      <c r="H124" s="26"/>
      <c r="I124" s="26"/>
      <c r="J124" s="26"/>
      <c r="K124" s="26"/>
      <c r="L124" s="26"/>
      <c r="M124" s="26"/>
      <c r="N124" s="26"/>
      <c r="O124" s="26"/>
      <c r="P124" s="26"/>
      <c r="Q124" s="26"/>
      <c r="R124" s="26"/>
      <c r="S124" s="26"/>
      <c r="T124" s="26"/>
      <c r="U124" s="26"/>
      <c r="V124" s="26"/>
      <c r="W124" s="26"/>
    </row>
    <row r="125" spans="1:23">
      <c r="A125" s="26"/>
      <c r="B125" s="26"/>
      <c r="C125" s="26"/>
      <c r="D125" s="26"/>
      <c r="E125" s="26"/>
      <c r="F125" s="26"/>
      <c r="G125" s="26"/>
      <c r="H125" s="26"/>
      <c r="I125" s="26"/>
      <c r="J125" s="26"/>
      <c r="K125" s="26"/>
      <c r="L125" s="26"/>
      <c r="M125" s="26"/>
      <c r="N125" s="26"/>
      <c r="O125" s="26"/>
      <c r="P125" s="26"/>
      <c r="Q125" s="26"/>
      <c r="R125" s="26"/>
      <c r="S125" s="26"/>
      <c r="T125" s="26"/>
      <c r="U125" s="26"/>
      <c r="V125" s="26"/>
      <c r="W125" s="26"/>
    </row>
    <row r="126" spans="1:23">
      <c r="A126" s="26"/>
      <c r="B126" s="26"/>
      <c r="C126" s="26"/>
      <c r="D126" s="26"/>
      <c r="E126" s="26"/>
      <c r="F126" s="26"/>
      <c r="G126" s="26"/>
      <c r="H126" s="26"/>
      <c r="I126" s="26"/>
      <c r="J126" s="26"/>
      <c r="K126" s="26"/>
      <c r="L126" s="26"/>
      <c r="M126" s="26"/>
      <c r="N126" s="26"/>
      <c r="O126" s="26"/>
      <c r="P126" s="26"/>
      <c r="Q126" s="26"/>
      <c r="R126" s="26"/>
      <c r="S126" s="26"/>
      <c r="T126" s="26"/>
      <c r="U126" s="26"/>
      <c r="V126" s="26"/>
      <c r="W126" s="26"/>
    </row>
    <row r="127" spans="1:23">
      <c r="A127" s="26"/>
      <c r="B127" s="26"/>
      <c r="C127" s="26"/>
      <c r="D127" s="26"/>
      <c r="E127" s="26"/>
      <c r="F127" s="26"/>
      <c r="G127" s="26"/>
      <c r="H127" s="26"/>
      <c r="I127" s="26"/>
      <c r="J127" s="26"/>
      <c r="K127" s="26"/>
      <c r="L127" s="26"/>
      <c r="M127" s="26"/>
      <c r="N127" s="26"/>
      <c r="O127" s="26"/>
      <c r="P127" s="26"/>
      <c r="Q127" s="26"/>
      <c r="R127" s="26"/>
      <c r="S127" s="26"/>
      <c r="T127" s="26"/>
      <c r="U127" s="26"/>
      <c r="V127" s="26"/>
      <c r="W127" s="26"/>
    </row>
    <row r="128" spans="1:23">
      <c r="A128" s="26"/>
      <c r="B128" s="26"/>
      <c r="C128" s="26"/>
      <c r="D128" s="26"/>
      <c r="E128" s="26"/>
      <c r="F128" s="26"/>
      <c r="G128" s="26"/>
      <c r="H128" s="26"/>
      <c r="I128" s="26"/>
      <c r="J128" s="26"/>
      <c r="K128" s="26"/>
      <c r="L128" s="26"/>
      <c r="M128" s="26"/>
      <c r="N128" s="26"/>
      <c r="O128" s="26"/>
      <c r="P128" s="26"/>
      <c r="Q128" s="26"/>
      <c r="R128" s="26"/>
      <c r="S128" s="26"/>
      <c r="T128" s="26"/>
      <c r="U128" s="26"/>
      <c r="V128" s="26"/>
      <c r="W128" s="26"/>
    </row>
    <row r="129" spans="1:23">
      <c r="A129" s="26"/>
      <c r="B129" s="26"/>
      <c r="C129" s="26"/>
      <c r="D129" s="26"/>
      <c r="E129" s="26"/>
      <c r="F129" s="26"/>
      <c r="G129" s="26"/>
      <c r="H129" s="26"/>
      <c r="I129" s="26"/>
      <c r="J129" s="26"/>
      <c r="K129" s="26"/>
      <c r="L129" s="26"/>
      <c r="M129" s="26"/>
      <c r="N129" s="26"/>
      <c r="O129" s="26"/>
      <c r="P129" s="26"/>
      <c r="Q129" s="26"/>
      <c r="R129" s="26"/>
      <c r="S129" s="26"/>
      <c r="T129" s="26"/>
      <c r="U129" s="26"/>
      <c r="V129" s="26"/>
      <c r="W129" s="26"/>
    </row>
    <row r="130" spans="1:23">
      <c r="A130" s="26"/>
      <c r="B130" s="26"/>
      <c r="C130" s="26"/>
      <c r="D130" s="26"/>
      <c r="E130" s="26"/>
      <c r="F130" s="26"/>
      <c r="G130" s="26"/>
      <c r="H130" s="26"/>
      <c r="I130" s="26"/>
      <c r="J130" s="26"/>
      <c r="K130" s="26"/>
      <c r="L130" s="26"/>
      <c r="M130" s="26"/>
      <c r="N130" s="26"/>
      <c r="O130" s="26"/>
      <c r="P130" s="26"/>
      <c r="Q130" s="26"/>
      <c r="R130" s="26"/>
      <c r="S130" s="26"/>
      <c r="T130" s="26"/>
      <c r="U130" s="26"/>
      <c r="V130" s="26"/>
      <c r="W130" s="26"/>
    </row>
    <row r="131" spans="1:23">
      <c r="A131" s="26"/>
      <c r="B131" s="26"/>
      <c r="C131" s="26"/>
      <c r="D131" s="26"/>
      <c r="E131" s="26"/>
      <c r="F131" s="26"/>
      <c r="G131" s="26"/>
      <c r="H131" s="26"/>
      <c r="I131" s="26"/>
      <c r="J131" s="26"/>
      <c r="K131" s="26"/>
      <c r="L131" s="26"/>
      <c r="M131" s="26"/>
      <c r="N131" s="26"/>
      <c r="O131" s="26"/>
      <c r="P131" s="26"/>
      <c r="Q131" s="26"/>
      <c r="R131" s="26"/>
      <c r="S131" s="26"/>
      <c r="T131" s="26"/>
      <c r="U131" s="26"/>
      <c r="V131" s="26"/>
      <c r="W131" s="26"/>
    </row>
    <row r="132" spans="1:23">
      <c r="A132" s="26"/>
      <c r="B132" s="26"/>
      <c r="C132" s="26"/>
      <c r="D132" s="26"/>
      <c r="E132" s="26"/>
      <c r="F132" s="26"/>
      <c r="G132" s="26"/>
      <c r="H132" s="26"/>
      <c r="I132" s="26"/>
      <c r="J132" s="26"/>
      <c r="K132" s="26"/>
      <c r="L132" s="26"/>
      <c r="M132" s="26"/>
      <c r="N132" s="26"/>
      <c r="O132" s="26"/>
      <c r="P132" s="26"/>
      <c r="Q132" s="26"/>
      <c r="R132" s="26"/>
      <c r="S132" s="26"/>
      <c r="T132" s="26"/>
      <c r="U132" s="26"/>
      <c r="V132" s="26"/>
      <c r="W132" s="26"/>
    </row>
    <row r="133" spans="1:23">
      <c r="A133" s="26"/>
      <c r="B133" s="26"/>
      <c r="C133" s="26"/>
      <c r="D133" s="26"/>
      <c r="E133" s="26"/>
      <c r="F133" s="26"/>
      <c r="G133" s="26"/>
      <c r="H133" s="26"/>
      <c r="I133" s="26"/>
      <c r="J133" s="26"/>
      <c r="K133" s="26"/>
      <c r="L133" s="26"/>
      <c r="M133" s="26"/>
      <c r="N133" s="26"/>
      <c r="O133" s="26"/>
      <c r="P133" s="26"/>
      <c r="Q133" s="26"/>
      <c r="R133" s="26"/>
      <c r="S133" s="26"/>
      <c r="T133" s="26"/>
      <c r="U133" s="26"/>
      <c r="V133" s="26"/>
      <c r="W133" s="26"/>
    </row>
    <row r="134" spans="1:23">
      <c r="A134" s="26"/>
      <c r="B134" s="26"/>
      <c r="C134" s="26"/>
      <c r="D134" s="26"/>
      <c r="E134" s="26"/>
      <c r="F134" s="26"/>
      <c r="G134" s="26"/>
      <c r="H134" s="26"/>
      <c r="I134" s="26"/>
      <c r="J134" s="26"/>
      <c r="K134" s="26"/>
      <c r="L134" s="26"/>
      <c r="M134" s="26"/>
      <c r="N134" s="26"/>
      <c r="O134" s="26"/>
      <c r="P134" s="26"/>
      <c r="Q134" s="26"/>
      <c r="R134" s="26"/>
      <c r="S134" s="26"/>
      <c r="T134" s="26"/>
      <c r="U134" s="26"/>
      <c r="V134" s="26"/>
      <c r="W134" s="26"/>
    </row>
    <row r="135" spans="1:23">
      <c r="A135" s="26"/>
      <c r="B135" s="26"/>
      <c r="C135" s="26"/>
      <c r="D135" s="26"/>
      <c r="E135" s="26"/>
      <c r="F135" s="26"/>
      <c r="G135" s="26"/>
      <c r="H135" s="26"/>
      <c r="I135" s="26"/>
      <c r="J135" s="26"/>
      <c r="K135" s="26"/>
      <c r="L135" s="26"/>
      <c r="M135" s="26"/>
      <c r="N135" s="26"/>
      <c r="O135" s="26"/>
      <c r="P135" s="26"/>
      <c r="Q135" s="26"/>
      <c r="R135" s="26"/>
      <c r="S135" s="26"/>
      <c r="T135" s="26"/>
      <c r="U135" s="26"/>
      <c r="V135" s="26"/>
      <c r="W135" s="26"/>
    </row>
    <row r="136" spans="1:23">
      <c r="A136" s="26"/>
      <c r="B136" s="26"/>
      <c r="C136" s="26"/>
      <c r="D136" s="26"/>
      <c r="E136" s="26"/>
      <c r="F136" s="26"/>
      <c r="G136" s="26"/>
      <c r="H136" s="26"/>
      <c r="I136" s="26"/>
      <c r="J136" s="26"/>
      <c r="K136" s="26"/>
      <c r="L136" s="26"/>
      <c r="M136" s="26"/>
      <c r="N136" s="26"/>
      <c r="O136" s="26"/>
      <c r="P136" s="26"/>
      <c r="Q136" s="26"/>
      <c r="R136" s="26"/>
      <c r="S136" s="26"/>
      <c r="T136" s="26"/>
      <c r="U136" s="26"/>
      <c r="V136" s="26"/>
      <c r="W136" s="26"/>
    </row>
    <row r="137" spans="1:23">
      <c r="A137" s="26"/>
      <c r="B137" s="26"/>
      <c r="C137" s="26"/>
      <c r="D137" s="26"/>
      <c r="E137" s="26"/>
      <c r="F137" s="26"/>
      <c r="G137" s="26"/>
      <c r="H137" s="26"/>
      <c r="I137" s="26"/>
      <c r="J137" s="26"/>
      <c r="K137" s="26"/>
      <c r="L137" s="26"/>
      <c r="M137" s="26"/>
      <c r="N137" s="26"/>
      <c r="O137" s="26"/>
      <c r="P137" s="26"/>
      <c r="Q137" s="26"/>
      <c r="R137" s="26"/>
      <c r="S137" s="26"/>
      <c r="T137" s="26"/>
      <c r="U137" s="26"/>
      <c r="V137" s="26"/>
      <c r="W137" s="26"/>
    </row>
    <row r="138" spans="1:23">
      <c r="A138" s="26"/>
      <c r="B138" s="26"/>
      <c r="C138" s="26"/>
      <c r="D138" s="26"/>
      <c r="E138" s="26"/>
      <c r="F138" s="26"/>
      <c r="G138" s="26"/>
      <c r="H138" s="26"/>
      <c r="I138" s="26"/>
      <c r="J138" s="26"/>
      <c r="K138" s="26"/>
      <c r="L138" s="26"/>
      <c r="M138" s="26"/>
      <c r="N138" s="26"/>
      <c r="O138" s="26"/>
      <c r="P138" s="26"/>
      <c r="Q138" s="26"/>
      <c r="R138" s="26"/>
      <c r="S138" s="26"/>
      <c r="T138" s="26"/>
      <c r="U138" s="26"/>
      <c r="V138" s="26"/>
      <c r="W138" s="26"/>
    </row>
    <row r="139" spans="1:23">
      <c r="A139" s="26"/>
      <c r="B139" s="26"/>
      <c r="C139" s="26"/>
      <c r="D139" s="26"/>
      <c r="E139" s="26"/>
      <c r="F139" s="26"/>
      <c r="G139" s="26"/>
      <c r="H139" s="26"/>
      <c r="I139" s="26"/>
      <c r="J139" s="26"/>
      <c r="K139" s="26"/>
      <c r="L139" s="26"/>
      <c r="M139" s="26"/>
      <c r="N139" s="26"/>
      <c r="O139" s="26"/>
      <c r="P139" s="26"/>
      <c r="Q139" s="26"/>
      <c r="R139" s="26"/>
      <c r="S139" s="26"/>
      <c r="T139" s="26"/>
      <c r="U139" s="26"/>
      <c r="V139" s="26"/>
      <c r="W139" s="26"/>
    </row>
    <row r="140" spans="1:23">
      <c r="A140" s="26"/>
      <c r="B140" s="26"/>
      <c r="C140" s="26"/>
      <c r="D140" s="26"/>
      <c r="E140" s="26"/>
      <c r="F140" s="26"/>
      <c r="G140" s="26"/>
      <c r="H140" s="26"/>
      <c r="I140" s="26"/>
      <c r="J140" s="26"/>
      <c r="K140" s="26"/>
      <c r="L140" s="26"/>
      <c r="M140" s="26"/>
      <c r="N140" s="26"/>
      <c r="O140" s="26"/>
      <c r="P140" s="26"/>
      <c r="Q140" s="26"/>
      <c r="R140" s="26"/>
      <c r="S140" s="26"/>
      <c r="T140" s="26"/>
      <c r="U140" s="26"/>
      <c r="V140" s="26"/>
      <c r="W140" s="26"/>
    </row>
    <row r="141" spans="1:23">
      <c r="A141" s="26"/>
      <c r="B141" s="26"/>
      <c r="C141" s="26"/>
      <c r="D141" s="26"/>
      <c r="E141" s="26"/>
      <c r="F141" s="26"/>
      <c r="G141" s="26"/>
      <c r="H141" s="26"/>
      <c r="I141" s="26"/>
      <c r="J141" s="26"/>
      <c r="K141" s="26"/>
      <c r="L141" s="26"/>
      <c r="M141" s="26"/>
      <c r="N141" s="26"/>
      <c r="O141" s="26"/>
      <c r="P141" s="26"/>
      <c r="Q141" s="26"/>
      <c r="R141" s="26"/>
      <c r="S141" s="26"/>
      <c r="T141" s="26"/>
      <c r="U141" s="26"/>
      <c r="V141" s="26"/>
      <c r="W141" s="26"/>
    </row>
    <row r="142" spans="1:23">
      <c r="A142" s="26"/>
      <c r="B142" s="26"/>
      <c r="C142" s="26"/>
      <c r="D142" s="26"/>
      <c r="E142" s="26"/>
      <c r="F142" s="26"/>
      <c r="G142" s="26"/>
      <c r="H142" s="26"/>
      <c r="I142" s="26"/>
      <c r="J142" s="26"/>
      <c r="K142" s="26"/>
      <c r="L142" s="26"/>
      <c r="M142" s="26"/>
      <c r="N142" s="26"/>
      <c r="O142" s="26"/>
      <c r="P142" s="26"/>
      <c r="Q142" s="26"/>
      <c r="R142" s="26"/>
      <c r="S142" s="26"/>
      <c r="T142" s="26"/>
      <c r="U142" s="26"/>
      <c r="V142" s="26"/>
      <c r="W142" s="26"/>
    </row>
    <row r="143" spans="1:23">
      <c r="A143" s="26"/>
      <c r="B143" s="26"/>
      <c r="C143" s="26"/>
      <c r="D143" s="26"/>
      <c r="E143" s="26"/>
      <c r="F143" s="26"/>
      <c r="G143" s="26"/>
      <c r="H143" s="26"/>
      <c r="I143" s="26"/>
      <c r="J143" s="26"/>
      <c r="K143" s="26"/>
      <c r="L143" s="26"/>
      <c r="M143" s="26"/>
      <c r="N143" s="26"/>
      <c r="O143" s="26"/>
      <c r="P143" s="26"/>
      <c r="Q143" s="26"/>
      <c r="R143" s="26"/>
      <c r="S143" s="26"/>
      <c r="T143" s="26"/>
      <c r="U143" s="26"/>
      <c r="V143" s="26"/>
      <c r="W143" s="26"/>
    </row>
    <row r="144" spans="1:23">
      <c r="A144" s="26"/>
      <c r="B144" s="26"/>
      <c r="C144" s="26"/>
      <c r="D144" s="26"/>
      <c r="E144" s="26"/>
      <c r="F144" s="26"/>
      <c r="G144" s="26"/>
      <c r="H144" s="26"/>
      <c r="I144" s="26"/>
      <c r="J144" s="26"/>
      <c r="K144" s="26"/>
      <c r="L144" s="26"/>
      <c r="M144" s="26"/>
      <c r="N144" s="26"/>
      <c r="O144" s="26"/>
      <c r="P144" s="26"/>
      <c r="Q144" s="26"/>
      <c r="R144" s="26"/>
      <c r="S144" s="26"/>
      <c r="T144" s="26"/>
      <c r="U144" s="26"/>
      <c r="V144" s="26"/>
      <c r="W144" s="26"/>
    </row>
    <row r="145" spans="1:23">
      <c r="A145" s="26"/>
      <c r="B145" s="26"/>
      <c r="C145" s="26"/>
      <c r="D145" s="26"/>
      <c r="E145" s="26"/>
      <c r="F145" s="26"/>
      <c r="G145" s="26"/>
      <c r="H145" s="26"/>
      <c r="I145" s="26"/>
      <c r="J145" s="26"/>
      <c r="K145" s="26"/>
      <c r="L145" s="26"/>
      <c r="M145" s="26"/>
      <c r="N145" s="26"/>
      <c r="O145" s="26"/>
      <c r="P145" s="26"/>
      <c r="Q145" s="26"/>
      <c r="R145" s="26"/>
      <c r="S145" s="26"/>
      <c r="T145" s="26"/>
      <c r="U145" s="26"/>
      <c r="V145" s="26"/>
      <c r="W145" s="26"/>
    </row>
    <row r="146" spans="1:23">
      <c r="A146" s="26"/>
      <c r="B146" s="26"/>
      <c r="C146" s="26"/>
      <c r="D146" s="26"/>
      <c r="E146" s="26"/>
      <c r="F146" s="26"/>
      <c r="G146" s="26"/>
      <c r="H146" s="26"/>
      <c r="I146" s="26"/>
      <c r="J146" s="26"/>
      <c r="K146" s="26"/>
      <c r="L146" s="26"/>
      <c r="M146" s="26"/>
      <c r="N146" s="26"/>
      <c r="O146" s="26"/>
      <c r="P146" s="26"/>
      <c r="Q146" s="26"/>
      <c r="R146" s="26"/>
      <c r="S146" s="26"/>
      <c r="T146" s="26"/>
      <c r="U146" s="26"/>
      <c r="V146" s="26"/>
      <c r="W146" s="26"/>
    </row>
    <row r="147" spans="1:23">
      <c r="A147" s="26"/>
      <c r="B147" s="26"/>
      <c r="C147" s="26"/>
      <c r="D147" s="26"/>
      <c r="E147" s="26"/>
      <c r="F147" s="26"/>
      <c r="G147" s="26"/>
      <c r="H147" s="26"/>
      <c r="I147" s="26"/>
      <c r="J147" s="26"/>
      <c r="K147" s="26"/>
      <c r="L147" s="26"/>
      <c r="M147" s="26"/>
      <c r="N147" s="26"/>
      <c r="O147" s="26"/>
      <c r="P147" s="26"/>
      <c r="Q147" s="26"/>
      <c r="R147" s="26"/>
      <c r="S147" s="26"/>
      <c r="T147" s="26"/>
      <c r="U147" s="26"/>
      <c r="V147" s="26"/>
      <c r="W147" s="26"/>
    </row>
    <row r="148" spans="1:23">
      <c r="A148" s="26"/>
      <c r="B148" s="26"/>
      <c r="C148" s="26"/>
      <c r="D148" s="26"/>
      <c r="E148" s="26"/>
      <c r="F148" s="26"/>
      <c r="G148" s="26"/>
      <c r="H148" s="26"/>
      <c r="I148" s="26"/>
      <c r="J148" s="26"/>
      <c r="K148" s="26"/>
      <c r="L148" s="26"/>
      <c r="M148" s="26"/>
      <c r="N148" s="26"/>
      <c r="O148" s="26"/>
      <c r="P148" s="26"/>
      <c r="Q148" s="26"/>
      <c r="R148" s="26"/>
      <c r="S148" s="26"/>
      <c r="T148" s="26"/>
      <c r="U148" s="26"/>
      <c r="V148" s="26"/>
      <c r="W148" s="26"/>
    </row>
    <row r="149" spans="1:23">
      <c r="A149" s="26"/>
      <c r="B149" s="26"/>
      <c r="C149" s="26"/>
      <c r="D149" s="26"/>
      <c r="E149" s="26"/>
      <c r="F149" s="26"/>
      <c r="G149" s="26"/>
      <c r="H149" s="26"/>
      <c r="I149" s="26"/>
      <c r="J149" s="26"/>
      <c r="K149" s="26"/>
      <c r="L149" s="26"/>
      <c r="M149" s="26"/>
      <c r="N149" s="26"/>
      <c r="O149" s="26"/>
      <c r="P149" s="26"/>
      <c r="Q149" s="26"/>
      <c r="R149" s="26"/>
      <c r="S149" s="26"/>
      <c r="T149" s="26"/>
      <c r="U149" s="26"/>
      <c r="V149" s="26"/>
      <c r="W149" s="26"/>
    </row>
    <row r="150" spans="1:23">
      <c r="A150" s="26"/>
      <c r="B150" s="26"/>
      <c r="C150" s="26"/>
      <c r="D150" s="26"/>
      <c r="E150" s="26"/>
      <c r="F150" s="26"/>
      <c r="G150" s="26"/>
      <c r="H150" s="26"/>
      <c r="I150" s="26"/>
      <c r="J150" s="26"/>
      <c r="K150" s="26"/>
      <c r="L150" s="26"/>
      <c r="M150" s="26"/>
      <c r="N150" s="26"/>
      <c r="O150" s="26"/>
      <c r="P150" s="26"/>
      <c r="Q150" s="26"/>
      <c r="R150" s="26"/>
      <c r="S150" s="26"/>
      <c r="T150" s="26"/>
      <c r="U150" s="26"/>
      <c r="W150" s="26"/>
    </row>
    <row r="151" spans="1:23">
      <c r="A151" s="26"/>
      <c r="B151" s="26"/>
      <c r="C151" s="26"/>
      <c r="D151" s="26"/>
      <c r="E151" s="26"/>
      <c r="F151" s="26"/>
      <c r="G151" s="26"/>
      <c r="H151" s="26"/>
      <c r="I151" s="26"/>
      <c r="J151" s="26"/>
      <c r="K151" s="26"/>
      <c r="L151" s="26"/>
      <c r="M151" s="26"/>
      <c r="N151" s="26"/>
      <c r="O151" s="26"/>
      <c r="P151" s="26"/>
      <c r="Q151" s="26"/>
      <c r="R151" s="26"/>
      <c r="S151" s="26"/>
    </row>
    <row r="152" spans="1:23">
      <c r="A152" s="26"/>
      <c r="B152" s="26"/>
      <c r="C152" s="26"/>
      <c r="D152" s="26"/>
      <c r="E152" s="26"/>
      <c r="F152" s="26"/>
      <c r="G152" s="26"/>
      <c r="H152" s="26"/>
      <c r="I152" s="26"/>
      <c r="J152" s="26"/>
      <c r="K152" s="26"/>
      <c r="L152" s="26"/>
      <c r="M152" s="26"/>
      <c r="N152" s="26"/>
      <c r="O152" s="26"/>
      <c r="P152" s="26"/>
      <c r="Q152" s="26"/>
      <c r="R152" s="26"/>
      <c r="S152" s="26"/>
    </row>
    <row r="153" spans="1:23">
      <c r="A153" s="26"/>
      <c r="B153" s="26"/>
      <c r="C153" s="26"/>
      <c r="D153" s="26"/>
      <c r="E153" s="26"/>
      <c r="F153" s="26"/>
      <c r="G153" s="26"/>
      <c r="H153" s="26"/>
      <c r="I153" s="26"/>
      <c r="J153" s="26"/>
      <c r="K153" s="26"/>
      <c r="L153" s="26"/>
      <c r="M153" s="26"/>
      <c r="N153" s="26"/>
      <c r="O153" s="26"/>
      <c r="P153" s="26"/>
      <c r="Q153" s="26"/>
      <c r="R153" s="26"/>
      <c r="S153" s="26"/>
    </row>
    <row r="154" spans="1:23">
      <c r="A154" s="26"/>
      <c r="B154" s="26"/>
      <c r="C154" s="26"/>
      <c r="D154" s="26"/>
      <c r="E154" s="26"/>
      <c r="F154" s="26"/>
      <c r="G154" s="26"/>
      <c r="H154" s="26"/>
      <c r="I154" s="26"/>
      <c r="J154" s="26"/>
      <c r="K154" s="26"/>
      <c r="L154" s="26"/>
      <c r="M154" s="26"/>
      <c r="N154" s="26"/>
      <c r="O154" s="26"/>
      <c r="P154" s="26"/>
      <c r="Q154" s="26"/>
      <c r="R154" s="26"/>
      <c r="S154" s="26"/>
    </row>
  </sheetData>
  <autoFilter ref="A21:Y93" xr:uid="{47156C28-53AC-4432-BA0A-E7BEB005137B}"/>
  <mergeCells count="28">
    <mergeCell ref="E18:G18"/>
    <mergeCell ref="E19:G19"/>
    <mergeCell ref="E13:G13"/>
    <mergeCell ref="E14:G14"/>
    <mergeCell ref="E15:G15"/>
    <mergeCell ref="E16:G16"/>
    <mergeCell ref="E17:G17"/>
    <mergeCell ref="E8:G8"/>
    <mergeCell ref="E10:G10"/>
    <mergeCell ref="E11:G11"/>
    <mergeCell ref="E12:G12"/>
    <mergeCell ref="B9:D9"/>
    <mergeCell ref="K8:M8"/>
    <mergeCell ref="O8:R8"/>
    <mergeCell ref="B2:D2"/>
    <mergeCell ref="E9:G9"/>
    <mergeCell ref="E2:G2"/>
    <mergeCell ref="E3:G3"/>
    <mergeCell ref="E4:G4"/>
    <mergeCell ref="E5:G5"/>
    <mergeCell ref="B3:D3"/>
    <mergeCell ref="B4:D4"/>
    <mergeCell ref="B5:D5"/>
    <mergeCell ref="B6:D6"/>
    <mergeCell ref="E6:G6"/>
    <mergeCell ref="B7:D7"/>
    <mergeCell ref="E7:G7"/>
    <mergeCell ref="B8:D8"/>
  </mergeCells>
  <pageMargins left="0.7" right="0.7" top="0.75" bottom="0.75" header="0.3" footer="0.3"/>
  <pageSetup orientation="landscape"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C0F814-7C6C-4310-A19A-841136712B95}">
  <sheetPr>
    <tabColor rgb="FFFF0000"/>
  </sheetPr>
  <dimension ref="S18:T25"/>
  <sheetViews>
    <sheetView workbookViewId="0"/>
  </sheetViews>
  <sheetFormatPr defaultRowHeight="15"/>
  <cols>
    <col min="19" max="19" width="12.140625" bestFit="1" customWidth="1"/>
    <col min="20" max="20" width="9.7109375" bestFit="1" customWidth="1"/>
  </cols>
  <sheetData>
    <row r="18" spans="19:20">
      <c r="S18" s="159"/>
    </row>
    <row r="19" spans="19:20">
      <c r="S19" s="159">
        <f>10522779+1629681</f>
        <v>12152460</v>
      </c>
      <c r="T19" s="676" t="s">
        <v>3575</v>
      </c>
    </row>
    <row r="20" spans="19:20">
      <c r="S20" s="159">
        <f>3544936+549010</f>
        <v>4093946</v>
      </c>
      <c r="T20" s="676" t="s">
        <v>3567</v>
      </c>
    </row>
    <row r="21" spans="19:20">
      <c r="S21" s="159">
        <f>14339980+586865</f>
        <v>14926845</v>
      </c>
      <c r="T21" s="676" t="s">
        <v>3579</v>
      </c>
    </row>
    <row r="22" spans="19:20">
      <c r="S22" s="159">
        <f>149924+533859</f>
        <v>683783</v>
      </c>
      <c r="T22" s="676" t="s">
        <v>3588</v>
      </c>
    </row>
    <row r="23" spans="19:20">
      <c r="S23" s="32">
        <f>SUM(S19:S22)</f>
        <v>31857034</v>
      </c>
      <c r="T23" s="676" t="s">
        <v>3561</v>
      </c>
    </row>
    <row r="24" spans="19:20">
      <c r="S24" s="32"/>
    </row>
    <row r="25" spans="19:20">
      <c r="S25" s="32"/>
    </row>
  </sheetData>
  <pageMargins left="0.7" right="0.7" top="0.75" bottom="0.75" header="0.3" footer="0.3"/>
  <pageSetup orientation="portrait" horizontalDpi="1200" verticalDpi="120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pageSetUpPr fitToPage="1"/>
  </sheetPr>
  <dimension ref="A1:L85"/>
  <sheetViews>
    <sheetView topLeftCell="A6" workbookViewId="0">
      <selection activeCell="A6" sqref="A6"/>
    </sheetView>
  </sheetViews>
  <sheetFormatPr defaultRowHeight="15" outlineLevelRow="1"/>
  <cols>
    <col min="1" max="1" width="9.28515625" bestFit="1" customWidth="1"/>
    <col min="2" max="2" width="3" customWidth="1"/>
    <col min="3" max="3" width="3" bestFit="1" customWidth="1"/>
    <col min="4" max="4" width="2.7109375" customWidth="1"/>
    <col min="5" max="5" width="60.5703125" customWidth="1"/>
    <col min="6" max="6" width="3.7109375" customWidth="1"/>
    <col min="7" max="7" width="16.7109375" customWidth="1"/>
    <col min="8" max="8" width="3.7109375" customWidth="1"/>
    <col min="9" max="9" width="14.7109375" customWidth="1"/>
    <col min="10" max="10" width="3.7109375" customWidth="1"/>
    <col min="11" max="11" width="18.5703125" customWidth="1"/>
    <col min="12" max="12" width="3.7109375" customWidth="1"/>
  </cols>
  <sheetData>
    <row r="1" spans="1:12" hidden="1" outlineLevel="1">
      <c r="K1" s="2" t="str">
        <f>Contents!B1</f>
        <v>The Narragansett Electric Company</v>
      </c>
      <c r="L1" s="2"/>
    </row>
    <row r="2" spans="1:12" hidden="1" outlineLevel="1">
      <c r="K2" s="2" t="str">
        <f>Contents!B2</f>
        <v>d/b/a National Grid</v>
      </c>
      <c r="L2" s="2"/>
    </row>
    <row r="3" spans="1:12" hidden="1" outlineLevel="1">
      <c r="K3" s="2" t="str">
        <f>Contents!B3</f>
        <v>RIPUC Docket No. 4770</v>
      </c>
      <c r="L3" s="2"/>
    </row>
    <row r="4" spans="1:12" hidden="1" outlineLevel="1">
      <c r="K4" s="2" t="str">
        <f>Contents!B4</f>
        <v>Gas Earnings Sharing Mechanism</v>
      </c>
      <c r="L4" s="2"/>
    </row>
    <row r="5" spans="1:12" hidden="1" outlineLevel="1">
      <c r="K5" s="2"/>
      <c r="L5" s="2"/>
    </row>
    <row r="6" spans="1:12" collapsed="1">
      <c r="A6" s="26"/>
      <c r="B6" s="26"/>
      <c r="C6" s="26"/>
      <c r="D6" s="26"/>
      <c r="E6" s="26"/>
      <c r="F6" s="26"/>
      <c r="G6" s="26"/>
      <c r="H6" s="26"/>
      <c r="I6" s="26"/>
      <c r="J6" s="26"/>
      <c r="K6" s="2" t="str">
        <f>Contents!B6</f>
        <v>The Narragansett Electric Company</v>
      </c>
      <c r="L6" s="2"/>
    </row>
    <row r="7" spans="1:12">
      <c r="A7" s="26"/>
      <c r="B7" s="26"/>
      <c r="C7" s="26"/>
      <c r="D7" s="26"/>
      <c r="E7" s="26"/>
      <c r="F7" s="26"/>
      <c r="G7" s="26"/>
      <c r="H7" s="26"/>
      <c r="I7" s="26"/>
      <c r="J7" s="26"/>
      <c r="K7" s="2" t="str">
        <f>Contents!B7</f>
        <v>d/b/a Rhode Island Energy</v>
      </c>
      <c r="L7" s="2"/>
    </row>
    <row r="8" spans="1:12">
      <c r="A8" s="26"/>
      <c r="B8" s="26"/>
      <c r="C8" s="26"/>
      <c r="D8" s="26"/>
      <c r="E8" s="26"/>
      <c r="F8" s="26"/>
      <c r="G8" s="26"/>
      <c r="H8" s="26"/>
      <c r="I8" s="26"/>
      <c r="J8" s="26"/>
      <c r="K8" s="2" t="str">
        <f>Contents!B8</f>
        <v>RIPUC Docket No. 4770</v>
      </c>
      <c r="L8" s="2"/>
    </row>
    <row r="9" spans="1:12">
      <c r="A9" s="26"/>
      <c r="B9" s="26"/>
      <c r="C9" s="26"/>
      <c r="D9" s="26"/>
      <c r="E9" s="26"/>
      <c r="F9" s="26"/>
      <c r="G9" s="26"/>
      <c r="H9" s="26"/>
      <c r="I9" s="26"/>
      <c r="J9" s="26"/>
      <c r="K9" s="2" t="str">
        <f>Contents!B9</f>
        <v>CY 2025 Gas Earnings Report</v>
      </c>
      <c r="L9" s="2"/>
    </row>
    <row r="10" spans="1:12">
      <c r="A10" s="26"/>
      <c r="B10" s="26"/>
      <c r="C10" s="26"/>
      <c r="D10" s="26"/>
      <c r="E10" s="26"/>
      <c r="F10" s="26"/>
      <c r="G10" s="26"/>
      <c r="H10" s="26"/>
      <c r="I10" s="26"/>
      <c r="J10" s="26"/>
      <c r="K10" s="2" t="str">
        <f>Contents!B10</f>
        <v>Schedule NECO-1</v>
      </c>
      <c r="L10" s="2"/>
    </row>
    <row r="11" spans="1:12">
      <c r="A11" s="26"/>
      <c r="B11" s="26"/>
      <c r="C11" s="26"/>
      <c r="D11" s="26"/>
      <c r="E11" s="26"/>
      <c r="F11" s="26"/>
      <c r="G11" s="26"/>
      <c r="H11" s="26"/>
      <c r="I11" s="26"/>
      <c r="J11" s="26"/>
      <c r="K11" s="2" t="str">
        <f>Contents!B11</f>
        <v>June 15, 2026</v>
      </c>
      <c r="L11" s="2"/>
    </row>
    <row r="12" spans="1:12">
      <c r="A12" s="26"/>
      <c r="B12" s="26"/>
      <c r="C12" s="26"/>
      <c r="D12" s="26"/>
      <c r="E12" s="26"/>
      <c r="F12" s="26"/>
      <c r="G12" s="26"/>
      <c r="H12" s="26"/>
      <c r="I12" s="26"/>
      <c r="J12" s="26"/>
      <c r="K12" s="2" t="str">
        <f>VLOOKUP($A$15,Index!A:C,3,FALSE)</f>
        <v>Page 2 of 15</v>
      </c>
      <c r="L12" s="2"/>
    </row>
    <row r="13" spans="1:12">
      <c r="A13" s="26"/>
      <c r="B13" s="26"/>
      <c r="C13" s="26"/>
      <c r="D13" s="26"/>
      <c r="E13" s="26"/>
      <c r="F13" s="26"/>
      <c r="G13" s="26"/>
      <c r="H13" s="26"/>
      <c r="I13" s="26"/>
      <c r="J13" s="26"/>
      <c r="K13" s="2"/>
      <c r="L13" s="2"/>
    </row>
    <row r="14" spans="1:12">
      <c r="A14" s="797" t="str">
        <f>Contents!A13</f>
        <v>Rhode Island Energy - RI Gas</v>
      </c>
      <c r="B14" s="797"/>
      <c r="C14" s="797"/>
      <c r="D14" s="797"/>
      <c r="E14" s="797"/>
      <c r="F14" s="797"/>
      <c r="G14" s="797"/>
      <c r="H14" s="797"/>
      <c r="I14" s="797"/>
      <c r="J14" s="797"/>
      <c r="K14" s="797"/>
      <c r="L14" s="109"/>
    </row>
    <row r="15" spans="1:12">
      <c r="A15" s="797" t="s">
        <v>16</v>
      </c>
      <c r="B15" s="797"/>
      <c r="C15" s="797"/>
      <c r="D15" s="797"/>
      <c r="E15" s="797"/>
      <c r="F15" s="797"/>
      <c r="G15" s="797"/>
      <c r="H15" s="797"/>
      <c r="I15" s="797"/>
      <c r="J15" s="797"/>
      <c r="K15" s="797"/>
      <c r="L15" s="109"/>
    </row>
    <row r="16" spans="1:12">
      <c r="A16" s="797" t="str">
        <f>Contents!A15</f>
        <v>For the Twelve Months ended December 31, 2025</v>
      </c>
      <c r="B16" s="797"/>
      <c r="C16" s="797"/>
      <c r="D16" s="797"/>
      <c r="E16" s="797"/>
      <c r="F16" s="797"/>
      <c r="G16" s="797"/>
      <c r="H16" s="797"/>
      <c r="I16" s="797"/>
      <c r="J16" s="797"/>
      <c r="K16" s="797"/>
      <c r="L16" s="109"/>
    </row>
    <row r="17" spans="1:12">
      <c r="A17" s="797"/>
      <c r="B17" s="797"/>
      <c r="C17" s="797"/>
      <c r="D17" s="797"/>
      <c r="E17" s="797"/>
      <c r="F17" s="797"/>
      <c r="G17" s="797"/>
      <c r="H17" s="797"/>
      <c r="I17" s="797"/>
      <c r="J17" s="797"/>
      <c r="K17" s="797"/>
      <c r="L17" s="109"/>
    </row>
    <row r="18" spans="1:12">
      <c r="A18" s="26"/>
      <c r="B18" s="26"/>
      <c r="C18" s="26"/>
      <c r="D18" s="26"/>
      <c r="E18" s="26"/>
      <c r="F18" s="26"/>
      <c r="G18" s="26"/>
      <c r="H18" s="26"/>
      <c r="I18" s="27"/>
      <c r="J18" s="26"/>
      <c r="K18" s="26"/>
      <c r="L18" s="26"/>
    </row>
    <row r="19" spans="1:12">
      <c r="A19" s="26"/>
      <c r="B19" s="26"/>
      <c r="C19" s="26"/>
      <c r="D19" s="26"/>
      <c r="E19" s="26"/>
      <c r="F19" s="26"/>
      <c r="G19" s="8" t="s">
        <v>16</v>
      </c>
      <c r="H19" s="26"/>
      <c r="I19" s="8" t="s">
        <v>72</v>
      </c>
      <c r="J19" s="26"/>
      <c r="K19" s="8">
        <f>Index!G17</f>
        <v>2025</v>
      </c>
      <c r="L19" s="8"/>
    </row>
    <row r="20" spans="1:12">
      <c r="A20" s="26"/>
      <c r="B20" s="26"/>
      <c r="C20" s="26"/>
      <c r="D20" s="26"/>
      <c r="E20" s="26"/>
      <c r="F20" s="26"/>
      <c r="G20" s="36" t="s">
        <v>73</v>
      </c>
      <c r="H20" s="26"/>
      <c r="I20" s="36" t="s">
        <v>74</v>
      </c>
      <c r="J20" s="26"/>
      <c r="K20" s="36" t="s">
        <v>75</v>
      </c>
      <c r="L20" s="36"/>
    </row>
    <row r="21" spans="1:12">
      <c r="A21" s="36">
        <v>1</v>
      </c>
      <c r="B21" s="23" t="s">
        <v>76</v>
      </c>
      <c r="C21" s="26"/>
      <c r="D21" s="26"/>
      <c r="E21" s="26"/>
      <c r="F21" s="26"/>
      <c r="G21" s="26"/>
      <c r="H21" s="26"/>
      <c r="I21" s="26"/>
      <c r="J21" s="26"/>
      <c r="K21" s="26"/>
      <c r="L21" s="26"/>
    </row>
    <row r="22" spans="1:12">
      <c r="A22" s="36">
        <f t="shared" ref="A22:A64" si="0">A21+1</f>
        <v>2</v>
      </c>
      <c r="B22" s="26"/>
      <c r="C22" s="26" t="s">
        <v>77</v>
      </c>
      <c r="D22" s="26"/>
      <c r="E22" s="26"/>
      <c r="F22" s="605"/>
      <c r="G22" s="27">
        <f>416783178+122380359+20928943</f>
        <v>560092480</v>
      </c>
      <c r="H22" s="27"/>
      <c r="I22" s="27">
        <v>-2098984.7899999991</v>
      </c>
      <c r="J22" s="81"/>
      <c r="K22" s="27">
        <f>I22+G22</f>
        <v>557993495.21000004</v>
      </c>
      <c r="L22" s="27"/>
    </row>
    <row r="23" spans="1:12">
      <c r="A23" s="36">
        <f t="shared" si="0"/>
        <v>3</v>
      </c>
      <c r="B23" s="26"/>
      <c r="C23" s="26" t="s">
        <v>80</v>
      </c>
      <c r="D23" s="26"/>
      <c r="E23" s="26"/>
      <c r="F23" s="605"/>
      <c r="G23" s="27">
        <v>66027469</v>
      </c>
      <c r="H23" s="27"/>
      <c r="I23" s="27">
        <v>232968.43000000017</v>
      </c>
      <c r="J23" s="27"/>
      <c r="K23" s="27">
        <f>I23+G23</f>
        <v>66260437.43</v>
      </c>
      <c r="L23" s="27"/>
    </row>
    <row r="24" spans="1:12">
      <c r="A24" s="36">
        <f t="shared" si="0"/>
        <v>4</v>
      </c>
      <c r="B24" s="26"/>
      <c r="C24" s="26" t="s">
        <v>83</v>
      </c>
      <c r="D24" s="26"/>
      <c r="E24" s="26"/>
      <c r="F24" s="605"/>
      <c r="G24" s="27">
        <f>584122+318364+7196378-34874785</f>
        <v>-26775921</v>
      </c>
      <c r="H24" s="27"/>
      <c r="I24" s="113">
        <v>-1306723.0497077405</v>
      </c>
      <c r="J24" s="27"/>
      <c r="K24" s="27">
        <f>I24+G24</f>
        <v>-28082644.049707741</v>
      </c>
      <c r="L24" s="27"/>
    </row>
    <row r="25" spans="1:12">
      <c r="A25" s="36">
        <v>5</v>
      </c>
      <c r="B25" s="26"/>
      <c r="C25" s="26"/>
      <c r="D25" s="26" t="s">
        <v>85</v>
      </c>
      <c r="E25" s="26"/>
      <c r="F25" s="605"/>
      <c r="G25" s="606">
        <f>SUM(G22:G24)</f>
        <v>599344028</v>
      </c>
      <c r="H25" s="27"/>
      <c r="I25" s="606">
        <f>SUM(I22:I24)</f>
        <v>-3172739.4097077395</v>
      </c>
      <c r="J25" s="27"/>
      <c r="K25" s="606">
        <f>SUM(K22:K24)</f>
        <v>596171288.59029222</v>
      </c>
      <c r="L25" s="27"/>
    </row>
    <row r="26" spans="1:12">
      <c r="A26" s="36">
        <f t="shared" si="0"/>
        <v>6</v>
      </c>
      <c r="B26" s="26"/>
      <c r="C26" s="26"/>
      <c r="D26" s="26"/>
      <c r="E26" s="26"/>
      <c r="F26" s="26"/>
      <c r="G26" s="27"/>
      <c r="H26" s="27"/>
      <c r="I26" s="27"/>
      <c r="J26" s="27"/>
      <c r="K26" s="27"/>
      <c r="L26" s="27"/>
    </row>
    <row r="27" spans="1:12">
      <c r="A27" s="36">
        <f>A26+1</f>
        <v>7</v>
      </c>
      <c r="B27" s="26"/>
      <c r="C27" s="24" t="s">
        <v>86</v>
      </c>
      <c r="D27" s="26"/>
      <c r="E27" s="26"/>
      <c r="F27" s="26"/>
      <c r="G27" s="27"/>
      <c r="H27" s="27"/>
      <c r="I27" s="27"/>
      <c r="J27" s="27"/>
      <c r="K27" s="27"/>
      <c r="L27" s="27"/>
    </row>
    <row r="28" spans="1:12">
      <c r="A28" s="36">
        <f t="shared" si="0"/>
        <v>8</v>
      </c>
      <c r="B28" s="26"/>
      <c r="C28" s="26"/>
      <c r="D28" s="26" t="s">
        <v>87</v>
      </c>
      <c r="E28" s="26"/>
      <c r="F28" s="605"/>
      <c r="G28" s="27"/>
      <c r="H28" s="27"/>
      <c r="I28" s="27">
        <v>-1263056.7291742233</v>
      </c>
      <c r="J28" s="27"/>
      <c r="K28" s="27">
        <f>I28+G28</f>
        <v>-1263056.7291742233</v>
      </c>
      <c r="L28" s="27"/>
    </row>
    <row r="29" spans="1:12">
      <c r="A29" s="36">
        <f t="shared" si="0"/>
        <v>9</v>
      </c>
      <c r="B29" s="26"/>
      <c r="C29" s="26"/>
      <c r="D29" s="26" t="s">
        <v>90</v>
      </c>
      <c r="E29" s="26"/>
      <c r="F29" s="605"/>
      <c r="G29" s="27"/>
      <c r="H29" s="27"/>
      <c r="I29" s="27">
        <v>13487365.59878365</v>
      </c>
      <c r="J29" s="605"/>
      <c r="K29" s="27">
        <f>+I29+G29</f>
        <v>13487365.59878365</v>
      </c>
      <c r="L29" s="27"/>
    </row>
    <row r="30" spans="1:12">
      <c r="A30" s="36">
        <f t="shared" si="0"/>
        <v>10</v>
      </c>
      <c r="B30" s="26"/>
      <c r="C30" s="26"/>
      <c r="D30" s="26"/>
      <c r="E30" s="26" t="s">
        <v>91</v>
      </c>
      <c r="F30" s="605"/>
      <c r="G30" s="606">
        <f>SUM(G25:G29)</f>
        <v>599344028</v>
      </c>
      <c r="H30" s="27"/>
      <c r="I30" s="606">
        <f>SUM(I25:I29)</f>
        <v>9051569.4599016868</v>
      </c>
      <c r="J30" s="27"/>
      <c r="K30" s="606">
        <f>SUM(K25:K29)</f>
        <v>608395597.45990157</v>
      </c>
      <c r="L30" s="27"/>
    </row>
    <row r="31" spans="1:12">
      <c r="A31" s="36">
        <f t="shared" si="0"/>
        <v>11</v>
      </c>
      <c r="B31" s="26"/>
      <c r="C31" s="26"/>
      <c r="D31" s="26"/>
      <c r="E31" s="26"/>
      <c r="F31" s="26"/>
      <c r="G31" s="27"/>
      <c r="H31" s="27"/>
      <c r="I31" s="27"/>
      <c r="J31" s="27"/>
      <c r="K31" s="27"/>
      <c r="L31" s="27"/>
    </row>
    <row r="32" spans="1:12">
      <c r="A32" s="36">
        <f>A31+1</f>
        <v>12</v>
      </c>
      <c r="B32" s="23" t="s">
        <v>92</v>
      </c>
      <c r="C32" s="26"/>
      <c r="D32" s="26"/>
      <c r="E32" s="26"/>
      <c r="F32" s="26"/>
      <c r="G32" s="27"/>
      <c r="H32" s="27"/>
      <c r="I32" s="27"/>
      <c r="J32" s="27"/>
      <c r="K32" s="27"/>
      <c r="L32" s="27"/>
    </row>
    <row r="33" spans="1:12">
      <c r="A33" s="36">
        <f t="shared" si="0"/>
        <v>13</v>
      </c>
      <c r="B33" s="26"/>
      <c r="C33" s="26" t="s">
        <v>93</v>
      </c>
      <c r="D33" s="26"/>
      <c r="E33" s="26"/>
      <c r="F33" s="605"/>
      <c r="G33" s="27">
        <v>216780139</v>
      </c>
      <c r="H33" s="27"/>
      <c r="I33" s="27"/>
      <c r="J33" s="27"/>
      <c r="K33" s="27">
        <f t="shared" ref="K33:K38" si="1">I33+G33</f>
        <v>216780139</v>
      </c>
      <c r="L33" s="27"/>
    </row>
    <row r="34" spans="1:12">
      <c r="A34" s="36">
        <f t="shared" si="0"/>
        <v>14</v>
      </c>
      <c r="B34" s="26"/>
      <c r="C34" s="26" t="s">
        <v>94</v>
      </c>
      <c r="D34" s="26"/>
      <c r="E34" s="26"/>
      <c r="F34" s="605"/>
      <c r="G34" s="27">
        <v>3635233</v>
      </c>
      <c r="H34" s="27"/>
      <c r="I34" s="27"/>
      <c r="J34" s="27"/>
      <c r="K34" s="27">
        <f t="shared" si="1"/>
        <v>3635233</v>
      </c>
      <c r="L34" s="27"/>
    </row>
    <row r="35" spans="1:12">
      <c r="A35" s="36">
        <f t="shared" si="0"/>
        <v>15</v>
      </c>
      <c r="B35" s="26"/>
      <c r="C35" s="26" t="s">
        <v>95</v>
      </c>
      <c r="D35" s="26"/>
      <c r="E35" s="26"/>
      <c r="F35" s="605"/>
      <c r="G35" s="27">
        <v>0</v>
      </c>
      <c r="H35" s="27"/>
      <c r="I35" s="27"/>
      <c r="J35" s="27"/>
      <c r="K35" s="27">
        <f t="shared" si="1"/>
        <v>0</v>
      </c>
      <c r="L35" s="27"/>
    </row>
    <row r="36" spans="1:12">
      <c r="A36" s="36">
        <f t="shared" si="0"/>
        <v>16</v>
      </c>
      <c r="B36" s="26"/>
      <c r="C36" s="26" t="s">
        <v>96</v>
      </c>
      <c r="D36" s="26"/>
      <c r="E36" s="26"/>
      <c r="F36" s="605"/>
      <c r="G36" s="27">
        <v>57579062</v>
      </c>
      <c r="H36" s="27"/>
      <c r="I36" s="27"/>
      <c r="J36" s="27"/>
      <c r="K36" s="27">
        <f t="shared" si="1"/>
        <v>57579062</v>
      </c>
      <c r="L36" s="27"/>
    </row>
    <row r="37" spans="1:12">
      <c r="A37" s="36">
        <f t="shared" si="0"/>
        <v>17</v>
      </c>
      <c r="B37" s="26"/>
      <c r="C37" s="26" t="s">
        <v>97</v>
      </c>
      <c r="D37" s="26"/>
      <c r="E37" s="26"/>
      <c r="F37" s="605"/>
      <c r="G37" s="27">
        <f>22868818+47426353</f>
        <v>70295171</v>
      </c>
      <c r="H37" s="27"/>
      <c r="I37" s="27">
        <v>-1466269.5500000045</v>
      </c>
      <c r="J37" s="27"/>
      <c r="K37" s="27">
        <f t="shared" si="1"/>
        <v>68828901.449999988</v>
      </c>
      <c r="L37" s="27"/>
    </row>
    <row r="38" spans="1:12">
      <c r="A38" s="36">
        <f t="shared" si="0"/>
        <v>18</v>
      </c>
      <c r="B38" s="26"/>
      <c r="C38" s="26" t="s">
        <v>98</v>
      </c>
      <c r="D38" s="26"/>
      <c r="E38" s="26"/>
      <c r="F38" s="605"/>
      <c r="G38" s="27">
        <v>221722</v>
      </c>
      <c r="H38" s="27"/>
      <c r="I38" s="27">
        <v>-221722</v>
      </c>
      <c r="J38" s="27"/>
      <c r="K38" s="27">
        <f t="shared" si="1"/>
        <v>0</v>
      </c>
      <c r="L38" s="27"/>
    </row>
    <row r="39" spans="1:12">
      <c r="A39" s="36">
        <f t="shared" si="0"/>
        <v>19</v>
      </c>
      <c r="B39" s="26"/>
      <c r="C39" s="26" t="s">
        <v>100</v>
      </c>
      <c r="D39" s="26"/>
      <c r="E39" s="26"/>
      <c r="F39" s="605"/>
      <c r="G39" s="27">
        <v>45675172</v>
      </c>
      <c r="H39" s="27"/>
      <c r="I39" s="27">
        <v>-17391588.859999999</v>
      </c>
      <c r="J39" s="27"/>
      <c r="K39" s="27">
        <f>I39+G39</f>
        <v>28283583.140000001</v>
      </c>
      <c r="L39" s="27"/>
    </row>
    <row r="40" spans="1:12">
      <c r="A40" s="36">
        <f t="shared" si="0"/>
        <v>20</v>
      </c>
      <c r="B40" s="26"/>
      <c r="C40" s="26"/>
      <c r="D40" s="26" t="s">
        <v>103</v>
      </c>
      <c r="E40" s="26"/>
      <c r="F40" s="605"/>
      <c r="G40" s="606">
        <f>SUM(G33:G39)</f>
        <v>394186499</v>
      </c>
      <c r="H40" s="27"/>
      <c r="I40" s="606">
        <f>SUM(I33:I39)</f>
        <v>-19079580.410000004</v>
      </c>
      <c r="J40" s="27"/>
      <c r="K40" s="606">
        <f>SUM(K33:K39)</f>
        <v>375106918.58999997</v>
      </c>
      <c r="L40" s="27"/>
    </row>
    <row r="41" spans="1:12">
      <c r="A41" s="36">
        <f t="shared" si="0"/>
        <v>21</v>
      </c>
      <c r="B41" s="26"/>
      <c r="C41" s="26"/>
      <c r="D41" s="26"/>
      <c r="E41" s="26"/>
      <c r="F41" s="26"/>
      <c r="G41" s="27"/>
      <c r="H41" s="27"/>
      <c r="I41" s="27"/>
      <c r="J41" s="27"/>
      <c r="K41" s="27"/>
      <c r="L41" s="27"/>
    </row>
    <row r="42" spans="1:12">
      <c r="A42" s="36">
        <f t="shared" si="0"/>
        <v>22</v>
      </c>
      <c r="B42" s="23" t="s">
        <v>104</v>
      </c>
      <c r="C42" s="26"/>
      <c r="D42" s="26"/>
      <c r="E42" s="26"/>
      <c r="F42" s="26"/>
      <c r="G42" s="27"/>
      <c r="H42" s="27"/>
      <c r="I42" s="113"/>
      <c r="J42" s="27"/>
      <c r="K42" s="113"/>
      <c r="L42" s="113"/>
    </row>
    <row r="43" spans="1:12">
      <c r="A43" s="36">
        <f t="shared" si="0"/>
        <v>23</v>
      </c>
      <c r="B43" s="26"/>
      <c r="C43" s="26" t="s">
        <v>105</v>
      </c>
      <c r="D43" s="26"/>
      <c r="E43" s="26"/>
      <c r="F43" s="605"/>
      <c r="G43" s="27">
        <f>66327459+175938+114075-521804</f>
        <v>66095668</v>
      </c>
      <c r="H43" s="27"/>
      <c r="I43" s="27"/>
      <c r="J43" s="27"/>
      <c r="K43" s="27">
        <f>I43+G43</f>
        <v>66095668</v>
      </c>
      <c r="L43" s="27"/>
    </row>
    <row r="44" spans="1:12">
      <c r="A44" s="36">
        <f t="shared" si="0"/>
        <v>24</v>
      </c>
      <c r="B44" s="26"/>
      <c r="C44" s="26" t="s">
        <v>106</v>
      </c>
      <c r="D44" s="26"/>
      <c r="E44" s="26"/>
      <c r="F44" s="605"/>
      <c r="G44" s="27">
        <f>68985982-G45</f>
        <v>46234158</v>
      </c>
      <c r="H44" s="27"/>
      <c r="I44" s="113"/>
      <c r="J44" s="27"/>
      <c r="K44" s="27">
        <f>I44+G44</f>
        <v>46234158</v>
      </c>
      <c r="L44" s="27"/>
    </row>
    <row r="45" spans="1:12">
      <c r="A45" s="36">
        <f t="shared" si="0"/>
        <v>25</v>
      </c>
      <c r="B45" s="26"/>
      <c r="C45" s="26" t="s">
        <v>107</v>
      </c>
      <c r="D45" s="26"/>
      <c r="E45" s="26"/>
      <c r="F45" s="605"/>
      <c r="G45" s="27">
        <v>22751824</v>
      </c>
      <c r="H45" s="27"/>
      <c r="I45" s="27"/>
      <c r="J45" s="27"/>
      <c r="K45" s="27">
        <f>I45+G45</f>
        <v>22751824</v>
      </c>
      <c r="L45" s="27"/>
    </row>
    <row r="46" spans="1:12">
      <c r="A46" s="36">
        <f t="shared" si="0"/>
        <v>26</v>
      </c>
      <c r="B46" s="26"/>
      <c r="C46" s="33" t="s">
        <v>108</v>
      </c>
      <c r="D46" s="26"/>
      <c r="E46" s="26"/>
      <c r="F46" s="605"/>
      <c r="G46" s="27">
        <f>-5337787+97358022-87543464+118904+0+345865</f>
        <v>4941540</v>
      </c>
      <c r="H46" s="27"/>
      <c r="I46" s="27">
        <f>-G46+'FIT Calculation'!D42</f>
        <v>6131348.2087601293</v>
      </c>
      <c r="J46" s="27"/>
      <c r="K46" s="27">
        <f>I46+G46</f>
        <v>11072888.208760129</v>
      </c>
      <c r="L46" s="27"/>
    </row>
    <row r="47" spans="1:12">
      <c r="A47" s="36">
        <f t="shared" si="0"/>
        <v>27</v>
      </c>
      <c r="B47" s="26"/>
      <c r="C47" s="26"/>
      <c r="D47" s="26" t="s">
        <v>111</v>
      </c>
      <c r="E47" s="26"/>
      <c r="F47" s="605"/>
      <c r="G47" s="606">
        <f>SUM(G43:G46)</f>
        <v>140023190</v>
      </c>
      <c r="H47" s="27"/>
      <c r="I47" s="606">
        <f>SUM(I43:I46)</f>
        <v>6131348.2087601293</v>
      </c>
      <c r="J47" s="27"/>
      <c r="K47" s="606">
        <f>SUM(K43:K46)</f>
        <v>146154538.20876014</v>
      </c>
      <c r="L47" s="27"/>
    </row>
    <row r="48" spans="1:12">
      <c r="A48" s="36">
        <f t="shared" si="0"/>
        <v>28</v>
      </c>
      <c r="B48" s="26"/>
      <c r="C48" s="26"/>
      <c r="D48" s="26"/>
      <c r="E48" s="26"/>
      <c r="F48" s="26"/>
      <c r="G48" s="27"/>
      <c r="H48" s="27"/>
      <c r="I48" s="27"/>
      <c r="J48" s="27"/>
      <c r="K48" s="27"/>
      <c r="L48" s="27"/>
    </row>
    <row r="49" spans="1:12">
      <c r="A49" s="36">
        <f t="shared" si="0"/>
        <v>29</v>
      </c>
      <c r="B49" s="7" t="s">
        <v>112</v>
      </c>
      <c r="C49" s="26"/>
      <c r="D49" s="26"/>
      <c r="E49" s="26"/>
      <c r="F49" s="605"/>
      <c r="G49" s="606">
        <f>(G30-G40-G47)</f>
        <v>65134339</v>
      </c>
      <c r="H49" s="27"/>
      <c r="I49" s="606">
        <f>(I30-I40-I47)</f>
        <v>21999801.661141559</v>
      </c>
      <c r="J49" s="27"/>
      <c r="K49" s="606">
        <f>(K30-K40-K47)</f>
        <v>87134140.661141455</v>
      </c>
      <c r="L49" s="27"/>
    </row>
    <row r="50" spans="1:12">
      <c r="A50" s="36">
        <f t="shared" si="0"/>
        <v>30</v>
      </c>
      <c r="B50" s="26"/>
      <c r="C50" s="26"/>
      <c r="D50" s="26"/>
      <c r="E50" s="26"/>
      <c r="F50" s="26"/>
      <c r="G50" s="27"/>
      <c r="H50" s="27"/>
      <c r="I50" s="27"/>
      <c r="J50" s="27"/>
      <c r="K50" s="27"/>
      <c r="L50" s="27"/>
    </row>
    <row r="51" spans="1:12">
      <c r="A51" s="36">
        <f t="shared" si="0"/>
        <v>31</v>
      </c>
      <c r="B51" s="23" t="s">
        <v>113</v>
      </c>
      <c r="C51" s="26"/>
      <c r="D51" s="26"/>
      <c r="E51" s="26"/>
      <c r="F51" s="26"/>
      <c r="G51" s="27"/>
      <c r="H51" s="27"/>
      <c r="I51" s="27"/>
      <c r="J51" s="27"/>
      <c r="K51" s="27"/>
      <c r="L51" s="27"/>
    </row>
    <row r="52" spans="1:12">
      <c r="A52" s="36">
        <f t="shared" si="0"/>
        <v>32</v>
      </c>
      <c r="B52" s="26"/>
      <c r="C52" s="26" t="s">
        <v>114</v>
      </c>
      <c r="D52" s="26"/>
      <c r="E52" s="26"/>
      <c r="F52" s="605"/>
      <c r="G52" s="27">
        <f>-'Detail Non-Op Inc'!D45</f>
        <v>-1771047.2707809997</v>
      </c>
      <c r="H52" s="27"/>
      <c r="I52" s="27">
        <f>-G52</f>
        <v>1771047.2707809997</v>
      </c>
      <c r="J52" s="27"/>
      <c r="K52" s="27">
        <f>I52+G52</f>
        <v>0</v>
      </c>
      <c r="L52" s="27"/>
    </row>
    <row r="53" spans="1:12">
      <c r="A53" s="36">
        <f t="shared" si="0"/>
        <v>33</v>
      </c>
      <c r="B53" s="26"/>
      <c r="C53" s="26" t="s">
        <v>116</v>
      </c>
      <c r="D53" s="26"/>
      <c r="E53" s="26"/>
      <c r="F53" s="605"/>
      <c r="G53" s="27">
        <v>0</v>
      </c>
      <c r="H53" s="27"/>
      <c r="I53" s="27">
        <f>'Cap Int Pref'!E50</f>
        <v>532837.77955160511</v>
      </c>
      <c r="J53" s="27"/>
      <c r="K53" s="27">
        <f>I53+G53</f>
        <v>532837.77955160511</v>
      </c>
      <c r="L53" s="27"/>
    </row>
    <row r="54" spans="1:12">
      <c r="A54" s="36">
        <f t="shared" si="0"/>
        <v>34</v>
      </c>
      <c r="B54" s="26"/>
      <c r="C54" s="26" t="s">
        <v>118</v>
      </c>
      <c r="D54" s="26"/>
      <c r="E54" s="26"/>
      <c r="F54" s="605"/>
      <c r="G54" s="27">
        <f>34671790.38+369210.71+30361.81</f>
        <v>35071362.900000006</v>
      </c>
      <c r="H54" s="27"/>
      <c r="I54" s="27">
        <f>'Cap Int Pref'!E42-'Income Statement'!G54</f>
        <v>8551139.6133969873</v>
      </c>
      <c r="J54" s="27"/>
      <c r="K54" s="27">
        <f>I54+G54</f>
        <v>43622502.513396993</v>
      </c>
      <c r="L54" s="27"/>
    </row>
    <row r="55" spans="1:12">
      <c r="A55" s="36">
        <f t="shared" si="0"/>
        <v>35</v>
      </c>
      <c r="B55" s="26"/>
      <c r="C55" s="26" t="s">
        <v>120</v>
      </c>
      <c r="D55" s="26"/>
      <c r="E55" s="26"/>
      <c r="F55" s="605"/>
      <c r="G55" s="27">
        <f>432167.64+3959616.669614</f>
        <v>4391784.3096139999</v>
      </c>
      <c r="H55" s="27"/>
      <c r="I55" s="27">
        <v>-4333122.8796140002</v>
      </c>
      <c r="J55" s="149"/>
      <c r="K55" s="27">
        <f>I55+G55</f>
        <v>58661.429999999702</v>
      </c>
      <c r="L55" s="27"/>
    </row>
    <row r="56" spans="1:12">
      <c r="A56" s="36">
        <f t="shared" si="0"/>
        <v>36</v>
      </c>
      <c r="B56" s="26"/>
      <c r="C56" s="26" t="s">
        <v>122</v>
      </c>
      <c r="D56" s="26"/>
      <c r="E56" s="26"/>
      <c r="F56" s="605"/>
      <c r="G56" s="27">
        <v>-5945730.9900000002</v>
      </c>
      <c r="H56" s="27"/>
      <c r="I56" s="27">
        <f>IF(G56&gt;0,G56*-1,0)</f>
        <v>0</v>
      </c>
      <c r="J56" s="27"/>
      <c r="K56" s="27">
        <f>I56+G56</f>
        <v>-5945730.9900000002</v>
      </c>
      <c r="L56" s="27"/>
    </row>
    <row r="57" spans="1:12">
      <c r="A57" s="36">
        <f t="shared" si="0"/>
        <v>37</v>
      </c>
      <c r="B57" s="26"/>
      <c r="C57" s="26"/>
      <c r="D57" s="26" t="s">
        <v>123</v>
      </c>
      <c r="E57" s="26"/>
      <c r="F57" s="605"/>
      <c r="G57" s="606">
        <f>SUM(G52:G56)</f>
        <v>31746368.948833004</v>
      </c>
      <c r="H57" s="27"/>
      <c r="I57" s="606">
        <f>SUM(I52:I56)</f>
        <v>6521901.7841155929</v>
      </c>
      <c r="J57" s="27"/>
      <c r="K57" s="606">
        <f>SUM(K52:K56)</f>
        <v>38268270.732948594</v>
      </c>
      <c r="L57" s="27"/>
    </row>
    <row r="58" spans="1:12">
      <c r="A58" s="36">
        <f t="shared" si="0"/>
        <v>38</v>
      </c>
      <c r="B58" s="26"/>
      <c r="C58" s="26"/>
      <c r="D58" s="26"/>
      <c r="E58" s="26"/>
      <c r="F58" s="26"/>
      <c r="G58" s="27"/>
      <c r="H58" s="27"/>
      <c r="I58" s="27"/>
      <c r="J58" s="27"/>
      <c r="K58" s="27"/>
      <c r="L58" s="27"/>
    </row>
    <row r="59" spans="1:12">
      <c r="A59" s="36">
        <f t="shared" si="0"/>
        <v>39</v>
      </c>
      <c r="B59" s="7" t="s">
        <v>124</v>
      </c>
      <c r="C59" s="26"/>
      <c r="D59" s="26"/>
      <c r="E59" s="26"/>
      <c r="F59" s="605"/>
      <c r="G59" s="606">
        <f>(G49-G57)</f>
        <v>33387970.051166996</v>
      </c>
      <c r="H59" s="27"/>
      <c r="I59" s="606">
        <f>(I49-I57)</f>
        <v>15477899.877025966</v>
      </c>
      <c r="J59" s="27"/>
      <c r="K59" s="606">
        <f>(K49-K57)</f>
        <v>48865869.928192861</v>
      </c>
      <c r="L59" s="27"/>
    </row>
    <row r="60" spans="1:12">
      <c r="A60" s="36">
        <f t="shared" si="0"/>
        <v>40</v>
      </c>
      <c r="B60" s="26"/>
      <c r="C60" s="26"/>
      <c r="D60" s="26"/>
      <c r="E60" s="26"/>
      <c r="F60" s="26"/>
      <c r="G60" s="27"/>
      <c r="H60" s="27"/>
      <c r="I60" s="27"/>
      <c r="J60" s="27"/>
      <c r="K60" s="27"/>
      <c r="L60" s="27"/>
    </row>
    <row r="61" spans="1:12">
      <c r="A61" s="36">
        <f t="shared" si="0"/>
        <v>41</v>
      </c>
      <c r="B61" s="26"/>
      <c r="C61" s="26" t="s">
        <v>125</v>
      </c>
      <c r="D61" s="26"/>
      <c r="E61" s="26"/>
      <c r="F61" s="605"/>
      <c r="G61" s="27"/>
      <c r="H61" s="27"/>
      <c r="I61" s="27">
        <f>'Cap Int Pref'!E59</f>
        <v>91031.511312916598</v>
      </c>
      <c r="J61" s="27"/>
      <c r="K61" s="27">
        <f>I61+G61</f>
        <v>91031.511312916598</v>
      </c>
      <c r="L61" s="27"/>
    </row>
    <row r="62" spans="1:12">
      <c r="A62" s="36">
        <f t="shared" si="0"/>
        <v>42</v>
      </c>
      <c r="B62" s="26"/>
      <c r="C62" s="26" t="s">
        <v>127</v>
      </c>
      <c r="D62" s="26"/>
      <c r="E62" s="26"/>
      <c r="F62" s="605"/>
      <c r="G62" s="120">
        <v>0</v>
      </c>
      <c r="H62" s="27"/>
      <c r="I62" s="120">
        <v>0</v>
      </c>
      <c r="J62" s="27"/>
      <c r="K62" s="120">
        <f>+G62+I62</f>
        <v>0</v>
      </c>
      <c r="L62" s="27"/>
    </row>
    <row r="63" spans="1:12">
      <c r="A63" s="36">
        <f t="shared" si="0"/>
        <v>43</v>
      </c>
      <c r="B63" s="26"/>
      <c r="C63" s="26"/>
      <c r="D63" s="26"/>
      <c r="E63" s="26"/>
      <c r="F63" s="26"/>
      <c r="G63" s="92"/>
      <c r="H63" s="27"/>
      <c r="I63" s="27"/>
      <c r="J63" s="27"/>
      <c r="K63" s="27"/>
      <c r="L63" s="27"/>
    </row>
    <row r="64" spans="1:12" ht="15.75" thickBot="1">
      <c r="A64" s="36">
        <f t="shared" si="0"/>
        <v>44</v>
      </c>
      <c r="B64" s="7" t="s">
        <v>129</v>
      </c>
      <c r="C64" s="26"/>
      <c r="D64" s="26"/>
      <c r="E64" s="26"/>
      <c r="F64" s="605"/>
      <c r="G64" s="111">
        <f>G59-G61-G62</f>
        <v>33387970.051166996</v>
      </c>
      <c r="H64" s="27"/>
      <c r="I64" s="111">
        <f>I59-I61-I62</f>
        <v>15386868.365713049</v>
      </c>
      <c r="J64" s="27"/>
      <c r="K64" s="111">
        <f>K59-K61-K62</f>
        <v>48774838.416879945</v>
      </c>
      <c r="L64" s="27"/>
    </row>
    <row r="65" spans="1:12" ht="15.75" thickTop="1">
      <c r="A65" s="36"/>
      <c r="B65" s="26"/>
      <c r="C65" s="26"/>
      <c r="D65" s="26"/>
      <c r="E65" s="26"/>
      <c r="F65" s="26"/>
      <c r="G65" s="27"/>
      <c r="H65" s="27"/>
      <c r="I65" s="27"/>
      <c r="J65" s="27"/>
      <c r="K65" s="27"/>
      <c r="L65" s="27"/>
    </row>
    <row r="66" spans="1:12">
      <c r="A66" s="36"/>
      <c r="B66" s="26"/>
      <c r="C66" s="26"/>
      <c r="D66" s="26"/>
      <c r="E66" s="26"/>
      <c r="F66" s="26"/>
      <c r="G66" s="27"/>
      <c r="H66" s="27"/>
      <c r="I66" s="27"/>
      <c r="J66" s="27"/>
      <c r="K66" s="27"/>
      <c r="L66" s="27"/>
    </row>
    <row r="67" spans="1:12">
      <c r="A67" s="26"/>
      <c r="B67" s="26"/>
      <c r="C67" s="26"/>
      <c r="D67" s="26"/>
      <c r="E67" s="26"/>
      <c r="F67" s="26"/>
      <c r="G67" s="117"/>
      <c r="H67" s="27"/>
      <c r="I67" s="27"/>
      <c r="J67" s="27"/>
      <c r="K67" s="27"/>
      <c r="L67" s="27"/>
    </row>
    <row r="68" spans="1:12">
      <c r="A68" s="93" t="s">
        <v>70</v>
      </c>
      <c r="E68" s="26"/>
      <c r="F68" s="26"/>
      <c r="G68" s="27"/>
      <c r="H68" s="27"/>
      <c r="I68" s="27"/>
      <c r="J68" s="27"/>
      <c r="K68" s="27"/>
      <c r="L68" s="27"/>
    </row>
    <row r="69" spans="1:12">
      <c r="A69" s="36" t="str">
        <f>G20</f>
        <v>(a)</v>
      </c>
      <c r="B69" s="26" t="s">
        <v>130</v>
      </c>
      <c r="F69" s="26"/>
      <c r="G69" s="27"/>
      <c r="H69" s="27"/>
      <c r="I69" s="27"/>
      <c r="J69" s="27"/>
      <c r="K69" s="27"/>
      <c r="L69" s="27"/>
    </row>
    <row r="70" spans="1:12">
      <c r="A70" s="36" t="str">
        <f>A21&amp;I20&amp;"-"&amp;A40&amp;I20</f>
        <v>1(b)-20(b)</v>
      </c>
      <c r="B70" s="26" t="str">
        <f>"From "&amp;'Recon of ESM to Annual- IS'!$H$12</f>
        <v>From Page 14 of 15</v>
      </c>
      <c r="F70" s="26"/>
      <c r="G70" s="27"/>
      <c r="H70" s="27"/>
      <c r="I70" s="27"/>
      <c r="J70" s="27"/>
      <c r="K70" s="27"/>
      <c r="L70" s="27"/>
    </row>
    <row r="71" spans="1:12">
      <c r="A71" s="36" t="str">
        <f>K20</f>
        <v>(c)</v>
      </c>
      <c r="B71" s="26" t="str">
        <f>G20&amp;" + "&amp;I20</f>
        <v>(a) + (b)</v>
      </c>
      <c r="F71" s="26"/>
      <c r="G71" s="27"/>
      <c r="H71" s="27"/>
      <c r="I71" s="27"/>
      <c r="J71" s="27"/>
      <c r="K71" s="27"/>
      <c r="L71" s="27"/>
    </row>
    <row r="72" spans="1:12">
      <c r="A72" s="36">
        <f>A24</f>
        <v>4</v>
      </c>
      <c r="B72" s="26" t="str">
        <f>CONCATENATE("From ",'Detail Other Rev'!G12," line ",'Detail Other Rev'!A67)</f>
        <v>From Page 7 of 15 line 36</v>
      </c>
      <c r="E72" s="26"/>
      <c r="F72" s="26"/>
      <c r="G72" s="27"/>
      <c r="H72" s="27"/>
      <c r="I72" s="27"/>
      <c r="J72" s="27"/>
      <c r="K72" s="27"/>
      <c r="L72" s="27"/>
    </row>
    <row r="73" spans="1:12">
      <c r="A73" s="36">
        <f>A44</f>
        <v>24</v>
      </c>
      <c r="B73" s="26" t="str">
        <f>CONCATENATE("From ",'Working Capital'!D12," line ",'Working Capital'!A21, " through ", 'Working Capital'!A23)</f>
        <v>From Page 6 of 15 line 3 through 5</v>
      </c>
      <c r="E73" s="26"/>
      <c r="F73" s="26"/>
      <c r="G73" s="27"/>
      <c r="H73" s="27"/>
      <c r="I73" s="27"/>
      <c r="J73" s="27"/>
      <c r="K73" s="27"/>
      <c r="L73" s="27"/>
    </row>
    <row r="74" spans="1:12">
      <c r="A74" s="36">
        <f>A45</f>
        <v>25</v>
      </c>
      <c r="B74" s="26" t="str">
        <f>CONCATENATE("From ",'Working Capital'!D12," line ",'Working Capital'!A25)</f>
        <v>From Page 6 of 15 line 7</v>
      </c>
      <c r="E74" s="26"/>
      <c r="F74" s="26"/>
      <c r="G74" s="27"/>
      <c r="H74" s="27"/>
      <c r="I74" s="27"/>
      <c r="J74" s="27"/>
      <c r="K74" s="27"/>
      <c r="L74" s="27"/>
    </row>
    <row r="75" spans="1:12">
      <c r="A75" s="36">
        <f>A46</f>
        <v>26</v>
      </c>
      <c r="B75" s="26" t="str">
        <f>CONCATENATE("From ",'FIT Calculation'!D12," line ",'FIT Calculation'!A42)</f>
        <v>From Page 3 of 15 line 24</v>
      </c>
      <c r="E75" s="26"/>
      <c r="F75" s="26"/>
      <c r="G75" s="27"/>
      <c r="H75" s="27"/>
      <c r="I75" s="27"/>
      <c r="J75" s="27"/>
      <c r="K75" s="27"/>
      <c r="L75" s="27"/>
    </row>
    <row r="76" spans="1:12">
      <c r="A76" s="36">
        <f>A52</f>
        <v>32</v>
      </c>
      <c r="B76" s="26" t="str">
        <f>CONCATENATE("From ",'Detail Non-Op Inc'!H12," line ",'Detail Non-Op Inc'!A45)</f>
        <v>From Page 9 of 15 line 25</v>
      </c>
      <c r="E76" s="26"/>
      <c r="F76" s="26"/>
      <c r="G76" s="27"/>
      <c r="H76" s="27"/>
      <c r="I76" s="27"/>
      <c r="J76" s="27"/>
      <c r="K76" s="27"/>
      <c r="L76" s="27"/>
    </row>
    <row r="77" spans="1:12">
      <c r="A77" s="36">
        <f>A53</f>
        <v>33</v>
      </c>
      <c r="B77" s="26" t="str">
        <f>CONCATENATE("From ",'Cap Int Pref'!E12," line ",'Cap Int Pref'!A50, 'Cap Int Pref'!E22)</f>
        <v>From Page 4 of 15 line 27(b)</v>
      </c>
      <c r="E77" s="26"/>
      <c r="F77" s="26"/>
      <c r="G77" s="27"/>
      <c r="H77" s="27"/>
      <c r="I77" s="27"/>
      <c r="J77" s="27"/>
      <c r="K77" s="27"/>
      <c r="L77" s="27"/>
    </row>
    <row r="78" spans="1:12">
      <c r="A78" s="36">
        <f>A54</f>
        <v>34</v>
      </c>
      <c r="B78" s="26" t="str">
        <f>CONCATENATE("From ",'Cap Int Pref'!E12," line ",'Cap Int Pref'!A42, 'Cap Int Pref'!E22)</f>
        <v>From Page 4 of 15 line 19(b)</v>
      </c>
      <c r="E78" s="26"/>
      <c r="F78" s="26"/>
      <c r="G78" s="27"/>
      <c r="H78" s="27"/>
      <c r="I78" s="27"/>
      <c r="J78" s="27"/>
      <c r="K78" s="27"/>
      <c r="L78" s="27"/>
    </row>
    <row r="79" spans="1:12">
      <c r="A79" s="36">
        <f>A55</f>
        <v>35</v>
      </c>
      <c r="B79" s="26" t="str">
        <f>CONCATENATE("From ",'Detail Other Int Exp'!H12," line ",'Detail Other Int Exp'!A24)</f>
        <v>From Page 8 of 15 line 3</v>
      </c>
      <c r="E79" s="26"/>
      <c r="F79" s="26"/>
      <c r="G79" s="27"/>
      <c r="H79" s="27"/>
      <c r="I79" s="27"/>
      <c r="J79" s="27"/>
      <c r="K79" s="27"/>
      <c r="L79" s="27"/>
    </row>
    <row r="80" spans="1:12">
      <c r="A80" s="36">
        <f>A61</f>
        <v>41</v>
      </c>
      <c r="B80" s="26" t="str">
        <f>CONCATENATE("From ",'Cap Int Pref'!E12," line ",'Cap Int Pref'!A59, 'Cap Int Pref'!E22)</f>
        <v>From Page 4 of 15 line 36(b)</v>
      </c>
      <c r="E80" s="26"/>
      <c r="F80" s="26"/>
      <c r="G80" s="27"/>
      <c r="H80" s="27"/>
      <c r="I80" s="27"/>
      <c r="J80" s="27"/>
      <c r="K80" s="27"/>
      <c r="L80" s="27"/>
    </row>
    <row r="81" spans="1:12">
      <c r="A81" s="26"/>
      <c r="B81" s="26"/>
      <c r="C81" s="26"/>
      <c r="D81" s="26"/>
      <c r="E81" s="26"/>
      <c r="F81" s="26"/>
      <c r="G81" s="27"/>
      <c r="H81" s="27"/>
      <c r="I81" s="27"/>
      <c r="J81" s="27"/>
      <c r="K81" s="27"/>
      <c r="L81" s="27"/>
    </row>
    <row r="82" spans="1:12">
      <c r="A82" s="26"/>
      <c r="B82" s="26"/>
      <c r="C82" s="26"/>
      <c r="D82" s="26"/>
      <c r="E82" s="26"/>
      <c r="F82" s="26"/>
      <c r="G82" s="27"/>
      <c r="H82" s="27"/>
      <c r="I82" s="27"/>
      <c r="J82" s="27"/>
      <c r="K82" s="27"/>
      <c r="L82" s="27"/>
    </row>
    <row r="83" spans="1:12">
      <c r="A83" s="26"/>
      <c r="B83" s="26"/>
      <c r="C83" s="26"/>
      <c r="D83" s="26"/>
      <c r="E83" s="26"/>
      <c r="F83" s="26"/>
      <c r="G83" s="27"/>
      <c r="H83" s="27"/>
      <c r="I83" s="27"/>
      <c r="J83" s="27"/>
      <c r="K83" s="27"/>
      <c r="L83" s="27"/>
    </row>
    <row r="84" spans="1:12">
      <c r="A84" s="26"/>
      <c r="B84" s="26"/>
      <c r="C84" s="26"/>
      <c r="D84" s="26"/>
      <c r="E84" s="26"/>
      <c r="F84" s="26"/>
      <c r="G84" s="26"/>
      <c r="H84" s="26"/>
      <c r="I84" s="92"/>
      <c r="J84" s="26"/>
      <c r="K84" s="26"/>
      <c r="L84" s="26"/>
    </row>
    <row r="85" spans="1:12">
      <c r="G85" s="88"/>
    </row>
  </sheetData>
  <mergeCells count="4">
    <mergeCell ref="A14:K14"/>
    <mergeCell ref="A15:K15"/>
    <mergeCell ref="A16:K16"/>
    <mergeCell ref="A17:K17"/>
  </mergeCells>
  <pageMargins left="0.7" right="0.7" top="0.75" bottom="0.75" header="0.3" footer="0.3"/>
  <pageSetup scale="63" orientation="portrait" horizontalDpi="1200" verticalDpi="1200"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57DB1A-1A19-4759-A312-5B0402AEF60C}">
  <sheetPr>
    <tabColor rgb="FFFF0000"/>
    <pageSetUpPr fitToPage="1"/>
  </sheetPr>
  <dimension ref="A1:O72"/>
  <sheetViews>
    <sheetView workbookViewId="0"/>
  </sheetViews>
  <sheetFormatPr defaultColWidth="9.140625" defaultRowHeight="12.75"/>
  <cols>
    <col min="1" max="1" width="3" style="208" customWidth="1"/>
    <col min="2" max="2" width="39.7109375" style="208" customWidth="1"/>
    <col min="3" max="3" width="7.140625" style="208" customWidth="1"/>
    <col min="4" max="4" width="15" style="208" bestFit="1" customWidth="1"/>
    <col min="5" max="5" width="14.28515625" style="208" customWidth="1"/>
    <col min="6" max="6" width="15.140625" style="208" bestFit="1" customWidth="1"/>
    <col min="7" max="7" width="5" style="208" customWidth="1"/>
    <col min="8" max="8" width="15" style="208" bestFit="1" customWidth="1"/>
    <col min="9" max="9" width="14.28515625" style="208" customWidth="1"/>
    <col min="10" max="10" width="15.42578125" style="208" bestFit="1" customWidth="1"/>
    <col min="11" max="11" width="3.7109375" style="208" customWidth="1"/>
    <col min="12" max="12" width="16.5703125" style="208" customWidth="1"/>
    <col min="13" max="13" width="16.42578125" style="208" customWidth="1"/>
    <col min="14" max="15" width="16.5703125" style="208" customWidth="1"/>
    <col min="16" max="16384" width="9.140625" style="208"/>
  </cols>
  <sheetData>
    <row r="1" spans="1:14">
      <c r="A1" s="231"/>
      <c r="B1" s="601"/>
      <c r="C1" s="601"/>
      <c r="D1" s="600"/>
      <c r="E1" s="600"/>
      <c r="F1" s="600"/>
      <c r="G1" s="500"/>
      <c r="H1" s="500"/>
      <c r="I1" s="500"/>
      <c r="J1" s="500"/>
      <c r="K1" s="500"/>
      <c r="L1" s="599"/>
    </row>
    <row r="2" spans="1:14">
      <c r="A2" s="179"/>
      <c r="B2" s="598"/>
      <c r="D2" s="840"/>
      <c r="E2" s="841"/>
      <c r="F2" s="842"/>
      <c r="G2" s="597"/>
      <c r="H2" s="846"/>
      <c r="I2" s="847"/>
      <c r="J2" s="848"/>
      <c r="K2" s="596"/>
      <c r="L2" s="846"/>
      <c r="M2" s="847"/>
      <c r="N2" s="848"/>
    </row>
    <row r="3" spans="1:14">
      <c r="D3" s="843"/>
      <c r="E3" s="844"/>
      <c r="F3" s="845"/>
      <c r="G3" s="544"/>
      <c r="H3" s="849"/>
      <c r="I3" s="850"/>
      <c r="J3" s="851"/>
      <c r="K3" s="594"/>
      <c r="L3" s="849"/>
      <c r="M3" s="850"/>
      <c r="N3" s="851"/>
    </row>
    <row r="4" spans="1:14">
      <c r="D4" s="593"/>
      <c r="E4" s="592"/>
      <c r="F4" s="595"/>
      <c r="G4" s="544"/>
      <c r="H4" s="593"/>
      <c r="I4" s="592"/>
      <c r="J4" s="595"/>
      <c r="K4" s="594"/>
      <c r="L4" s="593"/>
      <c r="M4" s="592"/>
      <c r="N4" s="591"/>
    </row>
    <row r="5" spans="1:14">
      <c r="A5" s="179"/>
      <c r="C5" s="581"/>
      <c r="D5" s="588"/>
      <c r="E5" s="587"/>
      <c r="F5" s="590"/>
      <c r="G5" s="590"/>
      <c r="H5" s="588"/>
      <c r="I5" s="587"/>
      <c r="J5" s="590"/>
      <c r="K5" s="589"/>
      <c r="L5" s="588"/>
      <c r="M5" s="587"/>
      <c r="N5" s="587"/>
    </row>
    <row r="6" spans="1:14">
      <c r="B6" s="586"/>
      <c r="C6" s="585"/>
      <c r="D6" s="535"/>
      <c r="E6" s="507"/>
      <c r="F6" s="506"/>
      <c r="G6" s="580"/>
      <c r="H6" s="535"/>
      <c r="I6" s="507"/>
      <c r="J6" s="583"/>
      <c r="K6" s="578"/>
      <c r="L6" s="535"/>
      <c r="M6" s="507"/>
      <c r="N6" s="507"/>
    </row>
    <row r="7" spans="1:14">
      <c r="A7" s="582"/>
      <c r="B7" s="586"/>
      <c r="C7" s="585"/>
      <c r="D7" s="535"/>
      <c r="E7" s="507"/>
      <c r="F7" s="506"/>
      <c r="G7" s="580"/>
      <c r="H7" s="535"/>
      <c r="I7" s="507"/>
      <c r="J7" s="583"/>
      <c r="K7" s="578"/>
      <c r="L7" s="535"/>
      <c r="M7" s="507"/>
      <c r="N7" s="507"/>
    </row>
    <row r="8" spans="1:14">
      <c r="A8" s="582"/>
      <c r="B8" s="420"/>
      <c r="C8" s="585"/>
      <c r="D8" s="535"/>
      <c r="E8" s="507"/>
      <c r="F8" s="506"/>
      <c r="G8" s="580"/>
      <c r="H8" s="535"/>
      <c r="I8" s="507"/>
      <c r="J8" s="583"/>
      <c r="K8" s="578"/>
      <c r="L8" s="535"/>
      <c r="M8" s="507"/>
      <c r="N8" s="507"/>
    </row>
    <row r="9" spans="1:14">
      <c r="A9" s="582"/>
      <c r="B9" s="420"/>
      <c r="C9" s="585"/>
      <c r="D9" s="535"/>
      <c r="E9" s="507"/>
      <c r="F9" s="506"/>
      <c r="G9" s="580"/>
      <c r="H9" s="535"/>
      <c r="I9" s="507"/>
      <c r="J9" s="583"/>
      <c r="K9" s="578"/>
      <c r="L9" s="535"/>
      <c r="M9" s="507"/>
      <c r="N9" s="507"/>
    </row>
    <row r="10" spans="1:14">
      <c r="A10" s="582"/>
      <c r="C10" s="584"/>
      <c r="D10" s="535"/>
      <c r="E10" s="507"/>
      <c r="F10" s="583"/>
      <c r="G10" s="580"/>
      <c r="H10" s="535"/>
      <c r="I10" s="507"/>
      <c r="J10" s="583"/>
      <c r="K10" s="578"/>
      <c r="L10" s="535"/>
      <c r="M10" s="507"/>
      <c r="N10" s="507"/>
    </row>
    <row r="11" spans="1:14">
      <c r="A11" s="582"/>
      <c r="C11" s="571"/>
      <c r="D11" s="535"/>
      <c r="E11" s="507"/>
      <c r="F11" s="583"/>
      <c r="G11" s="580"/>
      <c r="H11" s="535"/>
      <c r="I11" s="507"/>
      <c r="J11" s="583"/>
      <c r="K11" s="578"/>
      <c r="L11" s="535"/>
      <c r="M11" s="507"/>
      <c r="N11" s="507"/>
    </row>
    <row r="12" spans="1:14">
      <c r="A12" s="582"/>
      <c r="C12" s="571"/>
      <c r="D12" s="535"/>
      <c r="E12" s="507"/>
      <c r="F12" s="583"/>
      <c r="G12" s="580"/>
      <c r="H12" s="535"/>
      <c r="I12" s="507"/>
      <c r="J12" s="583"/>
      <c r="K12" s="578"/>
      <c r="L12" s="535"/>
      <c r="M12" s="507"/>
      <c r="N12" s="507"/>
    </row>
    <row r="13" spans="1:14">
      <c r="A13" s="582"/>
      <c r="C13" s="571"/>
      <c r="D13" s="535"/>
      <c r="E13" s="507"/>
      <c r="F13" s="583"/>
      <c r="G13" s="580"/>
      <c r="H13" s="535"/>
      <c r="I13" s="507"/>
      <c r="J13" s="583"/>
      <c r="K13" s="578"/>
      <c r="L13" s="535"/>
      <c r="M13" s="507"/>
      <c r="N13" s="507"/>
    </row>
    <row r="14" spans="1:14">
      <c r="A14" s="582"/>
      <c r="C14" s="571"/>
      <c r="D14" s="526"/>
      <c r="E14" s="521"/>
      <c r="F14" s="583"/>
      <c r="G14" s="580"/>
      <c r="H14" s="526"/>
      <c r="I14" s="521"/>
      <c r="J14" s="583"/>
      <c r="K14" s="578"/>
      <c r="L14" s="526"/>
      <c r="M14" s="521"/>
      <c r="N14" s="507"/>
    </row>
    <row r="15" spans="1:14" ht="13.5" thickBot="1">
      <c r="A15" s="582"/>
      <c r="B15" s="525"/>
      <c r="C15" s="581"/>
      <c r="D15" s="577"/>
      <c r="E15" s="524"/>
      <c r="F15" s="579"/>
      <c r="G15" s="580"/>
      <c r="H15" s="577"/>
      <c r="I15" s="524"/>
      <c r="J15" s="579"/>
      <c r="K15" s="578"/>
      <c r="L15" s="577"/>
      <c r="M15" s="523"/>
      <c r="N15" s="523"/>
    </row>
    <row r="16" spans="1:14" ht="13.5" thickTop="1">
      <c r="A16" s="839"/>
      <c r="B16" s="839"/>
      <c r="C16" s="839"/>
      <c r="D16" s="566"/>
      <c r="E16" s="551"/>
      <c r="F16" s="557"/>
      <c r="G16" s="556"/>
      <c r="H16" s="566"/>
      <c r="I16" s="551"/>
      <c r="J16" s="557"/>
      <c r="K16" s="553"/>
      <c r="L16" s="566"/>
      <c r="M16" s="551"/>
      <c r="N16" s="551"/>
    </row>
    <row r="17" spans="1:14">
      <c r="A17" s="178"/>
      <c r="B17" s="576"/>
      <c r="C17" s="541"/>
      <c r="D17" s="574"/>
      <c r="E17" s="573"/>
      <c r="F17" s="575"/>
      <c r="G17" s="556"/>
      <c r="H17" s="574"/>
      <c r="I17" s="573"/>
      <c r="J17" s="575"/>
      <c r="K17" s="553"/>
      <c r="L17" s="574"/>
      <c r="M17" s="573"/>
      <c r="N17" s="573"/>
    </row>
    <row r="18" spans="1:14">
      <c r="A18" s="178"/>
      <c r="B18" s="576"/>
      <c r="C18" s="571"/>
      <c r="D18" s="526"/>
      <c r="E18" s="521"/>
      <c r="F18" s="570"/>
      <c r="G18" s="556"/>
      <c r="H18" s="526"/>
      <c r="I18" s="521"/>
      <c r="J18" s="570"/>
      <c r="K18" s="553"/>
      <c r="L18" s="526"/>
      <c r="M18" s="521"/>
      <c r="N18" s="569"/>
    </row>
    <row r="19" spans="1:14">
      <c r="A19" s="178"/>
      <c r="B19" s="576"/>
      <c r="C19" s="541"/>
      <c r="D19" s="574"/>
      <c r="E19" s="573"/>
      <c r="F19" s="575"/>
      <c r="G19" s="556"/>
      <c r="H19" s="574"/>
      <c r="I19" s="573"/>
      <c r="J19" s="575"/>
      <c r="K19" s="553"/>
      <c r="L19" s="574"/>
      <c r="M19" s="573"/>
      <c r="N19" s="573"/>
    </row>
    <row r="20" spans="1:14">
      <c r="A20" s="178"/>
      <c r="B20" s="572"/>
      <c r="C20" s="571"/>
      <c r="D20" s="526"/>
      <c r="E20" s="521"/>
      <c r="F20" s="570"/>
      <c r="G20" s="556"/>
      <c r="H20" s="526"/>
      <c r="I20" s="521"/>
      <c r="J20" s="570"/>
      <c r="K20" s="553"/>
      <c r="L20" s="526"/>
      <c r="M20" s="521"/>
      <c r="N20" s="569"/>
    </row>
    <row r="21" spans="1:14">
      <c r="A21" s="178"/>
      <c r="B21" s="179"/>
      <c r="C21" s="178"/>
      <c r="D21" s="566"/>
      <c r="E21" s="551"/>
      <c r="F21" s="557"/>
      <c r="G21" s="556"/>
      <c r="H21" s="568"/>
      <c r="I21" s="567"/>
      <c r="J21" s="557"/>
      <c r="K21" s="553"/>
      <c r="L21" s="566"/>
      <c r="M21" s="551"/>
      <c r="N21" s="551"/>
    </row>
    <row r="22" spans="1:14">
      <c r="A22" s="178"/>
      <c r="C22" s="537"/>
      <c r="D22" s="564"/>
      <c r="E22" s="563"/>
      <c r="F22" s="557"/>
      <c r="G22" s="556"/>
      <c r="H22" s="564"/>
      <c r="I22" s="563"/>
      <c r="J22" s="557"/>
      <c r="K22" s="553"/>
      <c r="L22" s="564"/>
      <c r="M22" s="563"/>
      <c r="N22" s="551"/>
    </row>
    <row r="23" spans="1:14">
      <c r="A23" s="178"/>
      <c r="C23" s="537"/>
      <c r="D23" s="564"/>
      <c r="E23" s="563"/>
      <c r="F23" s="565"/>
      <c r="G23" s="556"/>
      <c r="H23" s="564"/>
      <c r="I23" s="563"/>
      <c r="J23" s="557"/>
      <c r="K23" s="553"/>
      <c r="L23" s="564"/>
      <c r="M23" s="563"/>
      <c r="N23" s="551"/>
    </row>
    <row r="24" spans="1:14">
      <c r="A24" s="178"/>
      <c r="C24" s="537"/>
      <c r="D24" s="564"/>
      <c r="E24" s="563"/>
      <c r="F24" s="557"/>
      <c r="G24" s="556"/>
      <c r="H24" s="564"/>
      <c r="I24" s="563"/>
      <c r="J24" s="557"/>
      <c r="K24" s="553"/>
      <c r="L24" s="564"/>
      <c r="M24" s="563"/>
      <c r="N24" s="551"/>
    </row>
    <row r="25" spans="1:14">
      <c r="A25" s="178"/>
      <c r="C25" s="537"/>
      <c r="D25" s="564"/>
      <c r="E25" s="563"/>
      <c r="F25" s="557"/>
      <c r="G25" s="556"/>
      <c r="H25" s="564"/>
      <c r="I25" s="563"/>
      <c r="J25" s="557"/>
      <c r="K25" s="553"/>
      <c r="L25" s="564"/>
      <c r="M25" s="563"/>
      <c r="N25" s="551"/>
    </row>
    <row r="26" spans="1:14">
      <c r="A26" s="178"/>
      <c r="C26" s="537"/>
      <c r="D26" s="564"/>
      <c r="E26" s="563"/>
      <c r="F26" s="557"/>
      <c r="G26" s="556"/>
      <c r="H26" s="564"/>
      <c r="I26" s="563"/>
      <c r="J26" s="557"/>
      <c r="K26" s="553"/>
      <c r="L26" s="564"/>
      <c r="M26" s="563"/>
      <c r="N26" s="551"/>
    </row>
    <row r="27" spans="1:14" ht="15">
      <c r="B27" s="533"/>
      <c r="C27" s="522"/>
      <c r="D27" s="530"/>
      <c r="E27" s="532"/>
      <c r="F27" s="531"/>
      <c r="G27" s="562"/>
      <c r="H27" s="530"/>
      <c r="I27" s="532"/>
      <c r="J27" s="531"/>
      <c r="K27" s="561"/>
      <c r="L27" s="530"/>
      <c r="M27" s="529"/>
      <c r="N27" s="159">
        <f>4222168+697094</f>
        <v>4919262</v>
      </c>
    </row>
    <row r="28" spans="1:14" ht="15">
      <c r="B28" s="179"/>
      <c r="C28" s="522"/>
      <c r="D28" s="558"/>
      <c r="E28" s="560"/>
      <c r="F28" s="559"/>
      <c r="G28" s="520"/>
      <c r="H28" s="558"/>
      <c r="I28" s="560"/>
      <c r="J28" s="559"/>
      <c r="K28" s="520"/>
      <c r="L28" s="558"/>
      <c r="M28" s="521"/>
      <c r="N28" s="159">
        <f>1947976+321617</f>
        <v>2269593</v>
      </c>
    </row>
    <row r="29" spans="1:14" ht="15">
      <c r="A29" s="839"/>
      <c r="B29" s="839"/>
      <c r="C29" s="839"/>
      <c r="D29" s="526"/>
      <c r="E29" s="521"/>
      <c r="F29" s="527"/>
      <c r="G29" s="520"/>
      <c r="H29" s="526"/>
      <c r="I29" s="521"/>
      <c r="J29" s="527"/>
      <c r="K29" s="520"/>
      <c r="L29" s="526"/>
      <c r="M29" s="521"/>
      <c r="N29" s="159">
        <f>12354938+534870</f>
        <v>12889808</v>
      </c>
    </row>
    <row r="30" spans="1:14" ht="15">
      <c r="A30" s="178"/>
      <c r="C30" s="537"/>
      <c r="D30" s="535"/>
      <c r="E30" s="507"/>
      <c r="F30" s="557"/>
      <c r="G30" s="556"/>
      <c r="H30" s="535"/>
      <c r="I30" s="507"/>
      <c r="J30" s="557"/>
      <c r="K30" s="553"/>
      <c r="L30" s="535"/>
      <c r="M30" s="507"/>
      <c r="N30" s="159">
        <f>229201+493813</f>
        <v>723014</v>
      </c>
    </row>
    <row r="31" spans="1:14">
      <c r="A31" s="178"/>
      <c r="C31" s="537"/>
      <c r="D31" s="535"/>
      <c r="E31" s="507"/>
      <c r="F31" s="557"/>
      <c r="G31" s="556"/>
      <c r="H31" s="535"/>
      <c r="I31" s="507"/>
      <c r="J31" s="557"/>
      <c r="K31" s="553"/>
      <c r="L31" s="535"/>
      <c r="M31" s="507"/>
      <c r="N31" s="551"/>
    </row>
    <row r="32" spans="1:14">
      <c r="A32" s="178"/>
      <c r="C32" s="537"/>
      <c r="D32" s="535"/>
      <c r="E32" s="507"/>
      <c r="F32" s="557"/>
      <c r="G32" s="556"/>
      <c r="H32" s="535"/>
      <c r="I32" s="507"/>
      <c r="J32" s="557"/>
      <c r="K32" s="553"/>
      <c r="L32" s="535"/>
      <c r="M32" s="507"/>
      <c r="N32" s="551"/>
    </row>
    <row r="33" spans="1:14">
      <c r="A33" s="178"/>
      <c r="C33" s="537"/>
      <c r="D33" s="535"/>
      <c r="E33" s="507"/>
      <c r="F33" s="557"/>
      <c r="G33" s="556"/>
      <c r="H33" s="535"/>
      <c r="I33" s="507"/>
      <c r="J33" s="557"/>
      <c r="K33" s="553"/>
      <c r="L33" s="535"/>
      <c r="M33" s="507"/>
      <c r="N33" s="551"/>
    </row>
    <row r="34" spans="1:14">
      <c r="A34" s="178"/>
      <c r="C34" s="537"/>
      <c r="D34" s="552"/>
      <c r="E34" s="555"/>
      <c r="F34" s="554"/>
      <c r="G34" s="556"/>
      <c r="H34" s="552"/>
      <c r="I34" s="555"/>
      <c r="J34" s="554"/>
      <c r="K34" s="553"/>
      <c r="L34" s="552"/>
      <c r="M34" s="507"/>
      <c r="N34" s="551"/>
    </row>
    <row r="35" spans="1:14">
      <c r="B35" s="533"/>
      <c r="C35" s="522"/>
      <c r="D35" s="546"/>
      <c r="E35" s="549"/>
      <c r="F35" s="548"/>
      <c r="G35" s="550"/>
      <c r="H35" s="546"/>
      <c r="I35" s="549"/>
      <c r="J35" s="548"/>
      <c r="K35" s="547"/>
      <c r="L35" s="546"/>
      <c r="M35" s="545"/>
      <c r="N35" s="528"/>
    </row>
    <row r="36" spans="1:14">
      <c r="B36" s="179"/>
      <c r="C36" s="522"/>
      <c r="D36" s="526"/>
      <c r="E36" s="521"/>
      <c r="F36" s="527"/>
      <c r="G36" s="520"/>
      <c r="H36" s="526"/>
      <c r="I36" s="521"/>
      <c r="J36" s="527"/>
      <c r="K36" s="520"/>
      <c r="L36" s="526"/>
      <c r="M36" s="521"/>
      <c r="N36" s="521"/>
    </row>
    <row r="37" spans="1:14">
      <c r="A37" s="839"/>
      <c r="B37" s="839"/>
      <c r="C37" s="839"/>
      <c r="D37" s="543"/>
      <c r="F37" s="544"/>
      <c r="G37" s="520"/>
      <c r="H37" s="543"/>
      <c r="J37" s="544"/>
      <c r="K37" s="520"/>
      <c r="L37" s="543"/>
    </row>
    <row r="38" spans="1:14">
      <c r="A38" s="539"/>
      <c r="B38" s="542"/>
      <c r="C38" s="541"/>
      <c r="D38" s="540"/>
      <c r="E38" s="534"/>
      <c r="F38" s="536"/>
      <c r="G38" s="520"/>
      <c r="H38" s="540"/>
      <c r="I38" s="534"/>
      <c r="J38" s="536"/>
      <c r="K38" s="520"/>
      <c r="L38" s="540"/>
      <c r="M38" s="534"/>
      <c r="N38" s="534"/>
    </row>
    <row r="39" spans="1:14">
      <c r="A39" s="539"/>
      <c r="C39" s="537"/>
      <c r="D39" s="535"/>
      <c r="E39" s="507"/>
      <c r="F39" s="536"/>
      <c r="G39" s="520"/>
      <c r="H39" s="535"/>
      <c r="I39" s="507"/>
      <c r="J39" s="536"/>
      <c r="K39" s="520"/>
      <c r="L39" s="535"/>
      <c r="M39" s="507"/>
      <c r="N39" s="534"/>
    </row>
    <row r="40" spans="1:14">
      <c r="A40" s="539"/>
      <c r="C40" s="537"/>
      <c r="D40" s="535"/>
      <c r="E40" s="507"/>
      <c r="F40" s="536"/>
      <c r="G40" s="520"/>
      <c r="H40" s="535"/>
      <c r="I40" s="507"/>
      <c r="J40" s="536"/>
      <c r="K40" s="520"/>
      <c r="L40" s="535"/>
      <c r="M40" s="507"/>
      <c r="N40" s="534"/>
    </row>
    <row r="41" spans="1:14">
      <c r="A41" s="538"/>
      <c r="C41" s="537"/>
      <c r="D41" s="535"/>
      <c r="E41" s="507"/>
      <c r="F41" s="536"/>
      <c r="G41" s="520"/>
      <c r="H41" s="535"/>
      <c r="I41" s="507"/>
      <c r="J41" s="536"/>
      <c r="K41" s="520"/>
      <c r="L41" s="535"/>
      <c r="M41" s="507"/>
      <c r="N41" s="534"/>
    </row>
    <row r="42" spans="1:14">
      <c r="A42" s="538"/>
      <c r="C42" s="537"/>
      <c r="D42" s="535"/>
      <c r="E42" s="507"/>
      <c r="F42" s="536"/>
      <c r="G42" s="520"/>
      <c r="H42" s="535"/>
      <c r="I42" s="507"/>
      <c r="J42" s="536"/>
      <c r="K42" s="520"/>
      <c r="L42" s="535"/>
      <c r="M42" s="507"/>
      <c r="N42" s="534"/>
    </row>
    <row r="43" spans="1:14">
      <c r="A43" s="538"/>
      <c r="C43" s="537"/>
      <c r="D43" s="535"/>
      <c r="E43" s="507"/>
      <c r="F43" s="536"/>
      <c r="G43" s="520"/>
      <c r="H43" s="535"/>
      <c r="I43" s="507"/>
      <c r="J43" s="536"/>
      <c r="K43" s="520"/>
      <c r="L43" s="535"/>
      <c r="M43" s="507"/>
      <c r="N43" s="534"/>
    </row>
    <row r="44" spans="1:14">
      <c r="B44" s="533"/>
      <c r="C44" s="522"/>
      <c r="D44" s="530"/>
      <c r="E44" s="532"/>
      <c r="F44" s="531"/>
      <c r="G44" s="520"/>
      <c r="H44" s="530"/>
      <c r="I44" s="532"/>
      <c r="J44" s="531"/>
      <c r="K44" s="520"/>
      <c r="L44" s="530"/>
      <c r="M44" s="529"/>
      <c r="N44" s="528"/>
    </row>
    <row r="45" spans="1:14">
      <c r="B45" s="179"/>
      <c r="C45" s="522"/>
      <c r="D45" s="526"/>
      <c r="E45" s="521"/>
      <c r="F45" s="527"/>
      <c r="G45" s="520"/>
      <c r="H45" s="526"/>
      <c r="I45" s="521"/>
      <c r="J45" s="527"/>
      <c r="K45" s="520"/>
      <c r="L45" s="526"/>
      <c r="M45" s="521"/>
      <c r="N45" s="521"/>
    </row>
    <row r="46" spans="1:14" ht="13.5" thickBot="1">
      <c r="B46" s="525"/>
      <c r="C46" s="522"/>
      <c r="D46" s="524"/>
      <c r="E46" s="524"/>
      <c r="F46" s="524"/>
      <c r="G46" s="520"/>
      <c r="H46" s="524"/>
      <c r="I46" s="524"/>
      <c r="J46" s="524"/>
      <c r="K46" s="520"/>
      <c r="L46" s="524"/>
      <c r="M46" s="523"/>
      <c r="N46" s="523"/>
    </row>
    <row r="47" spans="1:14" ht="13.5" thickTop="1">
      <c r="B47" s="179"/>
      <c r="C47" s="522"/>
      <c r="D47" s="521"/>
      <c r="E47" s="521"/>
      <c r="F47" s="521"/>
      <c r="G47" s="520"/>
      <c r="H47" s="519"/>
      <c r="I47" s="519"/>
      <c r="J47" s="518"/>
      <c r="K47" s="520"/>
      <c r="L47" s="519"/>
      <c r="M47" s="519"/>
      <c r="N47" s="518"/>
    </row>
    <row r="48" spans="1:14">
      <c r="B48" s="517"/>
      <c r="D48" s="500"/>
      <c r="E48" s="516"/>
      <c r="F48" s="500"/>
      <c r="G48" s="500"/>
      <c r="H48" s="500"/>
      <c r="I48" s="500"/>
      <c r="J48" s="500"/>
      <c r="K48" s="500"/>
      <c r="L48" s="500"/>
    </row>
    <row r="49" spans="2:15">
      <c r="B49" s="515"/>
      <c r="C49" s="515"/>
      <c r="D49" s="514"/>
      <c r="G49" s="500"/>
      <c r="H49" s="500"/>
      <c r="I49" s="500"/>
      <c r="J49" s="500"/>
      <c r="K49" s="500"/>
    </row>
    <row r="50" spans="2:15">
      <c r="E50" s="498"/>
      <c r="G50" s="500"/>
      <c r="H50" s="500"/>
      <c r="I50" s="500"/>
      <c r="J50" s="498"/>
      <c r="K50" s="500"/>
    </row>
    <row r="51" spans="2:15" ht="12.75" customHeight="1">
      <c r="B51" s="513"/>
      <c r="C51" s="512"/>
      <c r="D51" s="510"/>
      <c r="E51" s="511"/>
      <c r="F51" s="510"/>
      <c r="G51" s="510"/>
      <c r="H51" s="510"/>
      <c r="I51" s="510"/>
      <c r="J51" s="509"/>
      <c r="K51" s="500"/>
      <c r="L51" s="497"/>
      <c r="M51" s="497"/>
      <c r="N51" s="497"/>
      <c r="O51" s="496"/>
    </row>
    <row r="52" spans="2:15">
      <c r="B52" s="508"/>
      <c r="C52" s="420"/>
      <c r="E52" s="507"/>
      <c r="J52" s="506"/>
      <c r="K52" s="500"/>
      <c r="L52" s="497"/>
      <c r="M52" s="497"/>
      <c r="N52" s="497"/>
      <c r="O52" s="496"/>
    </row>
    <row r="53" spans="2:15">
      <c r="B53" s="505"/>
      <c r="C53" s="504"/>
      <c r="D53" s="502"/>
      <c r="E53" s="503"/>
      <c r="F53" s="502"/>
      <c r="G53" s="502"/>
      <c r="H53" s="502"/>
      <c r="I53" s="502"/>
      <c r="J53" s="501"/>
      <c r="K53" s="500"/>
      <c r="L53" s="499"/>
      <c r="M53" s="497"/>
      <c r="N53" s="497"/>
      <c r="O53" s="496"/>
    </row>
    <row r="54" spans="2:15">
      <c r="E54" s="498"/>
      <c r="J54" s="498"/>
      <c r="L54" s="497"/>
      <c r="M54" s="497"/>
      <c r="N54" s="497"/>
      <c r="O54" s="496"/>
    </row>
    <row r="55" spans="2:15">
      <c r="L55" s="497"/>
      <c r="M55" s="497"/>
      <c r="N55" s="497"/>
      <c r="O55" s="496"/>
    </row>
    <row r="56" spans="2:15">
      <c r="E56" s="491"/>
      <c r="F56" s="491"/>
      <c r="L56" s="497"/>
      <c r="M56" s="497"/>
      <c r="N56" s="497"/>
      <c r="O56" s="496"/>
    </row>
    <row r="57" spans="2:15" ht="12.75" customHeight="1">
      <c r="B57" s="491"/>
      <c r="C57" s="100"/>
      <c r="E57" s="488"/>
      <c r="F57" s="488"/>
      <c r="H57" s="493"/>
      <c r="I57" s="493"/>
      <c r="J57" s="493"/>
      <c r="K57" s="493"/>
      <c r="L57" s="497"/>
      <c r="M57" s="497"/>
      <c r="N57" s="497"/>
      <c r="O57" s="496"/>
    </row>
    <row r="58" spans="2:15">
      <c r="B58" s="491"/>
      <c r="C58" s="100"/>
      <c r="E58" s="490"/>
      <c r="F58" s="490"/>
      <c r="H58" s="493"/>
      <c r="I58" s="493"/>
      <c r="J58" s="493"/>
      <c r="K58" s="493"/>
      <c r="L58" s="497"/>
      <c r="M58" s="497"/>
      <c r="N58" s="497"/>
      <c r="O58" s="496"/>
    </row>
    <row r="59" spans="2:15">
      <c r="B59" s="489"/>
      <c r="C59" s="100"/>
      <c r="E59" s="488"/>
      <c r="F59" s="488"/>
      <c r="G59" s="495"/>
      <c r="H59" s="493"/>
      <c r="I59" s="493"/>
      <c r="J59" s="493"/>
      <c r="K59" s="493"/>
      <c r="L59" s="497"/>
      <c r="M59" s="497"/>
      <c r="N59" s="497"/>
      <c r="O59" s="496"/>
    </row>
    <row r="60" spans="2:15">
      <c r="H60" s="493"/>
      <c r="I60" s="493"/>
      <c r="J60" s="493"/>
      <c r="K60" s="493"/>
      <c r="L60" s="494"/>
      <c r="M60" s="494"/>
      <c r="N60" s="494"/>
      <c r="O60" s="496"/>
    </row>
    <row r="61" spans="2:15">
      <c r="B61" s="491"/>
      <c r="C61" s="100"/>
      <c r="E61" s="488"/>
      <c r="F61" s="488"/>
      <c r="H61" s="493"/>
      <c r="I61" s="493"/>
      <c r="J61" s="493"/>
      <c r="K61" s="493"/>
      <c r="L61" s="494"/>
      <c r="M61" s="494"/>
      <c r="N61" s="494"/>
      <c r="O61" s="496"/>
    </row>
    <row r="62" spans="2:15">
      <c r="B62" s="491"/>
      <c r="C62" s="100"/>
      <c r="E62" s="490"/>
      <c r="F62" s="490"/>
      <c r="H62" s="493"/>
      <c r="I62" s="493"/>
      <c r="J62" s="493"/>
      <c r="K62" s="493"/>
      <c r="L62" s="494"/>
      <c r="M62" s="494"/>
      <c r="N62" s="494"/>
    </row>
    <row r="63" spans="2:15">
      <c r="B63" s="489"/>
      <c r="C63" s="100"/>
      <c r="E63" s="488"/>
      <c r="F63" s="488"/>
      <c r="G63" s="495"/>
      <c r="H63" s="493"/>
      <c r="I63" s="493"/>
      <c r="J63" s="493"/>
      <c r="K63" s="493"/>
      <c r="L63" s="494"/>
      <c r="M63" s="494"/>
      <c r="N63" s="494"/>
    </row>
    <row r="64" spans="2:15">
      <c r="H64" s="493"/>
      <c r="I64" s="493"/>
      <c r="J64" s="493"/>
      <c r="K64" s="493"/>
      <c r="L64" s="492"/>
      <c r="M64" s="492"/>
      <c r="N64" s="492"/>
    </row>
    <row r="65" spans="2:14">
      <c r="E65" s="491"/>
      <c r="F65" s="491"/>
      <c r="H65" s="493"/>
      <c r="I65" s="493"/>
      <c r="J65" s="493"/>
      <c r="K65" s="493"/>
      <c r="L65" s="492"/>
      <c r="M65" s="492"/>
      <c r="N65" s="492"/>
    </row>
    <row r="66" spans="2:14">
      <c r="B66" s="491"/>
      <c r="C66" s="100"/>
      <c r="E66" s="488"/>
      <c r="F66" s="488"/>
      <c r="H66" s="493"/>
      <c r="I66" s="493"/>
      <c r="J66" s="493"/>
      <c r="K66" s="493"/>
      <c r="L66" s="492"/>
      <c r="M66" s="492"/>
      <c r="N66" s="492"/>
    </row>
    <row r="67" spans="2:14">
      <c r="B67" s="491"/>
      <c r="C67" s="100"/>
      <c r="E67" s="490"/>
      <c r="F67" s="490"/>
      <c r="L67" s="492"/>
      <c r="M67" s="492"/>
      <c r="N67" s="492"/>
    </row>
    <row r="68" spans="2:14">
      <c r="B68" s="489"/>
      <c r="C68" s="100"/>
      <c r="E68" s="488"/>
      <c r="F68" s="488"/>
      <c r="G68" s="487"/>
      <c r="L68" s="492"/>
      <c r="M68" s="492"/>
      <c r="N68" s="492"/>
    </row>
    <row r="70" spans="2:14">
      <c r="B70" s="491"/>
      <c r="C70" s="100"/>
      <c r="E70" s="488"/>
      <c r="F70" s="488"/>
    </row>
    <row r="71" spans="2:14">
      <c r="B71" s="491"/>
      <c r="C71" s="100"/>
      <c r="E71" s="490"/>
      <c r="F71" s="490"/>
    </row>
    <row r="72" spans="2:14">
      <c r="B72" s="489"/>
      <c r="C72" s="100"/>
      <c r="E72" s="488"/>
      <c r="F72" s="488"/>
      <c r="G72" s="487"/>
    </row>
  </sheetData>
  <mergeCells count="6">
    <mergeCell ref="A37:C37"/>
    <mergeCell ref="D2:F3"/>
    <mergeCell ref="H2:J3"/>
    <mergeCell ref="L2:N3"/>
    <mergeCell ref="A16:C16"/>
    <mergeCell ref="A29:C29"/>
  </mergeCells>
  <conditionalFormatting sqref="E53">
    <cfRule type="cellIs" dxfId="1" priority="2" operator="notBetween">
      <formula>0.4</formula>
      <formula>0.6</formula>
    </cfRule>
  </conditionalFormatting>
  <conditionalFormatting sqref="J53">
    <cfRule type="cellIs" dxfId="0" priority="1" operator="notBetween">
      <formula>0.4</formula>
      <formula>0.6</formula>
    </cfRule>
  </conditionalFormatting>
  <pageMargins left="0.25" right="0.25" top="0.75" bottom="0.75" header="0.3" footer="0.3"/>
  <pageSetup paperSize="5" scale="73" orientation="landscape" r:id="rId1"/>
  <drawing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tabColor rgb="FFFF0000"/>
  </sheetPr>
  <dimension ref="A1:V31"/>
  <sheetViews>
    <sheetView workbookViewId="0"/>
  </sheetViews>
  <sheetFormatPr defaultRowHeight="15"/>
  <cols>
    <col min="6" max="8" width="8.85546875" customWidth="1"/>
    <col min="12" max="12" width="12.7109375" customWidth="1"/>
    <col min="14" max="16" width="8.85546875" customWidth="1"/>
    <col min="22" max="22" width="13.85546875" bestFit="1" customWidth="1"/>
  </cols>
  <sheetData>
    <row r="1" spans="1:17">
      <c r="A1" s="26" t="s">
        <v>2932</v>
      </c>
      <c r="B1" s="94" t="s">
        <v>3971</v>
      </c>
      <c r="C1" s="26"/>
      <c r="D1" s="26"/>
      <c r="E1" s="26"/>
      <c r="F1" s="26"/>
      <c r="G1" s="26"/>
      <c r="H1" s="26"/>
      <c r="I1" s="26"/>
      <c r="J1" s="26"/>
      <c r="K1" s="26"/>
      <c r="L1" s="26"/>
      <c r="M1" s="26"/>
      <c r="N1" s="26"/>
      <c r="O1" s="26"/>
      <c r="P1" s="26"/>
      <c r="Q1" s="26"/>
    </row>
    <row r="28" spans="22:22">
      <c r="V28" s="159">
        <f>2082240+340760</f>
        <v>2423000</v>
      </c>
    </row>
    <row r="29" spans="22:22">
      <c r="V29" s="159">
        <f>2516372+411806</f>
        <v>2928178</v>
      </c>
    </row>
    <row r="30" spans="22:22">
      <c r="V30" s="159">
        <f>13808595+617977</f>
        <v>14426572</v>
      </c>
    </row>
    <row r="31" spans="22:22">
      <c r="V31" s="159">
        <f>200784+499157</f>
        <v>699941</v>
      </c>
    </row>
  </sheetData>
  <pageMargins left="0.7" right="0.7" top="0.75" bottom="0.75" header="0.3" footer="0.3"/>
  <pageSetup orientation="portrait" r:id="rId1"/>
  <drawing r:id="rId2"/>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Sheet29">
    <tabColor rgb="FFFF0000"/>
    <pageSetUpPr fitToPage="1"/>
  </sheetPr>
  <dimension ref="A1:P336"/>
  <sheetViews>
    <sheetView workbookViewId="0"/>
  </sheetViews>
  <sheetFormatPr defaultColWidth="9.140625" defaultRowHeight="12.75"/>
  <cols>
    <col min="1" max="1" width="13.7109375" style="99" customWidth="1"/>
    <col min="2" max="3" width="13.5703125" style="99" customWidth="1"/>
    <col min="4" max="5" width="13.5703125" style="240" customWidth="1"/>
    <col min="6" max="6" width="13.28515625" style="240" customWidth="1"/>
    <col min="7" max="7" width="13.5703125" style="240" customWidth="1"/>
    <col min="8" max="8" width="14" style="240" bestFit="1" customWidth="1"/>
    <col min="9" max="9" width="12.7109375" style="99" customWidth="1"/>
    <col min="10" max="11" width="16.5703125" style="99" customWidth="1"/>
    <col min="12" max="12" width="15.42578125" style="99" customWidth="1"/>
    <col min="13" max="15" width="16.42578125" style="99" customWidth="1"/>
    <col min="16" max="16384" width="9.140625" style="99"/>
  </cols>
  <sheetData>
    <row r="1" spans="1:16">
      <c r="A1" s="100" t="s">
        <v>976</v>
      </c>
    </row>
    <row r="3" spans="1:16" ht="128.25">
      <c r="A3" t="s">
        <v>3972</v>
      </c>
      <c r="B3" t="s">
        <v>1210</v>
      </c>
      <c r="C3" t="s">
        <v>3973</v>
      </c>
      <c r="D3" s="171" t="s">
        <v>3974</v>
      </c>
      <c r="E3" s="171" t="s">
        <v>3975</v>
      </c>
      <c r="F3" s="171" t="s">
        <v>3976</v>
      </c>
      <c r="G3" s="171" t="s">
        <v>3977</v>
      </c>
      <c r="H3" s="241" t="s">
        <v>3978</v>
      </c>
      <c r="I3"/>
      <c r="J3" s="146" t="s">
        <v>3979</v>
      </c>
      <c r="K3" s="146" t="s">
        <v>3980</v>
      </c>
      <c r="L3" s="146" t="s">
        <v>3981</v>
      </c>
      <c r="M3" s="170"/>
      <c r="N3" s="146" t="s">
        <v>3982</v>
      </c>
      <c r="O3" s="146" t="s">
        <v>3983</v>
      </c>
      <c r="P3" s="237" t="s">
        <v>3984</v>
      </c>
    </row>
    <row r="4" spans="1:16" ht="15">
      <c r="A4">
        <v>70000051</v>
      </c>
      <c r="B4">
        <v>5110</v>
      </c>
      <c r="C4" t="s">
        <v>198</v>
      </c>
      <c r="D4" s="171">
        <v>30091.38</v>
      </c>
      <c r="E4" s="171">
        <v>55924.83</v>
      </c>
      <c r="F4" s="171">
        <v>0</v>
      </c>
      <c r="G4" s="171">
        <v>86016.21</v>
      </c>
      <c r="H4" s="171">
        <v>0</v>
      </c>
      <c r="I4"/>
      <c r="J4" s="172">
        <v>0.19153021765761824</v>
      </c>
      <c r="K4" s="172">
        <v>8.7715108828809105E-2</v>
      </c>
      <c r="L4" s="172">
        <v>2.7857985489492112E-2</v>
      </c>
      <c r="M4"/>
      <c r="N4" s="159">
        <f>$E4*J4</f>
        <v>10711.294862365299</v>
      </c>
      <c r="O4" s="159">
        <f>$E4*K4</f>
        <v>4905.4525496826482</v>
      </c>
      <c r="P4" s="198">
        <f>$E4*L4</f>
        <v>1557.9531026423133</v>
      </c>
    </row>
    <row r="5" spans="1:16" ht="15">
      <c r="A5">
        <v>70000575</v>
      </c>
      <c r="B5">
        <v>5110</v>
      </c>
      <c r="C5" t="s">
        <v>3985</v>
      </c>
      <c r="D5" s="171">
        <v>86170</v>
      </c>
      <c r="E5" s="171">
        <v>160146.95000000001</v>
      </c>
      <c r="F5" s="171">
        <v>0</v>
      </c>
      <c r="G5" s="171">
        <v>246316.95</v>
      </c>
      <c r="H5" s="171">
        <v>0</v>
      </c>
      <c r="I5"/>
      <c r="J5" s="172">
        <v>0.53011766421599971</v>
      </c>
      <c r="K5" s="172">
        <v>3.8180901749571405E-3</v>
      </c>
      <c r="L5" s="172">
        <v>1.21881825951149E-3</v>
      </c>
      <c r="M5"/>
      <c r="N5" s="159">
        <f>$E5*J5</f>
        <v>84896.727065316503</v>
      </c>
      <c r="O5" s="159">
        <f>$G5*K5</f>
        <v>940.46032672040928</v>
      </c>
      <c r="P5" s="198">
        <f>$G5*L5</f>
        <v>300.2155962871787</v>
      </c>
    </row>
    <row r="6" spans="1:16" ht="15">
      <c r="A6">
        <v>70000642</v>
      </c>
      <c r="B6">
        <v>5110</v>
      </c>
      <c r="C6" t="s">
        <v>198</v>
      </c>
      <c r="D6" s="171">
        <v>29335.82</v>
      </c>
      <c r="E6" s="171">
        <v>54520.62</v>
      </c>
      <c r="F6" s="171">
        <v>0</v>
      </c>
      <c r="G6" s="171">
        <v>83856.44</v>
      </c>
      <c r="H6" s="171">
        <v>0</v>
      </c>
      <c r="I6"/>
      <c r="J6" s="172">
        <v>0</v>
      </c>
      <c r="K6" s="172">
        <v>0</v>
      </c>
      <c r="L6" s="172">
        <v>7.0015250805920318E-2</v>
      </c>
      <c r="M6"/>
      <c r="N6" s="159">
        <f t="shared" ref="N6:P68" si="0">$E6*J6</f>
        <v>0</v>
      </c>
      <c r="O6" s="159">
        <f t="shared" si="0"/>
        <v>0</v>
      </c>
      <c r="P6" s="198">
        <f t="shared" si="0"/>
        <v>3817.2748833942755</v>
      </c>
    </row>
    <row r="7" spans="1:16" ht="15">
      <c r="A7">
        <v>70000654</v>
      </c>
      <c r="B7">
        <v>5110</v>
      </c>
      <c r="C7" t="s">
        <v>198</v>
      </c>
      <c r="D7" s="171">
        <v>33318.5</v>
      </c>
      <c r="E7" s="171">
        <v>79364.67</v>
      </c>
      <c r="F7" s="171">
        <v>0</v>
      </c>
      <c r="G7" s="171">
        <v>112683.17</v>
      </c>
      <c r="H7" s="171">
        <v>0</v>
      </c>
      <c r="I7"/>
      <c r="J7" s="172">
        <v>0</v>
      </c>
      <c r="K7" s="172">
        <v>0</v>
      </c>
      <c r="L7" s="172">
        <v>0</v>
      </c>
      <c r="M7"/>
      <c r="N7" s="159">
        <f t="shared" si="0"/>
        <v>0</v>
      </c>
      <c r="O7" s="159">
        <f t="shared" si="0"/>
        <v>0</v>
      </c>
      <c r="P7" s="198">
        <f t="shared" si="0"/>
        <v>0</v>
      </c>
    </row>
    <row r="8" spans="1:16" ht="15">
      <c r="A8">
        <v>70001164</v>
      </c>
      <c r="B8">
        <v>5110</v>
      </c>
      <c r="C8" t="s">
        <v>201</v>
      </c>
      <c r="D8" s="171">
        <v>2286.63</v>
      </c>
      <c r="E8" s="171">
        <v>3631.17</v>
      </c>
      <c r="F8" s="171">
        <v>0</v>
      </c>
      <c r="G8" s="171">
        <v>5917.8</v>
      </c>
      <c r="H8" s="171">
        <v>0</v>
      </c>
      <c r="I8"/>
      <c r="J8" s="172">
        <v>3.0663536888710093E-2</v>
      </c>
      <c r="K8" s="172">
        <v>1.4038727732180525E-2</v>
      </c>
      <c r="L8" s="172">
        <v>4.4814702943688405E-3</v>
      </c>
      <c r="M8"/>
      <c r="N8" s="159">
        <f t="shared" si="0"/>
        <v>111.34451524417743</v>
      </c>
      <c r="O8" s="159">
        <f t="shared" si="0"/>
        <v>50.977006979261958</v>
      </c>
      <c r="P8" s="198">
        <f t="shared" si="0"/>
        <v>16.272980488803302</v>
      </c>
    </row>
    <row r="9" spans="1:16" ht="15">
      <c r="A9">
        <v>70001341</v>
      </c>
      <c r="B9">
        <v>5110</v>
      </c>
      <c r="C9" t="s">
        <v>198</v>
      </c>
      <c r="D9" s="171">
        <v>29821.57</v>
      </c>
      <c r="E9" s="171">
        <v>55423.39</v>
      </c>
      <c r="F9" s="171">
        <v>0</v>
      </c>
      <c r="G9" s="171">
        <v>85244.96</v>
      </c>
      <c r="H9" s="171">
        <v>0</v>
      </c>
      <c r="I9"/>
      <c r="J9" s="172">
        <v>0</v>
      </c>
      <c r="K9" s="172">
        <v>0</v>
      </c>
      <c r="L9" s="172">
        <v>0</v>
      </c>
      <c r="M9"/>
      <c r="N9" s="159">
        <f t="shared" si="0"/>
        <v>0</v>
      </c>
      <c r="O9" s="159">
        <f t="shared" si="0"/>
        <v>0</v>
      </c>
      <c r="P9" s="198">
        <f t="shared" si="0"/>
        <v>0</v>
      </c>
    </row>
    <row r="10" spans="1:16" ht="15">
      <c r="A10">
        <v>70002518</v>
      </c>
      <c r="B10">
        <v>5110</v>
      </c>
      <c r="C10" t="s">
        <v>198</v>
      </c>
      <c r="D10" s="171">
        <v>30638.7</v>
      </c>
      <c r="E10" s="171">
        <v>56942.02</v>
      </c>
      <c r="F10" s="171">
        <v>0</v>
      </c>
      <c r="G10" s="171">
        <v>87580.72</v>
      </c>
      <c r="H10" s="171">
        <v>0</v>
      </c>
      <c r="I10"/>
      <c r="J10" s="172">
        <v>0.52256215209767753</v>
      </c>
      <c r="K10" s="172">
        <v>8.9172784034009273E-2</v>
      </c>
      <c r="L10" s="172">
        <v>0</v>
      </c>
      <c r="M10"/>
      <c r="N10" s="159">
        <f t="shared" si="0"/>
        <v>29755.744515988994</v>
      </c>
      <c r="O10" s="159">
        <f t="shared" si="0"/>
        <v>5077.6784519202365</v>
      </c>
      <c r="P10" s="198">
        <f t="shared" si="0"/>
        <v>0</v>
      </c>
    </row>
    <row r="11" spans="1:16" ht="15">
      <c r="A11">
        <v>70002645</v>
      </c>
      <c r="B11">
        <v>5110</v>
      </c>
      <c r="C11" t="s">
        <v>198</v>
      </c>
      <c r="D11" s="171">
        <v>27740.38</v>
      </c>
      <c r="E11" s="171">
        <v>51555.49</v>
      </c>
      <c r="F11" s="171">
        <v>0</v>
      </c>
      <c r="G11" s="171">
        <v>79295.87</v>
      </c>
      <c r="H11" s="171">
        <v>0</v>
      </c>
      <c r="I11"/>
      <c r="J11" s="172">
        <v>5.9043795340969304E-2</v>
      </c>
      <c r="K11" s="172">
        <v>2.1532205673641606E-2</v>
      </c>
      <c r="L11" s="172">
        <v>8.5514513025916079E-3</v>
      </c>
      <c r="M11"/>
      <c r="N11" s="159">
        <f t="shared" si="0"/>
        <v>3044.0318002633894</v>
      </c>
      <c r="O11" s="159">
        <f t="shared" si="0"/>
        <v>1110.103414285373</v>
      </c>
      <c r="P11" s="198">
        <f t="shared" si="0"/>
        <v>440.87426211624859</v>
      </c>
    </row>
    <row r="12" spans="1:16" ht="15">
      <c r="A12">
        <v>70003045</v>
      </c>
      <c r="B12">
        <v>5110</v>
      </c>
      <c r="C12" t="s">
        <v>201</v>
      </c>
      <c r="D12" s="171">
        <v>1726.26</v>
      </c>
      <c r="E12" s="171">
        <v>2741.3</v>
      </c>
      <c r="F12" s="171">
        <v>0</v>
      </c>
      <c r="G12" s="171">
        <v>4467.5600000000004</v>
      </c>
      <c r="H12" s="171">
        <v>0</v>
      </c>
      <c r="I12"/>
      <c r="J12" s="172">
        <v>1.0036275244854219E-2</v>
      </c>
      <c r="K12" s="172">
        <v>5.1270137398770212E-2</v>
      </c>
      <c r="L12" s="172">
        <v>5.9024138253339822E-4</v>
      </c>
      <c r="M12"/>
      <c r="N12" s="159">
        <f t="shared" si="0"/>
        <v>27.512441328718872</v>
      </c>
      <c r="O12" s="159">
        <f t="shared" si="0"/>
        <v>140.5468276512488</v>
      </c>
      <c r="P12" s="198">
        <f t="shared" si="0"/>
        <v>1.6180287019388047</v>
      </c>
    </row>
    <row r="13" spans="1:16" ht="15">
      <c r="A13">
        <v>70004537</v>
      </c>
      <c r="B13">
        <v>5110</v>
      </c>
      <c r="C13" t="s">
        <v>3986</v>
      </c>
      <c r="D13" s="171">
        <v>35100</v>
      </c>
      <c r="E13" s="171">
        <v>65233.35</v>
      </c>
      <c r="F13" s="171">
        <v>0</v>
      </c>
      <c r="G13" s="171">
        <v>100333.35</v>
      </c>
      <c r="H13" s="171">
        <v>0</v>
      </c>
      <c r="I13"/>
      <c r="J13" s="172">
        <v>0.19263357504467504</v>
      </c>
      <c r="K13" s="172">
        <v>8.7619423476440722E-2</v>
      </c>
      <c r="L13" s="172">
        <v>2.7785320998041284E-2</v>
      </c>
      <c r="M13"/>
      <c r="N13" s="159">
        <f t="shared" si="0"/>
        <v>12566.133422640552</v>
      </c>
      <c r="O13" s="159">
        <f t="shared" si="0"/>
        <v>5715.7085184368743</v>
      </c>
      <c r="P13" s="198">
        <f t="shared" si="0"/>
        <v>1812.5295695275763</v>
      </c>
    </row>
    <row r="14" spans="1:16" ht="15">
      <c r="A14">
        <v>70006293</v>
      </c>
      <c r="B14">
        <v>5110</v>
      </c>
      <c r="C14" t="s">
        <v>313</v>
      </c>
      <c r="D14" s="171">
        <v>17521.39</v>
      </c>
      <c r="E14" s="171">
        <v>27823.97</v>
      </c>
      <c r="F14" s="171">
        <v>0</v>
      </c>
      <c r="G14" s="171">
        <v>45345.36</v>
      </c>
      <c r="H14" s="171">
        <v>0</v>
      </c>
      <c r="I14"/>
      <c r="J14" s="172">
        <v>1.2674079679112955E-2</v>
      </c>
      <c r="K14" s="172">
        <v>5.8025906964613294E-3</v>
      </c>
      <c r="L14" s="172">
        <v>1.8523144214104225E-3</v>
      </c>
      <c r="M14"/>
      <c r="N14" s="159">
        <f t="shared" si="0"/>
        <v>352.64321276924846</v>
      </c>
      <c r="O14" s="159">
        <f t="shared" si="0"/>
        <v>161.45110946061914</v>
      </c>
      <c r="P14" s="198">
        <f t="shared" si="0"/>
        <v>51.538740891890953</v>
      </c>
    </row>
    <row r="15" spans="1:16" ht="15">
      <c r="A15">
        <v>70006580</v>
      </c>
      <c r="B15">
        <v>5110</v>
      </c>
      <c r="C15" t="s">
        <v>313</v>
      </c>
      <c r="D15" s="171">
        <v>17663.05</v>
      </c>
      <c r="E15" s="171">
        <v>28048.92</v>
      </c>
      <c r="F15" s="171">
        <v>0</v>
      </c>
      <c r="G15" s="171">
        <v>45711.97</v>
      </c>
      <c r="H15" s="171">
        <v>0</v>
      </c>
      <c r="I15"/>
      <c r="J15" s="172">
        <v>5.6058073122422364E-2</v>
      </c>
      <c r="K15" s="172">
        <v>2.5688914034350925E-2</v>
      </c>
      <c r="L15" s="172">
        <v>8.0729041758438071E-3</v>
      </c>
      <c r="M15"/>
      <c r="N15" s="159">
        <f t="shared" si="0"/>
        <v>1572.368408364975</v>
      </c>
      <c r="O15" s="159">
        <f t="shared" si="0"/>
        <v>720.54629463638628</v>
      </c>
      <c r="P15" s="198">
        <f t="shared" si="0"/>
        <v>226.43624339590886</v>
      </c>
    </row>
    <row r="16" spans="1:16" ht="15">
      <c r="A16">
        <v>70006934</v>
      </c>
      <c r="B16">
        <v>5110</v>
      </c>
      <c r="C16" t="s">
        <v>313</v>
      </c>
      <c r="D16" s="171">
        <v>15403.32</v>
      </c>
      <c r="E16" s="171">
        <v>24460.47</v>
      </c>
      <c r="F16" s="171">
        <v>0</v>
      </c>
      <c r="G16" s="171">
        <v>39863.79</v>
      </c>
      <c r="H16" s="171">
        <v>0</v>
      </c>
      <c r="I16"/>
      <c r="J16" s="172">
        <v>0.17000073442948122</v>
      </c>
      <c r="K16" s="172">
        <v>4.99843690583439E-2</v>
      </c>
      <c r="L16" s="172">
        <v>1.0421640312545517E-2</v>
      </c>
      <c r="M16"/>
      <c r="N16" s="159">
        <f t="shared" si="0"/>
        <v>4158.2978644902923</v>
      </c>
      <c r="O16" s="159">
        <f t="shared" si="0"/>
        <v>1222.6411598205493</v>
      </c>
      <c r="P16" s="198">
        <f t="shared" si="0"/>
        <v>254.91822021581024</v>
      </c>
    </row>
    <row r="17" spans="1:16" ht="15">
      <c r="A17">
        <v>70007784</v>
      </c>
      <c r="B17">
        <v>5110</v>
      </c>
      <c r="C17" t="s">
        <v>200</v>
      </c>
      <c r="D17" s="171">
        <v>10180.870000000001</v>
      </c>
      <c r="E17" s="171">
        <v>16167.22</v>
      </c>
      <c r="F17" s="171">
        <v>0</v>
      </c>
      <c r="G17" s="171">
        <v>26348.09</v>
      </c>
      <c r="H17" s="171">
        <v>0</v>
      </c>
      <c r="I17"/>
      <c r="J17" s="172">
        <v>0</v>
      </c>
      <c r="K17" s="172">
        <v>0</v>
      </c>
      <c r="L17" s="172">
        <v>0</v>
      </c>
      <c r="M17"/>
      <c r="N17" s="159">
        <f t="shared" si="0"/>
        <v>0</v>
      </c>
      <c r="O17" s="159">
        <f t="shared" si="0"/>
        <v>0</v>
      </c>
      <c r="P17" s="198">
        <f t="shared" si="0"/>
        <v>0</v>
      </c>
    </row>
    <row r="18" spans="1:16" ht="15">
      <c r="A18">
        <v>70008552</v>
      </c>
      <c r="B18">
        <v>5110</v>
      </c>
      <c r="C18" t="s">
        <v>313</v>
      </c>
      <c r="D18" s="171">
        <v>16159.99</v>
      </c>
      <c r="E18" s="171">
        <v>14934.47</v>
      </c>
      <c r="F18" s="171">
        <v>7484.99</v>
      </c>
      <c r="G18" s="171">
        <v>38579.449999999997</v>
      </c>
      <c r="H18" s="171">
        <v>0</v>
      </c>
      <c r="I18"/>
      <c r="J18" s="172">
        <v>0.19172677646844716</v>
      </c>
      <c r="K18" s="172">
        <v>8.781338823422366E-2</v>
      </c>
      <c r="L18" s="172">
        <v>2.7844881568770189E-2</v>
      </c>
      <c r="M18"/>
      <c r="N18" s="159">
        <f t="shared" si="0"/>
        <v>2863.33779136473</v>
      </c>
      <c r="O18" s="159">
        <f t="shared" si="0"/>
        <v>1311.4464121823662</v>
      </c>
      <c r="P18" s="198">
        <f t="shared" si="0"/>
        <v>415.84854844235133</v>
      </c>
    </row>
    <row r="19" spans="1:16" ht="15">
      <c r="A19">
        <v>70010222</v>
      </c>
      <c r="B19">
        <v>5110</v>
      </c>
      <c r="C19" t="s">
        <v>200</v>
      </c>
      <c r="D19" s="171">
        <v>10854.8</v>
      </c>
      <c r="E19" s="171">
        <v>17237.419999999998</v>
      </c>
      <c r="F19" s="171">
        <v>0</v>
      </c>
      <c r="G19" s="171">
        <v>28092.22</v>
      </c>
      <c r="H19" s="171">
        <v>0</v>
      </c>
      <c r="I19"/>
      <c r="J19" s="172">
        <v>1.2029280978029661E-3</v>
      </c>
      <c r="K19" s="172">
        <v>3.5638920795533425E-4</v>
      </c>
      <c r="L19" s="172">
        <v>3.8570657210590154E-4</v>
      </c>
      <c r="M19"/>
      <c r="N19" s="159">
        <f t="shared" si="0"/>
        <v>20.7353768516308</v>
      </c>
      <c r="O19" s="159">
        <f t="shared" si="0"/>
        <v>6.1432304609934372</v>
      </c>
      <c r="P19" s="198">
        <f t="shared" si="0"/>
        <v>6.6485861801497084</v>
      </c>
    </row>
    <row r="20" spans="1:16" ht="15">
      <c r="A20">
        <v>70010804</v>
      </c>
      <c r="B20">
        <v>5110</v>
      </c>
      <c r="C20" t="s">
        <v>197</v>
      </c>
      <c r="D20" s="171">
        <v>64329.45</v>
      </c>
      <c r="E20" s="171">
        <v>153232.74</v>
      </c>
      <c r="F20" s="171">
        <v>0</v>
      </c>
      <c r="G20" s="171">
        <v>217562.19</v>
      </c>
      <c r="H20" s="171">
        <v>0</v>
      </c>
      <c r="I20"/>
      <c r="J20" s="172">
        <v>3.3607380526638406E-2</v>
      </c>
      <c r="K20" s="172">
        <v>6.043718676021817E-2</v>
      </c>
      <c r="L20" s="172">
        <v>2.4499861909362E-2</v>
      </c>
      <c r="M20"/>
      <c r="N20" s="159">
        <f>$E20*J20</f>
        <v>5149.7510023194454</v>
      </c>
      <c r="O20" s="159">
        <f>$G20*K20</f>
        <v>13148.84670899207</v>
      </c>
      <c r="P20" s="198">
        <f>$G20*L20</f>
        <v>5330.2436116983781</v>
      </c>
    </row>
    <row r="21" spans="1:16" ht="15">
      <c r="A21">
        <v>70011058</v>
      </c>
      <c r="B21">
        <v>5110</v>
      </c>
      <c r="C21" t="s">
        <v>3986</v>
      </c>
      <c r="D21" s="171">
        <v>35912.5</v>
      </c>
      <c r="E21" s="171">
        <v>66743.38</v>
      </c>
      <c r="F21" s="171">
        <v>0</v>
      </c>
      <c r="G21" s="171">
        <v>102655.88</v>
      </c>
      <c r="H21" s="171">
        <v>0</v>
      </c>
      <c r="I21"/>
      <c r="J21" s="172">
        <v>0.2537135046338817</v>
      </c>
      <c r="K21" s="172">
        <v>8.5471787762855841E-2</v>
      </c>
      <c r="L21" s="172">
        <v>9.8903194748221068E-3</v>
      </c>
      <c r="M21"/>
      <c r="N21" s="159">
        <f t="shared" si="0"/>
        <v>16933.696850910928</v>
      </c>
      <c r="O21" s="159">
        <f t="shared" si="0"/>
        <v>5704.6760099356379</v>
      </c>
      <c r="P21" s="198">
        <f t="shared" si="0"/>
        <v>660.11335102945236</v>
      </c>
    </row>
    <row r="22" spans="1:16" ht="15">
      <c r="A22">
        <v>70011221</v>
      </c>
      <c r="B22">
        <v>5110</v>
      </c>
      <c r="C22" t="s">
        <v>3986</v>
      </c>
      <c r="D22" s="171">
        <v>45207.07</v>
      </c>
      <c r="E22" s="171">
        <v>84017.35</v>
      </c>
      <c r="F22" s="171">
        <v>0</v>
      </c>
      <c r="G22" s="171">
        <v>129224.42</v>
      </c>
      <c r="H22" s="171">
        <v>0</v>
      </c>
      <c r="I22"/>
      <c r="J22" s="172">
        <v>0.44800167188186502</v>
      </c>
      <c r="K22" s="172">
        <v>9.5185749275079154E-2</v>
      </c>
      <c r="L22" s="172">
        <v>0</v>
      </c>
      <c r="M22"/>
      <c r="N22" s="159">
        <f t="shared" si="0"/>
        <v>37639.913267083815</v>
      </c>
      <c r="O22" s="159">
        <f t="shared" si="0"/>
        <v>7997.254411856572</v>
      </c>
      <c r="P22" s="198">
        <f t="shared" si="0"/>
        <v>0</v>
      </c>
    </row>
    <row r="23" spans="1:16" ht="15">
      <c r="A23">
        <v>70011655</v>
      </c>
      <c r="B23">
        <v>5110</v>
      </c>
      <c r="C23" t="s">
        <v>313</v>
      </c>
      <c r="D23" s="171">
        <v>17833.810000000001</v>
      </c>
      <c r="E23" s="171">
        <v>11761.36</v>
      </c>
      <c r="F23" s="171">
        <v>11553.57</v>
      </c>
      <c r="G23" s="171">
        <v>41148.74</v>
      </c>
      <c r="H23" s="171">
        <v>0</v>
      </c>
      <c r="I23"/>
      <c r="J23" s="172">
        <v>0.13088124312435637</v>
      </c>
      <c r="K23" s="172">
        <v>3.8800000000000001E-2</v>
      </c>
      <c r="L23" s="172">
        <v>4.2009378437821814E-2</v>
      </c>
      <c r="M23"/>
      <c r="N23" s="159">
        <f t="shared" si="0"/>
        <v>1539.34141763308</v>
      </c>
      <c r="O23" s="159">
        <f t="shared" si="0"/>
        <v>456.34076800000003</v>
      </c>
      <c r="P23" s="198">
        <f t="shared" si="0"/>
        <v>494.08742318345998</v>
      </c>
    </row>
    <row r="24" spans="1:16" ht="15">
      <c r="A24">
        <v>70017090</v>
      </c>
      <c r="B24">
        <v>5110</v>
      </c>
      <c r="C24" t="s">
        <v>200</v>
      </c>
      <c r="D24" s="171">
        <v>8600.17</v>
      </c>
      <c r="E24" s="171">
        <v>13657.07</v>
      </c>
      <c r="F24" s="171">
        <v>0</v>
      </c>
      <c r="G24" s="171">
        <v>22257.24</v>
      </c>
      <c r="H24" s="171">
        <v>0</v>
      </c>
      <c r="I24"/>
      <c r="J24" s="172">
        <v>0.11498263417613047</v>
      </c>
      <c r="K24" s="172">
        <v>5.2661251854634279E-2</v>
      </c>
      <c r="L24" s="172">
        <v>1.671082027440976E-2</v>
      </c>
      <c r="M24"/>
      <c r="N24" s="159">
        <f t="shared" si="0"/>
        <v>1570.3258837278061</v>
      </c>
      <c r="O24" s="159">
        <f t="shared" si="0"/>
        <v>719.1984028663702</v>
      </c>
      <c r="P24" s="198">
        <f t="shared" si="0"/>
        <v>228.22084224503331</v>
      </c>
    </row>
    <row r="25" spans="1:16" ht="15">
      <c r="A25">
        <v>70018312</v>
      </c>
      <c r="B25">
        <v>5110</v>
      </c>
      <c r="C25" t="s">
        <v>204</v>
      </c>
      <c r="D25" s="171">
        <v>3983.82</v>
      </c>
      <c r="E25" s="171">
        <v>3163.15</v>
      </c>
      <c r="F25" s="171">
        <v>2207.04</v>
      </c>
      <c r="G25" s="171">
        <v>9354.01</v>
      </c>
      <c r="H25" s="171">
        <v>0</v>
      </c>
      <c r="I25"/>
      <c r="J25" s="172">
        <v>4.8700579220819537E-2</v>
      </c>
      <c r="K25" s="172">
        <v>1.4439144912116734E-2</v>
      </c>
      <c r="L25" s="172">
        <v>6.3793104875352849E-2</v>
      </c>
      <c r="M25"/>
      <c r="N25" s="159">
        <f t="shared" si="0"/>
        <v>154.04723716233534</v>
      </c>
      <c r="O25" s="159">
        <f t="shared" si="0"/>
        <v>45.673181228762047</v>
      </c>
      <c r="P25" s="198">
        <f t="shared" si="0"/>
        <v>201.78715968647236</v>
      </c>
    </row>
    <row r="26" spans="1:16" ht="15">
      <c r="A26">
        <v>70018314</v>
      </c>
      <c r="B26">
        <v>5110</v>
      </c>
      <c r="C26" t="s">
        <v>198</v>
      </c>
      <c r="D26" s="171">
        <v>30299.1</v>
      </c>
      <c r="E26" s="171">
        <v>56310.879999999997</v>
      </c>
      <c r="F26" s="171">
        <v>0</v>
      </c>
      <c r="G26" s="171">
        <v>86609.98</v>
      </c>
      <c r="H26" s="171">
        <v>0</v>
      </c>
      <c r="I26"/>
      <c r="J26" s="172">
        <v>0.18630000000000002</v>
      </c>
      <c r="K26" s="172">
        <v>6.9499999999999992E-2</v>
      </c>
      <c r="L26" s="172">
        <v>3.7791108064079704E-2</v>
      </c>
      <c r="M26"/>
      <c r="N26" s="159">
        <f t="shared" si="0"/>
        <v>10490.716944000002</v>
      </c>
      <c r="O26" s="159">
        <f t="shared" si="0"/>
        <v>3913.6061599999994</v>
      </c>
      <c r="P26" s="198">
        <f t="shared" si="0"/>
        <v>2128.0505512634245</v>
      </c>
    </row>
    <row r="27" spans="1:16" ht="15">
      <c r="A27">
        <v>70018315</v>
      </c>
      <c r="B27">
        <v>5110</v>
      </c>
      <c r="C27" t="s">
        <v>313</v>
      </c>
      <c r="D27" s="171">
        <v>18621.53</v>
      </c>
      <c r="E27" s="171">
        <v>3070.21</v>
      </c>
      <c r="F27" s="171">
        <v>18490.47</v>
      </c>
      <c r="G27" s="171">
        <v>40182.21</v>
      </c>
      <c r="H27" s="171">
        <v>0</v>
      </c>
      <c r="I27"/>
      <c r="J27" s="172">
        <v>0</v>
      </c>
      <c r="K27" s="172">
        <v>0</v>
      </c>
      <c r="L27" s="172">
        <v>0</v>
      </c>
      <c r="M27"/>
      <c r="N27" s="159">
        <f t="shared" si="0"/>
        <v>0</v>
      </c>
      <c r="O27" s="159">
        <f t="shared" si="0"/>
        <v>0</v>
      </c>
      <c r="P27" s="198">
        <f t="shared" si="0"/>
        <v>0</v>
      </c>
    </row>
    <row r="28" spans="1:16" ht="15">
      <c r="A28">
        <v>70018447</v>
      </c>
      <c r="B28">
        <v>5110</v>
      </c>
      <c r="C28" t="s">
        <v>313</v>
      </c>
      <c r="D28" s="171">
        <v>18164.73</v>
      </c>
      <c r="E28" s="171">
        <v>28845.59</v>
      </c>
      <c r="F28" s="171">
        <v>0</v>
      </c>
      <c r="G28" s="171">
        <v>47010.32</v>
      </c>
      <c r="H28" s="171">
        <v>0</v>
      </c>
      <c r="I28"/>
      <c r="J28" s="172">
        <v>0.13567260827741445</v>
      </c>
      <c r="K28" s="172">
        <v>4.0181403642528146E-2</v>
      </c>
      <c r="L28" s="172">
        <v>3.6925059804621984E-3</v>
      </c>
      <c r="M28"/>
      <c r="N28" s="159">
        <f t="shared" si="0"/>
        <v>3913.5564326009035</v>
      </c>
      <c r="O28" s="159">
        <f t="shared" si="0"/>
        <v>1159.0562950968736</v>
      </c>
      <c r="P28" s="198">
        <f t="shared" si="0"/>
        <v>106.51251358496059</v>
      </c>
    </row>
    <row r="29" spans="1:16" ht="15">
      <c r="A29">
        <v>70019240</v>
      </c>
      <c r="B29">
        <v>5110</v>
      </c>
      <c r="C29" t="s">
        <v>198</v>
      </c>
      <c r="D29" s="171">
        <v>36625.949999999997</v>
      </c>
      <c r="E29" s="171">
        <v>87243</v>
      </c>
      <c r="F29" s="171">
        <v>0</v>
      </c>
      <c r="G29" s="171">
        <v>123868.95</v>
      </c>
      <c r="H29" s="171">
        <v>0</v>
      </c>
      <c r="I29"/>
      <c r="J29" s="172">
        <v>9.5820392424602233E-2</v>
      </c>
      <c r="K29" s="172">
        <v>4.3885196212301116E-2</v>
      </c>
      <c r="L29" s="172">
        <v>1.3925307171693184E-2</v>
      </c>
      <c r="M29"/>
      <c r="N29" s="159">
        <f t="shared" si="0"/>
        <v>8359.658496299573</v>
      </c>
      <c r="O29" s="159">
        <f t="shared" si="0"/>
        <v>3828.6761731497863</v>
      </c>
      <c r="P29" s="198">
        <f t="shared" si="0"/>
        <v>1214.8855735800284</v>
      </c>
    </row>
    <row r="30" spans="1:16" ht="15">
      <c r="A30">
        <v>70019455</v>
      </c>
      <c r="B30">
        <v>5110</v>
      </c>
      <c r="C30" t="s">
        <v>200</v>
      </c>
      <c r="D30" s="171">
        <v>7052.02</v>
      </c>
      <c r="E30" s="171">
        <v>11198.61</v>
      </c>
      <c r="F30" s="171">
        <v>0</v>
      </c>
      <c r="G30" s="171">
        <v>18250.63</v>
      </c>
      <c r="H30" s="171">
        <v>0</v>
      </c>
      <c r="I30"/>
      <c r="J30" s="172">
        <v>0.10679526804536858</v>
      </c>
      <c r="K30" s="172">
        <v>4.8906668907210779E-2</v>
      </c>
      <c r="L30" s="172">
        <v>1.5545277296930411E-2</v>
      </c>
      <c r="M30"/>
      <c r="N30" s="159">
        <f t="shared" si="0"/>
        <v>1195.9585566855451</v>
      </c>
      <c r="O30" s="159">
        <f t="shared" si="0"/>
        <v>547.68671149097975</v>
      </c>
      <c r="P30" s="198">
        <f t="shared" si="0"/>
        <v>174.08549779017787</v>
      </c>
    </row>
    <row r="31" spans="1:16" ht="15">
      <c r="A31">
        <v>70019476</v>
      </c>
      <c r="B31">
        <v>5110</v>
      </c>
      <c r="C31" t="s">
        <v>200</v>
      </c>
      <c r="D31" s="171">
        <v>8333.5300000000007</v>
      </c>
      <c r="E31" s="171">
        <v>13233.65</v>
      </c>
      <c r="F31" s="171">
        <v>0</v>
      </c>
      <c r="G31" s="171">
        <v>21567.18</v>
      </c>
      <c r="H31" s="171">
        <v>0</v>
      </c>
      <c r="I31"/>
      <c r="J31" s="172">
        <v>0.19159728825440292</v>
      </c>
      <c r="K31" s="172">
        <v>8.7748644127201472E-2</v>
      </c>
      <c r="L31" s="172">
        <v>2.7853514116373129E-2</v>
      </c>
      <c r="M31"/>
      <c r="N31" s="159">
        <f t="shared" si="0"/>
        <v>2535.5314537078793</v>
      </c>
      <c r="O31" s="159">
        <f t="shared" si="0"/>
        <v>1161.2348443539397</v>
      </c>
      <c r="P31" s="198">
        <f t="shared" si="0"/>
        <v>368.60365708614125</v>
      </c>
    </row>
    <row r="32" spans="1:16" ht="15">
      <c r="A32">
        <v>70019522</v>
      </c>
      <c r="B32">
        <v>5110</v>
      </c>
      <c r="C32" t="s">
        <v>200</v>
      </c>
      <c r="D32" s="171">
        <v>10049.33</v>
      </c>
      <c r="E32" s="171">
        <v>15958.34</v>
      </c>
      <c r="F32" s="171">
        <v>0</v>
      </c>
      <c r="G32" s="171">
        <v>26007.67</v>
      </c>
      <c r="H32" s="171">
        <v>0</v>
      </c>
      <c r="I32"/>
      <c r="J32" s="172">
        <v>4.5625148070161214E-2</v>
      </c>
      <c r="K32" s="172">
        <v>2.0908557241861764E-2</v>
      </c>
      <c r="L32" s="172">
        <v>6.5674980689255751E-3</v>
      </c>
      <c r="M32"/>
      <c r="N32" s="159">
        <f t="shared" si="0"/>
        <v>728.10162545397657</v>
      </c>
      <c r="O32" s="159">
        <f t="shared" si="0"/>
        <v>333.66586537509227</v>
      </c>
      <c r="P32" s="198">
        <f t="shared" si="0"/>
        <v>104.80636713325777</v>
      </c>
    </row>
    <row r="33" spans="1:16" ht="15">
      <c r="A33">
        <v>70019599</v>
      </c>
      <c r="B33">
        <v>5110</v>
      </c>
      <c r="C33" t="s">
        <v>200</v>
      </c>
      <c r="D33" s="171">
        <v>8753.25</v>
      </c>
      <c r="E33" s="171">
        <v>13900.16</v>
      </c>
      <c r="F33" s="171">
        <v>0</v>
      </c>
      <c r="G33" s="171">
        <v>22653.41</v>
      </c>
      <c r="H33" s="171">
        <v>0</v>
      </c>
      <c r="I33"/>
      <c r="J33" s="172">
        <v>0.11528477988961525</v>
      </c>
      <c r="K33" s="172">
        <v>5.2801497842354196E-2</v>
      </c>
      <c r="L33" s="172">
        <v>1.6745318170796858E-2</v>
      </c>
      <c r="M33"/>
      <c r="N33" s="159">
        <f t="shared" si="0"/>
        <v>1602.4768860304343</v>
      </c>
      <c r="O33" s="159">
        <f t="shared" si="0"/>
        <v>733.94926824837808</v>
      </c>
      <c r="P33" s="198">
        <f t="shared" si="0"/>
        <v>232.76260182498365</v>
      </c>
    </row>
    <row r="34" spans="1:16" ht="15">
      <c r="A34">
        <v>70023752</v>
      </c>
      <c r="B34">
        <v>5110</v>
      </c>
      <c r="C34" t="s">
        <v>198</v>
      </c>
      <c r="D34" s="171">
        <v>25250.33</v>
      </c>
      <c r="E34" s="171">
        <v>46927.75</v>
      </c>
      <c r="F34" s="171">
        <v>0</v>
      </c>
      <c r="G34" s="171">
        <v>72178.080000000002</v>
      </c>
      <c r="H34" s="171">
        <v>0</v>
      </c>
      <c r="I34"/>
      <c r="J34" s="172">
        <v>0.13088389738942527</v>
      </c>
      <c r="K34" s="172">
        <v>3.8800000000000008E-2</v>
      </c>
      <c r="L34" s="172">
        <v>4.2008051305287376E-2</v>
      </c>
      <c r="M34"/>
      <c r="N34" s="159">
        <f t="shared" si="0"/>
        <v>6142.0868157166014</v>
      </c>
      <c r="O34" s="159">
        <f t="shared" si="0"/>
        <v>1820.7967000000003</v>
      </c>
      <c r="P34" s="198">
        <f t="shared" si="0"/>
        <v>1971.3433296416997</v>
      </c>
    </row>
    <row r="35" spans="1:16" ht="15">
      <c r="A35">
        <v>70025156</v>
      </c>
      <c r="B35">
        <v>5210</v>
      </c>
      <c r="C35" t="s">
        <v>3986</v>
      </c>
      <c r="D35" s="171">
        <v>35382.51</v>
      </c>
      <c r="E35" s="171">
        <v>65758.39</v>
      </c>
      <c r="F35" s="171">
        <v>0</v>
      </c>
      <c r="G35" s="171">
        <v>101140.9</v>
      </c>
      <c r="H35" s="171">
        <v>0</v>
      </c>
      <c r="I35"/>
      <c r="J35" s="172">
        <v>0</v>
      </c>
      <c r="K35" s="172">
        <v>0</v>
      </c>
      <c r="L35" s="172">
        <v>0</v>
      </c>
      <c r="M35"/>
      <c r="N35" s="159">
        <f t="shared" si="0"/>
        <v>0</v>
      </c>
      <c r="O35" s="159">
        <f t="shared" si="0"/>
        <v>0</v>
      </c>
      <c r="P35" s="198">
        <f t="shared" si="0"/>
        <v>0</v>
      </c>
    </row>
    <row r="36" spans="1:16" ht="15">
      <c r="A36">
        <v>70028870</v>
      </c>
      <c r="B36">
        <v>5110</v>
      </c>
      <c r="C36" t="s">
        <v>204</v>
      </c>
      <c r="D36" s="171">
        <v>4674.38</v>
      </c>
      <c r="E36" s="171">
        <v>3995.39</v>
      </c>
      <c r="F36" s="171">
        <v>2391.5</v>
      </c>
      <c r="G36" s="171">
        <v>11061.27</v>
      </c>
      <c r="H36" s="171">
        <v>0</v>
      </c>
      <c r="I36"/>
      <c r="J36" s="172">
        <v>0.14563859598886686</v>
      </c>
      <c r="K36" s="172">
        <v>6.6685837332630823E-2</v>
      </c>
      <c r="L36" s="172">
        <v>2.9729870075328051E-2</v>
      </c>
      <c r="M36"/>
      <c r="N36" s="159">
        <f t="shared" si="0"/>
        <v>581.88299002795873</v>
      </c>
      <c r="O36" s="159">
        <f t="shared" si="0"/>
        <v>266.43592762041987</v>
      </c>
      <c r="P36" s="198">
        <f t="shared" si="0"/>
        <v>118.78242560026494</v>
      </c>
    </row>
    <row r="37" spans="1:16" ht="15">
      <c r="A37">
        <v>70029365</v>
      </c>
      <c r="B37">
        <v>5110</v>
      </c>
      <c r="C37" t="s">
        <v>3986</v>
      </c>
      <c r="D37" s="171">
        <v>27454.05</v>
      </c>
      <c r="E37" s="171">
        <v>51023.360000000001</v>
      </c>
      <c r="F37" s="171">
        <v>0</v>
      </c>
      <c r="G37" s="171">
        <v>78477.41</v>
      </c>
      <c r="H37" s="171">
        <v>0</v>
      </c>
      <c r="I37"/>
      <c r="J37" s="172">
        <v>0</v>
      </c>
      <c r="K37" s="172">
        <v>0</v>
      </c>
      <c r="L37" s="172">
        <v>0</v>
      </c>
      <c r="M37"/>
      <c r="N37" s="159">
        <f t="shared" si="0"/>
        <v>0</v>
      </c>
      <c r="O37" s="159">
        <f t="shared" si="0"/>
        <v>0</v>
      </c>
      <c r="P37" s="198">
        <f t="shared" si="0"/>
        <v>0</v>
      </c>
    </row>
    <row r="38" spans="1:16" ht="15">
      <c r="A38">
        <v>70031997</v>
      </c>
      <c r="B38">
        <v>5110</v>
      </c>
      <c r="C38" t="s">
        <v>198</v>
      </c>
      <c r="D38" s="171">
        <v>36433.33</v>
      </c>
      <c r="E38" s="171">
        <v>67711.34</v>
      </c>
      <c r="F38" s="171">
        <v>0</v>
      </c>
      <c r="G38" s="171">
        <v>104144.67</v>
      </c>
      <c r="H38" s="171">
        <v>0</v>
      </c>
      <c r="I38"/>
      <c r="J38" s="172">
        <v>0.34097288770631651</v>
      </c>
      <c r="K38" s="172">
        <v>0.15717722583337598</v>
      </c>
      <c r="L38" s="172">
        <v>0</v>
      </c>
      <c r="M38"/>
      <c r="N38" s="159">
        <f t="shared" si="0"/>
        <v>23087.731130264216</v>
      </c>
      <c r="O38" s="159">
        <f t="shared" si="0"/>
        <v>10642.680578660504</v>
      </c>
      <c r="P38" s="198">
        <f t="shared" si="0"/>
        <v>0</v>
      </c>
    </row>
    <row r="39" spans="1:16" ht="15">
      <c r="A39">
        <v>70046787</v>
      </c>
      <c r="B39">
        <v>5110</v>
      </c>
      <c r="C39" t="s">
        <v>198</v>
      </c>
      <c r="D39" s="171">
        <v>27929.84</v>
      </c>
      <c r="E39" s="171">
        <v>51907.62</v>
      </c>
      <c r="F39" s="171">
        <v>0</v>
      </c>
      <c r="G39" s="171">
        <v>79837.460000000006</v>
      </c>
      <c r="H39" s="171">
        <v>0</v>
      </c>
      <c r="I39"/>
      <c r="J39" s="172">
        <v>0.18629999999999999</v>
      </c>
      <c r="K39" s="172">
        <v>6.9499999999999992E-2</v>
      </c>
      <c r="L39" s="172">
        <v>3.7791385401062409E-2</v>
      </c>
      <c r="M39"/>
      <c r="N39" s="159">
        <f t="shared" si="0"/>
        <v>9670.3896060000006</v>
      </c>
      <c r="O39" s="159">
        <f t="shared" si="0"/>
        <v>3607.5795899999998</v>
      </c>
      <c r="P39" s="198">
        <f t="shared" si="0"/>
        <v>1961.6608726718953</v>
      </c>
    </row>
    <row r="40" spans="1:16" ht="15">
      <c r="A40">
        <v>70046845</v>
      </c>
      <c r="B40">
        <v>5110</v>
      </c>
      <c r="C40" t="s">
        <v>200</v>
      </c>
      <c r="D40" s="171">
        <v>9903.2999999999993</v>
      </c>
      <c r="E40" s="171">
        <v>15726.44</v>
      </c>
      <c r="F40" s="171">
        <v>0</v>
      </c>
      <c r="G40" s="171">
        <v>25629.74</v>
      </c>
      <c r="H40" s="171">
        <v>0</v>
      </c>
      <c r="I40"/>
      <c r="J40" s="172">
        <v>0.11687391801229791</v>
      </c>
      <c r="K40" s="172">
        <v>5.3524868398578382E-2</v>
      </c>
      <c r="L40" s="172">
        <v>1.6998699596310628E-2</v>
      </c>
      <c r="M40"/>
      <c r="N40" s="159">
        <f t="shared" si="0"/>
        <v>1838.0106591853223</v>
      </c>
      <c r="O40" s="159">
        <f t="shared" si="0"/>
        <v>841.75563137813901</v>
      </c>
      <c r="P40" s="198">
        <f t="shared" si="0"/>
        <v>267.3290292794033</v>
      </c>
    </row>
    <row r="41" spans="1:16" ht="15">
      <c r="A41">
        <v>70046881</v>
      </c>
      <c r="B41">
        <v>5110</v>
      </c>
      <c r="C41" t="s">
        <v>198</v>
      </c>
      <c r="D41" s="171">
        <v>28852.48</v>
      </c>
      <c r="E41" s="171">
        <v>53622.33</v>
      </c>
      <c r="F41" s="171">
        <v>0</v>
      </c>
      <c r="G41" s="171">
        <v>82474.81</v>
      </c>
      <c r="H41" s="171">
        <v>0</v>
      </c>
      <c r="I41"/>
      <c r="J41" s="172">
        <v>0.48016598717637488</v>
      </c>
      <c r="K41" s="172">
        <v>0.17039204333448202</v>
      </c>
      <c r="L41" s="172">
        <v>7.6328717561100642E-2</v>
      </c>
      <c r="M41"/>
      <c r="N41" s="159">
        <f t="shared" si="0"/>
        <v>25747.619019147343</v>
      </c>
      <c r="O41" s="159">
        <f t="shared" si="0"/>
        <v>9136.8183770558953</v>
      </c>
      <c r="P41" s="198">
        <f t="shared" si="0"/>
        <v>4092.9236815381341</v>
      </c>
    </row>
    <row r="42" spans="1:16" ht="15">
      <c r="A42">
        <v>70048263</v>
      </c>
      <c r="B42">
        <v>5110</v>
      </c>
      <c r="C42" t="s">
        <v>3986</v>
      </c>
      <c r="D42" s="171">
        <v>27837.81</v>
      </c>
      <c r="E42" s="171">
        <v>51736.58</v>
      </c>
      <c r="F42" s="171">
        <v>0</v>
      </c>
      <c r="G42" s="171">
        <v>79574.39</v>
      </c>
      <c r="H42" s="171">
        <v>0</v>
      </c>
      <c r="I42"/>
      <c r="J42" s="172">
        <v>0.4548826842115184</v>
      </c>
      <c r="K42" s="172">
        <v>0.16509903583493593</v>
      </c>
      <c r="L42" s="172">
        <v>9.4710497970224156E-2</v>
      </c>
      <c r="M42"/>
      <c r="N42" s="159">
        <f t="shared" si="0"/>
        <v>23534.074382323961</v>
      </c>
      <c r="O42" s="159">
        <f t="shared" si="0"/>
        <v>8541.6594753970294</v>
      </c>
      <c r="P42" s="198">
        <f t="shared" si="0"/>
        <v>4899.9972550763396</v>
      </c>
    </row>
    <row r="43" spans="1:16" ht="15">
      <c r="A43">
        <v>70048541</v>
      </c>
      <c r="B43">
        <v>5110</v>
      </c>
      <c r="C43" t="s">
        <v>200</v>
      </c>
      <c r="D43" s="171">
        <v>9393.41</v>
      </c>
      <c r="E43" s="171">
        <v>14916.73</v>
      </c>
      <c r="F43" s="171">
        <v>0</v>
      </c>
      <c r="G43" s="171">
        <v>24310.14</v>
      </c>
      <c r="H43" s="171">
        <v>0</v>
      </c>
      <c r="I43"/>
      <c r="J43" s="172">
        <v>0.10115984008535339</v>
      </c>
      <c r="K43" s="172">
        <v>4.6332531989923896E-2</v>
      </c>
      <c r="L43" s="172">
        <v>1.4691689993047307E-2</v>
      </c>
      <c r="M43"/>
      <c r="N43" s="159">
        <f t="shared" si="0"/>
        <v>1508.9740213963935</v>
      </c>
      <c r="O43" s="159">
        <f t="shared" si="0"/>
        <v>691.12986991005744</v>
      </c>
      <c r="P43" s="198">
        <f t="shared" si="0"/>
        <v>219.15197286998855</v>
      </c>
    </row>
    <row r="44" spans="1:16" ht="15">
      <c r="A44">
        <v>70048869</v>
      </c>
      <c r="B44">
        <v>5110</v>
      </c>
      <c r="C44" t="s">
        <v>200</v>
      </c>
      <c r="D44" s="171">
        <v>8887.19</v>
      </c>
      <c r="E44" s="171">
        <v>4704.28</v>
      </c>
      <c r="F44" s="171">
        <v>6564.68</v>
      </c>
      <c r="G44" s="171">
        <v>20156.150000000001</v>
      </c>
      <c r="H44" s="171">
        <v>0</v>
      </c>
      <c r="I44"/>
      <c r="J44" s="172">
        <v>0</v>
      </c>
      <c r="K44" s="172">
        <v>0</v>
      </c>
      <c r="L44" s="172">
        <v>0</v>
      </c>
      <c r="M44"/>
      <c r="N44" s="159">
        <f t="shared" si="0"/>
        <v>0</v>
      </c>
      <c r="O44" s="159">
        <f t="shared" si="0"/>
        <v>0</v>
      </c>
      <c r="P44" s="198">
        <f t="shared" si="0"/>
        <v>0</v>
      </c>
    </row>
    <row r="45" spans="1:16" ht="15">
      <c r="A45">
        <v>70049918</v>
      </c>
      <c r="B45">
        <v>5110</v>
      </c>
      <c r="C45" t="s">
        <v>313</v>
      </c>
      <c r="D45" s="171">
        <v>13400.01</v>
      </c>
      <c r="E45" s="171">
        <v>15988.48</v>
      </c>
      <c r="F45" s="171">
        <v>3824.79</v>
      </c>
      <c r="G45" s="171">
        <v>33213.279999999999</v>
      </c>
      <c r="H45" s="171">
        <v>0</v>
      </c>
      <c r="I45"/>
      <c r="J45" s="172">
        <v>0.11175131441209087</v>
      </c>
      <c r="K45" s="172">
        <v>5.1163252381439185E-2</v>
      </c>
      <c r="L45" s="172">
        <v>1.6332434112610449E-2</v>
      </c>
      <c r="M45"/>
      <c r="N45" s="159">
        <f t="shared" si="0"/>
        <v>1786.7336554514266</v>
      </c>
      <c r="O45" s="159">
        <f t="shared" si="0"/>
        <v>818.02263743559274</v>
      </c>
      <c r="P45" s="198">
        <f t="shared" si="0"/>
        <v>261.13079616078988</v>
      </c>
    </row>
    <row r="46" spans="1:16" ht="15">
      <c r="A46">
        <v>70052175</v>
      </c>
      <c r="B46">
        <v>5110</v>
      </c>
      <c r="C46" t="s">
        <v>197</v>
      </c>
      <c r="D46" s="171">
        <v>50438.33</v>
      </c>
      <c r="E46" s="171">
        <v>93739.64</v>
      </c>
      <c r="F46" s="171">
        <v>0</v>
      </c>
      <c r="G46" s="171">
        <v>144177.97</v>
      </c>
      <c r="H46" s="171">
        <v>0</v>
      </c>
      <c r="I46"/>
      <c r="J46" s="172">
        <v>0.18475941326822337</v>
      </c>
      <c r="K46" s="172">
        <v>8.461731505947731E-2</v>
      </c>
      <c r="L46" s="172">
        <v>2.6857872867685165E-2</v>
      </c>
      <c r="M46"/>
      <c r="N46" s="159">
        <f>$E46*J46</f>
        <v>17319.280886374483</v>
      </c>
      <c r="O46" s="159">
        <f>$G46*K46</f>
        <v>12199.952712125869</v>
      </c>
      <c r="P46" s="198">
        <f>$G46*L46</f>
        <v>3872.3135885809256</v>
      </c>
    </row>
    <row r="47" spans="1:16" ht="15">
      <c r="A47">
        <v>70053800</v>
      </c>
      <c r="B47">
        <v>5110</v>
      </c>
      <c r="C47" t="s">
        <v>200</v>
      </c>
      <c r="D47" s="171">
        <v>8246.68</v>
      </c>
      <c r="E47" s="171">
        <v>13095.73</v>
      </c>
      <c r="F47" s="171">
        <v>0</v>
      </c>
      <c r="G47" s="171">
        <v>21342.41</v>
      </c>
      <c r="H47" s="171">
        <v>0</v>
      </c>
      <c r="I47"/>
      <c r="J47" s="172">
        <v>0.1943193291710946</v>
      </c>
      <c r="K47" s="172">
        <v>8.8718570337407002E-2</v>
      </c>
      <c r="L47" s="172">
        <v>2.8055471240701381E-2</v>
      </c>
      <c r="M47"/>
      <c r="N47" s="159">
        <f t="shared" si="0"/>
        <v>2544.7534686057784</v>
      </c>
      <c r="O47" s="159">
        <f t="shared" si="0"/>
        <v>1161.834443124691</v>
      </c>
      <c r="P47" s="198">
        <f t="shared" si="0"/>
        <v>367.40687639099031</v>
      </c>
    </row>
    <row r="48" spans="1:16" ht="15">
      <c r="A48">
        <v>70063833</v>
      </c>
      <c r="B48">
        <v>5110</v>
      </c>
      <c r="C48" t="s">
        <v>197</v>
      </c>
      <c r="D48" s="171">
        <v>51999.99</v>
      </c>
      <c r="E48" s="171">
        <v>96641.99</v>
      </c>
      <c r="F48" s="171">
        <v>0</v>
      </c>
      <c r="G48" s="171">
        <v>148641.98000000001</v>
      </c>
      <c r="H48" s="171">
        <v>0</v>
      </c>
      <c r="I48"/>
      <c r="J48" s="172">
        <v>9.3824660615727903E-2</v>
      </c>
      <c r="K48" s="172">
        <v>0.49668349192410421</v>
      </c>
      <c r="L48" s="172">
        <v>0.22953080656879354</v>
      </c>
      <c r="M48"/>
      <c r="N48" s="159">
        <f>$E48*J48</f>
        <v>9067.4019129785702</v>
      </c>
      <c r="O48" s="159">
        <f>$G48*K48</f>
        <v>73828.017672912873</v>
      </c>
      <c r="P48" s="198">
        <f>$G48*L48</f>
        <v>34117.913559382483</v>
      </c>
    </row>
    <row r="49" spans="1:16" ht="15">
      <c r="A49">
        <v>70064905</v>
      </c>
      <c r="B49">
        <v>5110</v>
      </c>
      <c r="C49" t="s">
        <v>198</v>
      </c>
      <c r="D49" s="171">
        <v>29892.31</v>
      </c>
      <c r="E49" s="171">
        <v>55554.85</v>
      </c>
      <c r="F49" s="171">
        <v>0</v>
      </c>
      <c r="G49" s="171">
        <v>85447.16</v>
      </c>
      <c r="H49" s="171">
        <v>0</v>
      </c>
      <c r="I49"/>
      <c r="J49" s="172">
        <v>0.19177040602445061</v>
      </c>
      <c r="K49" s="172">
        <v>8.7835203012225305E-2</v>
      </c>
      <c r="L49" s="172">
        <v>2.784197293170329E-2</v>
      </c>
      <c r="M49"/>
      <c r="N49" s="159">
        <f t="shared" si="0"/>
        <v>10653.77614112745</v>
      </c>
      <c r="O49" s="159">
        <f t="shared" si="0"/>
        <v>4879.6715280637245</v>
      </c>
      <c r="P49" s="198">
        <f t="shared" si="0"/>
        <v>1546.7566299248365</v>
      </c>
    </row>
    <row r="50" spans="1:16" ht="15">
      <c r="A50">
        <v>70064929</v>
      </c>
      <c r="B50">
        <v>5110</v>
      </c>
      <c r="C50" t="s">
        <v>200</v>
      </c>
      <c r="D50" s="171">
        <v>9274.09</v>
      </c>
      <c r="E50" s="171">
        <v>14727.25</v>
      </c>
      <c r="F50" s="171">
        <v>0</v>
      </c>
      <c r="G50" s="171">
        <v>24001.34</v>
      </c>
      <c r="H50" s="171">
        <v>0</v>
      </c>
      <c r="I50"/>
      <c r="J50" s="172">
        <v>1.7814684567962752E-17</v>
      </c>
      <c r="K50" s="172">
        <v>2.9364864672466079E-18</v>
      </c>
      <c r="L50" s="172">
        <v>0</v>
      </c>
      <c r="M50"/>
      <c r="N50" s="159">
        <f t="shared" si="0"/>
        <v>2.6236131330352943E-13</v>
      </c>
      <c r="O50" s="159">
        <f t="shared" si="0"/>
        <v>4.3246370324757603E-14</v>
      </c>
      <c r="P50" s="198">
        <f t="shared" si="0"/>
        <v>0</v>
      </c>
    </row>
    <row r="51" spans="1:16" ht="15">
      <c r="A51">
        <v>70066947</v>
      </c>
      <c r="B51">
        <v>5110</v>
      </c>
      <c r="C51" t="s">
        <v>313</v>
      </c>
      <c r="D51" s="171">
        <v>18928.82</v>
      </c>
      <c r="E51" s="171">
        <v>17575.439999999999</v>
      </c>
      <c r="F51" s="171">
        <v>8710.17</v>
      </c>
      <c r="G51" s="171">
        <v>45214.43</v>
      </c>
      <c r="H51" s="171">
        <v>0</v>
      </c>
      <c r="I51"/>
      <c r="J51" s="172">
        <v>0.19348751808495354</v>
      </c>
      <c r="K51" s="172">
        <v>8.8402916229511103E-2</v>
      </c>
      <c r="L51" s="172">
        <v>2.8045056877793944E-2</v>
      </c>
      <c r="M51"/>
      <c r="N51" s="159">
        <f t="shared" si="0"/>
        <v>3400.6282648510155</v>
      </c>
      <c r="O51" s="159">
        <f t="shared" si="0"/>
        <v>1553.7201500167985</v>
      </c>
      <c r="P51" s="198">
        <f t="shared" si="0"/>
        <v>492.90421445225473</v>
      </c>
    </row>
    <row r="52" spans="1:16" ht="15">
      <c r="A52">
        <v>70711341</v>
      </c>
      <c r="B52">
        <v>5110</v>
      </c>
      <c r="C52" t="s">
        <v>198</v>
      </c>
      <c r="D52" s="171">
        <v>31590</v>
      </c>
      <c r="E52" s="171">
        <v>58710.02</v>
      </c>
      <c r="F52" s="171">
        <v>0</v>
      </c>
      <c r="G52" s="171">
        <v>90300.02</v>
      </c>
      <c r="H52" s="171">
        <v>0</v>
      </c>
      <c r="I52"/>
      <c r="J52" s="172">
        <v>0.22077993613260952</v>
      </c>
      <c r="K52" s="172">
        <v>8.0486159740402796E-2</v>
      </c>
      <c r="L52" s="172">
        <v>3.3289904230079312E-2</v>
      </c>
      <c r="M52"/>
      <c r="N52" s="159">
        <f t="shared" si="0"/>
        <v>12961.994465944226</v>
      </c>
      <c r="O52" s="159">
        <f t="shared" si="0"/>
        <v>4725.3440480822428</v>
      </c>
      <c r="P52" s="198">
        <f t="shared" si="0"/>
        <v>1954.4509431460408</v>
      </c>
    </row>
    <row r="53" spans="1:16" ht="15">
      <c r="A53">
        <v>70711386</v>
      </c>
      <c r="B53">
        <v>5110</v>
      </c>
      <c r="C53" t="s">
        <v>313</v>
      </c>
      <c r="D53" s="171">
        <v>14263.35</v>
      </c>
      <c r="E53" s="171">
        <v>13119.79</v>
      </c>
      <c r="F53" s="171">
        <v>6649.68</v>
      </c>
      <c r="G53" s="171">
        <v>34032.82</v>
      </c>
      <c r="H53" s="171">
        <v>0</v>
      </c>
      <c r="I53"/>
      <c r="J53" s="172">
        <v>0.37601021279003177</v>
      </c>
      <c r="K53" s="172">
        <v>0.17475901843942612</v>
      </c>
      <c r="L53" s="172">
        <v>1.6180671330579006E-2</v>
      </c>
      <c r="M53"/>
      <c r="N53" s="159">
        <f t="shared" si="0"/>
        <v>4933.1750296605314</v>
      </c>
      <c r="O53" s="159">
        <f t="shared" si="0"/>
        <v>2292.8016225313986</v>
      </c>
      <c r="P53" s="198">
        <f t="shared" si="0"/>
        <v>212.28700991621716</v>
      </c>
    </row>
    <row r="54" spans="1:16" ht="15">
      <c r="A54">
        <v>70711529</v>
      </c>
      <c r="B54">
        <v>5110</v>
      </c>
      <c r="C54" t="s">
        <v>3986</v>
      </c>
      <c r="D54" s="171">
        <v>31501.16</v>
      </c>
      <c r="E54" s="171">
        <v>58544.91</v>
      </c>
      <c r="F54" s="171">
        <v>0</v>
      </c>
      <c r="G54" s="171">
        <v>90046.07</v>
      </c>
      <c r="H54" s="171">
        <v>0</v>
      </c>
      <c r="I54"/>
      <c r="J54" s="172">
        <v>0</v>
      </c>
      <c r="K54" s="172">
        <v>0</v>
      </c>
      <c r="L54" s="172">
        <v>7.7327808862009087E-2</v>
      </c>
      <c r="M54"/>
      <c r="N54" s="159">
        <f t="shared" si="0"/>
        <v>0</v>
      </c>
      <c r="O54" s="159">
        <f t="shared" si="0"/>
        <v>0</v>
      </c>
      <c r="P54" s="198">
        <f t="shared" si="0"/>
        <v>4527.1496103235249</v>
      </c>
    </row>
    <row r="55" spans="1:16" ht="15">
      <c r="A55">
        <v>70711772</v>
      </c>
      <c r="B55">
        <v>5110</v>
      </c>
      <c r="C55" t="s">
        <v>3986</v>
      </c>
      <c r="D55" s="171">
        <v>32324.97</v>
      </c>
      <c r="E55" s="171">
        <v>60075.96</v>
      </c>
      <c r="F55" s="171">
        <v>0</v>
      </c>
      <c r="G55" s="171">
        <v>92400.93</v>
      </c>
      <c r="H55" s="171">
        <v>0</v>
      </c>
      <c r="I55"/>
      <c r="J55" s="172">
        <v>0</v>
      </c>
      <c r="K55" s="172">
        <v>0</v>
      </c>
      <c r="L55" s="172">
        <v>7.1674023771422388E-2</v>
      </c>
      <c r="M55"/>
      <c r="N55" s="159">
        <f t="shared" si="0"/>
        <v>0</v>
      </c>
      <c r="O55" s="159">
        <f t="shared" si="0"/>
        <v>0</v>
      </c>
      <c r="P55" s="198">
        <f t="shared" si="0"/>
        <v>4305.8857851310204</v>
      </c>
    </row>
    <row r="56" spans="1:16" ht="15">
      <c r="A56">
        <v>70711779</v>
      </c>
      <c r="B56">
        <v>5110</v>
      </c>
      <c r="C56" t="s">
        <v>198</v>
      </c>
      <c r="D56" s="171">
        <v>33177.08</v>
      </c>
      <c r="E56" s="171">
        <v>79027.820000000007</v>
      </c>
      <c r="F56" s="171">
        <v>0</v>
      </c>
      <c r="G56" s="171">
        <v>112204.9</v>
      </c>
      <c r="H56" s="171">
        <v>0</v>
      </c>
      <c r="I56"/>
      <c r="J56" s="172">
        <v>0.1284066154456398</v>
      </c>
      <c r="K56" s="172">
        <v>5.8809788774755373E-2</v>
      </c>
      <c r="L56" s="172">
        <v>1.8659521263876822E-2</v>
      </c>
      <c r="M56"/>
      <c r="N56" s="159">
        <f t="shared" si="0"/>
        <v>10147.694892247244</v>
      </c>
      <c r="O56" s="159">
        <f t="shared" si="0"/>
        <v>4647.6094015293884</v>
      </c>
      <c r="P56" s="198">
        <f t="shared" si="0"/>
        <v>1474.6212877278301</v>
      </c>
    </row>
    <row r="57" spans="1:16" ht="15">
      <c r="A57">
        <v>70711865</v>
      </c>
      <c r="B57">
        <v>5110</v>
      </c>
      <c r="C57" t="s">
        <v>313</v>
      </c>
      <c r="D57" s="171">
        <v>18467.5</v>
      </c>
      <c r="E57" s="171">
        <v>29326.39</v>
      </c>
      <c r="F57" s="171">
        <v>0</v>
      </c>
      <c r="G57" s="171">
        <v>47793.89</v>
      </c>
      <c r="H57" s="171">
        <v>0</v>
      </c>
      <c r="I57"/>
      <c r="J57" s="172">
        <v>0.10447661796244526</v>
      </c>
      <c r="K57" s="172">
        <v>4.7850662629320431E-2</v>
      </c>
      <c r="L57" s="172">
        <v>1.5178425774339678E-2</v>
      </c>
      <c r="M57"/>
      <c r="N57" s="159">
        <f t="shared" si="0"/>
        <v>3063.9220442476749</v>
      </c>
      <c r="O57" s="159">
        <f t="shared" si="0"/>
        <v>1403.2871940258763</v>
      </c>
      <c r="P57" s="198">
        <f t="shared" si="0"/>
        <v>445.12843384433739</v>
      </c>
    </row>
    <row r="58" spans="1:16" ht="15">
      <c r="A58">
        <v>71000693</v>
      </c>
      <c r="B58">
        <v>5110</v>
      </c>
      <c r="C58" t="s">
        <v>197</v>
      </c>
      <c r="D58" s="171">
        <v>67839.990000000005</v>
      </c>
      <c r="E58" s="171">
        <v>126080.63</v>
      </c>
      <c r="F58" s="171">
        <v>0</v>
      </c>
      <c r="G58" s="171">
        <v>193920.62</v>
      </c>
      <c r="H58" s="171">
        <v>0</v>
      </c>
      <c r="I58"/>
      <c r="J58" s="172">
        <v>1.2882132923297448E-2</v>
      </c>
      <c r="K58" s="172">
        <v>0.10588414214910485</v>
      </c>
      <c r="L58" s="172">
        <v>0</v>
      </c>
      <c r="M58"/>
      <c r="N58" s="159">
        <f>$E58*J58</f>
        <v>1624.187434713084</v>
      </c>
      <c r="O58" s="159">
        <f>$G58*K58</f>
        <v>20533.118493722544</v>
      </c>
      <c r="P58" s="198">
        <f>$G58*L58</f>
        <v>0</v>
      </c>
    </row>
    <row r="59" spans="1:16" ht="15">
      <c r="A59">
        <v>71001369</v>
      </c>
      <c r="B59">
        <v>5110</v>
      </c>
      <c r="C59" t="s">
        <v>204</v>
      </c>
      <c r="D59" s="171">
        <v>4090.23</v>
      </c>
      <c r="E59" s="171">
        <v>1614.95</v>
      </c>
      <c r="F59" s="171">
        <v>3405.17</v>
      </c>
      <c r="G59" s="171">
        <v>9110.35</v>
      </c>
      <c r="H59" s="171">
        <v>0</v>
      </c>
      <c r="I59"/>
      <c r="J59" s="172">
        <v>0.19171609994781108</v>
      </c>
      <c r="K59" s="172">
        <v>8.7808049973905525E-2</v>
      </c>
      <c r="L59" s="172">
        <v>2.7845593336812607E-2</v>
      </c>
      <c r="M59"/>
      <c r="N59" s="159">
        <f t="shared" si="0"/>
        <v>309.61191561071752</v>
      </c>
      <c r="O59" s="159">
        <f t="shared" si="0"/>
        <v>141.80561030535873</v>
      </c>
      <c r="P59" s="198">
        <f t="shared" si="0"/>
        <v>44.969240959285521</v>
      </c>
    </row>
    <row r="60" spans="1:16" ht="15">
      <c r="A60">
        <v>71001794</v>
      </c>
      <c r="B60">
        <v>5110</v>
      </c>
      <c r="C60" t="s">
        <v>313</v>
      </c>
      <c r="D60" s="171">
        <v>17478.13</v>
      </c>
      <c r="E60" s="171">
        <v>27755.27</v>
      </c>
      <c r="F60" s="171">
        <v>0</v>
      </c>
      <c r="G60" s="171">
        <v>45233.4</v>
      </c>
      <c r="H60" s="171">
        <v>0</v>
      </c>
      <c r="I60"/>
      <c r="J60" s="172">
        <v>0.34029411521159647</v>
      </c>
      <c r="K60" s="172">
        <v>7.8735034365853579E-2</v>
      </c>
      <c r="L60" s="172">
        <v>2.425982207531097E-2</v>
      </c>
      <c r="M60"/>
      <c r="N60" s="159">
        <f t="shared" si="0"/>
        <v>9444.9550471089678</v>
      </c>
      <c r="O60" s="159">
        <f t="shared" si="0"/>
        <v>2185.3121372835449</v>
      </c>
      <c r="P60" s="198">
        <f t="shared" si="0"/>
        <v>673.33791185221628</v>
      </c>
    </row>
    <row r="61" spans="1:16" ht="15">
      <c r="A61">
        <v>71003388</v>
      </c>
      <c r="B61">
        <v>5110</v>
      </c>
      <c r="C61" t="s">
        <v>201</v>
      </c>
      <c r="D61" s="171">
        <v>2387.69</v>
      </c>
      <c r="E61" s="171">
        <v>3791.65</v>
      </c>
      <c r="F61" s="171">
        <v>0</v>
      </c>
      <c r="G61" s="171">
        <v>6179.34</v>
      </c>
      <c r="H61" s="171">
        <v>0</v>
      </c>
      <c r="I61"/>
      <c r="J61" s="172">
        <v>6.7067457627118646E-2</v>
      </c>
      <c r="K61" s="172">
        <v>3.0715686287829901E-2</v>
      </c>
      <c r="L61" s="172">
        <v>9.6586427091471076E-3</v>
      </c>
      <c r="M61"/>
      <c r="N61" s="159">
        <f t="shared" si="0"/>
        <v>254.29632571186443</v>
      </c>
      <c r="O61" s="159">
        <f t="shared" si="0"/>
        <v>116.46313191325025</v>
      </c>
      <c r="P61" s="198">
        <f t="shared" si="0"/>
        <v>36.622192628137633</v>
      </c>
    </row>
    <row r="62" spans="1:16" ht="15">
      <c r="A62">
        <v>71005126</v>
      </c>
      <c r="B62">
        <v>5110</v>
      </c>
      <c r="C62" t="s">
        <v>198</v>
      </c>
      <c r="D62" s="171">
        <v>33421.199999999997</v>
      </c>
      <c r="E62" s="171">
        <v>62113.3</v>
      </c>
      <c r="F62" s="171">
        <v>0</v>
      </c>
      <c r="G62" s="171">
        <v>95534.5</v>
      </c>
      <c r="H62" s="171">
        <v>0</v>
      </c>
      <c r="I62"/>
      <c r="J62" s="172">
        <v>0.13120545468674011</v>
      </c>
      <c r="K62" s="172">
        <v>3.8880912012206267E-2</v>
      </c>
      <c r="L62" s="172">
        <v>4.2090008693248741E-2</v>
      </c>
      <c r="M62"/>
      <c r="N62" s="159">
        <f t="shared" si="0"/>
        <v>8149.6037685938945</v>
      </c>
      <c r="O62" s="159">
        <f t="shared" si="0"/>
        <v>2415.0217520877718</v>
      </c>
      <c r="P62" s="198">
        <f t="shared" si="0"/>
        <v>2614.349336966367</v>
      </c>
    </row>
    <row r="63" spans="1:16" ht="15">
      <c r="A63">
        <v>71005485</v>
      </c>
      <c r="B63">
        <v>5110</v>
      </c>
      <c r="C63" t="s">
        <v>198</v>
      </c>
      <c r="D63" s="171">
        <v>38713.56</v>
      </c>
      <c r="E63" s="171">
        <v>71949.14</v>
      </c>
      <c r="F63" s="171">
        <v>0</v>
      </c>
      <c r="G63" s="171">
        <v>110662.7</v>
      </c>
      <c r="H63" s="171">
        <v>0</v>
      </c>
      <c r="I63"/>
      <c r="J63" s="172">
        <v>0.37042680948493761</v>
      </c>
      <c r="K63" s="172">
        <v>7.8312642704894742E-2</v>
      </c>
      <c r="L63" s="172">
        <v>0</v>
      </c>
      <c r="M63"/>
      <c r="N63" s="159">
        <f t="shared" si="0"/>
        <v>26651.890375385105</v>
      </c>
      <c r="O63" s="159">
        <f t="shared" si="0"/>
        <v>5634.5272937444506</v>
      </c>
      <c r="P63" s="198">
        <f t="shared" si="0"/>
        <v>0</v>
      </c>
    </row>
    <row r="64" spans="1:16" ht="15">
      <c r="A64">
        <v>71005934</v>
      </c>
      <c r="B64">
        <v>5110</v>
      </c>
      <c r="C64" t="s">
        <v>198</v>
      </c>
      <c r="D64" s="171">
        <v>32214.68</v>
      </c>
      <c r="E64" s="171">
        <v>59870.97</v>
      </c>
      <c r="F64" s="171">
        <v>0</v>
      </c>
      <c r="G64" s="171">
        <v>92085.65</v>
      </c>
      <c r="H64" s="171">
        <v>0</v>
      </c>
      <c r="I64"/>
      <c r="J64" s="172">
        <v>3.2694557131064526E-2</v>
      </c>
      <c r="K64" s="172">
        <v>8.9860056657493054E-2</v>
      </c>
      <c r="L64" s="172">
        <v>1.3091888012819932E-2</v>
      </c>
      <c r="M64"/>
      <c r="N64" s="159">
        <f t="shared" si="0"/>
        <v>1957.4548491572505</v>
      </c>
      <c r="O64" s="159">
        <f t="shared" si="0"/>
        <v>5380.0087563390671</v>
      </c>
      <c r="P64" s="198">
        <f t="shared" si="0"/>
        <v>783.82403445890179</v>
      </c>
    </row>
    <row r="65" spans="1:16" ht="15">
      <c r="A65">
        <v>71005972</v>
      </c>
      <c r="B65">
        <v>5110</v>
      </c>
      <c r="C65" t="s">
        <v>198</v>
      </c>
      <c r="D65" s="171">
        <v>27795.94</v>
      </c>
      <c r="E65" s="171">
        <v>51658.77</v>
      </c>
      <c r="F65" s="171">
        <v>0</v>
      </c>
      <c r="G65" s="171">
        <v>79454.710000000006</v>
      </c>
      <c r="H65" s="171">
        <v>0</v>
      </c>
      <c r="I65"/>
      <c r="J65" s="172">
        <v>5.2904273892788178E-3</v>
      </c>
      <c r="K65" s="172">
        <v>2.526081897466198E-3</v>
      </c>
      <c r="L65" s="172">
        <v>2.0879881173848768E-3</v>
      </c>
      <c r="M65"/>
      <c r="N65" s="159">
        <f t="shared" si="0"/>
        <v>273.2969717044549</v>
      </c>
      <c r="O65" s="159">
        <f t="shared" si="0"/>
        <v>130.4942837423699</v>
      </c>
      <c r="P65" s="198">
        <f t="shared" si="0"/>
        <v>107.86289791871835</v>
      </c>
    </row>
    <row r="66" spans="1:16" ht="15">
      <c r="A66">
        <v>71006128</v>
      </c>
      <c r="B66">
        <v>5110</v>
      </c>
      <c r="C66" t="s">
        <v>198</v>
      </c>
      <c r="D66" s="171">
        <v>30713.11</v>
      </c>
      <c r="E66" s="171">
        <v>57080.31</v>
      </c>
      <c r="F66" s="171">
        <v>0</v>
      </c>
      <c r="G66" s="171">
        <v>87793.42</v>
      </c>
      <c r="H66" s="171">
        <v>0</v>
      </c>
      <c r="I66"/>
      <c r="J66" s="172">
        <v>2.8634716164217314E-2</v>
      </c>
      <c r="K66" s="172">
        <v>1.3109870051087474E-2</v>
      </c>
      <c r="L66" s="172">
        <v>5.9751044735730896E-2</v>
      </c>
      <c r="M66"/>
      <c r="N66" s="159">
        <f t="shared" si="0"/>
        <v>1634.4784754155351</v>
      </c>
      <c r="O66" s="159">
        <f t="shared" si="0"/>
        <v>748.31544657578877</v>
      </c>
      <c r="P66" s="198">
        <f t="shared" si="0"/>
        <v>3410.6081563393873</v>
      </c>
    </row>
    <row r="67" spans="1:16" ht="15">
      <c r="A67">
        <v>71007625</v>
      </c>
      <c r="B67">
        <v>5110</v>
      </c>
      <c r="C67" t="s">
        <v>200</v>
      </c>
      <c r="D67" s="171">
        <v>11393.78</v>
      </c>
      <c r="E67" s="171">
        <v>7514.18</v>
      </c>
      <c r="F67" s="171">
        <v>7381.42</v>
      </c>
      <c r="G67" s="171">
        <v>26289.38</v>
      </c>
      <c r="H67" s="171">
        <v>0</v>
      </c>
      <c r="I67"/>
      <c r="J67" s="172">
        <v>0.1309673591291749</v>
      </c>
      <c r="K67" s="172">
        <v>3.8821519036563563E-2</v>
      </c>
      <c r="L67" s="172">
        <v>4.2030877545103242E-2</v>
      </c>
      <c r="M67"/>
      <c r="N67" s="159">
        <f t="shared" si="0"/>
        <v>984.11231062126353</v>
      </c>
      <c r="O67" s="159">
        <f t="shared" si="0"/>
        <v>291.71188191416519</v>
      </c>
      <c r="P67" s="198">
        <f t="shared" si="0"/>
        <v>315.82757943186391</v>
      </c>
    </row>
    <row r="68" spans="1:16" ht="15">
      <c r="A68">
        <v>71008807</v>
      </c>
      <c r="B68">
        <v>5110</v>
      </c>
      <c r="C68" t="s">
        <v>3986</v>
      </c>
      <c r="D68" s="171">
        <v>31350.61</v>
      </c>
      <c r="E68" s="171">
        <v>74677.149999999994</v>
      </c>
      <c r="F68" s="171">
        <v>0</v>
      </c>
      <c r="G68" s="171">
        <v>106027.76</v>
      </c>
      <c r="H68" s="171">
        <v>0</v>
      </c>
      <c r="I68"/>
      <c r="J68" s="172">
        <v>6.8166437198735427E-2</v>
      </c>
      <c r="K68" s="172">
        <v>2.020193344547816E-2</v>
      </c>
      <c r="L68" s="172">
        <v>2.1870901743937916E-2</v>
      </c>
      <c r="M68"/>
      <c r="N68" s="159">
        <f t="shared" si="0"/>
        <v>5090.475255655545</v>
      </c>
      <c r="O68" s="159">
        <f t="shared" si="0"/>
        <v>1508.6228141979893</v>
      </c>
      <c r="P68" s="198">
        <f t="shared" si="0"/>
        <v>1633.2566101673133</v>
      </c>
    </row>
    <row r="69" spans="1:16" ht="15">
      <c r="A69">
        <v>71009803</v>
      </c>
      <c r="B69">
        <v>5110</v>
      </c>
      <c r="C69" t="s">
        <v>3986</v>
      </c>
      <c r="D69" s="171">
        <v>45084</v>
      </c>
      <c r="E69" s="171">
        <v>103456.5</v>
      </c>
      <c r="F69" s="171">
        <v>0</v>
      </c>
      <c r="G69" s="171">
        <v>148540.5</v>
      </c>
      <c r="H69" s="171">
        <v>0</v>
      </c>
      <c r="I69"/>
      <c r="J69" s="172">
        <v>6.940718453778208E-2</v>
      </c>
      <c r="K69" s="172">
        <v>3.2528957055784756E-2</v>
      </c>
      <c r="L69" s="172">
        <v>9.7706056251092369E-3</v>
      </c>
      <c r="M69"/>
      <c r="N69" s="159">
        <f t="shared" ref="N69:P131" si="1">$E69*J69</f>
        <v>7180.6243871330516</v>
      </c>
      <c r="O69" s="159">
        <f t="shared" si="1"/>
        <v>3365.3320456417955</v>
      </c>
      <c r="P69" s="198">
        <f t="shared" si="1"/>
        <v>1010.8326608541138</v>
      </c>
    </row>
    <row r="70" spans="1:16" ht="15">
      <c r="A70">
        <v>71010320</v>
      </c>
      <c r="B70">
        <v>5110</v>
      </c>
      <c r="C70" t="s">
        <v>197</v>
      </c>
      <c r="D70" s="171">
        <v>62298.55</v>
      </c>
      <c r="E70" s="171">
        <v>115781.86</v>
      </c>
      <c r="F70" s="171">
        <v>0</v>
      </c>
      <c r="G70" s="171">
        <v>178080.41</v>
      </c>
      <c r="H70" s="171">
        <v>0</v>
      </c>
      <c r="I70"/>
      <c r="J70" s="172">
        <v>1.0238333971652859E-2</v>
      </c>
      <c r="K70" s="172">
        <v>2.0271114036143107E-3</v>
      </c>
      <c r="L70" s="172">
        <v>1.723154030256825E-3</v>
      </c>
      <c r="M70"/>
      <c r="N70" s="159">
        <f>$E70*J70</f>
        <v>1185.4133505391553</v>
      </c>
      <c r="O70" s="159">
        <f>$G70*K70</f>
        <v>360.98882987131191</v>
      </c>
      <c r="P70" s="198">
        <f>$G70*L70</f>
        <v>306.85997620128779</v>
      </c>
    </row>
    <row r="71" spans="1:16" ht="15">
      <c r="A71">
        <v>71013042</v>
      </c>
      <c r="B71">
        <v>5110</v>
      </c>
      <c r="C71" t="s">
        <v>198</v>
      </c>
      <c r="D71" s="171">
        <v>28228.87</v>
      </c>
      <c r="E71" s="171">
        <v>52463.360000000001</v>
      </c>
      <c r="F71" s="171">
        <v>0</v>
      </c>
      <c r="G71" s="171">
        <v>80692.23</v>
      </c>
      <c r="H71" s="171">
        <v>0</v>
      </c>
      <c r="I71"/>
      <c r="J71" s="172">
        <v>0.17545818411377481</v>
      </c>
      <c r="K71" s="172">
        <v>6.4411861510132812E-2</v>
      </c>
      <c r="L71" s="172">
        <v>4.1906032396415376E-2</v>
      </c>
      <c r="M71"/>
      <c r="N71" s="159">
        <f t="shared" si="1"/>
        <v>9205.1258781072484</v>
      </c>
      <c r="O71" s="159">
        <f t="shared" si="1"/>
        <v>3379.2626786762412</v>
      </c>
      <c r="P71" s="198">
        <f t="shared" si="1"/>
        <v>2198.5312637848024</v>
      </c>
    </row>
    <row r="72" spans="1:16" ht="15">
      <c r="A72">
        <v>71015999</v>
      </c>
      <c r="B72">
        <v>5110</v>
      </c>
      <c r="C72" t="s">
        <v>198</v>
      </c>
      <c r="D72" s="171">
        <v>44444.99</v>
      </c>
      <c r="E72" s="171">
        <v>82601.02</v>
      </c>
      <c r="F72" s="171">
        <v>0</v>
      </c>
      <c r="G72" s="171">
        <v>127046.01</v>
      </c>
      <c r="H72" s="171">
        <v>0</v>
      </c>
      <c r="I72"/>
      <c r="J72" s="172">
        <v>0.18983852820867023</v>
      </c>
      <c r="K72" s="172">
        <v>8.6952209152858617E-2</v>
      </c>
      <c r="L72" s="172">
        <v>2.7552158470807251E-2</v>
      </c>
      <c r="M72"/>
      <c r="N72" s="159">
        <f t="shared" si="1"/>
        <v>15680.856065334934</v>
      </c>
      <c r="O72" s="159">
        <f t="shared" si="1"/>
        <v>7182.3411672794582</v>
      </c>
      <c r="P72" s="198">
        <f t="shared" si="1"/>
        <v>2275.8363928903191</v>
      </c>
    </row>
    <row r="73" spans="1:16" ht="15">
      <c r="A73">
        <v>71016536</v>
      </c>
      <c r="B73">
        <v>5110</v>
      </c>
      <c r="C73" t="s">
        <v>198</v>
      </c>
      <c r="D73" s="171">
        <v>41464.61</v>
      </c>
      <c r="E73" s="171">
        <v>77061.97</v>
      </c>
      <c r="F73" s="171">
        <v>0</v>
      </c>
      <c r="G73" s="171">
        <v>118526.58</v>
      </c>
      <c r="H73" s="171">
        <v>0</v>
      </c>
      <c r="I73"/>
      <c r="J73" s="172">
        <v>0.19438706158396382</v>
      </c>
      <c r="K73" s="172">
        <v>8.8843530791981901E-2</v>
      </c>
      <c r="L73" s="172">
        <v>2.8162659696523706E-2</v>
      </c>
      <c r="M73"/>
      <c r="N73" s="159">
        <f t="shared" si="1"/>
        <v>14979.849908171573</v>
      </c>
      <c r="O73" s="159">
        <f t="shared" si="1"/>
        <v>6846.4575045857855</v>
      </c>
      <c r="P73" s="198">
        <f t="shared" si="1"/>
        <v>2170.2700366537192</v>
      </c>
    </row>
    <row r="74" spans="1:16" ht="15">
      <c r="A74">
        <v>71016743</v>
      </c>
      <c r="B74">
        <v>5110</v>
      </c>
      <c r="C74" t="s">
        <v>200</v>
      </c>
      <c r="D74" s="171">
        <v>9467.36</v>
      </c>
      <c r="E74" s="171">
        <v>5011.38</v>
      </c>
      <c r="F74" s="171">
        <v>6993.23</v>
      </c>
      <c r="G74" s="171">
        <v>21471.97</v>
      </c>
      <c r="H74" s="171">
        <v>0</v>
      </c>
      <c r="I74"/>
      <c r="J74" s="172">
        <v>0</v>
      </c>
      <c r="K74" s="172">
        <v>0</v>
      </c>
      <c r="L74" s="172">
        <v>0</v>
      </c>
      <c r="M74"/>
      <c r="N74" s="159">
        <f t="shared" si="1"/>
        <v>0</v>
      </c>
      <c r="O74" s="159">
        <f t="shared" si="1"/>
        <v>0</v>
      </c>
      <c r="P74" s="198">
        <f t="shared" si="1"/>
        <v>0</v>
      </c>
    </row>
    <row r="75" spans="1:16" ht="15">
      <c r="A75">
        <v>71016769</v>
      </c>
      <c r="B75">
        <v>5110</v>
      </c>
      <c r="C75" t="s">
        <v>313</v>
      </c>
      <c r="D75" s="171">
        <v>17280.5</v>
      </c>
      <c r="E75" s="171">
        <v>27441.43</v>
      </c>
      <c r="F75" s="171">
        <v>0</v>
      </c>
      <c r="G75" s="171">
        <v>44721.93</v>
      </c>
      <c r="H75" s="171">
        <v>0</v>
      </c>
      <c r="I75"/>
      <c r="J75" s="172">
        <v>0.18094423210936453</v>
      </c>
      <c r="K75" s="172">
        <v>8.270516509357892E-2</v>
      </c>
      <c r="L75" s="172">
        <v>3.1076911870923724E-2</v>
      </c>
      <c r="M75"/>
      <c r="N75" s="159">
        <f t="shared" si="1"/>
        <v>4965.3684793328794</v>
      </c>
      <c r="O75" s="159">
        <f t="shared" si="1"/>
        <v>2269.5479985538896</v>
      </c>
      <c r="P75" s="198">
        <f t="shared" si="1"/>
        <v>852.7949017221224</v>
      </c>
    </row>
    <row r="76" spans="1:16" ht="15">
      <c r="A76">
        <v>71017093</v>
      </c>
      <c r="B76">
        <v>5110</v>
      </c>
      <c r="C76" t="s">
        <v>313</v>
      </c>
      <c r="D76" s="171">
        <v>18538.3</v>
      </c>
      <c r="E76" s="171">
        <v>29438.82</v>
      </c>
      <c r="F76" s="171">
        <v>0</v>
      </c>
      <c r="G76" s="171">
        <v>47977.120000000003</v>
      </c>
      <c r="H76" s="171">
        <v>0</v>
      </c>
      <c r="I76"/>
      <c r="J76" s="172">
        <v>5.0628525179157384E-2</v>
      </c>
      <c r="K76" s="172">
        <v>2.3110533622421707E-2</v>
      </c>
      <c r="L76" s="172">
        <v>7.3650777261114542E-3</v>
      </c>
      <c r="M76"/>
      <c r="N76" s="159">
        <f t="shared" si="1"/>
        <v>1490.444039614682</v>
      </c>
      <c r="O76" s="159">
        <f t="shared" si="1"/>
        <v>680.34683941442063</v>
      </c>
      <c r="P76" s="198">
        <f t="shared" si="1"/>
        <v>216.81919746500441</v>
      </c>
    </row>
    <row r="77" spans="1:16" ht="15">
      <c r="A77">
        <v>71017618</v>
      </c>
      <c r="B77">
        <v>5110</v>
      </c>
      <c r="C77" t="s">
        <v>313</v>
      </c>
      <c r="D77" s="171">
        <v>18128.2</v>
      </c>
      <c r="E77" s="171">
        <v>28787.58</v>
      </c>
      <c r="F77" s="171">
        <v>0</v>
      </c>
      <c r="G77" s="171">
        <v>46915.78</v>
      </c>
      <c r="H77" s="171">
        <v>0</v>
      </c>
      <c r="I77"/>
      <c r="J77" s="172">
        <v>0.19347161745202535</v>
      </c>
      <c r="K77" s="172">
        <v>8.8394781021966462E-2</v>
      </c>
      <c r="L77" s="172">
        <v>2.8046166224277299E-2</v>
      </c>
      <c r="M77"/>
      <c r="N77" s="159">
        <f t="shared" si="1"/>
        <v>5569.5796651295759</v>
      </c>
      <c r="O77" s="159">
        <f t="shared" si="1"/>
        <v>2544.6718302523414</v>
      </c>
      <c r="P77" s="198">
        <f t="shared" si="1"/>
        <v>807.38125387468074</v>
      </c>
    </row>
    <row r="78" spans="1:16" ht="15">
      <c r="A78">
        <v>71018057</v>
      </c>
      <c r="B78">
        <v>5330</v>
      </c>
      <c r="C78" t="s">
        <v>200</v>
      </c>
      <c r="D78" s="171">
        <v>9204.58</v>
      </c>
      <c r="E78" s="171">
        <v>4872.29</v>
      </c>
      <c r="F78" s="171">
        <v>7044.58</v>
      </c>
      <c r="G78" s="171">
        <v>21121.45</v>
      </c>
      <c r="H78" s="171">
        <v>0</v>
      </c>
      <c r="I78"/>
      <c r="J78" s="172">
        <v>0</v>
      </c>
      <c r="K78" s="172">
        <v>0</v>
      </c>
      <c r="L78" s="172">
        <v>0</v>
      </c>
      <c r="M78"/>
      <c r="N78" s="159">
        <f t="shared" si="1"/>
        <v>0</v>
      </c>
      <c r="O78" s="159">
        <f t="shared" si="1"/>
        <v>0</v>
      </c>
      <c r="P78" s="198">
        <f t="shared" si="1"/>
        <v>0</v>
      </c>
    </row>
    <row r="79" spans="1:16" ht="15">
      <c r="A79">
        <v>71018280</v>
      </c>
      <c r="B79">
        <v>5110</v>
      </c>
      <c r="C79" t="s">
        <v>198</v>
      </c>
      <c r="D79" s="171">
        <v>38458.54</v>
      </c>
      <c r="E79" s="171">
        <v>71475.210000000006</v>
      </c>
      <c r="F79" s="171">
        <v>0</v>
      </c>
      <c r="G79" s="171">
        <v>109933.75</v>
      </c>
      <c r="H79" s="171">
        <v>0</v>
      </c>
      <c r="I79"/>
      <c r="J79" s="172">
        <v>0.19175360876122599</v>
      </c>
      <c r="K79" s="172">
        <v>8.7826804380612994E-2</v>
      </c>
      <c r="L79" s="172">
        <v>2.7843092749251602E-2</v>
      </c>
      <c r="M79"/>
      <c r="N79" s="159">
        <f t="shared" si="1"/>
        <v>13705.629454466469</v>
      </c>
      <c r="O79" s="159">
        <f t="shared" si="1"/>
        <v>6277.4392867332344</v>
      </c>
      <c r="P79" s="198">
        <f t="shared" si="1"/>
        <v>1990.0909013022358</v>
      </c>
    </row>
    <row r="80" spans="1:16" ht="15">
      <c r="A80">
        <v>71019686</v>
      </c>
      <c r="B80">
        <v>5110</v>
      </c>
      <c r="C80" t="s">
        <v>200</v>
      </c>
      <c r="D80" s="171">
        <v>8014.29</v>
      </c>
      <c r="E80" s="171">
        <v>12726.69</v>
      </c>
      <c r="F80" s="171">
        <v>0</v>
      </c>
      <c r="G80" s="171">
        <v>20740.98</v>
      </c>
      <c r="H80" s="171">
        <v>0</v>
      </c>
      <c r="I80"/>
      <c r="J80" s="172">
        <v>0.16278455376523771</v>
      </c>
      <c r="K80" s="172">
        <v>7.4557717778731589E-2</v>
      </c>
      <c r="L80" s="172">
        <v>2.3640287040155129E-2</v>
      </c>
      <c r="M80"/>
      <c r="N80" s="159">
        <f t="shared" si="1"/>
        <v>2071.708552558513</v>
      </c>
      <c r="O80" s="159">
        <f t="shared" si="1"/>
        <v>948.87296127740558</v>
      </c>
      <c r="P80" s="198">
        <f t="shared" si="1"/>
        <v>300.86260467107189</v>
      </c>
    </row>
    <row r="81" spans="1:16" ht="15">
      <c r="A81">
        <v>71019980</v>
      </c>
      <c r="B81">
        <v>5110</v>
      </c>
      <c r="C81" t="s">
        <v>198</v>
      </c>
      <c r="D81" s="171">
        <v>34315.519999999997</v>
      </c>
      <c r="E81" s="171">
        <v>63775.39</v>
      </c>
      <c r="F81" s="171">
        <v>0</v>
      </c>
      <c r="G81" s="171">
        <v>98090.91</v>
      </c>
      <c r="H81" s="171">
        <v>0</v>
      </c>
      <c r="I81"/>
      <c r="J81" s="172">
        <v>1.3054752010995312E-2</v>
      </c>
      <c r="K81" s="172">
        <v>5.2106578528989794E-3</v>
      </c>
      <c r="L81" s="172">
        <v>1.8701912545939455E-3</v>
      </c>
      <c r="M81"/>
      <c r="N81" s="159">
        <f t="shared" si="1"/>
        <v>832.57190085451032</v>
      </c>
      <c r="O81" s="159">
        <f t="shared" si="1"/>
        <v>332.31173672519503</v>
      </c>
      <c r="P81" s="198">
        <f t="shared" si="1"/>
        <v>119.27217663631816</v>
      </c>
    </row>
    <row r="82" spans="1:16" ht="15">
      <c r="A82">
        <v>71020666</v>
      </c>
      <c r="B82">
        <v>5110</v>
      </c>
      <c r="C82" t="s">
        <v>200</v>
      </c>
      <c r="D82" s="171">
        <v>9318.52</v>
      </c>
      <c r="E82" s="171">
        <v>8611.84</v>
      </c>
      <c r="F82" s="171">
        <v>4316.16</v>
      </c>
      <c r="G82" s="171">
        <v>22246.52</v>
      </c>
      <c r="H82" s="171">
        <v>0</v>
      </c>
      <c r="I82"/>
      <c r="J82" s="172">
        <v>0.13088250790934344</v>
      </c>
      <c r="K82" s="172">
        <v>3.8800000000000008E-2</v>
      </c>
      <c r="L82" s="172">
        <v>4.2008746045328289E-2</v>
      </c>
      <c r="M82"/>
      <c r="N82" s="159">
        <f t="shared" si="1"/>
        <v>1127.1392169140001</v>
      </c>
      <c r="O82" s="159">
        <f t="shared" si="1"/>
        <v>334.1393920000001</v>
      </c>
      <c r="P82" s="198">
        <f t="shared" si="1"/>
        <v>361.77259954299996</v>
      </c>
    </row>
    <row r="83" spans="1:16" ht="15">
      <c r="A83">
        <v>71021362</v>
      </c>
      <c r="B83">
        <v>5110</v>
      </c>
      <c r="C83" t="s">
        <v>198</v>
      </c>
      <c r="D83" s="171">
        <v>30934.82</v>
      </c>
      <c r="E83" s="171">
        <v>57492.36</v>
      </c>
      <c r="F83" s="171">
        <v>0</v>
      </c>
      <c r="G83" s="171">
        <v>88427.18</v>
      </c>
      <c r="H83" s="171">
        <v>0</v>
      </c>
      <c r="I83"/>
      <c r="J83" s="172">
        <v>0.1461860728155856</v>
      </c>
      <c r="K83" s="172">
        <v>5.4535330438449811E-2</v>
      </c>
      <c r="L83" s="172">
        <v>4.6426003577342952E-2</v>
      </c>
      <c r="M83"/>
      <c r="N83" s="159">
        <f t="shared" si="1"/>
        <v>8404.5823252998616</v>
      </c>
      <c r="O83" s="159">
        <f t="shared" si="1"/>
        <v>3135.3648502863143</v>
      </c>
      <c r="P83" s="198">
        <f t="shared" si="1"/>
        <v>2669.1405110298888</v>
      </c>
    </row>
    <row r="84" spans="1:16" ht="15">
      <c r="A84">
        <v>71021392</v>
      </c>
      <c r="B84">
        <v>5110</v>
      </c>
      <c r="C84" t="s">
        <v>3986</v>
      </c>
      <c r="D84" s="171">
        <v>28115.74</v>
      </c>
      <c r="E84" s="171">
        <v>52253.120000000003</v>
      </c>
      <c r="F84" s="171">
        <v>0</v>
      </c>
      <c r="G84" s="171">
        <v>80368.86</v>
      </c>
      <c r="H84" s="171">
        <v>0</v>
      </c>
      <c r="I84"/>
      <c r="J84" s="172">
        <v>1.4367614840515431E-3</v>
      </c>
      <c r="K84" s="172">
        <v>0</v>
      </c>
      <c r="L84" s="172">
        <v>9.1723077198222294E-4</v>
      </c>
      <c r="M84"/>
      <c r="N84" s="159">
        <f t="shared" si="1"/>
        <v>75.07527023752337</v>
      </c>
      <c r="O84" s="159">
        <f t="shared" si="1"/>
        <v>0</v>
      </c>
      <c r="P84" s="198">
        <f t="shared" si="1"/>
        <v>47.928169596079734</v>
      </c>
    </row>
    <row r="85" spans="1:16" ht="15">
      <c r="A85">
        <v>71023158</v>
      </c>
      <c r="B85">
        <v>5110</v>
      </c>
      <c r="C85" t="s">
        <v>198</v>
      </c>
      <c r="D85" s="171">
        <v>32066.03</v>
      </c>
      <c r="E85" s="171">
        <v>59594.720000000001</v>
      </c>
      <c r="F85" s="171">
        <v>0</v>
      </c>
      <c r="G85" s="171">
        <v>91660.75</v>
      </c>
      <c r="H85" s="171">
        <v>0</v>
      </c>
      <c r="I85"/>
      <c r="J85" s="172">
        <v>0</v>
      </c>
      <c r="K85" s="172">
        <v>0</v>
      </c>
      <c r="L85" s="172">
        <v>7.0017239719297381E-2</v>
      </c>
      <c r="M85"/>
      <c r="N85" s="159">
        <f t="shared" si="1"/>
        <v>0</v>
      </c>
      <c r="O85" s="159">
        <f t="shared" si="1"/>
        <v>0</v>
      </c>
      <c r="P85" s="198">
        <f t="shared" si="1"/>
        <v>4172.6577962444062</v>
      </c>
    </row>
    <row r="86" spans="1:16" ht="15">
      <c r="A86">
        <v>71023190</v>
      </c>
      <c r="B86">
        <v>5110</v>
      </c>
      <c r="C86" t="s">
        <v>198</v>
      </c>
      <c r="D86" s="171">
        <v>30974.46</v>
      </c>
      <c r="E86" s="171">
        <v>57566.02</v>
      </c>
      <c r="F86" s="171">
        <v>0</v>
      </c>
      <c r="G86" s="171">
        <v>88540.479999999996</v>
      </c>
      <c r="H86" s="171">
        <v>0</v>
      </c>
      <c r="I86"/>
      <c r="J86" s="172">
        <v>0.40933079257258059</v>
      </c>
      <c r="K86" s="172">
        <v>1.6054341135057115E-3</v>
      </c>
      <c r="L86" s="172">
        <v>0.13140382657418545</v>
      </c>
      <c r="M86"/>
      <c r="N86" s="159">
        <f t="shared" si="1"/>
        <v>23563.544591849026</v>
      </c>
      <c r="O86" s="159">
        <f t="shared" si="1"/>
        <v>92.418452286752057</v>
      </c>
      <c r="P86" s="198">
        <f t="shared" si="1"/>
        <v>7564.3953086460906</v>
      </c>
    </row>
    <row r="87" spans="1:16" ht="15">
      <c r="A87">
        <v>71024213</v>
      </c>
      <c r="B87">
        <v>5110</v>
      </c>
      <c r="C87" t="s">
        <v>198</v>
      </c>
      <c r="D87" s="171">
        <v>30362.080000000002</v>
      </c>
      <c r="E87" s="171">
        <v>56427.93</v>
      </c>
      <c r="F87" s="171">
        <v>0</v>
      </c>
      <c r="G87" s="171">
        <v>86790.01</v>
      </c>
      <c r="H87" s="171">
        <v>0</v>
      </c>
      <c r="I87"/>
      <c r="J87" s="172">
        <v>0.25143265430446432</v>
      </c>
      <c r="K87" s="172">
        <v>0.15646776954319247</v>
      </c>
      <c r="L87" s="172">
        <v>3.9460295714812008E-2</v>
      </c>
      <c r="M87"/>
      <c r="N87" s="159">
        <f t="shared" si="1"/>
        <v>14187.824216806512</v>
      </c>
      <c r="O87" s="159">
        <f t="shared" si="1"/>
        <v>8829.1523470393968</v>
      </c>
      <c r="P87" s="198">
        <f t="shared" si="1"/>
        <v>2226.6628043747119</v>
      </c>
    </row>
    <row r="88" spans="1:16" ht="15">
      <c r="A88">
        <v>71025203</v>
      </c>
      <c r="B88">
        <v>5110</v>
      </c>
      <c r="C88" t="s">
        <v>198</v>
      </c>
      <c r="D88" s="171">
        <v>29637.39</v>
      </c>
      <c r="E88" s="171">
        <v>55081.1</v>
      </c>
      <c r="F88" s="171">
        <v>0</v>
      </c>
      <c r="G88" s="171">
        <v>87235.6</v>
      </c>
      <c r="H88" s="171">
        <v>2517.1100000000151</v>
      </c>
      <c r="I88"/>
      <c r="J88" s="172">
        <v>0.12790512603786033</v>
      </c>
      <c r="K88" s="172">
        <v>3.7917731885439815E-2</v>
      </c>
      <c r="L88" s="172">
        <v>4.1054145514330342E-2</v>
      </c>
      <c r="M88"/>
      <c r="N88" s="159">
        <f t="shared" si="1"/>
        <v>7045.1550378039883</v>
      </c>
      <c r="O88" s="159">
        <f t="shared" si="1"/>
        <v>2088.5503817550989</v>
      </c>
      <c r="P88" s="198">
        <f t="shared" si="1"/>
        <v>2261.307494489381</v>
      </c>
    </row>
    <row r="89" spans="1:16" ht="15">
      <c r="A89">
        <v>71027847</v>
      </c>
      <c r="B89">
        <v>5120</v>
      </c>
      <c r="C89" t="s">
        <v>198</v>
      </c>
      <c r="D89" s="171">
        <v>33590</v>
      </c>
      <c r="E89" s="171">
        <v>62427.02</v>
      </c>
      <c r="F89" s="171">
        <v>0</v>
      </c>
      <c r="G89" s="171">
        <v>96017.02</v>
      </c>
      <c r="H89" s="171">
        <v>0</v>
      </c>
      <c r="I89"/>
      <c r="J89" s="172">
        <v>0</v>
      </c>
      <c r="K89" s="172">
        <v>0</v>
      </c>
      <c r="L89" s="172">
        <v>0</v>
      </c>
      <c r="M89"/>
      <c r="N89" s="159">
        <f t="shared" si="1"/>
        <v>0</v>
      </c>
      <c r="O89" s="159">
        <f t="shared" si="1"/>
        <v>0</v>
      </c>
      <c r="P89" s="198">
        <f t="shared" si="1"/>
        <v>0</v>
      </c>
    </row>
    <row r="90" spans="1:16" ht="15">
      <c r="A90">
        <v>71030138</v>
      </c>
      <c r="B90">
        <v>5110</v>
      </c>
      <c r="C90" t="s">
        <v>200</v>
      </c>
      <c r="D90" s="171">
        <v>9574.2199999999993</v>
      </c>
      <c r="E90" s="171">
        <v>15203.86</v>
      </c>
      <c r="F90" s="171">
        <v>0</v>
      </c>
      <c r="G90" s="171">
        <v>24778.080000000002</v>
      </c>
      <c r="H90" s="171">
        <v>0</v>
      </c>
      <c r="I90"/>
      <c r="J90" s="172">
        <v>0.11268339341085554</v>
      </c>
      <c r="K90" s="172">
        <v>5.1608794742194292E-2</v>
      </c>
      <c r="L90" s="172">
        <v>1.6373740285193311E-2</v>
      </c>
      <c r="M90"/>
      <c r="N90" s="159">
        <f t="shared" si="1"/>
        <v>1713.2225377435702</v>
      </c>
      <c r="O90" s="159">
        <f t="shared" si="1"/>
        <v>784.65289002905809</v>
      </c>
      <c r="P90" s="198">
        <f t="shared" si="1"/>
        <v>248.94405497243918</v>
      </c>
    </row>
    <row r="91" spans="1:16" ht="15">
      <c r="A91">
        <v>71036382</v>
      </c>
      <c r="B91">
        <v>5110</v>
      </c>
      <c r="C91" t="s">
        <v>313</v>
      </c>
      <c r="D91" s="171">
        <v>19206.38</v>
      </c>
      <c r="E91" s="171">
        <v>30499.73</v>
      </c>
      <c r="F91" s="171">
        <v>0</v>
      </c>
      <c r="G91" s="171">
        <v>49706.11</v>
      </c>
      <c r="H91" s="171">
        <v>0</v>
      </c>
      <c r="I91"/>
      <c r="J91" s="172">
        <v>4.5648912553331672E-2</v>
      </c>
      <c r="K91" s="172">
        <v>2.0914969879866352E-2</v>
      </c>
      <c r="L91" s="172">
        <v>6.5935177155718996E-3</v>
      </c>
      <c r="M91"/>
      <c r="N91" s="159">
        <f t="shared" si="1"/>
        <v>1392.2795076702266</v>
      </c>
      <c r="O91" s="159">
        <f t="shared" si="1"/>
        <v>637.90093429405613</v>
      </c>
      <c r="P91" s="198">
        <f t="shared" si="1"/>
        <v>201.10051007515972</v>
      </c>
    </row>
    <row r="92" spans="1:16" ht="15">
      <c r="A92">
        <v>71038455</v>
      </c>
      <c r="B92">
        <v>5110</v>
      </c>
      <c r="C92" t="s">
        <v>198</v>
      </c>
      <c r="D92" s="171">
        <v>30958.720000000001</v>
      </c>
      <c r="E92" s="171">
        <v>57536.78</v>
      </c>
      <c r="F92" s="171">
        <v>0</v>
      </c>
      <c r="G92" s="171">
        <v>88495.5</v>
      </c>
      <c r="H92" s="171">
        <v>0</v>
      </c>
      <c r="I92"/>
      <c r="J92" s="172">
        <v>0.17093393532708862</v>
      </c>
      <c r="K92" s="172">
        <v>0.12332552155671955</v>
      </c>
      <c r="L92" s="172">
        <v>1.1228520978932224E-2</v>
      </c>
      <c r="M92"/>
      <c r="N92" s="159">
        <f t="shared" si="1"/>
        <v>9834.9882314489259</v>
      </c>
      <c r="O92" s="159">
        <f t="shared" si="1"/>
        <v>7095.7534021942301</v>
      </c>
      <c r="P92" s="198">
        <f t="shared" si="1"/>
        <v>646.05294129020797</v>
      </c>
    </row>
    <row r="93" spans="1:16" ht="15">
      <c r="A93">
        <v>71061025</v>
      </c>
      <c r="B93">
        <v>5110</v>
      </c>
      <c r="C93" t="s">
        <v>204</v>
      </c>
      <c r="D93" s="171">
        <v>4174.87</v>
      </c>
      <c r="E93" s="171">
        <v>6629.69</v>
      </c>
      <c r="F93" s="171">
        <v>0</v>
      </c>
      <c r="G93" s="171">
        <v>10804.56</v>
      </c>
      <c r="H93" s="171">
        <v>0</v>
      </c>
      <c r="I93"/>
      <c r="J93" s="172">
        <v>0.19170155783376683</v>
      </c>
      <c r="K93" s="172">
        <v>8.7800778916883426E-2</v>
      </c>
      <c r="L93" s="172">
        <v>2.7846562811082221E-2</v>
      </c>
      <c r="M93"/>
      <c r="N93" s="159">
        <f t="shared" si="1"/>
        <v>1270.9219009549456</v>
      </c>
      <c r="O93" s="159">
        <f t="shared" si="1"/>
        <v>582.09194597747285</v>
      </c>
      <c r="P93" s="198">
        <f t="shared" si="1"/>
        <v>184.61407900300367</v>
      </c>
    </row>
    <row r="94" spans="1:16" ht="15">
      <c r="A94">
        <v>71066550</v>
      </c>
      <c r="B94">
        <v>5110</v>
      </c>
      <c r="C94" t="s">
        <v>313</v>
      </c>
      <c r="D94" s="171">
        <v>19647.099999999999</v>
      </c>
      <c r="E94" s="171">
        <v>31199.59</v>
      </c>
      <c r="F94" s="171">
        <v>0</v>
      </c>
      <c r="G94" s="171">
        <v>50846.69</v>
      </c>
      <c r="H94" s="171">
        <v>0</v>
      </c>
      <c r="I94"/>
      <c r="J94" s="172">
        <v>0.11655096764700482</v>
      </c>
      <c r="K94" s="172">
        <v>4.8712760321931017E-2</v>
      </c>
      <c r="L94" s="172">
        <v>1.2508313838994978E-2</v>
      </c>
      <c r="M94"/>
      <c r="N94" s="159">
        <f t="shared" si="1"/>
        <v>3636.3424046898149</v>
      </c>
      <c r="O94" s="159">
        <f t="shared" si="1"/>
        <v>1519.8181498125157</v>
      </c>
      <c r="P94" s="198">
        <f t="shared" si="1"/>
        <v>390.25426336796932</v>
      </c>
    </row>
    <row r="95" spans="1:16" ht="15">
      <c r="A95">
        <v>71066903</v>
      </c>
      <c r="B95">
        <v>5110</v>
      </c>
      <c r="C95" t="s">
        <v>313</v>
      </c>
      <c r="D95" s="171">
        <v>20925.599999999999</v>
      </c>
      <c r="E95" s="171">
        <v>30506.1</v>
      </c>
      <c r="F95" s="171">
        <v>1900.45</v>
      </c>
      <c r="G95" s="171">
        <v>53332.15</v>
      </c>
      <c r="H95" s="171">
        <v>0</v>
      </c>
      <c r="I95"/>
      <c r="J95" s="172">
        <v>7.2609657694694156E-3</v>
      </c>
      <c r="K95" s="172">
        <v>3.3242975812028648E-3</v>
      </c>
      <c r="L95" s="172">
        <v>1.061188815967505E-3</v>
      </c>
      <c r="M95"/>
      <c r="N95" s="159">
        <f t="shared" si="1"/>
        <v>221.50374786001092</v>
      </c>
      <c r="O95" s="159">
        <f t="shared" si="1"/>
        <v>101.41135444193272</v>
      </c>
      <c r="P95" s="198">
        <f t="shared" si="1"/>
        <v>32.372732138786304</v>
      </c>
    </row>
    <row r="96" spans="1:16" ht="15">
      <c r="A96">
        <v>71069306</v>
      </c>
      <c r="B96">
        <v>5110</v>
      </c>
      <c r="C96" t="s">
        <v>200</v>
      </c>
      <c r="D96" s="171">
        <v>9885.5300000000007</v>
      </c>
      <c r="E96" s="171">
        <v>15698.22</v>
      </c>
      <c r="F96" s="171">
        <v>0</v>
      </c>
      <c r="G96" s="171">
        <v>25583.75</v>
      </c>
      <c r="H96" s="171">
        <v>0</v>
      </c>
      <c r="I96"/>
      <c r="J96" s="172">
        <v>0.11493784575069474</v>
      </c>
      <c r="K96" s="172">
        <v>5.2641408727647401E-2</v>
      </c>
      <c r="L96" s="172">
        <v>1.6700931373211297E-2</v>
      </c>
      <c r="M96"/>
      <c r="N96" s="159">
        <f t="shared" si="1"/>
        <v>1804.319588920471</v>
      </c>
      <c r="O96" s="159">
        <f t="shared" si="1"/>
        <v>826.37641531652901</v>
      </c>
      <c r="P96" s="198">
        <f t="shared" si="1"/>
        <v>262.17489490157305</v>
      </c>
    </row>
    <row r="97" spans="1:16" ht="15">
      <c r="A97">
        <v>71089853</v>
      </c>
      <c r="B97">
        <v>5110</v>
      </c>
      <c r="C97" t="s">
        <v>197</v>
      </c>
      <c r="D97" s="171">
        <v>48667.839999999997</v>
      </c>
      <c r="E97" s="171">
        <v>90449.18</v>
      </c>
      <c r="F97" s="171">
        <v>0</v>
      </c>
      <c r="G97" s="171">
        <v>139117.01999999999</v>
      </c>
      <c r="H97" s="171">
        <v>0</v>
      </c>
      <c r="I97"/>
      <c r="J97" s="172">
        <v>0</v>
      </c>
      <c r="K97" s="172">
        <v>0</v>
      </c>
      <c r="L97" s="172">
        <v>7.8773467029154165E-2</v>
      </c>
      <c r="M97"/>
      <c r="N97" s="159">
        <f>$E97*J97</f>
        <v>0</v>
      </c>
      <c r="O97" s="159">
        <f>$G97*K97</f>
        <v>0</v>
      </c>
      <c r="P97" s="198">
        <f>$G97*L97</f>
        <v>10958.729988164179</v>
      </c>
    </row>
    <row r="98" spans="1:16" ht="15">
      <c r="A98">
        <v>71092080</v>
      </c>
      <c r="B98">
        <v>5110</v>
      </c>
      <c r="C98" t="s">
        <v>198</v>
      </c>
      <c r="D98" s="171">
        <v>35343.79</v>
      </c>
      <c r="E98" s="171">
        <v>65686.44</v>
      </c>
      <c r="F98" s="171">
        <v>0</v>
      </c>
      <c r="G98" s="171">
        <v>101030.23</v>
      </c>
      <c r="H98" s="171">
        <v>0</v>
      </c>
      <c r="I98"/>
      <c r="J98" s="172">
        <v>0.1769866941086424</v>
      </c>
      <c r="K98" s="172">
        <v>6.6025631994367395E-2</v>
      </c>
      <c r="L98" s="172">
        <v>3.5902099480180978E-2</v>
      </c>
      <c r="M98"/>
      <c r="N98" s="159">
        <f t="shared" si="1"/>
        <v>11625.625863365693</v>
      </c>
      <c r="O98" s="159">
        <f t="shared" si="1"/>
        <v>4336.9887144600943</v>
      </c>
      <c r="P98" s="198">
        <f t="shared" si="1"/>
        <v>2358.281103378939</v>
      </c>
    </row>
    <row r="99" spans="1:16" ht="15">
      <c r="A99">
        <v>72004161</v>
      </c>
      <c r="B99">
        <v>5110</v>
      </c>
      <c r="C99" t="s">
        <v>200</v>
      </c>
      <c r="D99" s="171">
        <v>7702.58</v>
      </c>
      <c r="E99" s="171">
        <v>12231.7</v>
      </c>
      <c r="F99" s="171">
        <v>0</v>
      </c>
      <c r="G99" s="171">
        <v>19934.28</v>
      </c>
      <c r="H99" s="171">
        <v>0</v>
      </c>
      <c r="I99"/>
      <c r="J99" s="172">
        <v>0.11287669088347259</v>
      </c>
      <c r="K99" s="172">
        <v>5.1696663843327786E-2</v>
      </c>
      <c r="L99" s="172">
        <v>1.6405162769840088E-2</v>
      </c>
      <c r="M99"/>
      <c r="N99" s="159">
        <f t="shared" si="1"/>
        <v>1380.6738198793716</v>
      </c>
      <c r="O99" s="159">
        <f t="shared" si="1"/>
        <v>632.33808313243253</v>
      </c>
      <c r="P99" s="198">
        <f t="shared" si="1"/>
        <v>200.66302945185302</v>
      </c>
    </row>
    <row r="100" spans="1:16" ht="15">
      <c r="A100">
        <v>72004414</v>
      </c>
      <c r="B100">
        <v>5110</v>
      </c>
      <c r="C100" t="s">
        <v>200</v>
      </c>
      <c r="D100" s="171">
        <v>8008.54</v>
      </c>
      <c r="E100" s="171">
        <v>12717.56</v>
      </c>
      <c r="F100" s="171">
        <v>0</v>
      </c>
      <c r="G100" s="171">
        <v>20726.099999999999</v>
      </c>
      <c r="H100" s="171">
        <v>0</v>
      </c>
      <c r="I100"/>
      <c r="J100" s="172">
        <v>0.10743766241924056</v>
      </c>
      <c r="K100" s="172">
        <v>4.9206165162349318E-2</v>
      </c>
      <c r="L100" s="172">
        <v>1.5611971070244599E-2</v>
      </c>
      <c r="M100"/>
      <c r="N100" s="159">
        <f t="shared" si="1"/>
        <v>1366.3449180764369</v>
      </c>
      <c r="O100" s="159">
        <f t="shared" si="1"/>
        <v>625.78235782208719</v>
      </c>
      <c r="P100" s="198">
        <f t="shared" si="1"/>
        <v>198.5461788040999</v>
      </c>
    </row>
    <row r="101" spans="1:16" ht="15">
      <c r="A101">
        <v>72006383</v>
      </c>
      <c r="B101">
        <v>5110</v>
      </c>
      <c r="C101" t="s">
        <v>204</v>
      </c>
      <c r="D101" s="171">
        <v>3952.5</v>
      </c>
      <c r="E101" s="171">
        <v>6276.57</v>
      </c>
      <c r="F101" s="171">
        <v>0</v>
      </c>
      <c r="G101" s="171">
        <v>10229.07</v>
      </c>
      <c r="H101" s="171">
        <v>0</v>
      </c>
      <c r="I101"/>
      <c r="J101" s="172">
        <v>5.3921948430520401E-2</v>
      </c>
      <c r="K101" s="172">
        <v>2.412411078502576E-2</v>
      </c>
      <c r="L101" s="172">
        <v>7.8864078585934114E-3</v>
      </c>
      <c r="M101"/>
      <c r="N101" s="159">
        <f t="shared" si="1"/>
        <v>338.44488386055144</v>
      </c>
      <c r="O101" s="159">
        <f t="shared" si="1"/>
        <v>151.41667002996914</v>
      </c>
      <c r="P101" s="198">
        <f t="shared" si="1"/>
        <v>49.499590973011649</v>
      </c>
    </row>
    <row r="102" spans="1:16" ht="15">
      <c r="A102">
        <v>72007606</v>
      </c>
      <c r="B102">
        <v>5110</v>
      </c>
      <c r="C102" t="s">
        <v>200</v>
      </c>
      <c r="D102" s="171">
        <v>7781.6</v>
      </c>
      <c r="E102" s="171">
        <v>6178.59</v>
      </c>
      <c r="F102" s="171">
        <v>4311.01</v>
      </c>
      <c r="G102" s="171">
        <v>18271.2</v>
      </c>
      <c r="H102" s="171">
        <v>0</v>
      </c>
      <c r="I102"/>
      <c r="J102" s="172">
        <v>9.8237748031274136E-2</v>
      </c>
      <c r="K102" s="172">
        <v>0.44607650106406671</v>
      </c>
      <c r="L102" s="172">
        <v>2.4769957919938989E-3</v>
      </c>
      <c r="M102"/>
      <c r="N102" s="159">
        <f t="shared" si="1"/>
        <v>606.97076760855009</v>
      </c>
      <c r="O102" s="159">
        <f t="shared" si="1"/>
        <v>2756.1238087094321</v>
      </c>
      <c r="P102" s="198">
        <f t="shared" si="1"/>
        <v>15.304341430455585</v>
      </c>
    </row>
    <row r="103" spans="1:16" ht="15">
      <c r="A103">
        <v>72008486</v>
      </c>
      <c r="B103">
        <v>5110</v>
      </c>
      <c r="C103" t="s">
        <v>200</v>
      </c>
      <c r="D103" s="171">
        <v>8934.5300000000007</v>
      </c>
      <c r="E103" s="171">
        <v>14188.03</v>
      </c>
      <c r="F103" s="171">
        <v>0</v>
      </c>
      <c r="G103" s="171">
        <v>23122.560000000001</v>
      </c>
      <c r="H103" s="171">
        <v>0</v>
      </c>
      <c r="I103"/>
      <c r="J103" s="172">
        <v>7.3777215158046611E-2</v>
      </c>
      <c r="K103" s="172">
        <v>3.2728014571876775E-2</v>
      </c>
      <c r="L103" s="172">
        <v>4.9835226747886692E-3</v>
      </c>
      <c r="M103"/>
      <c r="N103" s="159">
        <f t="shared" si="1"/>
        <v>1046.7533419788201</v>
      </c>
      <c r="O103" s="159">
        <f t="shared" si="1"/>
        <v>464.34605258622486</v>
      </c>
      <c r="P103" s="198">
        <f t="shared" si="1"/>
        <v>70.706369215581887</v>
      </c>
    </row>
    <row r="104" spans="1:16" ht="15">
      <c r="A104">
        <v>72010251</v>
      </c>
      <c r="B104">
        <v>5110</v>
      </c>
      <c r="C104" t="s">
        <v>198</v>
      </c>
      <c r="D104" s="171">
        <v>29380.01</v>
      </c>
      <c r="E104" s="171">
        <v>79392.11</v>
      </c>
      <c r="F104" s="171">
        <v>0</v>
      </c>
      <c r="G104" s="171">
        <v>108772.12</v>
      </c>
      <c r="H104" s="171">
        <v>0</v>
      </c>
      <c r="I104"/>
      <c r="J104" s="172">
        <v>4.2033206510034768E-2</v>
      </c>
      <c r="K104" s="172">
        <v>1.9262313995344123E-2</v>
      </c>
      <c r="L104" s="172">
        <v>6.05131728728041E-3</v>
      </c>
      <c r="M104"/>
      <c r="N104" s="159">
        <f t="shared" si="1"/>
        <v>3337.1049548973965</v>
      </c>
      <c r="O104" s="159">
        <f t="shared" si="1"/>
        <v>1529.2757515729002</v>
      </c>
      <c r="P104" s="198">
        <f t="shared" si="1"/>
        <v>480.42684771666791</v>
      </c>
    </row>
    <row r="105" spans="1:16" ht="15">
      <c r="A105">
        <v>72010279</v>
      </c>
      <c r="B105">
        <v>5110</v>
      </c>
      <c r="C105" t="s">
        <v>198</v>
      </c>
      <c r="D105" s="171">
        <v>36511.1</v>
      </c>
      <c r="E105" s="171">
        <v>67855.88</v>
      </c>
      <c r="F105" s="171">
        <v>0</v>
      </c>
      <c r="G105" s="171">
        <v>104366.98</v>
      </c>
      <c r="H105" s="171">
        <v>0</v>
      </c>
      <c r="I105"/>
      <c r="J105" s="172">
        <v>0.19228571925174168</v>
      </c>
      <c r="K105" s="172">
        <v>8.8058796207739251E-2</v>
      </c>
      <c r="L105" s="172">
        <v>2.7864191459181425E-2</v>
      </c>
      <c r="M105"/>
      <c r="N105" s="159">
        <f t="shared" si="1"/>
        <v>13047.716691259873</v>
      </c>
      <c r="O105" s="159">
        <f t="shared" si="1"/>
        <v>5975.3071084168105</v>
      </c>
      <c r="P105" s="198">
        <f t="shared" si="1"/>
        <v>1890.7492319512398</v>
      </c>
    </row>
    <row r="106" spans="1:16" ht="15">
      <c r="A106">
        <v>72012723</v>
      </c>
      <c r="B106">
        <v>5110</v>
      </c>
      <c r="C106" t="s">
        <v>3985</v>
      </c>
      <c r="D106" s="171">
        <v>94376.67</v>
      </c>
      <c r="E106" s="171">
        <v>175399.05</v>
      </c>
      <c r="F106" s="171">
        <v>0</v>
      </c>
      <c r="G106" s="171">
        <v>269775.71999999997</v>
      </c>
      <c r="H106" s="171">
        <v>0</v>
      </c>
      <c r="I106"/>
      <c r="J106" s="172">
        <v>0.14143007870992153</v>
      </c>
      <c r="K106" s="172">
        <v>6.477797788065795E-2</v>
      </c>
      <c r="L106" s="172">
        <v>2.053443584948457E-2</v>
      </c>
      <c r="M106"/>
      <c r="N106" s="159">
        <f>$E106*J106</f>
        <v>24806.70144714546</v>
      </c>
      <c r="O106" s="159">
        <f>$G106*K106</f>
        <v>17475.525622898571</v>
      </c>
      <c r="P106" s="198">
        <f>$G106*L106</f>
        <v>5539.6922160885106</v>
      </c>
    </row>
    <row r="107" spans="1:16" ht="15">
      <c r="A107">
        <v>72015045</v>
      </c>
      <c r="B107">
        <v>5110</v>
      </c>
      <c r="C107" t="s">
        <v>204</v>
      </c>
      <c r="D107" s="171">
        <v>3467.15</v>
      </c>
      <c r="E107" s="171">
        <v>601.74</v>
      </c>
      <c r="F107" s="171">
        <v>5487.77</v>
      </c>
      <c r="G107" s="171">
        <v>9556.66</v>
      </c>
      <c r="H107" s="171">
        <v>0</v>
      </c>
      <c r="I107"/>
      <c r="J107" s="172">
        <v>0</v>
      </c>
      <c r="K107" s="172">
        <v>0</v>
      </c>
      <c r="L107" s="172">
        <v>0</v>
      </c>
      <c r="M107"/>
      <c r="N107" s="159">
        <f t="shared" si="1"/>
        <v>0</v>
      </c>
      <c r="O107" s="159">
        <f t="shared" si="1"/>
        <v>0</v>
      </c>
      <c r="P107" s="198">
        <f t="shared" si="1"/>
        <v>0</v>
      </c>
    </row>
    <row r="108" spans="1:16" ht="15">
      <c r="A108">
        <v>72015910</v>
      </c>
      <c r="B108">
        <v>5110</v>
      </c>
      <c r="C108" t="s">
        <v>198</v>
      </c>
      <c r="D108" s="171">
        <v>39550.769999999997</v>
      </c>
      <c r="E108" s="171">
        <v>113550.25</v>
      </c>
      <c r="F108" s="171">
        <v>0</v>
      </c>
      <c r="G108" s="171">
        <v>153101.01999999999</v>
      </c>
      <c r="H108" s="171">
        <v>0</v>
      </c>
      <c r="I108"/>
      <c r="J108" s="172">
        <v>0</v>
      </c>
      <c r="K108" s="172">
        <v>0</v>
      </c>
      <c r="L108" s="172">
        <v>0</v>
      </c>
      <c r="M108"/>
      <c r="N108" s="159">
        <f t="shared" si="1"/>
        <v>0</v>
      </c>
      <c r="O108" s="159">
        <f t="shared" si="1"/>
        <v>0</v>
      </c>
      <c r="P108" s="198">
        <f t="shared" si="1"/>
        <v>0</v>
      </c>
    </row>
    <row r="109" spans="1:16" ht="15">
      <c r="A109">
        <v>72016163</v>
      </c>
      <c r="B109">
        <v>5110</v>
      </c>
      <c r="C109" t="s">
        <v>204</v>
      </c>
      <c r="D109" s="171">
        <v>4360.51</v>
      </c>
      <c r="E109" s="171">
        <v>3462.25</v>
      </c>
      <c r="F109" s="171">
        <v>2415.7199999999998</v>
      </c>
      <c r="G109" s="171">
        <v>10238.48</v>
      </c>
      <c r="H109" s="171">
        <v>0</v>
      </c>
      <c r="I109"/>
      <c r="J109" s="172">
        <v>0</v>
      </c>
      <c r="K109" s="172">
        <v>0</v>
      </c>
      <c r="L109" s="172">
        <v>0</v>
      </c>
      <c r="M109"/>
      <c r="N109" s="159">
        <f t="shared" si="1"/>
        <v>0</v>
      </c>
      <c r="O109" s="159">
        <f t="shared" si="1"/>
        <v>0</v>
      </c>
      <c r="P109" s="198">
        <f t="shared" si="1"/>
        <v>0</v>
      </c>
    </row>
    <row r="110" spans="1:16" ht="15">
      <c r="A110">
        <v>72016198</v>
      </c>
      <c r="B110">
        <v>5110</v>
      </c>
      <c r="C110" t="s">
        <v>204</v>
      </c>
      <c r="D110" s="171">
        <v>3671.35</v>
      </c>
      <c r="E110" s="171">
        <v>4380.55</v>
      </c>
      <c r="F110" s="171">
        <v>1513.77</v>
      </c>
      <c r="G110" s="171">
        <v>9565.67</v>
      </c>
      <c r="H110" s="171">
        <v>0</v>
      </c>
      <c r="I110"/>
      <c r="J110" s="172">
        <v>0</v>
      </c>
      <c r="K110" s="172">
        <v>0</v>
      </c>
      <c r="L110" s="172">
        <v>0</v>
      </c>
      <c r="M110"/>
      <c r="N110" s="159">
        <f t="shared" si="1"/>
        <v>0</v>
      </c>
      <c r="O110" s="159">
        <f t="shared" si="1"/>
        <v>0</v>
      </c>
      <c r="P110" s="198">
        <f t="shared" si="1"/>
        <v>0</v>
      </c>
    </row>
    <row r="111" spans="1:16" ht="15">
      <c r="A111">
        <v>72017641</v>
      </c>
      <c r="B111">
        <v>5110</v>
      </c>
      <c r="C111" t="s">
        <v>200</v>
      </c>
      <c r="D111" s="171">
        <v>9772.0499999999993</v>
      </c>
      <c r="E111" s="171">
        <v>15518.02</v>
      </c>
      <c r="F111" s="171">
        <v>0</v>
      </c>
      <c r="G111" s="171">
        <v>25290.07</v>
      </c>
      <c r="H111" s="171">
        <v>0</v>
      </c>
      <c r="I111"/>
      <c r="J111" s="172">
        <v>0.14939554659078524</v>
      </c>
      <c r="K111" s="172">
        <v>6.8173781725924226E-2</v>
      </c>
      <c r="L111" s="172">
        <v>2.1695167231013258E-2</v>
      </c>
      <c r="M111"/>
      <c r="N111" s="159">
        <f t="shared" si="1"/>
        <v>2318.3230799067373</v>
      </c>
      <c r="O111" s="159">
        <f t="shared" si="1"/>
        <v>1057.9221082985266</v>
      </c>
      <c r="P111" s="198">
        <f t="shared" si="1"/>
        <v>336.66603899420835</v>
      </c>
    </row>
    <row r="112" spans="1:16" ht="15">
      <c r="A112">
        <v>72018391</v>
      </c>
      <c r="B112">
        <v>5110</v>
      </c>
      <c r="C112" t="s">
        <v>313</v>
      </c>
      <c r="D112" s="171">
        <v>18343</v>
      </c>
      <c r="E112" s="171">
        <v>29128.68</v>
      </c>
      <c r="F112" s="171">
        <v>0</v>
      </c>
      <c r="G112" s="171">
        <v>47471.68</v>
      </c>
      <c r="H112" s="171">
        <v>0</v>
      </c>
      <c r="I112"/>
      <c r="J112" s="172">
        <v>0</v>
      </c>
      <c r="K112" s="172">
        <v>0</v>
      </c>
      <c r="L112" s="172">
        <v>0</v>
      </c>
      <c r="M112"/>
      <c r="N112" s="159">
        <f t="shared" si="1"/>
        <v>0</v>
      </c>
      <c r="O112" s="159">
        <f t="shared" si="1"/>
        <v>0</v>
      </c>
      <c r="P112" s="198">
        <f t="shared" si="1"/>
        <v>0</v>
      </c>
    </row>
    <row r="113" spans="1:16" ht="15">
      <c r="A113">
        <v>72018940</v>
      </c>
      <c r="B113">
        <v>5110</v>
      </c>
      <c r="C113" t="s">
        <v>201</v>
      </c>
      <c r="D113" s="171">
        <v>7160.91</v>
      </c>
      <c r="E113" s="171">
        <v>3790.51</v>
      </c>
      <c r="F113" s="171">
        <v>5289.52</v>
      </c>
      <c r="G113" s="171">
        <v>16240.94</v>
      </c>
      <c r="H113" s="171">
        <v>0</v>
      </c>
      <c r="I113"/>
      <c r="J113" s="172">
        <v>0.13468641669843789</v>
      </c>
      <c r="K113" s="172">
        <v>5.4735899462871752E-2</v>
      </c>
      <c r="L113" s="172">
        <v>2.7036386327739002E-2</v>
      </c>
      <c r="M113"/>
      <c r="N113" s="159">
        <f t="shared" si="1"/>
        <v>510.53020935959586</v>
      </c>
      <c r="O113" s="159">
        <f t="shared" si="1"/>
        <v>207.47697427301003</v>
      </c>
      <c r="P113" s="198">
        <f t="shared" si="1"/>
        <v>102.48169273915796</v>
      </c>
    </row>
    <row r="114" spans="1:16" ht="15">
      <c r="A114">
        <v>72020110</v>
      </c>
      <c r="B114">
        <v>5110</v>
      </c>
      <c r="C114" t="s">
        <v>3986</v>
      </c>
      <c r="D114" s="171">
        <v>35270.82</v>
      </c>
      <c r="E114" s="171">
        <v>65550.820000000007</v>
      </c>
      <c r="F114" s="171">
        <v>0</v>
      </c>
      <c r="G114" s="171">
        <v>100821.64</v>
      </c>
      <c r="H114" s="171">
        <v>0</v>
      </c>
      <c r="I114"/>
      <c r="J114" s="172">
        <v>0.19167186527829549</v>
      </c>
      <c r="K114" s="172">
        <v>8.7785932639147746E-2</v>
      </c>
      <c r="L114" s="172">
        <v>2.7848542314780299E-2</v>
      </c>
      <c r="M114"/>
      <c r="N114" s="159">
        <f t="shared" si="1"/>
        <v>12564.247939921799</v>
      </c>
      <c r="O114" s="159">
        <f t="shared" si="1"/>
        <v>5754.4398689608997</v>
      </c>
      <c r="P114" s="198">
        <f t="shared" si="1"/>
        <v>1825.494784538547</v>
      </c>
    </row>
    <row r="115" spans="1:16" ht="15">
      <c r="A115">
        <v>72020195</v>
      </c>
      <c r="B115">
        <v>5110</v>
      </c>
      <c r="C115" t="s">
        <v>200</v>
      </c>
      <c r="D115" s="171">
        <v>7582.57</v>
      </c>
      <c r="E115" s="171">
        <v>12041.12</v>
      </c>
      <c r="F115" s="171">
        <v>0</v>
      </c>
      <c r="G115" s="171">
        <v>19623.689999999999</v>
      </c>
      <c r="H115" s="171">
        <v>0</v>
      </c>
      <c r="I115"/>
      <c r="J115" s="172">
        <v>0.10915550297278695</v>
      </c>
      <c r="K115" s="172">
        <v>5.0002268147537526E-2</v>
      </c>
      <c r="L115" s="172">
        <v>1.5814474101597385E-2</v>
      </c>
      <c r="M115"/>
      <c r="N115" s="159">
        <f t="shared" si="1"/>
        <v>1314.3545099556845</v>
      </c>
      <c r="O115" s="159">
        <f t="shared" si="1"/>
        <v>602.08331103667706</v>
      </c>
      <c r="P115" s="198">
        <f t="shared" si="1"/>
        <v>190.42398039422633</v>
      </c>
    </row>
    <row r="116" spans="1:16" ht="15">
      <c r="A116">
        <v>72020825</v>
      </c>
      <c r="B116">
        <v>5110</v>
      </c>
      <c r="C116" t="s">
        <v>200</v>
      </c>
      <c r="D116" s="171">
        <v>8248.35</v>
      </c>
      <c r="E116" s="171">
        <v>13098.38</v>
      </c>
      <c r="F116" s="171">
        <v>0</v>
      </c>
      <c r="G116" s="171">
        <v>21346.73</v>
      </c>
      <c r="H116" s="171">
        <v>0</v>
      </c>
      <c r="I116"/>
      <c r="J116" s="172">
        <v>0</v>
      </c>
      <c r="K116" s="172">
        <v>0</v>
      </c>
      <c r="L116" s="172">
        <v>0</v>
      </c>
      <c r="M116"/>
      <c r="N116" s="159">
        <f t="shared" si="1"/>
        <v>0</v>
      </c>
      <c r="O116" s="159">
        <f t="shared" si="1"/>
        <v>0</v>
      </c>
      <c r="P116" s="198">
        <f t="shared" si="1"/>
        <v>0</v>
      </c>
    </row>
    <row r="117" spans="1:16" ht="15">
      <c r="A117">
        <v>72020911</v>
      </c>
      <c r="B117">
        <v>5110</v>
      </c>
      <c r="C117" t="s">
        <v>204</v>
      </c>
      <c r="D117" s="171">
        <v>3684.53</v>
      </c>
      <c r="E117" s="171">
        <v>5851.03</v>
      </c>
      <c r="F117" s="171">
        <v>0</v>
      </c>
      <c r="G117" s="171">
        <v>9535.56</v>
      </c>
      <c r="H117" s="171">
        <v>0</v>
      </c>
      <c r="I117"/>
      <c r="J117" s="172">
        <v>0.15441257619456011</v>
      </c>
      <c r="K117" s="172">
        <v>5.6880978218269179E-2</v>
      </c>
      <c r="L117" s="172">
        <v>1.8064673101130125E-2</v>
      </c>
      <c r="M117"/>
      <c r="N117" s="159">
        <f t="shared" si="1"/>
        <v>903.47261569165698</v>
      </c>
      <c r="O117" s="159">
        <f t="shared" si="1"/>
        <v>332.81230998443948</v>
      </c>
      <c r="P117" s="198">
        <f t="shared" si="1"/>
        <v>105.69694425490539</v>
      </c>
    </row>
    <row r="118" spans="1:16" ht="15">
      <c r="A118">
        <v>72021825</v>
      </c>
      <c r="B118">
        <v>5110</v>
      </c>
      <c r="C118" t="s">
        <v>204</v>
      </c>
      <c r="D118" s="171">
        <v>3444.67</v>
      </c>
      <c r="E118" s="171">
        <v>5470.14</v>
      </c>
      <c r="F118" s="171">
        <v>0</v>
      </c>
      <c r="G118" s="171">
        <v>8914.81</v>
      </c>
      <c r="H118" s="171">
        <v>0</v>
      </c>
      <c r="I118"/>
      <c r="J118" s="172">
        <v>0.16740675378163519</v>
      </c>
      <c r="K118" s="172">
        <v>7.6674026194650108E-2</v>
      </c>
      <c r="L118" s="172">
        <v>2.4315212805816215E-2</v>
      </c>
      <c r="M118"/>
      <c r="N118" s="159">
        <f t="shared" si="1"/>
        <v>915.738380131074</v>
      </c>
      <c r="O118" s="159">
        <f t="shared" si="1"/>
        <v>419.41765764840335</v>
      </c>
      <c r="P118" s="198">
        <f t="shared" si="1"/>
        <v>133.00761817760753</v>
      </c>
    </row>
    <row r="119" spans="1:16" ht="15">
      <c r="A119">
        <v>72021961</v>
      </c>
      <c r="B119">
        <v>5110</v>
      </c>
      <c r="C119" t="s">
        <v>198</v>
      </c>
      <c r="D119" s="171">
        <v>28100.63</v>
      </c>
      <c r="E119" s="171">
        <v>52225.01</v>
      </c>
      <c r="F119" s="171">
        <v>0</v>
      </c>
      <c r="G119" s="171">
        <v>80325.64</v>
      </c>
      <c r="H119" s="171">
        <v>0</v>
      </c>
      <c r="I119"/>
      <c r="J119" s="172">
        <v>0.10764667084464334</v>
      </c>
      <c r="K119" s="172">
        <v>4.9284017977065622E-2</v>
      </c>
      <c r="L119" s="172">
        <v>4.8907751419586885E-2</v>
      </c>
      <c r="M119"/>
      <c r="N119" s="159">
        <f t="shared" si="1"/>
        <v>5621.8484613282071</v>
      </c>
      <c r="O119" s="159">
        <f t="shared" si="1"/>
        <v>2573.8583316924319</v>
      </c>
      <c r="P119" s="198">
        <f t="shared" si="1"/>
        <v>2554.2078069654394</v>
      </c>
    </row>
    <row r="120" spans="1:16" ht="15">
      <c r="A120">
        <v>72021977</v>
      </c>
      <c r="B120">
        <v>5110</v>
      </c>
      <c r="C120" t="s">
        <v>200</v>
      </c>
      <c r="D120" s="171">
        <v>8669.34</v>
      </c>
      <c r="E120" s="171">
        <v>4588.97</v>
      </c>
      <c r="F120" s="171">
        <v>6403.75</v>
      </c>
      <c r="G120" s="171">
        <v>19662.060000000001</v>
      </c>
      <c r="H120" s="171">
        <v>0</v>
      </c>
      <c r="I120"/>
      <c r="J120" s="172">
        <v>0.12583191732451102</v>
      </c>
      <c r="K120" s="172">
        <v>5.7491609102835441E-2</v>
      </c>
      <c r="L120" s="172">
        <v>1.8319360188700111E-2</v>
      </c>
      <c r="M120"/>
      <c r="N120" s="159">
        <f t="shared" si="1"/>
        <v>577.43889364466133</v>
      </c>
      <c r="O120" s="159">
        <f t="shared" si="1"/>
        <v>263.82726942463876</v>
      </c>
      <c r="P120" s="198">
        <f t="shared" si="1"/>
        <v>84.066994325139149</v>
      </c>
    </row>
    <row r="121" spans="1:16" ht="15">
      <c r="A121">
        <v>72022121</v>
      </c>
      <c r="B121">
        <v>5110</v>
      </c>
      <c r="C121" t="s">
        <v>198</v>
      </c>
      <c r="D121" s="171">
        <v>38624.129999999997</v>
      </c>
      <c r="E121" s="171">
        <v>110889.87</v>
      </c>
      <c r="F121" s="171">
        <v>0</v>
      </c>
      <c r="G121" s="171">
        <v>149514</v>
      </c>
      <c r="H121" s="171">
        <v>0</v>
      </c>
      <c r="I121"/>
      <c r="J121" s="172">
        <v>0</v>
      </c>
      <c r="K121" s="172">
        <v>0</v>
      </c>
      <c r="L121" s="172">
        <v>0</v>
      </c>
      <c r="M121"/>
      <c r="N121" s="159">
        <f t="shared" si="1"/>
        <v>0</v>
      </c>
      <c r="O121" s="159">
        <f t="shared" si="1"/>
        <v>0</v>
      </c>
      <c r="P121" s="198">
        <f t="shared" si="1"/>
        <v>0</v>
      </c>
    </row>
    <row r="122" spans="1:16" ht="15">
      <c r="A122">
        <v>72022177</v>
      </c>
      <c r="B122">
        <v>5110</v>
      </c>
      <c r="C122" t="s">
        <v>200</v>
      </c>
      <c r="D122" s="171">
        <v>7207.56</v>
      </c>
      <c r="E122" s="171">
        <v>11445.61</v>
      </c>
      <c r="F122" s="171">
        <v>0</v>
      </c>
      <c r="G122" s="171">
        <v>18653.169999999998</v>
      </c>
      <c r="H122" s="171">
        <v>0</v>
      </c>
      <c r="I122"/>
      <c r="J122" s="172">
        <v>0.17393198071866389</v>
      </c>
      <c r="K122" s="172">
        <v>7.9661592562130776E-2</v>
      </c>
      <c r="L122" s="172">
        <v>2.5268302880572715E-2</v>
      </c>
      <c r="M122"/>
      <c r="N122" s="159">
        <f t="shared" si="1"/>
        <v>1990.7576178333468</v>
      </c>
      <c r="O122" s="159">
        <f t="shared" si="1"/>
        <v>911.77552044504966</v>
      </c>
      <c r="P122" s="198">
        <f t="shared" si="1"/>
        <v>289.21114013291191</v>
      </c>
    </row>
    <row r="123" spans="1:16" ht="15">
      <c r="A123">
        <v>72022529</v>
      </c>
      <c r="B123">
        <v>5110</v>
      </c>
      <c r="C123" t="s">
        <v>204</v>
      </c>
      <c r="D123" s="171">
        <v>4994.1400000000003</v>
      </c>
      <c r="E123" s="171">
        <v>7930.69</v>
      </c>
      <c r="F123" s="171">
        <v>0</v>
      </c>
      <c r="G123" s="171">
        <v>12924.83</v>
      </c>
      <c r="H123" s="171">
        <v>0</v>
      </c>
      <c r="I123"/>
      <c r="J123" s="172">
        <v>0.10639550431411501</v>
      </c>
      <c r="K123" s="172">
        <v>4.8728541010896756E-2</v>
      </c>
      <c r="L123" s="172">
        <v>1.5462140478192422E-2</v>
      </c>
      <c r="M123"/>
      <c r="N123" s="159">
        <f t="shared" si="1"/>
        <v>843.7897621089088</v>
      </c>
      <c r="O123" s="159">
        <f t="shared" si="1"/>
        <v>386.45095290970875</v>
      </c>
      <c r="P123" s="198">
        <f t="shared" si="1"/>
        <v>122.62544286899586</v>
      </c>
    </row>
    <row r="124" spans="1:16" ht="15">
      <c r="A124">
        <v>72022715</v>
      </c>
      <c r="B124">
        <v>5110</v>
      </c>
      <c r="C124" t="s">
        <v>198</v>
      </c>
      <c r="D124" s="171">
        <v>33462.33</v>
      </c>
      <c r="E124" s="171">
        <v>62189.73</v>
      </c>
      <c r="F124" s="171">
        <v>0</v>
      </c>
      <c r="G124" s="171">
        <v>95652.06</v>
      </c>
      <c r="H124" s="171">
        <v>0</v>
      </c>
      <c r="I124"/>
      <c r="J124" s="172">
        <v>0.1312008265265289</v>
      </c>
      <c r="K124" s="172">
        <v>3.8879711698852557E-2</v>
      </c>
      <c r="L124" s="172">
        <v>4.2088721833293125E-2</v>
      </c>
      <c r="M124"/>
      <c r="N124" s="159">
        <f t="shared" si="1"/>
        <v>8159.34397746167</v>
      </c>
      <c r="O124" s="159">
        <f t="shared" si="1"/>
        <v>2417.9187730294821</v>
      </c>
      <c r="P124" s="198">
        <f t="shared" si="1"/>
        <v>2617.4862468576048</v>
      </c>
    </row>
    <row r="125" spans="1:16" ht="15">
      <c r="A125">
        <v>72023968</v>
      </c>
      <c r="B125">
        <v>5110</v>
      </c>
      <c r="C125" t="s">
        <v>198</v>
      </c>
      <c r="D125" s="171">
        <v>38344.879999999997</v>
      </c>
      <c r="E125" s="171">
        <v>71263.960000000006</v>
      </c>
      <c r="F125" s="171">
        <v>0</v>
      </c>
      <c r="G125" s="171">
        <v>109608.84</v>
      </c>
      <c r="H125" s="171">
        <v>0</v>
      </c>
      <c r="I125"/>
      <c r="J125" s="172">
        <v>2.6058796112884003E-2</v>
      </c>
      <c r="K125" s="172">
        <v>9.389107003144935E-2</v>
      </c>
      <c r="L125" s="172">
        <v>0</v>
      </c>
      <c r="M125"/>
      <c r="N125" s="159">
        <f t="shared" si="1"/>
        <v>1857.0530038367212</v>
      </c>
      <c r="O125" s="159">
        <f t="shared" si="1"/>
        <v>6691.0494590784056</v>
      </c>
      <c r="P125" s="198">
        <f t="shared" si="1"/>
        <v>0</v>
      </c>
    </row>
    <row r="126" spans="1:16" ht="15">
      <c r="A126">
        <v>72024233</v>
      </c>
      <c r="B126">
        <v>5110</v>
      </c>
      <c r="C126" t="s">
        <v>204</v>
      </c>
      <c r="D126" s="171">
        <v>5188.8900000000003</v>
      </c>
      <c r="E126" s="171">
        <v>8239.9599999999991</v>
      </c>
      <c r="F126" s="171">
        <v>0</v>
      </c>
      <c r="G126" s="171">
        <v>13428.85</v>
      </c>
      <c r="H126" s="171">
        <v>0</v>
      </c>
      <c r="I126"/>
      <c r="J126" s="172">
        <v>0.1726067015501429</v>
      </c>
      <c r="K126" s="172">
        <v>7.9055752119156164E-2</v>
      </c>
      <c r="L126" s="172">
        <v>2.5070001436324013E-2</v>
      </c>
      <c r="M126"/>
      <c r="N126" s="159">
        <f t="shared" si="1"/>
        <v>1422.2723165051154</v>
      </c>
      <c r="O126" s="159">
        <f t="shared" si="1"/>
        <v>651.4162352317619</v>
      </c>
      <c r="P126" s="198">
        <f t="shared" si="1"/>
        <v>206.57580903525241</v>
      </c>
    </row>
    <row r="127" spans="1:16" ht="15">
      <c r="A127">
        <v>72024937</v>
      </c>
      <c r="B127">
        <v>5110</v>
      </c>
      <c r="C127" t="s">
        <v>3985</v>
      </c>
      <c r="D127" s="171">
        <v>184757.01</v>
      </c>
      <c r="E127" s="171">
        <v>452748.49</v>
      </c>
      <c r="F127" s="171">
        <v>0</v>
      </c>
      <c r="G127" s="171">
        <v>599870</v>
      </c>
      <c r="H127" s="171">
        <v>-37635.5</v>
      </c>
      <c r="I127"/>
      <c r="J127" s="172">
        <v>5.4468086810924278E-2</v>
      </c>
      <c r="K127" s="172">
        <v>2.4886038630701074E-2</v>
      </c>
      <c r="L127" s="172">
        <v>7.9297885806301743E-3</v>
      </c>
      <c r="M127"/>
      <c r="N127" s="159">
        <f>$E127*J127</f>
        <v>24660.344056834881</v>
      </c>
      <c r="O127" s="159">
        <f>$G127*K127</f>
        <v>14928.387993398654</v>
      </c>
      <c r="P127" s="198">
        <f>$G127*L127</f>
        <v>4756.842275862623</v>
      </c>
    </row>
    <row r="128" spans="1:16" ht="15">
      <c r="A128">
        <v>72025410</v>
      </c>
      <c r="B128">
        <v>5110</v>
      </c>
      <c r="C128" t="s">
        <v>200</v>
      </c>
      <c r="D128" s="171">
        <v>9848.84</v>
      </c>
      <c r="E128" s="171">
        <v>6965.33</v>
      </c>
      <c r="F128" s="171">
        <v>6052.57</v>
      </c>
      <c r="G128" s="171">
        <v>22866.74</v>
      </c>
      <c r="H128" s="171">
        <v>0</v>
      </c>
      <c r="I128"/>
      <c r="J128" s="172">
        <v>0.20047044956953386</v>
      </c>
      <c r="K128" s="172">
        <v>4.1494004675399605E-2</v>
      </c>
      <c r="L128" s="172">
        <v>3.3557271070192808E-3</v>
      </c>
      <c r="M128"/>
      <c r="N128" s="159">
        <f t="shared" si="1"/>
        <v>1396.3428365001612</v>
      </c>
      <c r="O128" s="159">
        <f t="shared" si="1"/>
        <v>289.0194355857011</v>
      </c>
      <c r="P128" s="198">
        <f t="shared" si="1"/>
        <v>23.373746690334606</v>
      </c>
    </row>
    <row r="129" spans="1:16" ht="15">
      <c r="A129">
        <v>72025936</v>
      </c>
      <c r="B129">
        <v>5110</v>
      </c>
      <c r="C129" t="s">
        <v>201</v>
      </c>
      <c r="D129" s="171">
        <v>1645.39</v>
      </c>
      <c r="E129" s="171">
        <v>2612.88</v>
      </c>
      <c r="F129" s="171">
        <v>0</v>
      </c>
      <c r="G129" s="171">
        <v>4258.2700000000004</v>
      </c>
      <c r="H129" s="171">
        <v>0</v>
      </c>
      <c r="I129"/>
      <c r="J129" s="172">
        <v>0</v>
      </c>
      <c r="K129" s="172">
        <v>0</v>
      </c>
      <c r="L129" s="172">
        <v>0</v>
      </c>
      <c r="M129"/>
      <c r="N129" s="159">
        <f t="shared" si="1"/>
        <v>0</v>
      </c>
      <c r="O129" s="159">
        <f t="shared" si="1"/>
        <v>0</v>
      </c>
      <c r="P129" s="198">
        <f t="shared" si="1"/>
        <v>0</v>
      </c>
    </row>
    <row r="130" spans="1:16" ht="15">
      <c r="A130">
        <v>72025972</v>
      </c>
      <c r="B130">
        <v>5110</v>
      </c>
      <c r="C130" t="s">
        <v>198</v>
      </c>
      <c r="D130" s="171">
        <v>31822.92</v>
      </c>
      <c r="E130" s="171">
        <v>59142.879999999997</v>
      </c>
      <c r="F130" s="171">
        <v>0</v>
      </c>
      <c r="G130" s="171">
        <v>90965.8</v>
      </c>
      <c r="H130" s="171">
        <v>0</v>
      </c>
      <c r="I130"/>
      <c r="J130" s="172">
        <v>0.16297491138856274</v>
      </c>
      <c r="K130" s="172">
        <v>7.4618917557961226E-2</v>
      </c>
      <c r="L130" s="172">
        <v>2.3600086724369893E-2</v>
      </c>
      <c r="M130"/>
      <c r="N130" s="159">
        <f t="shared" si="1"/>
        <v>9638.8056272643989</v>
      </c>
      <c r="O130" s="159">
        <f t="shared" si="1"/>
        <v>4413.1776868603938</v>
      </c>
      <c r="P130" s="198">
        <f t="shared" si="1"/>
        <v>1395.7770971290015</v>
      </c>
    </row>
    <row r="131" spans="1:16" ht="15">
      <c r="A131">
        <v>72026710</v>
      </c>
      <c r="B131">
        <v>5110</v>
      </c>
      <c r="C131" t="s">
        <v>313</v>
      </c>
      <c r="D131" s="171">
        <v>18791.7</v>
      </c>
      <c r="E131" s="171">
        <v>29841.22</v>
      </c>
      <c r="F131" s="171">
        <v>0</v>
      </c>
      <c r="G131" s="171">
        <v>48632.92</v>
      </c>
      <c r="H131" s="171">
        <v>0</v>
      </c>
      <c r="I131"/>
      <c r="J131" s="172">
        <v>9.5944904524671637E-2</v>
      </c>
      <c r="K131" s="172">
        <v>4.3943247954906242E-2</v>
      </c>
      <c r="L131" s="172">
        <v>1.3938224625457352E-2</v>
      </c>
      <c r="M131"/>
      <c r="N131" s="159">
        <f t="shared" si="1"/>
        <v>2863.1130037997218</v>
      </c>
      <c r="O131" s="159">
        <f t="shared" si="1"/>
        <v>1311.3201297369073</v>
      </c>
      <c r="P131" s="198">
        <f t="shared" si="1"/>
        <v>415.93362745769042</v>
      </c>
    </row>
    <row r="132" spans="1:16" ht="15">
      <c r="A132">
        <v>72026760</v>
      </c>
      <c r="B132">
        <v>5110</v>
      </c>
      <c r="C132" t="s">
        <v>197</v>
      </c>
      <c r="D132" s="171">
        <v>60939.47</v>
      </c>
      <c r="E132" s="171">
        <v>113256.01</v>
      </c>
      <c r="F132" s="171">
        <v>0</v>
      </c>
      <c r="G132" s="171">
        <v>174195.48</v>
      </c>
      <c r="H132" s="171">
        <v>0</v>
      </c>
      <c r="I132"/>
      <c r="J132" s="172">
        <v>0.19662381282223862</v>
      </c>
      <c r="K132" s="172">
        <v>7.1726600492710638E-2</v>
      </c>
      <c r="L132" s="172">
        <v>2.8853342786755623E-2</v>
      </c>
      <c r="M132"/>
      <c r="N132" s="159">
        <f>$E132*J132</f>
        <v>22268.828511233583</v>
      </c>
      <c r="O132" s="159">
        <f>$G132*K132</f>
        <v>12494.449601595967</v>
      </c>
      <c r="P132" s="198">
        <f>$G132*L132</f>
        <v>5026.1218963434339</v>
      </c>
    </row>
    <row r="133" spans="1:16" ht="15">
      <c r="A133">
        <v>72026978</v>
      </c>
      <c r="B133">
        <v>5110</v>
      </c>
      <c r="C133" t="s">
        <v>313</v>
      </c>
      <c r="D133" s="171">
        <v>18760.3</v>
      </c>
      <c r="E133" s="171">
        <v>29791.360000000001</v>
      </c>
      <c r="F133" s="171">
        <v>0</v>
      </c>
      <c r="G133" s="171">
        <v>48551.66</v>
      </c>
      <c r="H133" s="171">
        <v>0</v>
      </c>
      <c r="I133"/>
      <c r="J133" s="172">
        <v>1.2342623265832759E-2</v>
      </c>
      <c r="K133" s="172">
        <v>5.6549586791256002E-3</v>
      </c>
      <c r="L133" s="172">
        <v>1.7830838322993605E-3</v>
      </c>
      <c r="M133"/>
      <c r="N133" s="159">
        <f t="shared" ref="N133:P196" si="2">$E133*J133</f>
        <v>367.70353305679942</v>
      </c>
      <c r="O133" s="159">
        <f t="shared" si="2"/>
        <v>168.46890979495524</v>
      </c>
      <c r="P133" s="198">
        <f t="shared" si="2"/>
        <v>53.12049235820988</v>
      </c>
    </row>
    <row r="134" spans="1:16" ht="15">
      <c r="A134">
        <v>72027115</v>
      </c>
      <c r="B134">
        <v>5110</v>
      </c>
      <c r="C134" t="s">
        <v>204</v>
      </c>
      <c r="D134" s="171">
        <v>4909.03</v>
      </c>
      <c r="E134" s="171">
        <v>7795.54</v>
      </c>
      <c r="F134" s="171">
        <v>0</v>
      </c>
      <c r="G134" s="171">
        <v>12704.57</v>
      </c>
      <c r="H134" s="171">
        <v>0</v>
      </c>
      <c r="I134"/>
      <c r="J134" s="172">
        <v>0</v>
      </c>
      <c r="K134" s="172">
        <v>0</v>
      </c>
      <c r="L134" s="172">
        <v>0</v>
      </c>
      <c r="M134"/>
      <c r="N134" s="159">
        <f t="shared" si="2"/>
        <v>0</v>
      </c>
      <c r="O134" s="159">
        <f t="shared" si="2"/>
        <v>0</v>
      </c>
      <c r="P134" s="198">
        <f t="shared" si="2"/>
        <v>0</v>
      </c>
    </row>
    <row r="135" spans="1:16" ht="15">
      <c r="A135">
        <v>72027428</v>
      </c>
      <c r="B135">
        <v>5110</v>
      </c>
      <c r="C135" t="s">
        <v>3985</v>
      </c>
      <c r="D135" s="171">
        <v>147925.17000000001</v>
      </c>
      <c r="E135" s="171">
        <v>352357.76</v>
      </c>
      <c r="F135" s="171">
        <v>0</v>
      </c>
      <c r="G135" s="171">
        <v>500283</v>
      </c>
      <c r="H135" s="171">
        <v>6.9999999948777258E-2</v>
      </c>
      <c r="I135"/>
      <c r="J135" s="172">
        <v>0.10937295975221638</v>
      </c>
      <c r="K135" s="172">
        <v>5.0089987602444083E-2</v>
      </c>
      <c r="L135" s="172">
        <v>1.5906004683772419E-2</v>
      </c>
      <c r="M135"/>
      <c r="N135" s="159">
        <f>$E135*J135</f>
        <v>38538.411102861122</v>
      </c>
      <c r="O135" s="159">
        <f>$G135*K135</f>
        <v>25059.169267713532</v>
      </c>
      <c r="P135" s="198">
        <f>$G135*L135</f>
        <v>7957.5037412117172</v>
      </c>
    </row>
    <row r="136" spans="1:16" ht="15">
      <c r="A136">
        <v>72027529</v>
      </c>
      <c r="B136">
        <v>5110</v>
      </c>
      <c r="C136" t="s">
        <v>198</v>
      </c>
      <c r="D136" s="171">
        <v>31978.05</v>
      </c>
      <c r="E136" s="171">
        <v>59431.21</v>
      </c>
      <c r="F136" s="171">
        <v>0</v>
      </c>
      <c r="G136" s="171">
        <v>91409.26</v>
      </c>
      <c r="H136" s="171">
        <v>0</v>
      </c>
      <c r="I136"/>
      <c r="J136" s="172">
        <v>0.19302213337493984</v>
      </c>
      <c r="K136" s="172">
        <v>8.831614723511591E-2</v>
      </c>
      <c r="L136" s="172">
        <v>2.7996025275968325E-2</v>
      </c>
      <c r="M136"/>
      <c r="N136" s="159">
        <f t="shared" si="2"/>
        <v>11471.538943254058</v>
      </c>
      <c r="O136" s="159">
        <f t="shared" si="2"/>
        <v>5248.7354927210927</v>
      </c>
      <c r="P136" s="198">
        <f t="shared" si="2"/>
        <v>1663.8376573413814</v>
      </c>
    </row>
    <row r="137" spans="1:16" ht="15">
      <c r="A137">
        <v>72027638</v>
      </c>
      <c r="B137">
        <v>5110</v>
      </c>
      <c r="C137" t="s">
        <v>204</v>
      </c>
      <c r="D137" s="171">
        <v>4724.38</v>
      </c>
      <c r="E137" s="171">
        <v>7502.32</v>
      </c>
      <c r="F137" s="171">
        <v>0</v>
      </c>
      <c r="G137" s="171">
        <v>12226.7</v>
      </c>
      <c r="H137" s="171">
        <v>0</v>
      </c>
      <c r="I137"/>
      <c r="J137" s="172">
        <v>0.17441767691875668</v>
      </c>
      <c r="K137" s="172">
        <v>7.9884506240903874E-2</v>
      </c>
      <c r="L137" s="172">
        <v>2.5336527989584672E-2</v>
      </c>
      <c r="M137"/>
      <c r="N137" s="159">
        <f t="shared" si="2"/>
        <v>1308.5372259011265</v>
      </c>
      <c r="O137" s="159">
        <f t="shared" si="2"/>
        <v>599.31912886125792</v>
      </c>
      <c r="P137" s="198">
        <f t="shared" si="2"/>
        <v>190.08274066682088</v>
      </c>
    </row>
    <row r="138" spans="1:16" ht="15">
      <c r="A138">
        <v>72027732</v>
      </c>
      <c r="B138">
        <v>5110</v>
      </c>
      <c r="C138" t="s">
        <v>313</v>
      </c>
      <c r="D138" s="171">
        <v>18362.95</v>
      </c>
      <c r="E138" s="171">
        <v>29160.36</v>
      </c>
      <c r="F138" s="171">
        <v>0</v>
      </c>
      <c r="G138" s="171">
        <v>47523.31</v>
      </c>
      <c r="H138" s="171">
        <v>0</v>
      </c>
      <c r="I138"/>
      <c r="J138" s="172">
        <v>0.14609364631071339</v>
      </c>
      <c r="K138" s="172">
        <v>6.6910115708031709E-2</v>
      </c>
      <c r="L138" s="172">
        <v>2.1231102820692349E-2</v>
      </c>
      <c r="M138"/>
      <c r="N138" s="159">
        <f t="shared" si="2"/>
        <v>4260.1433201330747</v>
      </c>
      <c r="O138" s="159">
        <f t="shared" si="2"/>
        <v>1951.1230616878595</v>
      </c>
      <c r="P138" s="198">
        <f t="shared" si="2"/>
        <v>619.10660144840438</v>
      </c>
    </row>
    <row r="139" spans="1:16" ht="15">
      <c r="A139">
        <v>72027999</v>
      </c>
      <c r="B139">
        <v>5110</v>
      </c>
      <c r="C139" t="s">
        <v>198</v>
      </c>
      <c r="D139" s="171">
        <v>38957.32</v>
      </c>
      <c r="E139" s="171">
        <v>92796.32</v>
      </c>
      <c r="F139" s="171">
        <v>0</v>
      </c>
      <c r="G139" s="171">
        <v>131753.64000000001</v>
      </c>
      <c r="H139" s="171">
        <v>0</v>
      </c>
      <c r="I139"/>
      <c r="J139" s="172">
        <v>0.14297314140040498</v>
      </c>
      <c r="K139" s="172">
        <v>6.5348468406804458E-2</v>
      </c>
      <c r="L139" s="172">
        <v>2.191958881155795E-2</v>
      </c>
      <c r="M139"/>
      <c r="N139" s="159">
        <f t="shared" si="2"/>
        <v>13267.381380797229</v>
      </c>
      <c r="O139" s="159">
        <f t="shared" si="2"/>
        <v>6064.097385787717</v>
      </c>
      <c r="P139" s="198">
        <f t="shared" si="2"/>
        <v>2034.0571776257514</v>
      </c>
    </row>
    <row r="140" spans="1:16" ht="15">
      <c r="A140">
        <v>72028574</v>
      </c>
      <c r="B140">
        <v>5110</v>
      </c>
      <c r="C140" t="s">
        <v>204</v>
      </c>
      <c r="D140" s="171">
        <v>5150</v>
      </c>
      <c r="E140" s="171">
        <v>8178.2</v>
      </c>
      <c r="F140" s="171">
        <v>0</v>
      </c>
      <c r="G140" s="171">
        <v>13328.2</v>
      </c>
      <c r="H140" s="171">
        <v>0</v>
      </c>
      <c r="I140"/>
      <c r="J140" s="172">
        <v>2.6955197570360086E-2</v>
      </c>
      <c r="K140" s="172">
        <v>1.2374991353594727E-2</v>
      </c>
      <c r="L140" s="172">
        <v>3.767615969910505E-3</v>
      </c>
      <c r="M140"/>
      <c r="N140" s="159">
        <f t="shared" si="2"/>
        <v>220.44499676991884</v>
      </c>
      <c r="O140" s="159">
        <f t="shared" si="2"/>
        <v>101.20515428796838</v>
      </c>
      <c r="P140" s="198">
        <f t="shared" si="2"/>
        <v>30.81231692512209</v>
      </c>
    </row>
    <row r="141" spans="1:16" ht="15">
      <c r="A141">
        <v>72028666</v>
      </c>
      <c r="B141">
        <v>5110</v>
      </c>
      <c r="C141" t="s">
        <v>204</v>
      </c>
      <c r="D141" s="171">
        <v>3039.6</v>
      </c>
      <c r="E141" s="171">
        <v>4826.88</v>
      </c>
      <c r="F141" s="171">
        <v>0</v>
      </c>
      <c r="G141" s="171">
        <v>7866.48</v>
      </c>
      <c r="H141" s="171">
        <v>0</v>
      </c>
      <c r="I141"/>
      <c r="J141" s="172">
        <v>9.0216682634111492E-2</v>
      </c>
      <c r="K141" s="172">
        <v>4.1319862510032744E-2</v>
      </c>
      <c r="L141" s="172">
        <v>1.3105214822320571E-2</v>
      </c>
      <c r="M141"/>
      <c r="N141" s="159">
        <f t="shared" si="2"/>
        <v>435.46510107294012</v>
      </c>
      <c r="O141" s="159">
        <f t="shared" si="2"/>
        <v>199.44601795242684</v>
      </c>
      <c r="P141" s="198">
        <f t="shared" si="2"/>
        <v>63.257299321562719</v>
      </c>
    </row>
    <row r="142" spans="1:16" ht="15">
      <c r="A142">
        <v>72029009</v>
      </c>
      <c r="B142">
        <v>5110</v>
      </c>
      <c r="C142" t="s">
        <v>313</v>
      </c>
      <c r="D142" s="171">
        <v>16946.330000000002</v>
      </c>
      <c r="E142" s="171">
        <v>26910.77</v>
      </c>
      <c r="F142" s="171">
        <v>0</v>
      </c>
      <c r="G142" s="171">
        <v>43857.1</v>
      </c>
      <c r="H142" s="171">
        <v>0</v>
      </c>
      <c r="I142"/>
      <c r="J142" s="172">
        <v>9.3853560439544015E-2</v>
      </c>
      <c r="K142" s="172">
        <v>4.2943788565536975E-2</v>
      </c>
      <c r="L142" s="172">
        <v>1.3548608384130682E-2</v>
      </c>
      <c r="M142"/>
      <c r="N142" s="159">
        <f t="shared" si="2"/>
        <v>2525.6715786696677</v>
      </c>
      <c r="O142" s="159">
        <f t="shared" si="2"/>
        <v>1155.6504170157955</v>
      </c>
      <c r="P142" s="198">
        <f t="shared" si="2"/>
        <v>364.60348404541247</v>
      </c>
    </row>
    <row r="143" spans="1:16" ht="15">
      <c r="A143">
        <v>72029028</v>
      </c>
      <c r="B143">
        <v>5110</v>
      </c>
      <c r="C143" t="s">
        <v>313</v>
      </c>
      <c r="D143" s="171">
        <v>17395.25</v>
      </c>
      <c r="E143" s="171">
        <v>27623.66</v>
      </c>
      <c r="F143" s="171">
        <v>0</v>
      </c>
      <c r="G143" s="171">
        <v>45018.91</v>
      </c>
      <c r="H143" s="171">
        <v>0</v>
      </c>
      <c r="I143"/>
      <c r="J143" s="172">
        <v>0.17007528533769989</v>
      </c>
      <c r="K143" s="172">
        <v>7.7902553659578877E-2</v>
      </c>
      <c r="L143" s="172">
        <v>2.4670949857402001E-2</v>
      </c>
      <c r="M143"/>
      <c r="N143" s="159">
        <f t="shared" si="2"/>
        <v>4698.1018565716067</v>
      </c>
      <c r="O143" s="159">
        <f t="shared" si="2"/>
        <v>2151.9536554239626</v>
      </c>
      <c r="P143" s="198">
        <f t="shared" si="2"/>
        <v>681.50193073792138</v>
      </c>
    </row>
    <row r="144" spans="1:16" ht="15">
      <c r="A144">
        <v>72029073</v>
      </c>
      <c r="B144">
        <v>5110</v>
      </c>
      <c r="C144" t="s">
        <v>198</v>
      </c>
      <c r="D144" s="171">
        <v>40807.65</v>
      </c>
      <c r="E144" s="171">
        <v>97203.83</v>
      </c>
      <c r="F144" s="171">
        <v>0</v>
      </c>
      <c r="G144" s="171">
        <v>138011.48000000001</v>
      </c>
      <c r="H144" s="171">
        <v>0</v>
      </c>
      <c r="I144"/>
      <c r="J144" s="172">
        <v>0.10540266737564119</v>
      </c>
      <c r="K144" s="172">
        <v>4.8273829182665456E-2</v>
      </c>
      <c r="L144" s="172">
        <v>1.5317844911533195E-2</v>
      </c>
      <c r="M144"/>
      <c r="N144" s="159">
        <f t="shared" si="2"/>
        <v>10245.542961128373</v>
      </c>
      <c r="O144" s="159">
        <f t="shared" si="2"/>
        <v>4692.401085320852</v>
      </c>
      <c r="P144" s="198">
        <f t="shared" si="2"/>
        <v>1488.9531927470377</v>
      </c>
    </row>
    <row r="145" spans="1:16" ht="15">
      <c r="A145">
        <v>72029291</v>
      </c>
      <c r="B145">
        <v>5110</v>
      </c>
      <c r="C145" t="s">
        <v>198</v>
      </c>
      <c r="D145" s="171">
        <v>30176.1</v>
      </c>
      <c r="E145" s="171">
        <v>56082.28</v>
      </c>
      <c r="F145" s="171">
        <v>0</v>
      </c>
      <c r="G145" s="171">
        <v>86258.38</v>
      </c>
      <c r="H145" s="171">
        <v>0</v>
      </c>
      <c r="I145"/>
      <c r="J145" s="172">
        <v>0.15153773057050501</v>
      </c>
      <c r="K145" s="172">
        <v>6.9384651323375249E-2</v>
      </c>
      <c r="L145" s="172">
        <v>3.060587136119006E-2</v>
      </c>
      <c r="M145"/>
      <c r="N145" s="159">
        <f t="shared" si="2"/>
        <v>8498.5814364196212</v>
      </c>
      <c r="O145" s="159">
        <f t="shared" si="2"/>
        <v>3891.249443219901</v>
      </c>
      <c r="P145" s="198">
        <f t="shared" si="2"/>
        <v>1716.447047322242</v>
      </c>
    </row>
    <row r="146" spans="1:16" ht="15">
      <c r="A146">
        <v>72029302</v>
      </c>
      <c r="B146">
        <v>5110</v>
      </c>
      <c r="C146" t="s">
        <v>313</v>
      </c>
      <c r="D146" s="171">
        <v>17500</v>
      </c>
      <c r="E146" s="171">
        <v>27790</v>
      </c>
      <c r="F146" s="171">
        <v>0</v>
      </c>
      <c r="G146" s="171">
        <v>45290</v>
      </c>
      <c r="H146" s="171">
        <v>0</v>
      </c>
      <c r="I146"/>
      <c r="J146" s="172">
        <v>0.11453662712504088</v>
      </c>
      <c r="K146" s="172">
        <v>5.245243692905651E-2</v>
      </c>
      <c r="L146" s="172">
        <v>1.6668947180756448E-2</v>
      </c>
      <c r="M146"/>
      <c r="N146" s="159">
        <f t="shared" si="2"/>
        <v>3182.9728678048859</v>
      </c>
      <c r="O146" s="159">
        <f t="shared" si="2"/>
        <v>1457.6532222584804</v>
      </c>
      <c r="P146" s="198">
        <f t="shared" si="2"/>
        <v>463.23004215322169</v>
      </c>
    </row>
    <row r="147" spans="1:16" ht="15">
      <c r="A147">
        <v>72029325</v>
      </c>
      <c r="B147">
        <v>5110</v>
      </c>
      <c r="C147" t="s">
        <v>197</v>
      </c>
      <c r="D147" s="171">
        <v>86170</v>
      </c>
      <c r="E147" s="171">
        <v>247394.07</v>
      </c>
      <c r="F147" s="171">
        <v>0</v>
      </c>
      <c r="G147" s="171">
        <v>333564.07</v>
      </c>
      <c r="H147" s="171">
        <v>0</v>
      </c>
      <c r="I147"/>
      <c r="J147" s="172">
        <v>0</v>
      </c>
      <c r="K147" s="172">
        <v>0</v>
      </c>
      <c r="L147" s="172">
        <v>0</v>
      </c>
      <c r="M147"/>
      <c r="N147" s="159">
        <f>$E147*J147</f>
        <v>0</v>
      </c>
      <c r="O147" s="159">
        <f>$G147*K147</f>
        <v>0</v>
      </c>
      <c r="P147" s="198">
        <f>$G147*L147</f>
        <v>0</v>
      </c>
    </row>
    <row r="148" spans="1:16" ht="15">
      <c r="A148">
        <v>72029662</v>
      </c>
      <c r="B148">
        <v>5110</v>
      </c>
      <c r="C148" t="s">
        <v>204</v>
      </c>
      <c r="D148" s="171">
        <v>4447.1899999999996</v>
      </c>
      <c r="E148" s="171">
        <v>7062.14</v>
      </c>
      <c r="F148" s="171">
        <v>0</v>
      </c>
      <c r="G148" s="171">
        <v>11509.33</v>
      </c>
      <c r="H148" s="171">
        <v>0</v>
      </c>
      <c r="I148"/>
      <c r="J148" s="172">
        <v>9.5819495021786397E-2</v>
      </c>
      <c r="K148" s="172">
        <v>4.3884747510893135E-2</v>
      </c>
      <c r="L148" s="172">
        <v>1.3925366998547583E-2</v>
      </c>
      <c r="M148"/>
      <c r="N148" s="159">
        <f t="shared" si="2"/>
        <v>676.69068857315858</v>
      </c>
      <c r="O148" s="159">
        <f t="shared" si="2"/>
        <v>309.92023078657888</v>
      </c>
      <c r="P148" s="198">
        <f t="shared" si="2"/>
        <v>98.342891295122826</v>
      </c>
    </row>
    <row r="149" spans="1:16" ht="15">
      <c r="A149">
        <v>72029853</v>
      </c>
      <c r="B149">
        <v>5110</v>
      </c>
      <c r="C149" t="s">
        <v>313</v>
      </c>
      <c r="D149" s="171">
        <v>17255</v>
      </c>
      <c r="E149" s="171">
        <v>27400.94</v>
      </c>
      <c r="F149" s="171">
        <v>0</v>
      </c>
      <c r="G149" s="171">
        <v>44655.94</v>
      </c>
      <c r="H149" s="171">
        <v>0</v>
      </c>
      <c r="I149"/>
      <c r="J149" s="172">
        <v>0.16439632153201883</v>
      </c>
      <c r="K149" s="172">
        <v>7.4773265618818335E-2</v>
      </c>
      <c r="L149" s="172">
        <v>2.4078099308148887E-2</v>
      </c>
      <c r="M149"/>
      <c r="N149" s="159">
        <f t="shared" si="2"/>
        <v>4504.6137425195557</v>
      </c>
      <c r="O149" s="159">
        <f t="shared" si="2"/>
        <v>2048.857764825304</v>
      </c>
      <c r="P149" s="198">
        <f t="shared" si="2"/>
        <v>659.76255445662912</v>
      </c>
    </row>
    <row r="150" spans="1:16" ht="15">
      <c r="A150">
        <v>72030244</v>
      </c>
      <c r="B150">
        <v>5110</v>
      </c>
      <c r="C150" t="s">
        <v>200</v>
      </c>
      <c r="D150" s="171">
        <v>9896.25</v>
      </c>
      <c r="E150" s="171">
        <v>15715.25</v>
      </c>
      <c r="F150" s="171">
        <v>0</v>
      </c>
      <c r="G150" s="171">
        <v>25611.5</v>
      </c>
      <c r="H150" s="171">
        <v>0</v>
      </c>
      <c r="I150"/>
      <c r="J150" s="172">
        <v>1.8487174492987903E-2</v>
      </c>
      <c r="K150" s="172">
        <v>8.4769504843119747E-3</v>
      </c>
      <c r="L150" s="172">
        <v>2.6365771279928995E-3</v>
      </c>
      <c r="M150"/>
      <c r="N150" s="159">
        <f t="shared" si="2"/>
        <v>290.53056895092811</v>
      </c>
      <c r="O150" s="159">
        <f t="shared" si="2"/>
        <v>133.21739609858375</v>
      </c>
      <c r="P150" s="198">
        <f t="shared" si="2"/>
        <v>41.43446871069041</v>
      </c>
    </row>
    <row r="151" spans="1:16" ht="15">
      <c r="A151">
        <v>72030304</v>
      </c>
      <c r="B151">
        <v>5110</v>
      </c>
      <c r="C151" t="s">
        <v>198</v>
      </c>
      <c r="D151" s="171">
        <v>50009.38</v>
      </c>
      <c r="E151" s="171">
        <v>143576.91</v>
      </c>
      <c r="F151" s="171">
        <v>0</v>
      </c>
      <c r="G151" s="171">
        <v>193586.29</v>
      </c>
      <c r="H151" s="171">
        <v>0</v>
      </c>
      <c r="I151"/>
      <c r="J151" s="172">
        <v>0</v>
      </c>
      <c r="K151" s="172">
        <v>0</v>
      </c>
      <c r="L151" s="172">
        <v>0</v>
      </c>
      <c r="M151"/>
      <c r="N151" s="159">
        <f t="shared" si="2"/>
        <v>0</v>
      </c>
      <c r="O151" s="159">
        <f t="shared" si="2"/>
        <v>0</v>
      </c>
      <c r="P151" s="198">
        <f t="shared" si="2"/>
        <v>0</v>
      </c>
    </row>
    <row r="152" spans="1:16" ht="15">
      <c r="A152">
        <v>72030305</v>
      </c>
      <c r="B152">
        <v>5110</v>
      </c>
      <c r="C152" t="s">
        <v>198</v>
      </c>
      <c r="D152" s="171">
        <v>50009.38</v>
      </c>
      <c r="E152" s="171">
        <v>143576.91</v>
      </c>
      <c r="F152" s="171">
        <v>0</v>
      </c>
      <c r="G152" s="171">
        <v>193586.29</v>
      </c>
      <c r="H152" s="171">
        <v>0</v>
      </c>
      <c r="I152"/>
      <c r="J152" s="172">
        <v>0</v>
      </c>
      <c r="K152" s="172">
        <v>0</v>
      </c>
      <c r="L152" s="172">
        <v>0</v>
      </c>
      <c r="M152"/>
      <c r="N152" s="159">
        <f t="shared" si="2"/>
        <v>0</v>
      </c>
      <c r="O152" s="159">
        <f t="shared" si="2"/>
        <v>0</v>
      </c>
      <c r="P152" s="198">
        <f t="shared" si="2"/>
        <v>0</v>
      </c>
    </row>
    <row r="153" spans="1:16" ht="15">
      <c r="A153">
        <v>72030352</v>
      </c>
      <c r="B153">
        <v>5110</v>
      </c>
      <c r="C153" t="s">
        <v>200</v>
      </c>
      <c r="D153" s="171">
        <v>10744.12</v>
      </c>
      <c r="E153" s="171">
        <v>17061.66</v>
      </c>
      <c r="F153" s="171">
        <v>0</v>
      </c>
      <c r="G153" s="171">
        <v>27805.78</v>
      </c>
      <c r="H153" s="171">
        <v>0</v>
      </c>
      <c r="I153"/>
      <c r="J153" s="172">
        <v>6.6673976066368421E-2</v>
      </c>
      <c r="K153" s="172">
        <v>2.8870763369549888E-2</v>
      </c>
      <c r="L153" s="172">
        <v>7.1630703196280069E-3</v>
      </c>
      <c r="M153"/>
      <c r="N153" s="159">
        <f t="shared" si="2"/>
        <v>1137.5687104925155</v>
      </c>
      <c r="O153" s="159">
        <f t="shared" si="2"/>
        <v>492.58314855171454</v>
      </c>
      <c r="P153" s="198">
        <f t="shared" si="2"/>
        <v>122.21387034958438</v>
      </c>
    </row>
    <row r="154" spans="1:16" ht="15">
      <c r="A154">
        <v>72030354</v>
      </c>
      <c r="B154">
        <v>5110</v>
      </c>
      <c r="C154" t="s">
        <v>198</v>
      </c>
      <c r="D154" s="171">
        <v>31313.74</v>
      </c>
      <c r="E154" s="171">
        <v>58196.6</v>
      </c>
      <c r="F154" s="171">
        <v>0</v>
      </c>
      <c r="G154" s="171">
        <v>89510.34</v>
      </c>
      <c r="H154" s="171">
        <v>0</v>
      </c>
      <c r="I154"/>
      <c r="J154" s="172">
        <v>0</v>
      </c>
      <c r="K154" s="172">
        <v>0</v>
      </c>
      <c r="L154" s="172">
        <v>0</v>
      </c>
      <c r="M154"/>
      <c r="N154" s="159">
        <f t="shared" si="2"/>
        <v>0</v>
      </c>
      <c r="O154" s="159">
        <f t="shared" si="2"/>
        <v>0</v>
      </c>
      <c r="P154" s="198">
        <f t="shared" si="2"/>
        <v>0</v>
      </c>
    </row>
    <row r="155" spans="1:16" ht="15">
      <c r="A155">
        <v>72030841</v>
      </c>
      <c r="B155">
        <v>5110</v>
      </c>
      <c r="C155" t="s">
        <v>200</v>
      </c>
      <c r="D155" s="171">
        <v>7596.75</v>
      </c>
      <c r="E155" s="171">
        <v>5010.04</v>
      </c>
      <c r="F155" s="171">
        <v>4921.53</v>
      </c>
      <c r="G155" s="171">
        <v>17528.32</v>
      </c>
      <c r="H155" s="171">
        <v>0</v>
      </c>
      <c r="I155"/>
      <c r="J155" s="172">
        <v>0.16086964221255609</v>
      </c>
      <c r="K155" s="172">
        <v>7.345370783961129E-2</v>
      </c>
      <c r="L155" s="172">
        <v>2.3262122198578875E-2</v>
      </c>
      <c r="M155"/>
      <c r="N155" s="159">
        <f t="shared" si="2"/>
        <v>805.96334227059447</v>
      </c>
      <c r="O155" s="159">
        <f t="shared" si="2"/>
        <v>368.00601442476614</v>
      </c>
      <c r="P155" s="198">
        <f t="shared" si="2"/>
        <v>116.54416269976811</v>
      </c>
    </row>
    <row r="156" spans="1:16" ht="15">
      <c r="A156">
        <v>72031206</v>
      </c>
      <c r="B156">
        <v>5110</v>
      </c>
      <c r="C156" t="s">
        <v>313</v>
      </c>
      <c r="D156" s="171">
        <v>22511.5</v>
      </c>
      <c r="E156" s="171">
        <v>35748.26</v>
      </c>
      <c r="F156" s="171">
        <v>0</v>
      </c>
      <c r="G156" s="171">
        <v>58259.76</v>
      </c>
      <c r="H156" s="171">
        <v>0</v>
      </c>
      <c r="I156"/>
      <c r="J156" s="172">
        <v>0.16883598272727032</v>
      </c>
      <c r="K156" s="172">
        <v>7.7336136828167118E-2</v>
      </c>
      <c r="L156" s="172">
        <v>2.4484906773993415E-2</v>
      </c>
      <c r="M156"/>
      <c r="N156" s="159">
        <f t="shared" si="2"/>
        <v>6035.5926078899693</v>
      </c>
      <c r="O156" s="159">
        <f t="shared" si="2"/>
        <v>2764.6323267288935</v>
      </c>
      <c r="P156" s="198">
        <f t="shared" si="2"/>
        <v>875.29281343247794</v>
      </c>
    </row>
    <row r="157" spans="1:16" ht="15">
      <c r="A157">
        <v>72031210</v>
      </c>
      <c r="B157">
        <v>5110</v>
      </c>
      <c r="C157" t="s">
        <v>313</v>
      </c>
      <c r="D157" s="171">
        <v>17788.75</v>
      </c>
      <c r="E157" s="171">
        <v>28248.54</v>
      </c>
      <c r="F157" s="171">
        <v>0</v>
      </c>
      <c r="G157" s="171">
        <v>46037.29</v>
      </c>
      <c r="H157" s="171">
        <v>0</v>
      </c>
      <c r="I157"/>
      <c r="J157" s="172">
        <v>0.41184588239154774</v>
      </c>
      <c r="K157" s="172">
        <v>9.6667912442834625E-2</v>
      </c>
      <c r="L157" s="172">
        <v>1.2802049169667087E-2</v>
      </c>
      <c r="M157"/>
      <c r="N157" s="159">
        <f t="shared" si="2"/>
        <v>11634.044882572933</v>
      </c>
      <c r="O157" s="159">
        <f t="shared" si="2"/>
        <v>2730.7273913579115</v>
      </c>
      <c r="P157" s="198">
        <f t="shared" si="2"/>
        <v>361.63919805130752</v>
      </c>
    </row>
    <row r="158" spans="1:16" ht="15">
      <c r="A158">
        <v>72031250</v>
      </c>
      <c r="B158">
        <v>5110</v>
      </c>
      <c r="C158" t="s">
        <v>204</v>
      </c>
      <c r="D158" s="171">
        <v>3897.5</v>
      </c>
      <c r="E158" s="171">
        <v>6189.23</v>
      </c>
      <c r="F158" s="171">
        <v>0</v>
      </c>
      <c r="G158" s="171">
        <v>10086.73</v>
      </c>
      <c r="H158" s="171">
        <v>0</v>
      </c>
      <c r="I158"/>
      <c r="J158" s="172">
        <v>0.10732210075942143</v>
      </c>
      <c r="K158" s="172">
        <v>4.91481747549899E-2</v>
      </c>
      <c r="L158" s="172">
        <v>1.5620732874463934E-2</v>
      </c>
      <c r="M158"/>
      <c r="N158" s="159">
        <f t="shared" si="2"/>
        <v>664.24116568323382</v>
      </c>
      <c r="O158" s="159">
        <f t="shared" si="2"/>
        <v>304.1893576388261</v>
      </c>
      <c r="P158" s="198">
        <f t="shared" si="2"/>
        <v>96.680308528618411</v>
      </c>
    </row>
    <row r="159" spans="1:16" ht="15">
      <c r="A159">
        <v>72031277</v>
      </c>
      <c r="B159">
        <v>5110</v>
      </c>
      <c r="C159" t="s">
        <v>198</v>
      </c>
      <c r="D159" s="171">
        <v>30506.66</v>
      </c>
      <c r="E159" s="171">
        <v>56696.63</v>
      </c>
      <c r="F159" s="171">
        <v>0</v>
      </c>
      <c r="G159" s="171">
        <v>87203.29</v>
      </c>
      <c r="H159" s="171">
        <v>0</v>
      </c>
      <c r="I159"/>
      <c r="J159" s="172">
        <v>0.46451429222294971</v>
      </c>
      <c r="K159" s="172">
        <v>0.16859201403842736</v>
      </c>
      <c r="L159" s="172">
        <v>7.5592624838498504E-2</v>
      </c>
      <c r="M159"/>
      <c r="N159" s="159">
        <f t="shared" si="2"/>
        <v>26336.394955876454</v>
      </c>
      <c r="O159" s="159">
        <f t="shared" si="2"/>
        <v>9558.5990408915204</v>
      </c>
      <c r="P159" s="198">
        <f t="shared" si="2"/>
        <v>4285.8470811971592</v>
      </c>
    </row>
    <row r="160" spans="1:16" ht="15">
      <c r="A160">
        <v>72031323</v>
      </c>
      <c r="B160">
        <v>5110</v>
      </c>
      <c r="C160" t="s">
        <v>204</v>
      </c>
      <c r="D160" s="171">
        <v>3291.13</v>
      </c>
      <c r="E160" s="171">
        <v>856.77</v>
      </c>
      <c r="F160" s="171">
        <v>3048.77</v>
      </c>
      <c r="G160" s="171">
        <v>7196.67</v>
      </c>
      <c r="H160" s="171">
        <v>0</v>
      </c>
      <c r="I160"/>
      <c r="J160" s="172">
        <v>0.19169840662720075</v>
      </c>
      <c r="K160" s="172">
        <v>8.7799203313600388E-2</v>
      </c>
      <c r="L160" s="172">
        <v>2.7846772891519954E-2</v>
      </c>
      <c r="M160"/>
      <c r="N160" s="159">
        <f t="shared" si="2"/>
        <v>164.24144384598679</v>
      </c>
      <c r="O160" s="159">
        <f t="shared" si="2"/>
        <v>75.223723422993402</v>
      </c>
      <c r="P160" s="198">
        <f t="shared" si="2"/>
        <v>23.858279610267552</v>
      </c>
    </row>
    <row r="161" spans="1:16" ht="15">
      <c r="A161">
        <v>72031538</v>
      </c>
      <c r="B161">
        <v>5110</v>
      </c>
      <c r="C161" t="s">
        <v>201</v>
      </c>
      <c r="D161" s="171">
        <v>1533.75</v>
      </c>
      <c r="E161" s="171">
        <v>2435.6</v>
      </c>
      <c r="F161" s="171">
        <v>0</v>
      </c>
      <c r="G161" s="171">
        <v>3969.35</v>
      </c>
      <c r="H161" s="171">
        <v>0</v>
      </c>
      <c r="I161"/>
      <c r="J161" s="172">
        <v>8.9751045604846147E-2</v>
      </c>
      <c r="K161" s="172">
        <v>4.1098077599218123E-2</v>
      </c>
      <c r="L161" s="172">
        <v>1.3080572999702547E-2</v>
      </c>
      <c r="M161"/>
      <c r="N161" s="159">
        <f t="shared" si="2"/>
        <v>218.59764667516328</v>
      </c>
      <c r="O161" s="159">
        <f t="shared" si="2"/>
        <v>100.09847780065566</v>
      </c>
      <c r="P161" s="198">
        <f t="shared" si="2"/>
        <v>31.859043598075523</v>
      </c>
    </row>
    <row r="162" spans="1:16" ht="15">
      <c r="A162">
        <v>72031779</v>
      </c>
      <c r="B162">
        <v>5110</v>
      </c>
      <c r="C162" t="s">
        <v>198</v>
      </c>
      <c r="D162" s="171">
        <v>29791.67</v>
      </c>
      <c r="E162" s="171">
        <v>55367.81</v>
      </c>
      <c r="F162" s="171">
        <v>0</v>
      </c>
      <c r="G162" s="171">
        <v>85159.48</v>
      </c>
      <c r="H162" s="171">
        <v>0</v>
      </c>
      <c r="I162"/>
      <c r="J162" s="172">
        <v>0.19150560783662043</v>
      </c>
      <c r="K162" s="172">
        <v>8.7702803918310174E-2</v>
      </c>
      <c r="L162" s="172">
        <v>2.7859626144225366E-2</v>
      </c>
      <c r="M162"/>
      <c r="N162" s="159">
        <f t="shared" si="2"/>
        <v>10603.246108632511</v>
      </c>
      <c r="O162" s="159">
        <f t="shared" si="2"/>
        <v>4855.9121838162528</v>
      </c>
      <c r="P162" s="198">
        <f t="shared" si="2"/>
        <v>1542.5264870245026</v>
      </c>
    </row>
    <row r="163" spans="1:16" ht="15">
      <c r="A163">
        <v>72031781</v>
      </c>
      <c r="B163">
        <v>5110</v>
      </c>
      <c r="C163" t="s">
        <v>313</v>
      </c>
      <c r="D163" s="171">
        <v>15935.97</v>
      </c>
      <c r="E163" s="171">
        <v>25306.32</v>
      </c>
      <c r="F163" s="171">
        <v>0</v>
      </c>
      <c r="G163" s="171">
        <v>41242.29</v>
      </c>
      <c r="H163" s="171">
        <v>0</v>
      </c>
      <c r="I163"/>
      <c r="J163" s="172">
        <v>0.34880179478309303</v>
      </c>
      <c r="K163" s="172">
        <v>8.6955381088850536E-2</v>
      </c>
      <c r="L163" s="172">
        <v>1.3394913510221719E-2</v>
      </c>
      <c r="M163"/>
      <c r="N163" s="159">
        <f t="shared" si="2"/>
        <v>8826.8898353552831</v>
      </c>
      <c r="O163" s="159">
        <f t="shared" si="2"/>
        <v>2200.5206995563999</v>
      </c>
      <c r="P163" s="198">
        <f t="shared" si="2"/>
        <v>338.9759676619941</v>
      </c>
    </row>
    <row r="164" spans="1:16" ht="15">
      <c r="A164">
        <v>72032059</v>
      </c>
      <c r="B164">
        <v>5110</v>
      </c>
      <c r="C164" t="s">
        <v>198</v>
      </c>
      <c r="D164" s="171">
        <v>23334.99</v>
      </c>
      <c r="E164" s="171">
        <v>18200.900000000001</v>
      </c>
      <c r="F164" s="171">
        <v>15004.17</v>
      </c>
      <c r="G164" s="171">
        <v>56540.06</v>
      </c>
      <c r="H164" s="171">
        <v>0</v>
      </c>
      <c r="I164"/>
      <c r="J164" s="172">
        <v>0.14858908075060162</v>
      </c>
      <c r="K164" s="172">
        <v>6.8058573361286387E-2</v>
      </c>
      <c r="L164" s="172">
        <v>2.1565682801640007E-2</v>
      </c>
      <c r="M164"/>
      <c r="N164" s="159">
        <f t="shared" si="2"/>
        <v>2704.4549998336252</v>
      </c>
      <c r="O164" s="159">
        <f t="shared" si="2"/>
        <v>1238.7272878914375</v>
      </c>
      <c r="P164" s="198">
        <f t="shared" si="2"/>
        <v>392.51483610436964</v>
      </c>
    </row>
    <row r="165" spans="1:16" ht="15">
      <c r="A165">
        <v>72032070</v>
      </c>
      <c r="B165">
        <v>5110</v>
      </c>
      <c r="C165" t="s">
        <v>197</v>
      </c>
      <c r="D165" s="171">
        <v>75501.34</v>
      </c>
      <c r="E165" s="171">
        <v>140319.24</v>
      </c>
      <c r="F165" s="171">
        <v>0</v>
      </c>
      <c r="G165" s="171">
        <v>215820.58</v>
      </c>
      <c r="H165" s="171">
        <v>0</v>
      </c>
      <c r="I165"/>
      <c r="J165" s="172">
        <v>0.19169651254029385</v>
      </c>
      <c r="K165" s="172">
        <v>8.7798256270146924E-2</v>
      </c>
      <c r="L165" s="172">
        <v>2.784689916398041E-2</v>
      </c>
      <c r="M165"/>
      <c r="N165" s="159">
        <f>$E165*J165</f>
        <v>26898.708950304499</v>
      </c>
      <c r="O165" s="159">
        <f>$G165*K165</f>
        <v>18948.670591211743</v>
      </c>
      <c r="P165" s="198">
        <f>$G165*L165</f>
        <v>6009.9339287717667</v>
      </c>
    </row>
    <row r="166" spans="1:16" ht="15">
      <c r="A166">
        <v>72032583</v>
      </c>
      <c r="B166">
        <v>5110</v>
      </c>
      <c r="C166" t="s">
        <v>198</v>
      </c>
      <c r="D166" s="171">
        <v>40007.5</v>
      </c>
      <c r="E166" s="171">
        <v>95297.87</v>
      </c>
      <c r="F166" s="171">
        <v>0</v>
      </c>
      <c r="G166" s="171">
        <v>135305.37</v>
      </c>
      <c r="H166" s="171">
        <v>0</v>
      </c>
      <c r="I166"/>
      <c r="J166" s="172">
        <v>0.10909434781971925</v>
      </c>
      <c r="K166" s="172">
        <v>4.9964789139092393E-2</v>
      </c>
      <c r="L166" s="172">
        <v>1.5853381195501511E-2</v>
      </c>
      <c r="M166"/>
      <c r="N166" s="159">
        <f t="shared" si="2"/>
        <v>10396.458976258387</v>
      </c>
      <c r="O166" s="159">
        <f t="shared" si="2"/>
        <v>4761.5379799546381</v>
      </c>
      <c r="P166" s="198">
        <f t="shared" si="2"/>
        <v>1510.7934602293474</v>
      </c>
    </row>
    <row r="167" spans="1:16" ht="15">
      <c r="A167">
        <v>72032760</v>
      </c>
      <c r="B167">
        <v>5110</v>
      </c>
      <c r="C167" t="s">
        <v>200</v>
      </c>
      <c r="D167" s="171">
        <v>10744.12</v>
      </c>
      <c r="E167" s="171">
        <v>17061.66</v>
      </c>
      <c r="F167" s="171">
        <v>0</v>
      </c>
      <c r="G167" s="171">
        <v>27805.78</v>
      </c>
      <c r="H167" s="171">
        <v>0</v>
      </c>
      <c r="I167"/>
      <c r="J167" s="172">
        <v>0</v>
      </c>
      <c r="K167" s="172">
        <v>0</v>
      </c>
      <c r="L167" s="172">
        <v>0</v>
      </c>
      <c r="M167"/>
      <c r="N167" s="159">
        <f t="shared" si="2"/>
        <v>0</v>
      </c>
      <c r="O167" s="159">
        <f t="shared" si="2"/>
        <v>0</v>
      </c>
      <c r="P167" s="198">
        <f t="shared" si="2"/>
        <v>0</v>
      </c>
    </row>
    <row r="168" spans="1:16" ht="15">
      <c r="A168">
        <v>72032939</v>
      </c>
      <c r="B168">
        <v>5110</v>
      </c>
      <c r="C168" t="s">
        <v>204</v>
      </c>
      <c r="D168" s="171">
        <v>4567.5</v>
      </c>
      <c r="E168" s="171">
        <v>7253.19</v>
      </c>
      <c r="F168" s="171">
        <v>0</v>
      </c>
      <c r="G168" s="171">
        <v>11820.69</v>
      </c>
      <c r="H168" s="171">
        <v>0</v>
      </c>
      <c r="I168"/>
      <c r="J168" s="172">
        <v>0.32559923510101274</v>
      </c>
      <c r="K168" s="172">
        <v>0.11719578268033073</v>
      </c>
      <c r="L168" s="172">
        <v>0</v>
      </c>
      <c r="M168"/>
      <c r="N168" s="159">
        <f t="shared" si="2"/>
        <v>2361.6331160423147</v>
      </c>
      <c r="O168" s="159">
        <f t="shared" si="2"/>
        <v>850.043278979148</v>
      </c>
      <c r="P168" s="198">
        <f t="shared" si="2"/>
        <v>0</v>
      </c>
    </row>
    <row r="169" spans="1:16" ht="15">
      <c r="A169">
        <v>72033075</v>
      </c>
      <c r="B169">
        <v>5110</v>
      </c>
      <c r="C169" t="s">
        <v>198</v>
      </c>
      <c r="D169" s="171">
        <v>32006</v>
      </c>
      <c r="E169" s="171">
        <v>76238.289999999994</v>
      </c>
      <c r="F169" s="171">
        <v>0</v>
      </c>
      <c r="G169" s="171">
        <v>108244.29</v>
      </c>
      <c r="H169" s="171">
        <v>0</v>
      </c>
      <c r="I169"/>
      <c r="J169" s="172">
        <v>0.11217895859165601</v>
      </c>
      <c r="K169" s="172">
        <v>5.1376222508807037E-2</v>
      </c>
      <c r="L169" s="172">
        <v>1.630822417679292E-2</v>
      </c>
      <c r="M169"/>
      <c r="N169" s="159">
        <f t="shared" si="2"/>
        <v>8552.3319770086619</v>
      </c>
      <c r="O169" s="159">
        <f t="shared" si="2"/>
        <v>3916.835350730958</v>
      </c>
      <c r="P169" s="198">
        <f t="shared" si="2"/>
        <v>1243.3111241753497</v>
      </c>
    </row>
    <row r="170" spans="1:16" ht="15">
      <c r="A170">
        <v>72033140</v>
      </c>
      <c r="B170">
        <v>5110</v>
      </c>
      <c r="C170" t="s">
        <v>198</v>
      </c>
      <c r="D170" s="171">
        <v>36554.379999999997</v>
      </c>
      <c r="E170" s="171">
        <v>67936.320000000007</v>
      </c>
      <c r="F170" s="171">
        <v>0</v>
      </c>
      <c r="G170" s="171">
        <v>104490.7</v>
      </c>
      <c r="H170" s="171">
        <v>0</v>
      </c>
      <c r="I170"/>
      <c r="J170" s="172">
        <v>0.21495330560186041</v>
      </c>
      <c r="K170" s="172">
        <v>8.4069116792026971E-2</v>
      </c>
      <c r="L170" s="172">
        <v>3.21012292489554E-2</v>
      </c>
      <c r="M170"/>
      <c r="N170" s="159">
        <f t="shared" si="2"/>
        <v>14603.136554425782</v>
      </c>
      <c r="O170" s="159">
        <f t="shared" si="2"/>
        <v>5711.3464205005184</v>
      </c>
      <c r="P170" s="198">
        <f t="shared" si="2"/>
        <v>2180.8393826503939</v>
      </c>
    </row>
    <row r="171" spans="1:16" ht="15">
      <c r="A171">
        <v>72033141</v>
      </c>
      <c r="B171">
        <v>5110</v>
      </c>
      <c r="C171" t="s">
        <v>198</v>
      </c>
      <c r="D171" s="171">
        <v>36554.379999999997</v>
      </c>
      <c r="E171" s="171">
        <v>67936.320000000007</v>
      </c>
      <c r="F171" s="171">
        <v>0</v>
      </c>
      <c r="G171" s="171">
        <v>104490.7</v>
      </c>
      <c r="H171" s="171">
        <v>0</v>
      </c>
      <c r="I171"/>
      <c r="J171" s="172">
        <v>0</v>
      </c>
      <c r="K171" s="172">
        <v>0</v>
      </c>
      <c r="L171" s="172">
        <v>7.6452413375312958E-2</v>
      </c>
      <c r="M171"/>
      <c r="N171" s="159">
        <f t="shared" si="2"/>
        <v>0</v>
      </c>
      <c r="O171" s="159">
        <f t="shared" si="2"/>
        <v>0</v>
      </c>
      <c r="P171" s="198">
        <f t="shared" si="2"/>
        <v>5193.8956198375417</v>
      </c>
    </row>
    <row r="172" spans="1:16" ht="15">
      <c r="A172">
        <v>72033387</v>
      </c>
      <c r="B172">
        <v>5110</v>
      </c>
      <c r="C172" t="s">
        <v>204</v>
      </c>
      <c r="D172" s="171">
        <v>4415.25</v>
      </c>
      <c r="E172" s="171">
        <v>7011.42</v>
      </c>
      <c r="F172" s="171">
        <v>0</v>
      </c>
      <c r="G172" s="171">
        <v>11426.67</v>
      </c>
      <c r="H172" s="171">
        <v>0</v>
      </c>
      <c r="I172"/>
      <c r="J172" s="172">
        <v>2.7870622095698915E-2</v>
      </c>
      <c r="K172" s="172">
        <v>1.2765117466394799E-2</v>
      </c>
      <c r="L172" s="172">
        <v>4.047680833690212E-3</v>
      </c>
      <c r="M172"/>
      <c r="N172" s="159">
        <f t="shared" si="2"/>
        <v>195.4126371742253</v>
      </c>
      <c r="O172" s="159">
        <f t="shared" si="2"/>
        <v>89.501599906229828</v>
      </c>
      <c r="P172" s="198">
        <f t="shared" si="2"/>
        <v>28.379990350952227</v>
      </c>
    </row>
    <row r="173" spans="1:16" ht="15">
      <c r="A173">
        <v>72033466</v>
      </c>
      <c r="B173">
        <v>5110</v>
      </c>
      <c r="C173" t="s">
        <v>313</v>
      </c>
      <c r="D173" s="171">
        <v>17348</v>
      </c>
      <c r="E173" s="171">
        <v>14527</v>
      </c>
      <c r="F173" s="171">
        <v>9085.61</v>
      </c>
      <c r="G173" s="171">
        <v>40960.61</v>
      </c>
      <c r="H173" s="171">
        <v>0</v>
      </c>
      <c r="I173"/>
      <c r="J173" s="172">
        <v>0</v>
      </c>
      <c r="K173" s="172">
        <v>0</v>
      </c>
      <c r="L173" s="172">
        <v>0</v>
      </c>
      <c r="M173"/>
      <c r="N173" s="159">
        <f t="shared" si="2"/>
        <v>0</v>
      </c>
      <c r="O173" s="159">
        <f t="shared" si="2"/>
        <v>0</v>
      </c>
      <c r="P173" s="198">
        <f t="shared" si="2"/>
        <v>0</v>
      </c>
    </row>
    <row r="174" spans="1:16" ht="15">
      <c r="A174">
        <v>73000316</v>
      </c>
      <c r="B174">
        <v>5110</v>
      </c>
      <c r="C174" t="s">
        <v>198</v>
      </c>
      <c r="D174" s="171">
        <v>33447.919999999998</v>
      </c>
      <c r="E174" s="171">
        <v>62162.95</v>
      </c>
      <c r="F174" s="171">
        <v>0</v>
      </c>
      <c r="G174" s="171">
        <v>95610.87</v>
      </c>
      <c r="H174" s="171">
        <v>0</v>
      </c>
      <c r="I174"/>
      <c r="J174" s="172">
        <v>0.19503525527119606</v>
      </c>
      <c r="K174" s="172">
        <v>8.9075449500185214E-2</v>
      </c>
      <c r="L174" s="172">
        <v>2.8253068812476856E-2</v>
      </c>
      <c r="M174"/>
      <c r="N174" s="159">
        <f t="shared" si="2"/>
        <v>12123.966821660597</v>
      </c>
      <c r="O174" s="159">
        <f t="shared" si="2"/>
        <v>5537.1927135075384</v>
      </c>
      <c r="P174" s="198">
        <f t="shared" si="2"/>
        <v>1756.294103936558</v>
      </c>
    </row>
    <row r="175" spans="1:16" ht="15">
      <c r="A175">
        <v>73000317</v>
      </c>
      <c r="B175">
        <v>5110</v>
      </c>
      <c r="C175" t="s">
        <v>197</v>
      </c>
      <c r="D175" s="171">
        <v>54968.42</v>
      </c>
      <c r="E175" s="171">
        <v>121431.85</v>
      </c>
      <c r="F175" s="171">
        <v>0</v>
      </c>
      <c r="G175" s="171">
        <v>176400.27</v>
      </c>
      <c r="H175" s="171">
        <v>0</v>
      </c>
      <c r="I175"/>
      <c r="J175" s="172">
        <v>7.0064785389302789E-2</v>
      </c>
      <c r="K175" s="172">
        <v>3.2077853551728958E-2</v>
      </c>
      <c r="L175" s="172">
        <v>1.0239955538824242E-2</v>
      </c>
      <c r="M175"/>
      <c r="N175" s="159">
        <f>$E175*J175</f>
        <v>8508.0965096760083</v>
      </c>
      <c r="O175" s="159">
        <f>$G175*K175</f>
        <v>5658.5420275454471</v>
      </c>
      <c r="P175" s="198">
        <f>$G175*L175</f>
        <v>1806.3309218365916</v>
      </c>
    </row>
    <row r="176" spans="1:16" ht="15">
      <c r="A176">
        <v>73000358</v>
      </c>
      <c r="B176">
        <v>5110</v>
      </c>
      <c r="C176" t="s">
        <v>313</v>
      </c>
      <c r="D176" s="171">
        <v>16500.009999999998</v>
      </c>
      <c r="E176" s="171">
        <v>15248.71</v>
      </c>
      <c r="F176" s="171">
        <v>7642.49</v>
      </c>
      <c r="G176" s="171">
        <v>39391.21</v>
      </c>
      <c r="H176" s="171">
        <v>0</v>
      </c>
      <c r="I176"/>
      <c r="J176" s="172">
        <v>0.19174374999999999</v>
      </c>
      <c r="K176" s="172">
        <v>8.782187499999998E-2</v>
      </c>
      <c r="L176" s="172">
        <v>2.7843749999999997E-2</v>
      </c>
      <c r="M176"/>
      <c r="N176" s="159">
        <f t="shared" si="2"/>
        <v>2923.8448380624995</v>
      </c>
      <c r="O176" s="159">
        <f t="shared" si="2"/>
        <v>1339.1703035312496</v>
      </c>
      <c r="P176" s="198">
        <f t="shared" si="2"/>
        <v>424.58126906249993</v>
      </c>
    </row>
    <row r="177" spans="1:16" ht="15">
      <c r="A177">
        <v>73000452</v>
      </c>
      <c r="B177">
        <v>5110</v>
      </c>
      <c r="C177" t="s">
        <v>200</v>
      </c>
      <c r="D177" s="171">
        <v>8754.3700000000008</v>
      </c>
      <c r="E177" s="171">
        <v>13901.94</v>
      </c>
      <c r="F177" s="171">
        <v>0</v>
      </c>
      <c r="G177" s="171">
        <v>22656.31</v>
      </c>
      <c r="H177" s="171">
        <v>0</v>
      </c>
      <c r="I177"/>
      <c r="J177" s="172">
        <v>0.12421153172431496</v>
      </c>
      <c r="K177" s="172">
        <v>5.6880245798477169E-2</v>
      </c>
      <c r="L177" s="172">
        <v>1.8091338272679454E-2</v>
      </c>
      <c r="M177"/>
      <c r="N177" s="159">
        <f t="shared" si="2"/>
        <v>1726.7812613395231</v>
      </c>
      <c r="O177" s="159">
        <f t="shared" si="2"/>
        <v>790.74576427568172</v>
      </c>
      <c r="P177" s="198">
        <f t="shared" si="2"/>
        <v>251.50469918649341</v>
      </c>
    </row>
    <row r="178" spans="1:16" ht="15">
      <c r="A178">
        <v>73000462</v>
      </c>
      <c r="B178">
        <v>5110</v>
      </c>
      <c r="C178" t="s">
        <v>200</v>
      </c>
      <c r="D178" s="171">
        <v>11334.38</v>
      </c>
      <c r="E178" s="171">
        <v>17999</v>
      </c>
      <c r="F178" s="171">
        <v>0</v>
      </c>
      <c r="G178" s="171">
        <v>29333.38</v>
      </c>
      <c r="H178" s="171">
        <v>0</v>
      </c>
      <c r="I178"/>
      <c r="J178" s="172">
        <v>0.10890783706140476</v>
      </c>
      <c r="K178" s="172">
        <v>4.6008156920210597E-2</v>
      </c>
      <c r="L178" s="172">
        <v>1.9999451691870104E-2</v>
      </c>
      <c r="M178"/>
      <c r="N178" s="159">
        <f t="shared" si="2"/>
        <v>1960.2321592682244</v>
      </c>
      <c r="O178" s="159">
        <f t="shared" si="2"/>
        <v>828.10081640687054</v>
      </c>
      <c r="P178" s="198">
        <f t="shared" si="2"/>
        <v>359.97013100197</v>
      </c>
    </row>
    <row r="179" spans="1:16" ht="15">
      <c r="A179">
        <v>73000468</v>
      </c>
      <c r="B179">
        <v>5110</v>
      </c>
      <c r="C179" t="s">
        <v>200</v>
      </c>
      <c r="D179" s="171">
        <v>11334.38</v>
      </c>
      <c r="E179" s="171">
        <v>17999</v>
      </c>
      <c r="F179" s="171">
        <v>0</v>
      </c>
      <c r="G179" s="171">
        <v>29333.38</v>
      </c>
      <c r="H179" s="171">
        <v>0</v>
      </c>
      <c r="I179"/>
      <c r="J179" s="172">
        <v>8.5138409828750414E-2</v>
      </c>
      <c r="K179" s="172">
        <v>3.8095420785233029E-2</v>
      </c>
      <c r="L179" s="172">
        <v>1.3326300290968186E-2</v>
      </c>
      <c r="M179"/>
      <c r="N179" s="159">
        <f t="shared" si="2"/>
        <v>1532.4062385076786</v>
      </c>
      <c r="O179" s="159">
        <f t="shared" si="2"/>
        <v>685.67947871340925</v>
      </c>
      <c r="P179" s="198">
        <f t="shared" si="2"/>
        <v>239.86007893713639</v>
      </c>
    </row>
    <row r="180" spans="1:16" ht="15">
      <c r="A180">
        <v>73000596</v>
      </c>
      <c r="B180">
        <v>5110</v>
      </c>
      <c r="C180" t="s">
        <v>200</v>
      </c>
      <c r="D180" s="171">
        <v>10292.06</v>
      </c>
      <c r="E180" s="171">
        <v>16343.79</v>
      </c>
      <c r="F180" s="171">
        <v>0</v>
      </c>
      <c r="G180" s="171">
        <v>26635.85</v>
      </c>
      <c r="H180" s="171">
        <v>0</v>
      </c>
      <c r="I180"/>
      <c r="J180" s="172">
        <v>0.19373200474848964</v>
      </c>
      <c r="K180" s="172">
        <v>8.8579402275540994E-2</v>
      </c>
      <c r="L180" s="172">
        <v>2.8102701339976333E-2</v>
      </c>
      <c r="M180"/>
      <c r="N180" s="159">
        <f t="shared" si="2"/>
        <v>3166.3152018883179</v>
      </c>
      <c r="O180" s="159">
        <f t="shared" si="2"/>
        <v>1447.7231491169641</v>
      </c>
      <c r="P180" s="198">
        <f t="shared" si="2"/>
        <v>459.30464913329183</v>
      </c>
    </row>
    <row r="181" spans="1:16" ht="15">
      <c r="A181">
        <v>73000658</v>
      </c>
      <c r="B181">
        <v>5110</v>
      </c>
      <c r="C181" t="s">
        <v>198</v>
      </c>
      <c r="D181" s="171">
        <v>35100</v>
      </c>
      <c r="E181" s="171">
        <v>83608.2</v>
      </c>
      <c r="F181" s="171">
        <v>0</v>
      </c>
      <c r="G181" s="171">
        <v>118708.2</v>
      </c>
      <c r="H181" s="171">
        <v>0</v>
      </c>
      <c r="I181"/>
      <c r="J181" s="172">
        <v>0.19165038404239659</v>
      </c>
      <c r="K181" s="172">
        <v>8.7775192021198309E-2</v>
      </c>
      <c r="L181" s="172">
        <v>2.7849974397173561E-2</v>
      </c>
      <c r="M181"/>
      <c r="N181" s="159">
        <f t="shared" si="2"/>
        <v>16023.543639093503</v>
      </c>
      <c r="O181" s="159">
        <f t="shared" si="2"/>
        <v>7338.7258095467523</v>
      </c>
      <c r="P181" s="198">
        <f t="shared" si="2"/>
        <v>2328.4862293937663</v>
      </c>
    </row>
    <row r="182" spans="1:16" ht="15">
      <c r="A182">
        <v>73000700</v>
      </c>
      <c r="B182">
        <v>5110</v>
      </c>
      <c r="C182" t="s">
        <v>313</v>
      </c>
      <c r="D182" s="171">
        <v>17000</v>
      </c>
      <c r="E182" s="171">
        <v>26996</v>
      </c>
      <c r="F182" s="171">
        <v>0</v>
      </c>
      <c r="G182" s="171">
        <v>43996</v>
      </c>
      <c r="H182" s="171">
        <v>0</v>
      </c>
      <c r="I182"/>
      <c r="J182" s="172">
        <v>3.3650357906203146E-2</v>
      </c>
      <c r="K182" s="172">
        <v>1.5367054985707718E-2</v>
      </c>
      <c r="L182" s="172">
        <v>4.9069800579362149E-3</v>
      </c>
      <c r="M182"/>
      <c r="N182" s="159">
        <f t="shared" si="2"/>
        <v>908.42506203586015</v>
      </c>
      <c r="O182" s="159">
        <f t="shared" si="2"/>
        <v>414.84901639416557</v>
      </c>
      <c r="P182" s="198">
        <f t="shared" si="2"/>
        <v>132.46883364404604</v>
      </c>
    </row>
    <row r="183" spans="1:16" ht="15">
      <c r="A183">
        <v>73000714</v>
      </c>
      <c r="B183">
        <v>5110</v>
      </c>
      <c r="C183" t="s">
        <v>313</v>
      </c>
      <c r="D183" s="171">
        <v>14535</v>
      </c>
      <c r="E183" s="171">
        <v>10027.24</v>
      </c>
      <c r="F183" s="171">
        <v>9108.4500000000007</v>
      </c>
      <c r="G183" s="171">
        <v>33670.69</v>
      </c>
      <c r="H183" s="171">
        <v>0</v>
      </c>
      <c r="I183"/>
      <c r="J183" s="172">
        <v>8.8626622344380929E-2</v>
      </c>
      <c r="K183" s="172">
        <v>4.0596611949813524E-2</v>
      </c>
      <c r="L183" s="172">
        <v>1.2848962287737383E-2</v>
      </c>
      <c r="M183"/>
      <c r="N183" s="159">
        <f t="shared" si="2"/>
        <v>888.68041263647024</v>
      </c>
      <c r="O183" s="159">
        <f t="shared" si="2"/>
        <v>407.07197120764818</v>
      </c>
      <c r="P183" s="198">
        <f t="shared" si="2"/>
        <v>128.83962861009178</v>
      </c>
    </row>
    <row r="184" spans="1:16" ht="15">
      <c r="A184">
        <v>73000773</v>
      </c>
      <c r="B184">
        <v>5110</v>
      </c>
      <c r="C184" t="s">
        <v>313</v>
      </c>
      <c r="D184" s="171">
        <v>20500</v>
      </c>
      <c r="E184" s="171">
        <v>32554</v>
      </c>
      <c r="F184" s="171">
        <v>0</v>
      </c>
      <c r="G184" s="171">
        <v>53054</v>
      </c>
      <c r="H184" s="171">
        <v>0</v>
      </c>
      <c r="I184"/>
      <c r="J184" s="172">
        <v>0</v>
      </c>
      <c r="K184" s="172">
        <v>0</v>
      </c>
      <c r="L184" s="172">
        <v>0</v>
      </c>
      <c r="M184"/>
      <c r="N184" s="159">
        <f t="shared" si="2"/>
        <v>0</v>
      </c>
      <c r="O184" s="159">
        <f t="shared" si="2"/>
        <v>0</v>
      </c>
      <c r="P184" s="198">
        <f t="shared" si="2"/>
        <v>0</v>
      </c>
    </row>
    <row r="185" spans="1:16" ht="15">
      <c r="A185">
        <v>73000774</v>
      </c>
      <c r="B185">
        <v>5110</v>
      </c>
      <c r="C185" t="s">
        <v>200</v>
      </c>
      <c r="D185" s="171">
        <v>12000</v>
      </c>
      <c r="E185" s="171">
        <v>19056</v>
      </c>
      <c r="F185" s="171">
        <v>0</v>
      </c>
      <c r="G185" s="171">
        <v>31056</v>
      </c>
      <c r="H185" s="171">
        <v>0</v>
      </c>
      <c r="I185"/>
      <c r="J185" s="172">
        <v>0</v>
      </c>
      <c r="K185" s="172">
        <v>0</v>
      </c>
      <c r="L185" s="172">
        <v>0</v>
      </c>
      <c r="M185"/>
      <c r="N185" s="159">
        <f t="shared" si="2"/>
        <v>0</v>
      </c>
      <c r="O185" s="159">
        <f t="shared" si="2"/>
        <v>0</v>
      </c>
      <c r="P185" s="198">
        <f t="shared" si="2"/>
        <v>0</v>
      </c>
    </row>
    <row r="186" spans="1:16" ht="15">
      <c r="A186">
        <v>73000796</v>
      </c>
      <c r="B186">
        <v>5110</v>
      </c>
      <c r="C186" t="s">
        <v>200</v>
      </c>
      <c r="D186" s="171">
        <v>8977.5</v>
      </c>
      <c r="E186" s="171">
        <v>14256.27</v>
      </c>
      <c r="F186" s="171">
        <v>0</v>
      </c>
      <c r="G186" s="171">
        <v>23233.77</v>
      </c>
      <c r="H186" s="171">
        <v>0</v>
      </c>
      <c r="I186"/>
      <c r="J186" s="172">
        <v>3.5674538056894252E-2</v>
      </c>
      <c r="K186" s="172">
        <v>1.3067707075547184E-2</v>
      </c>
      <c r="L186" s="172">
        <v>4.1727564638963169E-3</v>
      </c>
      <c r="M186"/>
      <c r="N186" s="159">
        <f t="shared" si="2"/>
        <v>508.58584666435985</v>
      </c>
      <c r="O186" s="159">
        <f t="shared" si="2"/>
        <v>186.29676034991107</v>
      </c>
      <c r="P186" s="198">
        <f t="shared" si="2"/>
        <v>59.487942793551149</v>
      </c>
    </row>
    <row r="187" spans="1:16" ht="15">
      <c r="A187">
        <v>73000866</v>
      </c>
      <c r="B187">
        <v>5110</v>
      </c>
      <c r="C187" t="s">
        <v>200</v>
      </c>
      <c r="D187" s="171">
        <v>7500</v>
      </c>
      <c r="E187" s="171">
        <v>11910</v>
      </c>
      <c r="F187" s="171">
        <v>0</v>
      </c>
      <c r="G187" s="171">
        <v>19410</v>
      </c>
      <c r="H187" s="171">
        <v>0</v>
      </c>
      <c r="I187"/>
      <c r="J187" s="172">
        <v>2.4731393486385506E-2</v>
      </c>
      <c r="K187" s="172">
        <v>1.1329898558462385E-2</v>
      </c>
      <c r="L187" s="172">
        <v>3.5786972770955731E-3</v>
      </c>
      <c r="M187"/>
      <c r="N187" s="159">
        <f t="shared" si="2"/>
        <v>294.55089642285139</v>
      </c>
      <c r="O187" s="159">
        <f t="shared" si="2"/>
        <v>134.93909183128702</v>
      </c>
      <c r="P187" s="198">
        <f t="shared" si="2"/>
        <v>42.622284570208272</v>
      </c>
    </row>
    <row r="188" spans="1:16" ht="15">
      <c r="A188">
        <v>73000903</v>
      </c>
      <c r="B188">
        <v>5110</v>
      </c>
      <c r="C188" t="s">
        <v>198</v>
      </c>
      <c r="D188" s="171">
        <v>31200</v>
      </c>
      <c r="E188" s="171">
        <v>57985.2</v>
      </c>
      <c r="F188" s="171">
        <v>0</v>
      </c>
      <c r="G188" s="171">
        <v>89185.2</v>
      </c>
      <c r="H188" s="171">
        <v>0</v>
      </c>
      <c r="I188"/>
      <c r="J188" s="172">
        <v>0</v>
      </c>
      <c r="K188" s="172">
        <v>0</v>
      </c>
      <c r="L188" s="172">
        <v>7.0649842313100217E-2</v>
      </c>
      <c r="M188"/>
      <c r="N188" s="159">
        <f t="shared" si="2"/>
        <v>0</v>
      </c>
      <c r="O188" s="159">
        <f t="shared" si="2"/>
        <v>0</v>
      </c>
      <c r="P188" s="198">
        <f t="shared" si="2"/>
        <v>4096.6452364935785</v>
      </c>
    </row>
    <row r="189" spans="1:16" ht="15">
      <c r="A189">
        <v>73001082</v>
      </c>
      <c r="B189">
        <v>5110</v>
      </c>
      <c r="C189" t="s">
        <v>313</v>
      </c>
      <c r="D189" s="171">
        <v>22500</v>
      </c>
      <c r="E189" s="171">
        <v>35730</v>
      </c>
      <c r="F189" s="171">
        <v>0</v>
      </c>
      <c r="G189" s="171">
        <v>58230</v>
      </c>
      <c r="H189" s="171">
        <v>0</v>
      </c>
      <c r="I189"/>
      <c r="J189" s="172">
        <v>0.13088325163472853</v>
      </c>
      <c r="K189" s="172">
        <v>3.8799999999999939E-2</v>
      </c>
      <c r="L189" s="172">
        <v>4.2008374182635727E-2</v>
      </c>
      <c r="M189"/>
      <c r="N189" s="159">
        <f t="shared" si="2"/>
        <v>4676.4585809088503</v>
      </c>
      <c r="O189" s="159">
        <f t="shared" si="2"/>
        <v>1386.3239999999978</v>
      </c>
      <c r="P189" s="198">
        <f t="shared" si="2"/>
        <v>1500.9592095455746</v>
      </c>
    </row>
    <row r="190" spans="1:16" ht="15">
      <c r="A190">
        <v>73001470</v>
      </c>
      <c r="B190">
        <v>5110</v>
      </c>
      <c r="C190" t="s">
        <v>313</v>
      </c>
      <c r="D190" s="171">
        <v>15696.96</v>
      </c>
      <c r="E190" s="171">
        <v>24926.77</v>
      </c>
      <c r="F190" s="171">
        <v>0</v>
      </c>
      <c r="G190" s="171">
        <v>40623.730000000003</v>
      </c>
      <c r="H190" s="171">
        <v>0</v>
      </c>
      <c r="I190"/>
      <c r="J190" s="172">
        <v>0.10813223801302878</v>
      </c>
      <c r="K190" s="172">
        <v>4.951253186335941E-2</v>
      </c>
      <c r="L190" s="172">
        <v>1.5772186244585977E-2</v>
      </c>
      <c r="M190"/>
      <c r="N190" s="159">
        <f t="shared" si="2"/>
        <v>2695.3874265360255</v>
      </c>
      <c r="O190" s="159">
        <f t="shared" si="2"/>
        <v>1234.1874938756314</v>
      </c>
      <c r="P190" s="198">
        <f t="shared" si="2"/>
        <v>393.14965891595841</v>
      </c>
    </row>
    <row r="191" spans="1:16" ht="15">
      <c r="A191">
        <v>73001543</v>
      </c>
      <c r="B191">
        <v>5110</v>
      </c>
      <c r="C191" t="s">
        <v>200</v>
      </c>
      <c r="D191" s="171">
        <v>8987.0400000000009</v>
      </c>
      <c r="E191" s="171">
        <v>14271.42</v>
      </c>
      <c r="F191" s="171">
        <v>0</v>
      </c>
      <c r="G191" s="171">
        <v>23258.46</v>
      </c>
      <c r="H191" s="171">
        <v>0</v>
      </c>
      <c r="I191"/>
      <c r="J191" s="172">
        <v>3.1385408251920183E-2</v>
      </c>
      <c r="K191" s="172">
        <v>1.4369223055095977E-2</v>
      </c>
      <c r="L191" s="172">
        <v>4.5869716617526089E-3</v>
      </c>
      <c r="M191"/>
      <c r="N191" s="159">
        <f t="shared" si="2"/>
        <v>447.91434303461875</v>
      </c>
      <c r="O191" s="159">
        <f t="shared" si="2"/>
        <v>205.06921729295783</v>
      </c>
      <c r="P191" s="198">
        <f t="shared" si="2"/>
        <v>65.462599112969414</v>
      </c>
    </row>
    <row r="192" spans="1:16" ht="15">
      <c r="A192">
        <v>73001827</v>
      </c>
      <c r="B192">
        <v>5110</v>
      </c>
      <c r="C192" t="s">
        <v>204</v>
      </c>
      <c r="D192" s="171">
        <v>4385.8</v>
      </c>
      <c r="E192" s="171">
        <v>807.5</v>
      </c>
      <c r="F192" s="171">
        <v>6203.68</v>
      </c>
      <c r="G192" s="171">
        <v>11396.98</v>
      </c>
      <c r="H192" s="171">
        <v>0</v>
      </c>
      <c r="I192"/>
      <c r="J192" s="172">
        <v>0</v>
      </c>
      <c r="K192" s="172">
        <v>0</v>
      </c>
      <c r="L192" s="172">
        <v>0</v>
      </c>
      <c r="M192"/>
      <c r="N192" s="159">
        <f t="shared" si="2"/>
        <v>0</v>
      </c>
      <c r="O192" s="159">
        <f t="shared" si="2"/>
        <v>0</v>
      </c>
      <c r="P192" s="198">
        <f t="shared" si="2"/>
        <v>0</v>
      </c>
    </row>
    <row r="193" spans="1:16" ht="15">
      <c r="A193">
        <v>73002330</v>
      </c>
      <c r="B193">
        <v>5110</v>
      </c>
      <c r="C193" t="s">
        <v>201</v>
      </c>
      <c r="D193" s="171">
        <v>1312.5</v>
      </c>
      <c r="E193" s="171">
        <v>2084.25</v>
      </c>
      <c r="F193" s="171">
        <v>0</v>
      </c>
      <c r="G193" s="171">
        <v>3396.75</v>
      </c>
      <c r="H193" s="171">
        <v>0</v>
      </c>
      <c r="I193"/>
      <c r="J193" s="172">
        <v>0.19090000000000015</v>
      </c>
      <c r="K193" s="172">
        <v>8.7399999999999992E-2</v>
      </c>
      <c r="L193" s="172">
        <v>2.7899999999999998E-2</v>
      </c>
      <c r="M193"/>
      <c r="N193" s="159">
        <f t="shared" si="2"/>
        <v>397.8833250000003</v>
      </c>
      <c r="O193" s="159">
        <f t="shared" si="2"/>
        <v>182.16344999999998</v>
      </c>
      <c r="P193" s="198">
        <f t="shared" si="2"/>
        <v>58.150574999999996</v>
      </c>
    </row>
    <row r="194" spans="1:16" ht="15">
      <c r="A194">
        <v>73002351</v>
      </c>
      <c r="B194">
        <v>5110</v>
      </c>
      <c r="C194" t="s">
        <v>201</v>
      </c>
      <c r="D194" s="171">
        <v>1312.5</v>
      </c>
      <c r="E194" s="171">
        <v>2084.25</v>
      </c>
      <c r="F194" s="171">
        <v>0</v>
      </c>
      <c r="G194" s="171">
        <v>3396.75</v>
      </c>
      <c r="H194" s="171">
        <v>0</v>
      </c>
      <c r="I194"/>
      <c r="J194" s="172">
        <v>0.20164840702310652</v>
      </c>
      <c r="K194" s="172">
        <v>8.7844906061341141E-2</v>
      </c>
      <c r="L194" s="172">
        <v>2.7169830640504836E-2</v>
      </c>
      <c r="M194"/>
      <c r="N194" s="159">
        <f t="shared" si="2"/>
        <v>420.28569233790978</v>
      </c>
      <c r="O194" s="159">
        <f t="shared" si="2"/>
        <v>183.09074545835028</v>
      </c>
      <c r="P194" s="198">
        <f t="shared" si="2"/>
        <v>56.628719512472202</v>
      </c>
    </row>
    <row r="195" spans="1:16" ht="15">
      <c r="A195">
        <v>73002352</v>
      </c>
      <c r="B195">
        <v>5110</v>
      </c>
      <c r="C195" t="s">
        <v>201</v>
      </c>
      <c r="D195" s="171">
        <v>1312.5</v>
      </c>
      <c r="E195" s="171">
        <v>2084.25</v>
      </c>
      <c r="F195" s="171">
        <v>0</v>
      </c>
      <c r="G195" s="171">
        <v>3396.75</v>
      </c>
      <c r="H195" s="171">
        <v>0</v>
      </c>
      <c r="I195"/>
      <c r="J195" s="172">
        <v>0.1909000000000001</v>
      </c>
      <c r="K195" s="172">
        <v>8.7399999999999936E-2</v>
      </c>
      <c r="L195" s="172">
        <v>2.7899999999999984E-2</v>
      </c>
      <c r="M195"/>
      <c r="N195" s="159">
        <f t="shared" si="2"/>
        <v>397.88332500000018</v>
      </c>
      <c r="O195" s="159">
        <f t="shared" si="2"/>
        <v>182.16344999999987</v>
      </c>
      <c r="P195" s="198">
        <f t="shared" si="2"/>
        <v>58.150574999999968</v>
      </c>
    </row>
    <row r="196" spans="1:16" ht="15">
      <c r="A196">
        <v>73002359</v>
      </c>
      <c r="B196">
        <v>5110</v>
      </c>
      <c r="C196" t="s">
        <v>201</v>
      </c>
      <c r="D196" s="171">
        <v>1312.5</v>
      </c>
      <c r="E196" s="171">
        <v>2084.25</v>
      </c>
      <c r="F196" s="171">
        <v>0</v>
      </c>
      <c r="G196" s="171">
        <v>3396.75</v>
      </c>
      <c r="H196" s="171">
        <v>0</v>
      </c>
      <c r="I196"/>
      <c r="J196" s="172">
        <v>0.19326847405854286</v>
      </c>
      <c r="K196" s="172">
        <v>8.6912586219174415E-2</v>
      </c>
      <c r="L196" s="172">
        <v>2.7744406813672382E-2</v>
      </c>
      <c r="M196"/>
      <c r="N196" s="159">
        <f t="shared" si="2"/>
        <v>402.81981705651793</v>
      </c>
      <c r="O196" s="159">
        <f t="shared" si="2"/>
        <v>181.14755782731427</v>
      </c>
      <c r="P196" s="198">
        <f t="shared" si="2"/>
        <v>57.82627990139666</v>
      </c>
    </row>
    <row r="197" spans="1:16" ht="15">
      <c r="A197">
        <v>73002360</v>
      </c>
      <c r="B197">
        <v>5110</v>
      </c>
      <c r="C197" t="s">
        <v>201</v>
      </c>
      <c r="D197" s="171">
        <v>1312.5</v>
      </c>
      <c r="E197" s="171">
        <v>2084.25</v>
      </c>
      <c r="F197" s="171">
        <v>0</v>
      </c>
      <c r="G197" s="171">
        <v>3396.75</v>
      </c>
      <c r="H197" s="171">
        <v>0</v>
      </c>
      <c r="I197"/>
      <c r="J197" s="172">
        <v>0.19090000000000013</v>
      </c>
      <c r="K197" s="172">
        <v>8.7400000000000283E-2</v>
      </c>
      <c r="L197" s="172">
        <v>2.7900000000000019E-2</v>
      </c>
      <c r="M197"/>
      <c r="N197" s="159">
        <f t="shared" ref="N197:P225" si="3">$E197*J197</f>
        <v>397.88332500000024</v>
      </c>
      <c r="O197" s="159">
        <f t="shared" si="3"/>
        <v>182.16345000000058</v>
      </c>
      <c r="P197" s="198">
        <f t="shared" si="3"/>
        <v>58.150575000000039</v>
      </c>
    </row>
    <row r="198" spans="1:16" ht="15">
      <c r="A198">
        <v>73002396</v>
      </c>
      <c r="B198">
        <v>5110</v>
      </c>
      <c r="C198" t="s">
        <v>201</v>
      </c>
      <c r="D198" s="171">
        <v>1562.5</v>
      </c>
      <c r="E198" s="171">
        <v>2481.25</v>
      </c>
      <c r="F198" s="171">
        <v>0</v>
      </c>
      <c r="G198" s="171">
        <v>4043.75</v>
      </c>
      <c r="H198" s="171">
        <v>0</v>
      </c>
      <c r="I198"/>
      <c r="J198" s="172">
        <v>0.13163435655721251</v>
      </c>
      <c r="K198" s="172">
        <v>6.0266331917759937E-2</v>
      </c>
      <c r="L198" s="172">
        <v>1.9238337076721991E-2</v>
      </c>
      <c r="M198"/>
      <c r="N198" s="159">
        <f t="shared" si="3"/>
        <v>326.61774720758353</v>
      </c>
      <c r="O198" s="159">
        <f t="shared" si="3"/>
        <v>149.53583607094185</v>
      </c>
      <c r="P198" s="198">
        <f t="shared" si="3"/>
        <v>47.735123871616437</v>
      </c>
    </row>
    <row r="199" spans="1:16" ht="15">
      <c r="A199">
        <v>73002412</v>
      </c>
      <c r="B199">
        <v>5110</v>
      </c>
      <c r="C199" t="s">
        <v>201</v>
      </c>
      <c r="D199" s="171">
        <v>1208.3399999999999</v>
      </c>
      <c r="E199" s="171">
        <v>189.99</v>
      </c>
      <c r="F199" s="171">
        <v>1206.28</v>
      </c>
      <c r="G199" s="171">
        <v>2604.61</v>
      </c>
      <c r="H199" s="171">
        <v>0</v>
      </c>
      <c r="I199"/>
      <c r="J199" s="172">
        <v>0.19411924942095585</v>
      </c>
      <c r="K199" s="172">
        <v>8.8412375522951378E-2</v>
      </c>
      <c r="L199" s="172">
        <v>2.8279536063782591E-2</v>
      </c>
      <c r="M199"/>
      <c r="N199" s="159">
        <f t="shared" si="3"/>
        <v>36.880716197487402</v>
      </c>
      <c r="O199" s="159">
        <f t="shared" si="3"/>
        <v>16.797467225605534</v>
      </c>
      <c r="P199" s="198">
        <f t="shared" si="3"/>
        <v>5.3728290567580546</v>
      </c>
    </row>
    <row r="200" spans="1:16" ht="15">
      <c r="A200">
        <v>73002662</v>
      </c>
      <c r="B200">
        <v>5110</v>
      </c>
      <c r="C200" t="s">
        <v>200</v>
      </c>
      <c r="D200" s="171">
        <v>8093.75</v>
      </c>
      <c r="E200" s="171">
        <v>1823.1</v>
      </c>
      <c r="F200" s="171">
        <v>11113.12</v>
      </c>
      <c r="G200" s="171">
        <v>21029.97</v>
      </c>
      <c r="H200" s="171">
        <v>0</v>
      </c>
      <c r="I200"/>
      <c r="J200" s="172">
        <v>0</v>
      </c>
      <c r="K200" s="172">
        <v>0</v>
      </c>
      <c r="L200" s="172">
        <v>0</v>
      </c>
      <c r="M200"/>
      <c r="N200" s="159">
        <f t="shared" si="3"/>
        <v>0</v>
      </c>
      <c r="O200" s="159">
        <f t="shared" si="3"/>
        <v>0</v>
      </c>
      <c r="P200" s="198">
        <f t="shared" si="3"/>
        <v>0</v>
      </c>
    </row>
    <row r="201" spans="1:16" ht="15">
      <c r="A201">
        <v>73002663</v>
      </c>
      <c r="B201">
        <v>5110</v>
      </c>
      <c r="C201" t="s">
        <v>198</v>
      </c>
      <c r="D201" s="171">
        <v>22608.69</v>
      </c>
      <c r="E201" s="171">
        <v>42018.26</v>
      </c>
      <c r="F201" s="171">
        <v>0</v>
      </c>
      <c r="G201" s="171">
        <v>64626.95</v>
      </c>
      <c r="H201" s="171">
        <v>0</v>
      </c>
      <c r="I201"/>
      <c r="J201" s="172">
        <v>0.13584297385620911</v>
      </c>
      <c r="K201" s="172">
        <v>0.11314934640522872</v>
      </c>
      <c r="L201" s="172">
        <v>1.6913235294117646E-2</v>
      </c>
      <c r="M201"/>
      <c r="N201" s="159">
        <f t="shared" si="3"/>
        <v>5707.8853946633972</v>
      </c>
      <c r="O201" s="159">
        <f t="shared" si="3"/>
        <v>4754.3386560849658</v>
      </c>
      <c r="P201" s="198">
        <f t="shared" si="3"/>
        <v>710.66471802941169</v>
      </c>
    </row>
    <row r="202" spans="1:16" ht="15">
      <c r="A202">
        <v>73002965</v>
      </c>
      <c r="B202">
        <v>5110</v>
      </c>
      <c r="C202" t="s">
        <v>313</v>
      </c>
      <c r="D202" s="171">
        <v>10675.21</v>
      </c>
      <c r="E202" s="171">
        <v>16952.23</v>
      </c>
      <c r="F202" s="171">
        <v>0</v>
      </c>
      <c r="G202" s="171">
        <v>27627.439999999999</v>
      </c>
      <c r="H202" s="171">
        <v>0</v>
      </c>
      <c r="I202"/>
      <c r="J202" s="172">
        <v>0.18500371641430691</v>
      </c>
      <c r="K202" s="172">
        <v>8.4700496671610392E-2</v>
      </c>
      <c r="L202" s="172">
        <v>2.7038259234987757E-2</v>
      </c>
      <c r="M202"/>
      <c r="N202" s="159">
        <f t="shared" si="3"/>
        <v>3136.225551510106</v>
      </c>
      <c r="O202" s="159">
        <f t="shared" si="3"/>
        <v>1435.8623006913738</v>
      </c>
      <c r="P202" s="198">
        <f t="shared" si="3"/>
        <v>458.35878935113647</v>
      </c>
    </row>
    <row r="203" spans="1:16" ht="15">
      <c r="A203">
        <v>73003275</v>
      </c>
      <c r="B203">
        <v>5110</v>
      </c>
      <c r="C203" t="s">
        <v>198</v>
      </c>
      <c r="D203" s="171">
        <v>19706.830000000002</v>
      </c>
      <c r="E203" s="171">
        <v>46941.66</v>
      </c>
      <c r="F203" s="171">
        <v>0</v>
      </c>
      <c r="G203" s="171">
        <v>66648.490000000005</v>
      </c>
      <c r="H203" s="171">
        <v>0</v>
      </c>
      <c r="I203"/>
      <c r="J203" s="172">
        <v>0.19090000000000004</v>
      </c>
      <c r="K203" s="172">
        <v>8.7399999999999936E-2</v>
      </c>
      <c r="L203" s="172">
        <v>2.7900000000000005E-2</v>
      </c>
      <c r="M203"/>
      <c r="N203" s="159">
        <f t="shared" si="3"/>
        <v>8961.1628940000028</v>
      </c>
      <c r="O203" s="159">
        <f t="shared" si="3"/>
        <v>4102.7010839999975</v>
      </c>
      <c r="P203" s="198">
        <f t="shared" si="3"/>
        <v>1309.6723140000004</v>
      </c>
    </row>
    <row r="204" spans="1:16" ht="15">
      <c r="A204">
        <v>73003486</v>
      </c>
      <c r="B204">
        <v>5110</v>
      </c>
      <c r="C204" t="s">
        <v>313</v>
      </c>
      <c r="D204" s="171">
        <v>11467.74</v>
      </c>
      <c r="E204" s="171">
        <v>18210.77</v>
      </c>
      <c r="F204" s="171">
        <v>0</v>
      </c>
      <c r="G204" s="171">
        <v>29678.51</v>
      </c>
      <c r="H204" s="171">
        <v>0</v>
      </c>
      <c r="I204"/>
      <c r="J204" s="172">
        <v>0</v>
      </c>
      <c r="K204" s="172">
        <v>0</v>
      </c>
      <c r="L204" s="172">
        <v>0</v>
      </c>
      <c r="M204"/>
      <c r="N204" s="159">
        <f t="shared" si="3"/>
        <v>0</v>
      </c>
      <c r="O204" s="159">
        <f t="shared" si="3"/>
        <v>0</v>
      </c>
      <c r="P204" s="198">
        <f t="shared" si="3"/>
        <v>0</v>
      </c>
    </row>
    <row r="205" spans="1:16" ht="15">
      <c r="A205">
        <v>73003567</v>
      </c>
      <c r="B205">
        <v>5110</v>
      </c>
      <c r="C205" t="s">
        <v>200</v>
      </c>
      <c r="D205" s="171">
        <v>7227.27</v>
      </c>
      <c r="E205" s="171">
        <v>11476.9</v>
      </c>
      <c r="F205" s="171">
        <v>0</v>
      </c>
      <c r="G205" s="171">
        <v>18704.169999999998</v>
      </c>
      <c r="H205" s="171">
        <v>0</v>
      </c>
      <c r="I205"/>
      <c r="J205" s="172">
        <v>0.12241272163583382</v>
      </c>
      <c r="K205" s="172">
        <v>5.6044378580261435E-2</v>
      </c>
      <c r="L205" s="172">
        <v>1.7890596823676098E-2</v>
      </c>
      <c r="M205"/>
      <c r="N205" s="159">
        <f t="shared" si="3"/>
        <v>1404.9185649423011</v>
      </c>
      <c r="O205" s="159">
        <f t="shared" si="3"/>
        <v>643.21572852780241</v>
      </c>
      <c r="P205" s="198">
        <f t="shared" si="3"/>
        <v>205.32859068564821</v>
      </c>
    </row>
    <row r="206" spans="1:16" ht="15">
      <c r="A206">
        <v>73003574</v>
      </c>
      <c r="B206">
        <v>5110</v>
      </c>
      <c r="C206" t="s">
        <v>313</v>
      </c>
      <c r="D206" s="171">
        <v>10562.5</v>
      </c>
      <c r="E206" s="171">
        <v>16773.25</v>
      </c>
      <c r="F206" s="171">
        <v>0</v>
      </c>
      <c r="G206" s="171">
        <v>27335.75</v>
      </c>
      <c r="H206" s="171">
        <v>0</v>
      </c>
      <c r="I206"/>
      <c r="J206" s="172">
        <v>0.19090000000000004</v>
      </c>
      <c r="K206" s="172">
        <v>8.7399999999999894E-2</v>
      </c>
      <c r="L206" s="172">
        <v>2.7899999999999894E-2</v>
      </c>
      <c r="M206"/>
      <c r="N206" s="159">
        <f t="shared" si="3"/>
        <v>3202.0134250000006</v>
      </c>
      <c r="O206" s="159">
        <f t="shared" si="3"/>
        <v>1465.9820499999983</v>
      </c>
      <c r="P206" s="198">
        <f t="shared" si="3"/>
        <v>467.9736749999982</v>
      </c>
    </row>
    <row r="207" spans="1:16" ht="15">
      <c r="A207">
        <v>73003886</v>
      </c>
      <c r="B207">
        <v>5110</v>
      </c>
      <c r="C207" t="s">
        <v>197</v>
      </c>
      <c r="D207" s="171">
        <v>39142.89</v>
      </c>
      <c r="E207" s="171">
        <v>72747.05</v>
      </c>
      <c r="F207" s="171">
        <v>0</v>
      </c>
      <c r="G207" s="171">
        <v>111889.94</v>
      </c>
      <c r="H207" s="171">
        <v>0</v>
      </c>
      <c r="I207"/>
      <c r="J207" s="172">
        <v>0.26664399171712422</v>
      </c>
      <c r="K207" s="172">
        <v>0.10423042472480029</v>
      </c>
      <c r="L207" s="172">
        <v>4.6618192244376501E-2</v>
      </c>
      <c r="M207"/>
      <c r="N207" s="159">
        <f>$E207*J207</f>
        <v>19397.563797645224</v>
      </c>
      <c r="O207" s="159">
        <f>$G207*K207</f>
        <v>11662.335968632422</v>
      </c>
      <c r="P207" s="198">
        <f>$G207*L207</f>
        <v>5216.1067331317518</v>
      </c>
    </row>
    <row r="208" spans="1:16" ht="15">
      <c r="A208">
        <v>73003996</v>
      </c>
      <c r="B208">
        <v>5110</v>
      </c>
      <c r="C208" t="s">
        <v>204</v>
      </c>
      <c r="D208" s="171">
        <v>2329.7600000000002</v>
      </c>
      <c r="E208" s="171">
        <v>3699.66</v>
      </c>
      <c r="F208" s="171">
        <v>0</v>
      </c>
      <c r="G208" s="171">
        <v>6029.42</v>
      </c>
      <c r="H208" s="171">
        <v>0</v>
      </c>
      <c r="I208"/>
      <c r="J208" s="172">
        <v>0</v>
      </c>
      <c r="K208" s="172">
        <v>0</v>
      </c>
      <c r="L208" s="172">
        <v>0</v>
      </c>
      <c r="M208"/>
      <c r="N208" s="159">
        <f t="shared" si="3"/>
        <v>0</v>
      </c>
      <c r="O208" s="159">
        <f t="shared" si="3"/>
        <v>0</v>
      </c>
      <c r="P208" s="198">
        <f t="shared" si="3"/>
        <v>0</v>
      </c>
    </row>
    <row r="209" spans="1:16" ht="15">
      <c r="A209">
        <v>73004005</v>
      </c>
      <c r="B209">
        <v>5110</v>
      </c>
      <c r="C209" t="s">
        <v>198</v>
      </c>
      <c r="D209" s="171">
        <v>16002.38</v>
      </c>
      <c r="E209" s="171">
        <v>29740.42</v>
      </c>
      <c r="F209" s="171">
        <v>0</v>
      </c>
      <c r="G209" s="171">
        <v>45742.8</v>
      </c>
      <c r="H209" s="171">
        <v>0</v>
      </c>
      <c r="I209"/>
      <c r="J209" s="172">
        <v>6.3065178571428585E-2</v>
      </c>
      <c r="K209" s="172">
        <v>2.8873214285714294E-2</v>
      </c>
      <c r="L209" s="172">
        <v>9.2169642857142884E-3</v>
      </c>
      <c r="M209"/>
      <c r="N209" s="159">
        <f t="shared" si="3"/>
        <v>1875.5848980892861</v>
      </c>
      <c r="O209" s="159">
        <f t="shared" si="3"/>
        <v>858.70151960714304</v>
      </c>
      <c r="P209" s="198">
        <f t="shared" si="3"/>
        <v>274.11638898214289</v>
      </c>
    </row>
    <row r="210" spans="1:16" ht="15">
      <c r="A210">
        <v>73004185</v>
      </c>
      <c r="B210">
        <v>5110</v>
      </c>
      <c r="C210" t="s">
        <v>3986</v>
      </c>
      <c r="D210" s="171">
        <v>20428.57</v>
      </c>
      <c r="E210" s="171">
        <v>37966.5</v>
      </c>
      <c r="F210" s="171">
        <v>0</v>
      </c>
      <c r="G210" s="171">
        <v>131388.91</v>
      </c>
      <c r="H210" s="171">
        <v>72993.84</v>
      </c>
      <c r="I210"/>
      <c r="J210" s="172">
        <v>0.19290000000000002</v>
      </c>
      <c r="K210" s="172">
        <v>8.8300000000000003E-2</v>
      </c>
      <c r="L210" s="172">
        <v>2.8100000000000003E-2</v>
      </c>
      <c r="M210"/>
      <c r="N210" s="159">
        <f t="shared" si="3"/>
        <v>7323.7378500000004</v>
      </c>
      <c r="O210" s="159">
        <f t="shared" si="3"/>
        <v>3352.4419499999999</v>
      </c>
      <c r="P210" s="198">
        <f t="shared" si="3"/>
        <v>1066.8586500000001</v>
      </c>
    </row>
    <row r="211" spans="1:16" ht="15">
      <c r="A211">
        <v>73004191</v>
      </c>
      <c r="B211">
        <v>5110</v>
      </c>
      <c r="C211" t="s">
        <v>313</v>
      </c>
      <c r="D211" s="171">
        <v>9952.91</v>
      </c>
      <c r="E211" s="171">
        <v>15805.22</v>
      </c>
      <c r="F211" s="171">
        <v>0</v>
      </c>
      <c r="G211" s="171">
        <v>25758.13</v>
      </c>
      <c r="H211" s="171">
        <v>0</v>
      </c>
      <c r="I211"/>
      <c r="J211" s="172">
        <v>0.19090000000000015</v>
      </c>
      <c r="K211" s="172">
        <v>8.7399999999999978E-2</v>
      </c>
      <c r="L211" s="172">
        <v>2.7899999999999991E-2</v>
      </c>
      <c r="M211"/>
      <c r="N211" s="159">
        <f t="shared" si="3"/>
        <v>3017.2164980000025</v>
      </c>
      <c r="O211" s="159">
        <f t="shared" si="3"/>
        <v>1381.3762279999996</v>
      </c>
      <c r="P211" s="198">
        <f t="shared" si="3"/>
        <v>440.96563799999984</v>
      </c>
    </row>
    <row r="212" spans="1:16" ht="15">
      <c r="A212">
        <v>73004246</v>
      </c>
      <c r="B212">
        <v>5110</v>
      </c>
      <c r="C212" t="s">
        <v>3986</v>
      </c>
      <c r="D212" s="171">
        <v>22100</v>
      </c>
      <c r="E212" s="171">
        <v>52642.2</v>
      </c>
      <c r="F212" s="171">
        <v>0</v>
      </c>
      <c r="G212" s="171">
        <v>74742.2</v>
      </c>
      <c r="H212" s="171">
        <v>0</v>
      </c>
      <c r="I212"/>
      <c r="J212" s="172">
        <v>7.5600734159117416E-2</v>
      </c>
      <c r="K212" s="172">
        <v>3.4612384313812791E-2</v>
      </c>
      <c r="L212" s="172">
        <v>1.1049033436560376E-2</v>
      </c>
      <c r="M212"/>
      <c r="N212" s="159">
        <f t="shared" si="3"/>
        <v>3979.7889677510907</v>
      </c>
      <c r="O212" s="159">
        <f t="shared" si="3"/>
        <v>1822.0720575245957</v>
      </c>
      <c r="P212" s="198">
        <f t="shared" si="3"/>
        <v>581.64542797409865</v>
      </c>
    </row>
    <row r="213" spans="1:16" ht="15">
      <c r="A213">
        <v>73004273</v>
      </c>
      <c r="B213">
        <v>5110</v>
      </c>
      <c r="C213" t="s">
        <v>198</v>
      </c>
      <c r="D213" s="171">
        <v>15779</v>
      </c>
      <c r="E213" s="171">
        <v>29325.27</v>
      </c>
      <c r="F213" s="171">
        <v>0</v>
      </c>
      <c r="G213" s="171">
        <v>45104.27</v>
      </c>
      <c r="H213" s="171">
        <v>0</v>
      </c>
      <c r="I213"/>
      <c r="J213" s="172">
        <v>6.4075693572314277E-3</v>
      </c>
      <c r="K213" s="172">
        <v>5.2211678434315463E-2</v>
      </c>
      <c r="L213" s="172">
        <v>0</v>
      </c>
      <c r="M213"/>
      <c r="N213" s="159">
        <f t="shared" si="3"/>
        <v>187.90370144453809</v>
      </c>
      <c r="O213" s="159">
        <f t="shared" si="3"/>
        <v>1531.1215672394783</v>
      </c>
      <c r="P213" s="198">
        <f t="shared" si="3"/>
        <v>0</v>
      </c>
    </row>
    <row r="214" spans="1:16" ht="15">
      <c r="A214">
        <v>73004385</v>
      </c>
      <c r="B214">
        <v>5110</v>
      </c>
      <c r="C214" t="s">
        <v>313</v>
      </c>
      <c r="D214" s="171">
        <v>10923.92</v>
      </c>
      <c r="E214" s="171">
        <v>17347.18</v>
      </c>
      <c r="F214" s="171">
        <v>0</v>
      </c>
      <c r="G214" s="171">
        <v>28271.1</v>
      </c>
      <c r="H214" s="171">
        <v>0</v>
      </c>
      <c r="I214"/>
      <c r="J214" s="172">
        <v>0.19090000000000007</v>
      </c>
      <c r="K214" s="172">
        <v>8.7400000000000005E-2</v>
      </c>
      <c r="L214" s="172">
        <v>2.7900000000000008E-2</v>
      </c>
      <c r="M214"/>
      <c r="N214" s="159">
        <f t="shared" si="3"/>
        <v>3311.5766620000013</v>
      </c>
      <c r="O214" s="159">
        <f t="shared" si="3"/>
        <v>1516.1435320000001</v>
      </c>
      <c r="P214" s="198">
        <f t="shared" si="3"/>
        <v>483.98632200000014</v>
      </c>
    </row>
    <row r="215" spans="1:16" ht="15">
      <c r="A215">
        <v>73004503</v>
      </c>
      <c r="B215">
        <v>5110</v>
      </c>
      <c r="C215" t="s">
        <v>200</v>
      </c>
      <c r="D215" s="171">
        <v>4717.3900000000003</v>
      </c>
      <c r="E215" s="171">
        <v>7491.22</v>
      </c>
      <c r="F215" s="171">
        <v>0</v>
      </c>
      <c r="G215" s="171">
        <v>12208.61</v>
      </c>
      <c r="H215" s="171">
        <v>0</v>
      </c>
      <c r="I215"/>
      <c r="J215" s="172">
        <v>0.17932076843555908</v>
      </c>
      <c r="K215" s="172">
        <v>8.2059345318190952E-2</v>
      </c>
      <c r="L215" s="172">
        <v>2.6183323867395369E-2</v>
      </c>
      <c r="M215"/>
      <c r="N215" s="159">
        <f t="shared" si="3"/>
        <v>1343.3313269198291</v>
      </c>
      <c r="O215" s="159">
        <f t="shared" si="3"/>
        <v>614.72460883453846</v>
      </c>
      <c r="P215" s="198">
        <f t="shared" si="3"/>
        <v>196.14503942190953</v>
      </c>
    </row>
    <row r="216" spans="1:16" ht="15">
      <c r="A216">
        <v>73004549</v>
      </c>
      <c r="B216">
        <v>5110</v>
      </c>
      <c r="C216" t="s">
        <v>313</v>
      </c>
      <c r="D216" s="171">
        <v>9210.14</v>
      </c>
      <c r="E216" s="171">
        <v>14625.7</v>
      </c>
      <c r="F216" s="171">
        <v>0</v>
      </c>
      <c r="G216" s="171">
        <v>23835.84</v>
      </c>
      <c r="H216" s="171">
        <v>0</v>
      </c>
      <c r="I216"/>
      <c r="J216" s="172">
        <v>0.19114129582660841</v>
      </c>
      <c r="K216" s="172">
        <v>8.7483525478441265E-2</v>
      </c>
      <c r="L216" s="172">
        <v>2.791856121743139E-2</v>
      </c>
      <c r="M216"/>
      <c r="N216" s="159">
        <f t="shared" si="3"/>
        <v>2795.575250371227</v>
      </c>
      <c r="O216" s="159">
        <f t="shared" si="3"/>
        <v>1279.5077985900384</v>
      </c>
      <c r="P216" s="198">
        <f t="shared" si="3"/>
        <v>408.32850079778632</v>
      </c>
    </row>
    <row r="217" spans="1:16" ht="15">
      <c r="A217">
        <v>73004737</v>
      </c>
      <c r="B217">
        <v>5110</v>
      </c>
      <c r="C217" t="s">
        <v>198</v>
      </c>
      <c r="D217" s="171">
        <v>58599.5</v>
      </c>
      <c r="E217" s="171">
        <v>168239.18</v>
      </c>
      <c r="F217" s="171">
        <v>0</v>
      </c>
      <c r="G217" s="171">
        <v>226838.68</v>
      </c>
      <c r="H217" s="171">
        <v>0</v>
      </c>
      <c r="I217"/>
      <c r="J217" s="172">
        <v>0</v>
      </c>
      <c r="K217" s="172">
        <v>0</v>
      </c>
      <c r="L217" s="172">
        <v>0</v>
      </c>
      <c r="M217"/>
      <c r="N217" s="159">
        <f t="shared" si="3"/>
        <v>0</v>
      </c>
      <c r="O217" s="159">
        <f t="shared" si="3"/>
        <v>0</v>
      </c>
      <c r="P217" s="198">
        <f t="shared" si="3"/>
        <v>0</v>
      </c>
    </row>
    <row r="218" spans="1:16" ht="15">
      <c r="A218">
        <v>73004844</v>
      </c>
      <c r="B218">
        <v>5110</v>
      </c>
      <c r="C218" t="s">
        <v>204</v>
      </c>
      <c r="D218" s="171">
        <v>1692.06</v>
      </c>
      <c r="E218" s="171">
        <v>2686.99</v>
      </c>
      <c r="F218" s="171">
        <v>0</v>
      </c>
      <c r="G218" s="171">
        <v>4379.05</v>
      </c>
      <c r="H218" s="171">
        <v>0</v>
      </c>
      <c r="I218"/>
      <c r="J218" s="172">
        <v>0.19089999999999999</v>
      </c>
      <c r="K218" s="172">
        <v>8.7399999999999978E-2</v>
      </c>
      <c r="L218" s="172">
        <v>2.7899999999999994E-2</v>
      </c>
      <c r="M218"/>
      <c r="N218" s="159">
        <f t="shared" si="3"/>
        <v>512.94639099999995</v>
      </c>
      <c r="O218" s="159">
        <f t="shared" si="3"/>
        <v>234.84292599999992</v>
      </c>
      <c r="P218" s="198">
        <f t="shared" si="3"/>
        <v>74.967020999999974</v>
      </c>
    </row>
    <row r="219" spans="1:16" ht="15">
      <c r="A219">
        <v>73005055</v>
      </c>
      <c r="B219">
        <v>5110</v>
      </c>
      <c r="C219" t="s">
        <v>313</v>
      </c>
      <c r="D219" s="171">
        <v>8000</v>
      </c>
      <c r="E219" s="171">
        <v>12704</v>
      </c>
      <c r="F219" s="171">
        <v>0</v>
      </c>
      <c r="G219" s="171">
        <v>20704</v>
      </c>
      <c r="H219" s="171">
        <v>0</v>
      </c>
      <c r="I219"/>
      <c r="J219" s="172">
        <v>0.19126619718309862</v>
      </c>
      <c r="K219" s="172">
        <v>8.7526760563380282E-2</v>
      </c>
      <c r="L219" s="172">
        <v>2.7928169014084507E-2</v>
      </c>
      <c r="M219"/>
      <c r="N219" s="159">
        <f t="shared" si="3"/>
        <v>2429.8457690140849</v>
      </c>
      <c r="O219" s="159">
        <f t="shared" si="3"/>
        <v>1111.9399661971831</v>
      </c>
      <c r="P219" s="198">
        <f t="shared" si="3"/>
        <v>354.79945915492959</v>
      </c>
    </row>
    <row r="220" spans="1:16" ht="15">
      <c r="A220">
        <v>73005501</v>
      </c>
      <c r="B220">
        <v>5110</v>
      </c>
      <c r="C220" t="s">
        <v>200</v>
      </c>
      <c r="D220" s="171">
        <v>1687.5</v>
      </c>
      <c r="E220" s="171">
        <v>2679.75</v>
      </c>
      <c r="F220" s="171">
        <v>0</v>
      </c>
      <c r="G220" s="171">
        <v>4367.25</v>
      </c>
      <c r="H220" s="171">
        <v>0</v>
      </c>
      <c r="I220"/>
      <c r="J220" s="172">
        <v>0.16635571428571422</v>
      </c>
      <c r="K220" s="172">
        <v>7.6162857142857115E-2</v>
      </c>
      <c r="L220" s="172">
        <v>2.4312857142857133E-2</v>
      </c>
      <c r="M220"/>
      <c r="N220" s="159">
        <f t="shared" si="3"/>
        <v>445.7917253571427</v>
      </c>
      <c r="O220" s="159">
        <f t="shared" si="3"/>
        <v>204.09741642857136</v>
      </c>
      <c r="P220" s="198">
        <f t="shared" si="3"/>
        <v>65.152378928571395</v>
      </c>
    </row>
    <row r="221" spans="1:16" ht="15">
      <c r="A221">
        <v>73005579</v>
      </c>
      <c r="B221">
        <v>5110</v>
      </c>
      <c r="C221" t="s">
        <v>204</v>
      </c>
      <c r="D221" s="171">
        <v>781.72</v>
      </c>
      <c r="E221" s="171">
        <v>1241.3699999999999</v>
      </c>
      <c r="F221" s="171">
        <v>0</v>
      </c>
      <c r="G221" s="171">
        <v>2023.09</v>
      </c>
      <c r="H221" s="171">
        <v>0</v>
      </c>
      <c r="I221"/>
      <c r="J221" s="172">
        <v>0.16103698830409358</v>
      </c>
      <c r="K221" s="172">
        <v>7.3727777777777781E-2</v>
      </c>
      <c r="L221" s="172">
        <v>2.3535526315789475E-2</v>
      </c>
      <c r="M221"/>
      <c r="N221" s="159">
        <f t="shared" si="3"/>
        <v>199.90648617105262</v>
      </c>
      <c r="O221" s="159">
        <f t="shared" si="3"/>
        <v>91.523451499999993</v>
      </c>
      <c r="P221" s="198">
        <f t="shared" si="3"/>
        <v>29.21629630263158</v>
      </c>
    </row>
    <row r="222" spans="1:16" ht="15">
      <c r="A222">
        <v>73005625</v>
      </c>
      <c r="B222">
        <v>5110</v>
      </c>
      <c r="C222" t="s">
        <v>200</v>
      </c>
      <c r="D222" s="171">
        <v>1425</v>
      </c>
      <c r="E222" s="171">
        <v>2262.9</v>
      </c>
      <c r="F222" s="171">
        <v>0</v>
      </c>
      <c r="G222" s="171">
        <v>3687.9</v>
      </c>
      <c r="H222" s="171">
        <v>0</v>
      </c>
      <c r="I222"/>
      <c r="J222" s="172">
        <v>0</v>
      </c>
      <c r="K222" s="172">
        <v>0</v>
      </c>
      <c r="L222" s="172">
        <v>0</v>
      </c>
      <c r="M222"/>
      <c r="N222" s="159">
        <f t="shared" si="3"/>
        <v>0</v>
      </c>
      <c r="O222" s="159">
        <f t="shared" si="3"/>
        <v>0</v>
      </c>
      <c r="P222" s="198">
        <f t="shared" si="3"/>
        <v>0</v>
      </c>
    </row>
    <row r="223" spans="1:16" ht="15">
      <c r="A223">
        <v>73005649</v>
      </c>
      <c r="B223">
        <v>5110</v>
      </c>
      <c r="C223" t="s">
        <v>313</v>
      </c>
      <c r="D223" s="171">
        <v>3885.87</v>
      </c>
      <c r="E223" s="171">
        <v>6170.76</v>
      </c>
      <c r="F223" s="171">
        <v>0</v>
      </c>
      <c r="G223" s="171">
        <v>10056.629999999999</v>
      </c>
      <c r="H223" s="171">
        <v>0</v>
      </c>
      <c r="I223"/>
      <c r="J223" s="172">
        <v>0.19124210526315791</v>
      </c>
      <c r="K223" s="172">
        <v>8.7518421052631579E-2</v>
      </c>
      <c r="L223" s="172">
        <v>2.7926315789473685E-2</v>
      </c>
      <c r="M223"/>
      <c r="N223" s="159">
        <f t="shared" si="3"/>
        <v>1180.1091334736843</v>
      </c>
      <c r="O223" s="159">
        <f t="shared" si="3"/>
        <v>540.05517189473687</v>
      </c>
      <c r="P223" s="198">
        <f t="shared" si="3"/>
        <v>172.32659242105265</v>
      </c>
    </row>
    <row r="224" spans="1:16" ht="15">
      <c r="A224">
        <v>73005710</v>
      </c>
      <c r="B224">
        <v>5110</v>
      </c>
      <c r="C224" t="s">
        <v>198</v>
      </c>
      <c r="D224" s="171">
        <v>8407.6299999999992</v>
      </c>
      <c r="E224" s="171">
        <v>20026.97</v>
      </c>
      <c r="F224" s="171">
        <v>0</v>
      </c>
      <c r="G224" s="171">
        <v>42651.9</v>
      </c>
      <c r="H224" s="171">
        <v>14217.300000000003</v>
      </c>
      <c r="I224"/>
      <c r="J224" s="172">
        <v>0.19090000000000021</v>
      </c>
      <c r="K224" s="172">
        <v>8.7399999999999978E-2</v>
      </c>
      <c r="L224" s="172">
        <v>2.7899999999999994E-2</v>
      </c>
      <c r="M224"/>
      <c r="N224" s="159">
        <f t="shared" si="3"/>
        <v>3823.1485730000045</v>
      </c>
      <c r="O224" s="159">
        <f t="shared" si="3"/>
        <v>1750.3571779999997</v>
      </c>
      <c r="P224" s="198">
        <f t="shared" si="3"/>
        <v>558.75246299999992</v>
      </c>
    </row>
    <row r="225" spans="1:16" ht="15">
      <c r="A225">
        <v>73005864</v>
      </c>
      <c r="B225">
        <v>5110</v>
      </c>
      <c r="C225" t="s">
        <v>204</v>
      </c>
      <c r="D225" s="171">
        <v>564.89</v>
      </c>
      <c r="E225" s="171">
        <v>897.05</v>
      </c>
      <c r="F225" s="171">
        <v>0</v>
      </c>
      <c r="G225" s="171">
        <v>1461.94</v>
      </c>
      <c r="H225" s="171">
        <v>0</v>
      </c>
      <c r="I225"/>
      <c r="J225" s="172">
        <v>9.0426315789473702E-2</v>
      </c>
      <c r="K225" s="172">
        <v>4.1400000000000013E-2</v>
      </c>
      <c r="L225" s="172">
        <v>1.3215789473684214E-2</v>
      </c>
      <c r="M225"/>
      <c r="N225" s="159">
        <f t="shared" si="3"/>
        <v>81.116926578947385</v>
      </c>
      <c r="O225" s="159">
        <f t="shared" si="3"/>
        <v>37.137870000000007</v>
      </c>
      <c r="P225" s="198">
        <f t="shared" si="3"/>
        <v>11.855223947368422</v>
      </c>
    </row>
    <row r="226" spans="1:16" ht="15">
      <c r="A226"/>
      <c r="B226"/>
      <c r="C226"/>
      <c r="D226" s="171"/>
      <c r="E226" s="171"/>
      <c r="F226" s="171"/>
      <c r="G226" s="171"/>
      <c r="H226" s="171"/>
      <c r="I226"/>
      <c r="J226"/>
      <c r="K226"/>
      <c r="L226"/>
      <c r="M226"/>
      <c r="N226"/>
      <c r="O226"/>
      <c r="P226" s="197"/>
    </row>
    <row r="227" spans="1:16" ht="15">
      <c r="A227"/>
      <c r="B227"/>
      <c r="C227"/>
      <c r="D227" s="171"/>
      <c r="E227" s="171"/>
      <c r="F227" s="171"/>
      <c r="G227" s="171"/>
      <c r="H227" s="171"/>
      <c r="I227"/>
      <c r="J227"/>
      <c r="K227"/>
      <c r="L227"/>
      <c r="M227"/>
      <c r="N227" s="32">
        <f>SUM(N4:N226)</f>
        <v>1146498.7933839569</v>
      </c>
      <c r="O227" s="32">
        <f>SUM(O4:O226)</f>
        <v>576388.43155484332</v>
      </c>
      <c r="P227" s="187">
        <f>SUM(P4:P226)</f>
        <v>242299.96630872707</v>
      </c>
    </row>
    <row r="228" spans="1:16" ht="150">
      <c r="A228"/>
      <c r="B228"/>
      <c r="C228"/>
      <c r="D228" s="171"/>
      <c r="E228" s="171"/>
      <c r="F228" s="171"/>
      <c r="G228" s="171"/>
      <c r="H228" s="171"/>
      <c r="I228"/>
      <c r="J228"/>
      <c r="K228"/>
      <c r="L228"/>
      <c r="M228"/>
      <c r="N228" s="170" t="str">
        <f>N3</f>
        <v>MECO = Remove All Financial Award</v>
      </c>
      <c r="O228" s="170" t="str">
        <f>O3</f>
        <v>NECO-E = Remove All Financial Award and Band A/Exec Total Award</v>
      </c>
      <c r="P228" s="238" t="str">
        <f>P3</f>
        <v>NECO-G = Remove All Financial Award and Band A/Exec Total Award</v>
      </c>
    </row>
    <row r="229" spans="1:16">
      <c r="A229" s="146"/>
      <c r="B229" s="147"/>
      <c r="C229" s="147"/>
      <c r="D229" s="242"/>
      <c r="E229" s="242"/>
      <c r="F229" s="242"/>
      <c r="G229" s="242"/>
    </row>
    <row r="230" spans="1:16">
      <c r="A230" s="146"/>
      <c r="B230" s="147"/>
      <c r="C230" s="147"/>
      <c r="D230" s="242"/>
      <c r="E230" s="242"/>
      <c r="F230" s="242"/>
      <c r="G230" s="242"/>
    </row>
    <row r="231" spans="1:16">
      <c r="A231" s="146"/>
      <c r="B231" s="147"/>
      <c r="C231" s="147"/>
      <c r="D231" s="242"/>
      <c r="E231" s="242"/>
      <c r="F231" s="242"/>
      <c r="G231" s="242"/>
    </row>
    <row r="232" spans="1:16">
      <c r="A232" s="146"/>
      <c r="B232" s="147"/>
      <c r="C232" s="147"/>
      <c r="D232" s="242"/>
      <c r="E232" s="242"/>
      <c r="F232" s="242"/>
      <c r="G232" s="242"/>
    </row>
    <row r="233" spans="1:16">
      <c r="A233" s="146"/>
      <c r="B233" s="147"/>
      <c r="C233" s="147"/>
      <c r="D233" s="242"/>
      <c r="E233" s="242"/>
      <c r="F233" s="242"/>
      <c r="G233" s="242"/>
    </row>
    <row r="234" spans="1:16">
      <c r="A234" s="146"/>
      <c r="B234" s="147"/>
      <c r="C234" s="147"/>
      <c r="D234" s="242"/>
      <c r="E234" s="242"/>
      <c r="F234" s="242"/>
      <c r="G234" s="242"/>
    </row>
    <row r="235" spans="1:16">
      <c r="A235" s="146"/>
      <c r="B235" s="147"/>
      <c r="C235" s="147"/>
      <c r="D235" s="242"/>
      <c r="E235" s="242"/>
      <c r="F235" s="242"/>
      <c r="G235" s="242"/>
    </row>
    <row r="236" spans="1:16">
      <c r="A236" s="146"/>
      <c r="B236" s="147"/>
      <c r="C236" s="147"/>
      <c r="D236" s="242"/>
      <c r="E236" s="242"/>
      <c r="F236" s="242"/>
      <c r="G236" s="242"/>
    </row>
    <row r="237" spans="1:16">
      <c r="A237" s="146"/>
      <c r="B237" s="147"/>
      <c r="C237" s="147"/>
      <c r="D237" s="242"/>
      <c r="E237" s="242"/>
      <c r="F237" s="242"/>
      <c r="G237" s="242"/>
    </row>
    <row r="238" spans="1:16">
      <c r="A238" s="146"/>
      <c r="B238" s="147"/>
      <c r="C238" s="147"/>
      <c r="D238" s="242"/>
      <c r="E238" s="242"/>
      <c r="F238" s="242"/>
      <c r="G238" s="242"/>
    </row>
    <row r="239" spans="1:16">
      <c r="A239" s="146"/>
      <c r="B239" s="147"/>
      <c r="C239" s="147"/>
      <c r="D239" s="242"/>
      <c r="E239" s="242"/>
      <c r="F239" s="242"/>
      <c r="G239" s="242"/>
    </row>
    <row r="240" spans="1:16">
      <c r="A240" s="146"/>
      <c r="B240" s="147"/>
      <c r="C240" s="147"/>
      <c r="D240" s="242"/>
      <c r="E240" s="242"/>
      <c r="F240" s="242"/>
      <c r="G240" s="242"/>
    </row>
    <row r="241" spans="1:7">
      <c r="A241" s="146"/>
      <c r="B241" s="147"/>
      <c r="C241" s="147"/>
      <c r="D241" s="242"/>
      <c r="E241" s="242"/>
      <c r="F241" s="242"/>
      <c r="G241" s="242"/>
    </row>
    <row r="242" spans="1:7">
      <c r="A242" s="146"/>
      <c r="B242" s="147"/>
      <c r="C242" s="147"/>
      <c r="D242" s="242"/>
      <c r="E242" s="242"/>
      <c r="F242" s="242"/>
      <c r="G242" s="242"/>
    </row>
    <row r="243" spans="1:7">
      <c r="A243" s="146"/>
      <c r="B243" s="147"/>
      <c r="C243" s="147"/>
      <c r="D243" s="242"/>
      <c r="E243" s="242"/>
      <c r="F243" s="242"/>
      <c r="G243" s="242"/>
    </row>
    <row r="244" spans="1:7">
      <c r="A244" s="146"/>
      <c r="B244" s="147"/>
      <c r="C244" s="147"/>
      <c r="D244" s="242"/>
      <c r="E244" s="242"/>
      <c r="F244" s="242"/>
      <c r="G244" s="242"/>
    </row>
    <row r="245" spans="1:7">
      <c r="A245" s="146"/>
      <c r="B245" s="147"/>
      <c r="C245" s="147"/>
      <c r="D245" s="242"/>
      <c r="E245" s="242"/>
      <c r="F245" s="242"/>
      <c r="G245" s="242"/>
    </row>
    <row r="246" spans="1:7">
      <c r="A246" s="146"/>
      <c r="B246" s="147"/>
      <c r="C246" s="147"/>
      <c r="D246" s="242"/>
      <c r="E246" s="242"/>
      <c r="F246" s="242"/>
      <c r="G246" s="242"/>
    </row>
    <row r="247" spans="1:7">
      <c r="A247" s="146"/>
      <c r="B247" s="147"/>
      <c r="C247" s="147"/>
      <c r="D247" s="242"/>
      <c r="E247" s="242"/>
      <c r="F247" s="242"/>
      <c r="G247" s="242"/>
    </row>
    <row r="248" spans="1:7">
      <c r="A248" s="146"/>
      <c r="B248" s="147"/>
      <c r="C248" s="147"/>
      <c r="D248" s="242"/>
      <c r="E248" s="242"/>
      <c r="F248" s="242"/>
      <c r="G248" s="242"/>
    </row>
    <row r="249" spans="1:7">
      <c r="A249" s="146"/>
      <c r="B249" s="147"/>
      <c r="C249" s="147"/>
      <c r="D249" s="242"/>
      <c r="E249" s="242"/>
      <c r="F249" s="242"/>
      <c r="G249" s="242"/>
    </row>
    <row r="250" spans="1:7">
      <c r="A250" s="146"/>
      <c r="B250" s="147"/>
      <c r="C250" s="147"/>
      <c r="D250" s="242"/>
      <c r="E250" s="242"/>
      <c r="F250" s="242"/>
      <c r="G250" s="242"/>
    </row>
    <row r="251" spans="1:7">
      <c r="A251" s="146"/>
      <c r="B251" s="147"/>
      <c r="C251" s="147"/>
      <c r="D251" s="242"/>
      <c r="E251" s="242"/>
      <c r="F251" s="242"/>
      <c r="G251" s="242"/>
    </row>
    <row r="252" spans="1:7">
      <c r="A252" s="146"/>
      <c r="B252" s="147"/>
      <c r="C252" s="147"/>
      <c r="D252" s="242"/>
      <c r="E252" s="242"/>
      <c r="F252" s="242"/>
      <c r="G252" s="242"/>
    </row>
    <row r="253" spans="1:7">
      <c r="A253" s="146"/>
      <c r="B253" s="147"/>
      <c r="C253" s="147"/>
      <c r="D253" s="242"/>
      <c r="E253" s="242"/>
      <c r="F253" s="242"/>
      <c r="G253" s="242"/>
    </row>
    <row r="254" spans="1:7">
      <c r="A254" s="146"/>
      <c r="B254" s="147"/>
      <c r="C254" s="147"/>
      <c r="D254" s="242"/>
      <c r="E254" s="242"/>
      <c r="F254" s="242"/>
      <c r="G254" s="242"/>
    </row>
    <row r="255" spans="1:7">
      <c r="A255" s="146"/>
      <c r="B255" s="147"/>
      <c r="C255" s="147"/>
      <c r="D255" s="242"/>
      <c r="E255" s="242"/>
      <c r="F255" s="242"/>
      <c r="G255" s="242"/>
    </row>
    <row r="256" spans="1:7">
      <c r="A256" s="146"/>
      <c r="B256" s="147"/>
      <c r="C256" s="147"/>
      <c r="D256" s="242"/>
      <c r="E256" s="242"/>
      <c r="F256" s="242"/>
      <c r="G256" s="242"/>
    </row>
    <row r="257" spans="1:7">
      <c r="A257" s="146"/>
      <c r="B257" s="147"/>
      <c r="C257" s="147"/>
      <c r="D257" s="242"/>
      <c r="E257" s="242"/>
      <c r="F257" s="242"/>
      <c r="G257" s="242"/>
    </row>
    <row r="258" spans="1:7">
      <c r="A258" s="146"/>
      <c r="B258" s="147"/>
      <c r="C258" s="147"/>
      <c r="D258" s="242"/>
      <c r="E258" s="242"/>
      <c r="F258" s="242"/>
      <c r="G258" s="242"/>
    </row>
    <row r="259" spans="1:7">
      <c r="A259" s="146"/>
      <c r="B259" s="147"/>
      <c r="C259" s="147"/>
      <c r="D259" s="242"/>
      <c r="E259" s="242"/>
      <c r="F259" s="242"/>
      <c r="G259" s="242"/>
    </row>
    <row r="260" spans="1:7">
      <c r="A260" s="146"/>
      <c r="B260" s="147"/>
      <c r="C260" s="147"/>
      <c r="D260" s="242"/>
      <c r="E260" s="242"/>
      <c r="F260" s="242"/>
      <c r="G260" s="242"/>
    </row>
    <row r="261" spans="1:7">
      <c r="A261" s="146"/>
      <c r="B261" s="147"/>
      <c r="C261" s="147"/>
      <c r="D261" s="242"/>
      <c r="E261" s="242"/>
      <c r="F261" s="242"/>
      <c r="G261" s="242"/>
    </row>
    <row r="262" spans="1:7">
      <c r="A262" s="146"/>
      <c r="B262" s="147"/>
      <c r="C262" s="147"/>
      <c r="D262" s="242"/>
      <c r="E262" s="242"/>
      <c r="F262" s="242"/>
      <c r="G262" s="242"/>
    </row>
    <row r="263" spans="1:7">
      <c r="A263" s="146"/>
      <c r="B263" s="147"/>
      <c r="C263" s="147"/>
      <c r="D263" s="242"/>
      <c r="E263" s="242"/>
      <c r="F263" s="242"/>
      <c r="G263" s="242"/>
    </row>
    <row r="264" spans="1:7">
      <c r="A264" s="146"/>
      <c r="B264" s="147"/>
      <c r="C264" s="147"/>
      <c r="D264" s="242"/>
      <c r="E264" s="242"/>
      <c r="F264" s="242"/>
      <c r="G264" s="242"/>
    </row>
    <row r="265" spans="1:7">
      <c r="A265" s="146"/>
      <c r="B265" s="147"/>
      <c r="C265" s="147"/>
      <c r="D265" s="242"/>
      <c r="E265" s="242"/>
      <c r="F265" s="242"/>
      <c r="G265" s="242"/>
    </row>
    <row r="266" spans="1:7">
      <c r="A266" s="146"/>
      <c r="B266" s="147"/>
      <c r="C266" s="147"/>
      <c r="D266" s="242"/>
      <c r="E266" s="242"/>
      <c r="F266" s="242"/>
      <c r="G266" s="242"/>
    </row>
    <row r="267" spans="1:7">
      <c r="A267" s="146"/>
      <c r="B267" s="147"/>
      <c r="C267" s="147"/>
      <c r="D267" s="242"/>
      <c r="E267" s="242"/>
      <c r="F267" s="242"/>
      <c r="G267" s="242"/>
    </row>
    <row r="268" spans="1:7">
      <c r="A268" s="146"/>
      <c r="B268" s="147"/>
      <c r="C268" s="147"/>
      <c r="D268" s="242"/>
      <c r="E268" s="242"/>
      <c r="F268" s="242"/>
      <c r="G268" s="242"/>
    </row>
    <row r="269" spans="1:7">
      <c r="A269" s="146"/>
      <c r="B269" s="147"/>
      <c r="C269" s="147"/>
      <c r="D269" s="242"/>
      <c r="E269" s="242"/>
      <c r="F269" s="242"/>
      <c r="G269" s="242"/>
    </row>
    <row r="270" spans="1:7">
      <c r="A270" s="146"/>
      <c r="B270" s="147"/>
      <c r="C270" s="147"/>
      <c r="D270" s="242"/>
      <c r="E270" s="242"/>
      <c r="F270" s="242"/>
      <c r="G270" s="242"/>
    </row>
    <row r="271" spans="1:7">
      <c r="A271" s="146"/>
      <c r="B271" s="147"/>
      <c r="C271" s="147"/>
      <c r="D271" s="242"/>
      <c r="E271" s="242"/>
      <c r="F271" s="242"/>
      <c r="G271" s="242"/>
    </row>
    <row r="272" spans="1:7">
      <c r="A272" s="146"/>
      <c r="B272" s="147"/>
      <c r="C272" s="147"/>
      <c r="D272" s="242"/>
      <c r="E272" s="242"/>
      <c r="F272" s="242"/>
      <c r="G272" s="242"/>
    </row>
    <row r="273" spans="1:7">
      <c r="A273" s="146"/>
      <c r="B273" s="147"/>
      <c r="C273" s="147"/>
      <c r="D273" s="242"/>
      <c r="E273" s="242"/>
      <c r="F273" s="242"/>
      <c r="G273" s="242"/>
    </row>
    <row r="274" spans="1:7">
      <c r="A274" s="146"/>
      <c r="B274" s="147"/>
      <c r="C274" s="147"/>
      <c r="D274" s="242"/>
      <c r="E274" s="242"/>
      <c r="F274" s="242"/>
      <c r="G274" s="242"/>
    </row>
    <row r="275" spans="1:7">
      <c r="A275" s="146"/>
      <c r="B275" s="147"/>
      <c r="C275" s="147"/>
      <c r="D275" s="242"/>
      <c r="E275" s="242"/>
      <c r="F275" s="242"/>
      <c r="G275" s="242"/>
    </row>
    <row r="276" spans="1:7">
      <c r="A276" s="146"/>
      <c r="B276" s="147"/>
      <c r="C276" s="147"/>
      <c r="D276" s="242"/>
      <c r="E276" s="242"/>
      <c r="F276" s="242"/>
      <c r="G276" s="242"/>
    </row>
    <row r="277" spans="1:7">
      <c r="A277" s="146"/>
      <c r="B277" s="147"/>
      <c r="C277" s="147"/>
      <c r="D277" s="242"/>
      <c r="E277" s="242"/>
      <c r="F277" s="242"/>
      <c r="G277" s="242"/>
    </row>
    <row r="278" spans="1:7">
      <c r="A278" s="146"/>
      <c r="B278" s="147"/>
      <c r="C278" s="147"/>
      <c r="D278" s="242"/>
      <c r="E278" s="242"/>
      <c r="F278" s="242"/>
      <c r="G278" s="242"/>
    </row>
    <row r="279" spans="1:7">
      <c r="A279" s="146"/>
      <c r="B279" s="147"/>
      <c r="C279" s="147"/>
      <c r="D279" s="242"/>
      <c r="E279" s="242"/>
      <c r="F279" s="242"/>
      <c r="G279" s="242"/>
    </row>
    <row r="280" spans="1:7">
      <c r="A280" s="146"/>
      <c r="B280" s="147"/>
      <c r="C280" s="147"/>
      <c r="D280" s="242"/>
      <c r="E280" s="242"/>
      <c r="F280" s="242"/>
      <c r="G280" s="242"/>
    </row>
    <row r="281" spans="1:7">
      <c r="A281" s="146"/>
      <c r="B281" s="147"/>
      <c r="C281" s="147"/>
      <c r="D281" s="242"/>
      <c r="E281" s="242"/>
      <c r="F281" s="242"/>
      <c r="G281" s="242"/>
    </row>
    <row r="282" spans="1:7">
      <c r="A282" s="146"/>
      <c r="B282" s="147"/>
      <c r="C282" s="147"/>
      <c r="D282" s="242"/>
      <c r="E282" s="242"/>
      <c r="F282" s="242"/>
      <c r="G282" s="242"/>
    </row>
    <row r="283" spans="1:7">
      <c r="A283" s="146"/>
      <c r="B283" s="147"/>
      <c r="C283" s="147"/>
      <c r="D283" s="242"/>
      <c r="E283" s="242"/>
      <c r="F283" s="242"/>
      <c r="G283" s="242"/>
    </row>
    <row r="284" spans="1:7">
      <c r="A284" s="146"/>
      <c r="B284" s="147"/>
      <c r="C284" s="147"/>
      <c r="D284" s="242"/>
      <c r="E284" s="242"/>
      <c r="F284" s="242"/>
      <c r="G284" s="242"/>
    </row>
    <row r="285" spans="1:7">
      <c r="A285" s="146"/>
      <c r="B285" s="147"/>
      <c r="C285" s="147"/>
      <c r="D285" s="242"/>
      <c r="E285" s="242"/>
      <c r="F285" s="242"/>
      <c r="G285" s="242"/>
    </row>
    <row r="286" spans="1:7">
      <c r="A286" s="146"/>
      <c r="B286" s="147"/>
      <c r="C286" s="147"/>
      <c r="D286" s="242"/>
      <c r="E286" s="242"/>
      <c r="F286" s="242"/>
      <c r="G286" s="242"/>
    </row>
    <row r="287" spans="1:7">
      <c r="A287" s="146"/>
      <c r="B287" s="147"/>
      <c r="C287" s="147"/>
      <c r="D287" s="242"/>
      <c r="E287" s="242"/>
      <c r="F287" s="242"/>
      <c r="G287" s="242"/>
    </row>
    <row r="288" spans="1:7">
      <c r="A288" s="146"/>
      <c r="B288" s="147"/>
      <c r="C288" s="147"/>
      <c r="D288" s="242"/>
      <c r="E288" s="242"/>
      <c r="F288" s="242"/>
      <c r="G288" s="242"/>
    </row>
    <row r="289" spans="1:7">
      <c r="A289" s="146"/>
      <c r="B289" s="147"/>
      <c r="C289" s="147"/>
      <c r="D289" s="242"/>
      <c r="E289" s="242"/>
      <c r="F289" s="242"/>
      <c r="G289" s="242"/>
    </row>
    <row r="290" spans="1:7">
      <c r="A290" s="146"/>
      <c r="B290" s="147"/>
      <c r="C290" s="147"/>
      <c r="D290" s="242"/>
      <c r="E290" s="242"/>
      <c r="F290" s="242"/>
      <c r="G290" s="242"/>
    </row>
    <row r="291" spans="1:7">
      <c r="A291" s="146"/>
      <c r="B291" s="147"/>
      <c r="C291" s="147"/>
      <c r="D291" s="242"/>
      <c r="E291" s="242"/>
      <c r="F291" s="242"/>
      <c r="G291" s="242"/>
    </row>
    <row r="292" spans="1:7">
      <c r="A292" s="146"/>
      <c r="B292" s="147"/>
      <c r="C292" s="147"/>
      <c r="D292" s="242"/>
      <c r="E292" s="242"/>
      <c r="F292" s="242"/>
      <c r="G292" s="242"/>
    </row>
    <row r="293" spans="1:7">
      <c r="A293" s="146"/>
      <c r="B293" s="147"/>
      <c r="C293" s="147"/>
      <c r="D293" s="242"/>
      <c r="E293" s="242"/>
      <c r="F293" s="242"/>
      <c r="G293" s="242"/>
    </row>
    <row r="294" spans="1:7">
      <c r="A294" s="146"/>
      <c r="B294" s="147"/>
      <c r="C294" s="147"/>
      <c r="D294" s="242"/>
      <c r="E294" s="242"/>
      <c r="F294" s="242"/>
      <c r="G294" s="242"/>
    </row>
    <row r="295" spans="1:7">
      <c r="A295" s="146"/>
      <c r="B295" s="147"/>
      <c r="C295" s="147"/>
      <c r="D295" s="242"/>
      <c r="E295" s="242"/>
      <c r="F295" s="242"/>
      <c r="G295" s="242"/>
    </row>
    <row r="296" spans="1:7">
      <c r="A296" s="146"/>
      <c r="B296" s="147"/>
      <c r="C296" s="147"/>
      <c r="D296" s="242"/>
      <c r="E296" s="242"/>
      <c r="F296" s="242"/>
      <c r="G296" s="242"/>
    </row>
    <row r="297" spans="1:7">
      <c r="A297" s="146"/>
      <c r="B297" s="147"/>
      <c r="C297" s="147"/>
      <c r="D297" s="242"/>
      <c r="E297" s="242"/>
      <c r="F297" s="242"/>
      <c r="G297" s="242"/>
    </row>
    <row r="298" spans="1:7">
      <c r="A298" s="146"/>
      <c r="B298" s="147"/>
      <c r="C298" s="147"/>
      <c r="D298" s="242"/>
      <c r="E298" s="242"/>
      <c r="F298" s="242"/>
      <c r="G298" s="242"/>
    </row>
    <row r="299" spans="1:7">
      <c r="A299" s="146"/>
      <c r="B299" s="147"/>
      <c r="C299" s="147"/>
      <c r="D299" s="242"/>
      <c r="E299" s="242"/>
      <c r="F299" s="242"/>
      <c r="G299" s="242"/>
    </row>
    <row r="300" spans="1:7">
      <c r="A300" s="146"/>
      <c r="B300" s="147"/>
      <c r="C300" s="147"/>
      <c r="D300" s="242"/>
      <c r="E300" s="242"/>
      <c r="F300" s="242"/>
      <c r="G300" s="242"/>
    </row>
    <row r="301" spans="1:7">
      <c r="A301" s="146"/>
      <c r="B301" s="147"/>
      <c r="C301" s="147"/>
      <c r="D301" s="242"/>
      <c r="E301" s="242"/>
      <c r="F301" s="242"/>
      <c r="G301" s="242"/>
    </row>
    <row r="302" spans="1:7">
      <c r="A302" s="146"/>
      <c r="B302" s="147"/>
      <c r="C302" s="147"/>
      <c r="D302" s="242"/>
      <c r="E302" s="242"/>
      <c r="F302" s="242"/>
      <c r="G302" s="242"/>
    </row>
    <row r="303" spans="1:7">
      <c r="A303" s="146"/>
      <c r="B303" s="147"/>
      <c r="C303" s="147"/>
      <c r="D303" s="242"/>
      <c r="E303" s="242"/>
      <c r="F303" s="242"/>
      <c r="G303" s="242"/>
    </row>
    <row r="304" spans="1:7">
      <c r="A304" s="146"/>
      <c r="B304" s="147"/>
      <c r="C304" s="147"/>
      <c r="D304" s="242"/>
      <c r="E304" s="242"/>
      <c r="F304" s="242"/>
      <c r="G304" s="242"/>
    </row>
    <row r="305" spans="1:7">
      <c r="A305" s="146"/>
      <c r="B305" s="147"/>
      <c r="C305" s="147"/>
      <c r="D305" s="242"/>
      <c r="E305" s="242"/>
      <c r="F305" s="242"/>
      <c r="G305" s="242"/>
    </row>
    <row r="306" spans="1:7">
      <c r="A306" s="146"/>
      <c r="B306" s="147"/>
      <c r="C306" s="147"/>
      <c r="D306" s="242"/>
      <c r="E306" s="242"/>
      <c r="F306" s="242"/>
      <c r="G306" s="242"/>
    </row>
    <row r="307" spans="1:7">
      <c r="A307" s="146"/>
      <c r="B307" s="147"/>
      <c r="C307" s="147"/>
      <c r="D307" s="242"/>
      <c r="E307" s="242"/>
      <c r="F307" s="242"/>
      <c r="G307" s="242"/>
    </row>
    <row r="308" spans="1:7">
      <c r="A308" s="146"/>
      <c r="B308" s="147"/>
      <c r="C308" s="147"/>
      <c r="D308" s="242"/>
      <c r="E308" s="242"/>
      <c r="F308" s="242"/>
      <c r="G308" s="242"/>
    </row>
    <row r="309" spans="1:7">
      <c r="A309" s="146"/>
      <c r="B309" s="147"/>
      <c r="C309" s="147"/>
      <c r="D309" s="242"/>
      <c r="E309" s="242"/>
      <c r="F309" s="242"/>
      <c r="G309" s="242"/>
    </row>
    <row r="310" spans="1:7">
      <c r="A310" s="146"/>
      <c r="B310" s="147"/>
      <c r="C310" s="147"/>
      <c r="D310" s="242"/>
      <c r="E310" s="242"/>
      <c r="F310" s="242"/>
      <c r="G310" s="242"/>
    </row>
    <row r="311" spans="1:7">
      <c r="A311" s="146"/>
      <c r="B311" s="147"/>
      <c r="C311" s="147"/>
      <c r="D311" s="242"/>
      <c r="E311" s="242"/>
      <c r="F311" s="242"/>
      <c r="G311" s="242"/>
    </row>
    <row r="312" spans="1:7">
      <c r="A312" s="146"/>
      <c r="B312" s="147"/>
      <c r="C312" s="147"/>
      <c r="D312" s="242"/>
      <c r="E312" s="242"/>
      <c r="F312" s="242"/>
      <c r="G312" s="242"/>
    </row>
    <row r="313" spans="1:7">
      <c r="A313" s="146"/>
      <c r="B313" s="147"/>
      <c r="C313" s="147"/>
      <c r="D313" s="242"/>
      <c r="E313" s="242"/>
      <c r="F313" s="242"/>
      <c r="G313" s="242"/>
    </row>
    <row r="314" spans="1:7">
      <c r="A314" s="146"/>
      <c r="B314" s="147"/>
      <c r="C314" s="147"/>
      <c r="D314" s="242"/>
      <c r="E314" s="242"/>
      <c r="F314" s="242"/>
      <c r="G314" s="242"/>
    </row>
    <row r="315" spans="1:7">
      <c r="A315" s="146"/>
      <c r="B315" s="147"/>
      <c r="C315" s="147"/>
      <c r="D315" s="242"/>
      <c r="E315" s="242"/>
      <c r="F315" s="242"/>
      <c r="G315" s="242"/>
    </row>
    <row r="316" spans="1:7">
      <c r="A316" s="146"/>
      <c r="B316" s="147"/>
      <c r="C316" s="147"/>
      <c r="D316" s="242"/>
      <c r="E316" s="242"/>
      <c r="F316" s="242"/>
      <c r="G316" s="242"/>
    </row>
    <row r="317" spans="1:7">
      <c r="A317" s="146"/>
      <c r="B317" s="147"/>
      <c r="C317" s="147"/>
      <c r="D317" s="242"/>
      <c r="E317" s="242"/>
      <c r="F317" s="242"/>
      <c r="G317" s="242"/>
    </row>
    <row r="318" spans="1:7">
      <c r="A318" s="146"/>
      <c r="B318" s="147"/>
      <c r="C318" s="147"/>
      <c r="D318" s="242"/>
      <c r="E318" s="242"/>
      <c r="F318" s="242"/>
      <c r="G318" s="242"/>
    </row>
    <row r="319" spans="1:7">
      <c r="A319" s="146"/>
      <c r="B319" s="147"/>
      <c r="C319" s="147"/>
      <c r="D319" s="242"/>
      <c r="E319" s="242"/>
      <c r="F319" s="242"/>
      <c r="G319" s="242"/>
    </row>
    <row r="320" spans="1:7">
      <c r="A320" s="146"/>
      <c r="B320" s="147"/>
      <c r="C320" s="147"/>
      <c r="D320" s="242"/>
      <c r="E320" s="242"/>
      <c r="F320" s="242"/>
      <c r="G320" s="242"/>
    </row>
    <row r="321" spans="1:8">
      <c r="A321" s="146"/>
      <c r="B321" s="147"/>
      <c r="C321" s="147"/>
      <c r="D321" s="242"/>
      <c r="E321" s="242"/>
      <c r="F321" s="242"/>
      <c r="G321" s="242"/>
    </row>
    <row r="322" spans="1:8">
      <c r="A322" s="146"/>
      <c r="B322" s="147"/>
      <c r="C322" s="147"/>
      <c r="D322" s="242"/>
      <c r="E322" s="242"/>
      <c r="F322" s="242"/>
      <c r="G322" s="242"/>
    </row>
    <row r="323" spans="1:8">
      <c r="A323" s="146"/>
      <c r="B323" s="147"/>
      <c r="C323" s="147"/>
      <c r="D323" s="242"/>
      <c r="E323" s="242"/>
      <c r="F323" s="242"/>
      <c r="G323" s="242"/>
    </row>
    <row r="324" spans="1:8">
      <c r="A324" s="146"/>
      <c r="B324" s="147"/>
      <c r="C324" s="147"/>
      <c r="D324" s="242"/>
      <c r="E324" s="242"/>
      <c r="F324" s="242"/>
      <c r="G324" s="242"/>
    </row>
    <row r="325" spans="1:8">
      <c r="A325" s="146"/>
      <c r="B325" s="147"/>
      <c r="C325" s="147"/>
      <c r="D325" s="242"/>
      <c r="E325" s="242"/>
      <c r="F325" s="242"/>
      <c r="G325" s="242"/>
    </row>
    <row r="326" spans="1:8">
      <c r="A326" s="146"/>
      <c r="B326" s="147"/>
      <c r="C326" s="147"/>
      <c r="D326" s="242"/>
      <c r="E326" s="242"/>
      <c r="F326" s="242"/>
      <c r="G326" s="242"/>
    </row>
    <row r="327" spans="1:8">
      <c r="A327" s="146"/>
      <c r="B327" s="147"/>
      <c r="C327" s="147"/>
      <c r="D327" s="242"/>
      <c r="E327" s="242"/>
      <c r="F327" s="242"/>
      <c r="G327" s="242"/>
    </row>
    <row r="328" spans="1:8">
      <c r="A328" s="146"/>
      <c r="B328" s="147"/>
      <c r="C328" s="147"/>
      <c r="D328" s="242"/>
      <c r="E328" s="242"/>
      <c r="F328" s="242"/>
      <c r="G328" s="242"/>
    </row>
    <row r="329" spans="1:8">
      <c r="A329" s="146"/>
      <c r="B329" s="147"/>
      <c r="C329" s="147"/>
      <c r="D329" s="242"/>
      <c r="E329" s="242"/>
      <c r="F329" s="242"/>
      <c r="G329" s="242"/>
    </row>
    <row r="330" spans="1:8">
      <c r="A330" s="146"/>
      <c r="B330" s="147"/>
      <c r="C330" s="147"/>
      <c r="D330" s="242"/>
      <c r="E330" s="242"/>
      <c r="F330" s="242"/>
      <c r="G330" s="242"/>
    </row>
    <row r="331" spans="1:8">
      <c r="A331" s="146"/>
      <c r="B331" s="147"/>
      <c r="C331" s="147"/>
      <c r="D331" s="242"/>
      <c r="E331" s="242"/>
      <c r="F331" s="242"/>
      <c r="G331" s="242"/>
    </row>
    <row r="332" spans="1:8">
      <c r="A332" s="146"/>
      <c r="B332" s="147"/>
      <c r="C332" s="147"/>
      <c r="D332" s="242"/>
      <c r="E332" s="242"/>
      <c r="F332" s="242"/>
      <c r="G332" s="242"/>
    </row>
    <row r="333" spans="1:8">
      <c r="A333" s="146"/>
      <c r="B333" s="147"/>
      <c r="C333" s="147"/>
      <c r="D333" s="242"/>
      <c r="E333" s="242"/>
      <c r="F333" s="242"/>
      <c r="G333" s="242"/>
    </row>
    <row r="334" spans="1:8">
      <c r="A334" s="146"/>
      <c r="B334" s="147"/>
      <c r="C334" s="147"/>
      <c r="D334" s="242"/>
      <c r="E334" s="242"/>
      <c r="F334" s="242"/>
      <c r="G334" s="242"/>
    </row>
    <row r="335" spans="1:8">
      <c r="A335" s="146"/>
      <c r="B335" s="147"/>
      <c r="C335" s="147"/>
      <c r="D335" s="242"/>
      <c r="E335" s="242"/>
      <c r="F335" s="242"/>
      <c r="G335" s="242"/>
    </row>
    <row r="336" spans="1:8">
      <c r="A336" s="146"/>
      <c r="B336" s="148"/>
      <c r="C336" s="148" t="e">
        <f>SUBTOTAL(9,#REF!)</f>
        <v>#REF!</v>
      </c>
      <c r="D336" s="243"/>
      <c r="E336" s="243" t="e">
        <f>SUBTOTAL(9,#REF!)</f>
        <v>#REF!</v>
      </c>
      <c r="F336" s="242"/>
      <c r="G336" s="243" t="e">
        <f>SUBTOTAL(9,#REF!)</f>
        <v>#REF!</v>
      </c>
      <c r="H336" s="240" t="e">
        <f>+G336/C336</f>
        <v>#REF!</v>
      </c>
    </row>
  </sheetData>
  <autoFilter ref="N3:P225" xr:uid="{9444224D-EDD5-4EFD-BF3C-5969A4C5BFD0}"/>
  <pageMargins left="0.2" right="0.2" top="0.75" bottom="0.75" header="0.3" footer="0.3"/>
  <pageSetup scale="10" orientation="landscape"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C21DC2-BDDF-4C27-8CC7-B1A3B891C659}">
  <sheetPr>
    <tabColor rgb="FFFF0000"/>
    <pageSetUpPr fitToPage="1"/>
  </sheetPr>
  <dimension ref="A1:R63"/>
  <sheetViews>
    <sheetView workbookViewId="0"/>
  </sheetViews>
  <sheetFormatPr defaultColWidth="9.140625" defaultRowHeight="15"/>
  <cols>
    <col min="1" max="1" width="40" style="263" customWidth="1"/>
    <col min="2" max="2" width="14.7109375" style="262" bestFit="1" customWidth="1"/>
    <col min="3" max="3" width="10.7109375" style="262" bestFit="1" customWidth="1"/>
    <col min="4" max="4" width="13.5703125" style="262" customWidth="1"/>
    <col min="5" max="5" width="12.28515625" style="262" customWidth="1"/>
    <col min="6" max="6" width="10.7109375" style="262" bestFit="1" customWidth="1"/>
    <col min="7" max="7" width="13.42578125" style="262" bestFit="1" customWidth="1"/>
    <col min="8" max="9" width="13.5703125" style="262" customWidth="1"/>
    <col min="10" max="10" width="13.5703125" style="263" customWidth="1"/>
    <col min="11" max="11" width="16.85546875" style="263" customWidth="1"/>
    <col min="12" max="13" width="12.7109375" style="263" customWidth="1"/>
    <col min="14" max="14" width="12.7109375" style="263" bestFit="1" customWidth="1"/>
    <col min="15" max="15" width="13.7109375" style="263" bestFit="1" customWidth="1"/>
    <col min="16" max="16" width="13.7109375" style="263" customWidth="1"/>
    <col min="17" max="17" width="13.7109375" style="263" bestFit="1" customWidth="1"/>
    <col min="18" max="18" width="11.85546875" style="263" bestFit="1" customWidth="1"/>
    <col min="19" max="16384" width="9.140625" style="263"/>
  </cols>
  <sheetData>
    <row r="1" spans="1:17">
      <c r="A1" s="300" t="s">
        <v>3987</v>
      </c>
    </row>
    <row r="3" spans="1:17">
      <c r="A3" s="301"/>
      <c r="B3" s="302" t="s">
        <v>3988</v>
      </c>
      <c r="C3" s="200"/>
      <c r="D3" s="302"/>
      <c r="E3" s="302" t="s">
        <v>3989</v>
      </c>
      <c r="F3" s="302" t="s">
        <v>3990</v>
      </c>
      <c r="G3" s="302" t="s">
        <v>3991</v>
      </c>
      <c r="H3" s="302" t="s">
        <v>3992</v>
      </c>
      <c r="I3" s="302" t="s">
        <v>3993</v>
      </c>
      <c r="J3" s="302" t="s">
        <v>3994</v>
      </c>
      <c r="K3" s="302" t="s">
        <v>3995</v>
      </c>
      <c r="L3" s="302" t="s">
        <v>3996</v>
      </c>
      <c r="M3" s="302" t="s">
        <v>3997</v>
      </c>
      <c r="N3" s="302" t="s">
        <v>3998</v>
      </c>
      <c r="O3" s="302" t="s">
        <v>3999</v>
      </c>
      <c r="P3" s="302" t="s">
        <v>4000</v>
      </c>
      <c r="Q3" s="302"/>
    </row>
    <row r="4" spans="1:17">
      <c r="A4" s="301" t="s">
        <v>4001</v>
      </c>
      <c r="B4" s="303">
        <f>D53-D52</f>
        <v>2042084.3729947156</v>
      </c>
      <c r="C4" s="200" t="s">
        <v>4002</v>
      </c>
      <c r="D4" s="304" t="s">
        <v>4003</v>
      </c>
      <c r="E4" s="200"/>
      <c r="F4" s="200"/>
      <c r="G4" s="200"/>
      <c r="H4" s="200"/>
      <c r="I4" s="200"/>
      <c r="J4" s="200"/>
      <c r="K4" s="200"/>
      <c r="L4" s="200"/>
      <c r="M4" s="303">
        <f>$B$4/12</f>
        <v>170173.69774955962</v>
      </c>
      <c r="N4" s="303">
        <f>M4+$B$4/12</f>
        <v>340347.39549911924</v>
      </c>
      <c r="O4" s="303">
        <f>N4+$B$4/12</f>
        <v>510521.09324867884</v>
      </c>
      <c r="P4" s="303">
        <f>O4+$B$4/12</f>
        <v>680694.79099823849</v>
      </c>
      <c r="Q4" s="302"/>
    </row>
    <row r="5" spans="1:17">
      <c r="A5" s="305" t="s">
        <v>4004</v>
      </c>
      <c r="B5" s="306">
        <f>B53-B52</f>
        <v>1514322.7037557946</v>
      </c>
      <c r="C5" s="307" t="s">
        <v>4005</v>
      </c>
      <c r="D5" s="304" t="s">
        <v>4006</v>
      </c>
      <c r="E5" s="303">
        <f>P4+$B$4/12</f>
        <v>850868.48874779814</v>
      </c>
      <c r="F5" s="303">
        <f t="shared" ref="F5:L5" si="0">E5+$B$4/12</f>
        <v>1021042.1864973578</v>
      </c>
      <c r="G5" s="303">
        <f t="shared" si="0"/>
        <v>1191215.8842469174</v>
      </c>
      <c r="H5" s="303">
        <f t="shared" si="0"/>
        <v>1361389.581996477</v>
      </c>
      <c r="I5" s="303">
        <f t="shared" si="0"/>
        <v>1531563.2797460365</v>
      </c>
      <c r="J5" s="303">
        <f t="shared" si="0"/>
        <v>1701736.977495596</v>
      </c>
      <c r="K5" s="303">
        <f t="shared" si="0"/>
        <v>1871910.6752451556</v>
      </c>
      <c r="L5" s="303">
        <f t="shared" si="0"/>
        <v>2042084.3729947151</v>
      </c>
      <c r="M5" s="303">
        <f>L5+$B$5/12</f>
        <v>2168277.9316410315</v>
      </c>
      <c r="N5" s="303">
        <f>M5+$B$5/12</f>
        <v>2294471.4902873477</v>
      </c>
      <c r="O5" s="303">
        <f>N5+$B$5/12+$B$6/12</f>
        <v>2376684.9098304203</v>
      </c>
      <c r="P5" s="303">
        <f>O5+$B$5/12+$B$6/12</f>
        <v>2458898.3293734929</v>
      </c>
      <c r="Q5" s="302"/>
    </row>
    <row r="6" spans="1:17">
      <c r="A6" s="301" t="s">
        <v>4007</v>
      </c>
      <c r="B6" s="303">
        <f>E53</f>
        <v>-527761.66923892137</v>
      </c>
      <c r="C6" s="308" t="s">
        <v>4008</v>
      </c>
      <c r="D6" s="304" t="s">
        <v>4009</v>
      </c>
      <c r="E6" s="303">
        <f>P5+$B$5/12+$B$6/12</f>
        <v>2541111.7489165654</v>
      </c>
      <c r="F6" s="303">
        <f t="shared" ref="F6:N6" si="1">E6+$B$5/12+$B$6/12</f>
        <v>2623325.168459638</v>
      </c>
      <c r="G6" s="306">
        <f>F6+$B$5/12+$B$6/12-114</f>
        <v>2705424.5880027106</v>
      </c>
      <c r="H6" s="303">
        <f t="shared" si="1"/>
        <v>2787638.0075457832</v>
      </c>
      <c r="I6" s="303">
        <f t="shared" si="1"/>
        <v>2869851.4270888558</v>
      </c>
      <c r="J6" s="306">
        <f>I6+$B$5/12+$B$6/12-18</f>
        <v>2952046.8466319283</v>
      </c>
      <c r="K6" s="303">
        <f t="shared" si="1"/>
        <v>3034260.2661750009</v>
      </c>
      <c r="L6" s="303">
        <f t="shared" si="1"/>
        <v>3116473.6857180735</v>
      </c>
      <c r="M6" s="306">
        <f>L6+$B$5/12+$B$6/12-18</f>
        <v>3198669.1052611461</v>
      </c>
      <c r="N6" s="303">
        <f t="shared" si="1"/>
        <v>3280882.5248042187</v>
      </c>
      <c r="O6" s="303">
        <f>N6+$B$5/12</f>
        <v>3407076.0834505348</v>
      </c>
      <c r="P6" s="306">
        <f>O6+$B$5/12-18</f>
        <v>3533251.642096851</v>
      </c>
      <c r="Q6" s="302"/>
    </row>
    <row r="7" spans="1:17">
      <c r="A7" s="302"/>
      <c r="B7" s="302"/>
      <c r="C7" s="302"/>
      <c r="D7" s="302"/>
      <c r="E7" s="302"/>
      <c r="F7" s="302"/>
      <c r="G7" s="302"/>
      <c r="H7" s="302"/>
      <c r="I7" s="302"/>
      <c r="J7" s="302"/>
      <c r="K7" s="302"/>
      <c r="L7" s="303"/>
      <c r="M7" s="302"/>
      <c r="N7" s="302"/>
      <c r="O7" s="302"/>
      <c r="P7" s="303"/>
      <c r="Q7" s="302"/>
    </row>
    <row r="8" spans="1:17">
      <c r="A8" s="302"/>
      <c r="B8" s="302"/>
      <c r="C8" s="302"/>
      <c r="D8" s="302"/>
      <c r="E8" s="200"/>
      <c r="F8" s="302"/>
      <c r="G8" s="302"/>
      <c r="H8" s="302"/>
      <c r="I8" s="302"/>
      <c r="J8" s="302"/>
      <c r="K8" s="302"/>
      <c r="L8" s="303"/>
      <c r="M8" s="302"/>
      <c r="N8" s="302"/>
      <c r="O8" s="302" t="s">
        <v>229</v>
      </c>
      <c r="P8" s="303">
        <f>1514323/12*COUNT($E$4:P6)</f>
        <v>3533420.333333333</v>
      </c>
      <c r="Q8" s="302"/>
    </row>
    <row r="9" spans="1:17">
      <c r="A9" s="302"/>
      <c r="B9" s="302"/>
      <c r="C9" s="302"/>
      <c r="D9" s="302"/>
      <c r="E9" s="302"/>
      <c r="F9" s="302"/>
      <c r="G9" s="302"/>
      <c r="H9" s="302"/>
      <c r="I9" s="302"/>
      <c r="J9" s="302"/>
      <c r="K9" s="302"/>
      <c r="L9" s="302"/>
      <c r="M9" s="302"/>
      <c r="N9" s="302"/>
      <c r="O9" s="302"/>
      <c r="P9" s="302"/>
      <c r="Q9" s="302"/>
    </row>
    <row r="10" spans="1:17">
      <c r="A10" s="302"/>
      <c r="B10" s="302" t="s">
        <v>4010</v>
      </c>
      <c r="C10" s="200"/>
      <c r="D10" s="302"/>
      <c r="E10" s="302" t="s">
        <v>3989</v>
      </c>
      <c r="F10" s="302" t="s">
        <v>3990</v>
      </c>
      <c r="G10" s="302" t="s">
        <v>3991</v>
      </c>
      <c r="H10" s="302" t="s">
        <v>3992</v>
      </c>
      <c r="I10" s="302" t="s">
        <v>3993</v>
      </c>
      <c r="J10" s="302" t="s">
        <v>3994</v>
      </c>
      <c r="K10" s="302" t="s">
        <v>3995</v>
      </c>
      <c r="L10" s="302" t="s">
        <v>3996</v>
      </c>
      <c r="M10" s="302" t="s">
        <v>3997</v>
      </c>
      <c r="N10" s="302" t="s">
        <v>3998</v>
      </c>
      <c r="O10" s="302" t="s">
        <v>3999</v>
      </c>
      <c r="P10" s="302" t="s">
        <v>4000</v>
      </c>
      <c r="Q10" s="302"/>
    </row>
    <row r="11" spans="1:17">
      <c r="A11" s="301" t="s">
        <v>4001</v>
      </c>
      <c r="B11" s="303">
        <v>-779278</v>
      </c>
      <c r="C11" s="200" t="s">
        <v>4002</v>
      </c>
      <c r="D11" s="304" t="s">
        <v>4003</v>
      </c>
      <c r="E11" s="200"/>
      <c r="F11" s="200"/>
      <c r="G11" s="200"/>
      <c r="H11" s="200"/>
      <c r="I11" s="200"/>
      <c r="J11" s="200"/>
      <c r="K11" s="200"/>
      <c r="L11" s="200"/>
      <c r="M11" s="303">
        <f>$B$11/12</f>
        <v>-64939.833333333336</v>
      </c>
      <c r="N11" s="303">
        <f>$B$11/12</f>
        <v>-64939.833333333336</v>
      </c>
      <c r="O11" s="303">
        <f>$B$11/12</f>
        <v>-64939.833333333336</v>
      </c>
      <c r="P11" s="303">
        <f>$B$11/12</f>
        <v>-64939.833333333336</v>
      </c>
      <c r="Q11" s="303">
        <f>SUM(E11:P11)</f>
        <v>-259759.33333333334</v>
      </c>
    </row>
    <row r="12" spans="1:17">
      <c r="A12" s="305" t="s">
        <v>4004</v>
      </c>
      <c r="B12" s="306">
        <v>39878</v>
      </c>
      <c r="C12" s="307" t="s">
        <v>4005</v>
      </c>
      <c r="D12" s="304" t="s">
        <v>4006</v>
      </c>
      <c r="E12" s="303">
        <f t="shared" ref="E12:L12" si="2">$B$11/12</f>
        <v>-64939.833333333336</v>
      </c>
      <c r="F12" s="303">
        <f t="shared" si="2"/>
        <v>-64939.833333333336</v>
      </c>
      <c r="G12" s="303">
        <f t="shared" si="2"/>
        <v>-64939.833333333336</v>
      </c>
      <c r="H12" s="303">
        <f t="shared" si="2"/>
        <v>-64939.833333333336</v>
      </c>
      <c r="I12" s="303">
        <f t="shared" si="2"/>
        <v>-64939.833333333336</v>
      </c>
      <c r="J12" s="303">
        <f t="shared" si="2"/>
        <v>-64939.833333333336</v>
      </c>
      <c r="K12" s="303">
        <f t="shared" si="2"/>
        <v>-64939.833333333336</v>
      </c>
      <c r="L12" s="303">
        <f t="shared" si="2"/>
        <v>-64939.833333333336</v>
      </c>
      <c r="M12" s="303">
        <f>$B$12/12</f>
        <v>3323.1666666666665</v>
      </c>
      <c r="N12" s="303">
        <f>$B$12/12</f>
        <v>3323.1666666666665</v>
      </c>
      <c r="O12" s="303">
        <f>$B$12/12+$B$13/12</f>
        <v>71586.166666666672</v>
      </c>
      <c r="P12" s="303">
        <f>$B$12/12+$B$13/12</f>
        <v>71586.166666666672</v>
      </c>
      <c r="Q12" s="303">
        <f>SUM(E12:P12)</f>
        <v>-369699.99999999988</v>
      </c>
    </row>
    <row r="13" spans="1:17">
      <c r="A13" s="301" t="s">
        <v>4007</v>
      </c>
      <c r="B13" s="303">
        <v>819156</v>
      </c>
      <c r="C13" s="308" t="s">
        <v>4008</v>
      </c>
      <c r="D13" s="304" t="s">
        <v>4009</v>
      </c>
      <c r="E13" s="303">
        <f t="shared" ref="E13:N13" si="3">$B$12/12+$B$13/12</f>
        <v>71586.166666666672</v>
      </c>
      <c r="F13" s="303">
        <f t="shared" si="3"/>
        <v>71586.166666666672</v>
      </c>
      <c r="G13" s="303">
        <f t="shared" si="3"/>
        <v>71586.166666666672</v>
      </c>
      <c r="H13" s="303">
        <f t="shared" si="3"/>
        <v>71586.166666666672</v>
      </c>
      <c r="I13" s="303">
        <f t="shared" si="3"/>
        <v>71586.166666666672</v>
      </c>
      <c r="J13" s="303">
        <f t="shared" si="3"/>
        <v>71586.166666666672</v>
      </c>
      <c r="K13" s="303">
        <f t="shared" si="3"/>
        <v>71586.166666666672</v>
      </c>
      <c r="L13" s="303">
        <f t="shared" si="3"/>
        <v>71586.166666666672</v>
      </c>
      <c r="M13" s="303">
        <f t="shared" si="3"/>
        <v>71586.166666666672</v>
      </c>
      <c r="N13" s="303">
        <f t="shared" si="3"/>
        <v>71586.166666666672</v>
      </c>
      <c r="O13" s="303">
        <f>$B$12/12</f>
        <v>3323.1666666666665</v>
      </c>
      <c r="P13" s="303">
        <f>$B$12/12</f>
        <v>3323.1666666666665</v>
      </c>
      <c r="Q13" s="303">
        <f>SUM(E13:P13)</f>
        <v>722507.99999999988</v>
      </c>
    </row>
    <row r="14" spans="1:17">
      <c r="A14" s="302"/>
      <c r="B14" s="302"/>
      <c r="C14" s="302"/>
      <c r="D14" s="302"/>
      <c r="E14" s="302"/>
      <c r="F14" s="302"/>
      <c r="G14" s="302"/>
      <c r="H14" s="302"/>
      <c r="I14" s="302"/>
      <c r="J14" s="302"/>
      <c r="K14" s="302"/>
      <c r="L14" s="302"/>
      <c r="M14" s="302"/>
      <c r="N14" s="302"/>
      <c r="O14" s="302"/>
      <c r="P14" s="302"/>
      <c r="Q14" s="302"/>
    </row>
    <row r="15" spans="1:17">
      <c r="A15" s="302"/>
      <c r="B15" s="302"/>
      <c r="C15" s="302"/>
      <c r="D15" s="302"/>
      <c r="E15" s="200"/>
      <c r="F15" s="302"/>
      <c r="G15" s="302"/>
      <c r="H15" s="302"/>
      <c r="I15" s="302"/>
      <c r="J15" s="302"/>
      <c r="K15" s="302"/>
      <c r="L15" s="303"/>
      <c r="M15" s="302"/>
      <c r="N15" s="302"/>
      <c r="O15" s="302" t="s">
        <v>229</v>
      </c>
      <c r="P15" s="309">
        <f>B12+B13/12*10</f>
        <v>722508</v>
      </c>
      <c r="Q15" s="302"/>
    </row>
    <row r="18" spans="1:17" ht="15.75">
      <c r="A18" s="261" t="s">
        <v>0</v>
      </c>
      <c r="J18" s="262"/>
      <c r="Q18" s="264" t="s">
        <v>4011</v>
      </c>
    </row>
    <row r="19" spans="1:17" ht="15.75">
      <c r="A19" s="261" t="s">
        <v>4012</v>
      </c>
      <c r="J19" s="262"/>
      <c r="Q19" s="264" t="s">
        <v>4013</v>
      </c>
    </row>
    <row r="20" spans="1:17" ht="15.75">
      <c r="A20" s="265" t="s">
        <v>4014</v>
      </c>
      <c r="J20" s="262"/>
      <c r="Q20" s="264" t="s">
        <v>4015</v>
      </c>
    </row>
    <row r="21" spans="1:17" ht="15.75">
      <c r="A21" s="265"/>
      <c r="J21" s="262"/>
      <c r="Q21" s="266" t="s">
        <v>4016</v>
      </c>
    </row>
    <row r="22" spans="1:17" ht="20.25">
      <c r="A22" s="267" t="s">
        <v>4017</v>
      </c>
      <c r="B22" s="268" t="s">
        <v>4018</v>
      </c>
      <c r="J22" s="262"/>
      <c r="Q22" s="264" t="s">
        <v>4019</v>
      </c>
    </row>
    <row r="24" spans="1:17">
      <c r="A24" s="263" t="s">
        <v>4020</v>
      </c>
      <c r="B24" s="269">
        <v>54592708.441528685</v>
      </c>
      <c r="C24" s="269"/>
      <c r="D24" s="270"/>
      <c r="E24" s="269"/>
      <c r="F24" s="269"/>
      <c r="G24" s="271"/>
    </row>
    <row r="25" spans="1:17">
      <c r="A25" s="263" t="s">
        <v>4021</v>
      </c>
      <c r="B25" s="269">
        <v>29024306.026822079</v>
      </c>
      <c r="C25" s="269"/>
      <c r="D25" s="269"/>
      <c r="E25" s="269"/>
      <c r="F25" s="269"/>
      <c r="G25" s="271"/>
    </row>
    <row r="26" spans="1:17" ht="16.5">
      <c r="A26" s="263" t="s">
        <v>4022</v>
      </c>
      <c r="B26" s="272">
        <v>391758.20191210881</v>
      </c>
      <c r="C26" s="269"/>
      <c r="D26" s="269"/>
      <c r="E26" s="269"/>
      <c r="F26" s="269"/>
      <c r="G26" s="271"/>
    </row>
    <row r="27" spans="1:17">
      <c r="A27" s="263" t="s">
        <v>4023</v>
      </c>
      <c r="B27" s="269">
        <f>SUM(B24:B26)</f>
        <v>84008772.670262873</v>
      </c>
      <c r="C27" s="269"/>
      <c r="D27" s="269"/>
      <c r="E27" s="269"/>
      <c r="F27" s="269"/>
      <c r="G27" s="271"/>
    </row>
    <row r="28" spans="1:17">
      <c r="B28" s="269"/>
      <c r="C28" s="269"/>
      <c r="D28" s="269"/>
      <c r="E28" s="269"/>
      <c r="F28" s="269"/>
      <c r="G28" s="271"/>
    </row>
    <row r="29" spans="1:17">
      <c r="A29" s="263" t="s">
        <v>4024</v>
      </c>
      <c r="B29" s="269">
        <v>13245061.609904058</v>
      </c>
      <c r="C29" s="269"/>
      <c r="D29" s="269"/>
      <c r="E29" s="269"/>
      <c r="F29" s="269"/>
      <c r="G29" s="271"/>
    </row>
    <row r="30" spans="1:17">
      <c r="A30" s="263" t="s">
        <v>4025</v>
      </c>
      <c r="B30" s="269">
        <v>44466002.259172969</v>
      </c>
      <c r="C30" s="269"/>
      <c r="D30" s="269"/>
      <c r="E30" s="269"/>
      <c r="F30" s="269"/>
      <c r="G30" s="271"/>
    </row>
    <row r="31" spans="1:17" ht="16.5">
      <c r="A31" s="263" t="s">
        <v>4022</v>
      </c>
      <c r="B31" s="273">
        <v>134788.60824037483</v>
      </c>
      <c r="C31" s="274"/>
      <c r="D31" s="274"/>
      <c r="E31" s="274"/>
      <c r="F31" s="274"/>
    </row>
    <row r="32" spans="1:17">
      <c r="A32" s="263" t="s">
        <v>4026</v>
      </c>
      <c r="B32" s="274">
        <f>SUM(B29:B31)</f>
        <v>57845852.4773174</v>
      </c>
      <c r="C32" s="274"/>
      <c r="D32" s="274"/>
      <c r="E32" s="274"/>
      <c r="F32" s="274"/>
    </row>
    <row r="33" spans="1:18">
      <c r="B33" s="274"/>
      <c r="C33" s="274"/>
      <c r="D33" s="274"/>
      <c r="E33" s="275"/>
      <c r="F33" s="274"/>
      <c r="O33" s="263" t="s">
        <v>4027</v>
      </c>
    </row>
    <row r="34" spans="1:18">
      <c r="B34" s="274"/>
      <c r="C34" s="274"/>
      <c r="D34" s="274"/>
      <c r="E34" s="274"/>
      <c r="F34" s="274"/>
      <c r="O34" s="263" t="s">
        <v>4028</v>
      </c>
    </row>
    <row r="35" spans="1:18">
      <c r="B35" s="274"/>
      <c r="C35" s="274"/>
      <c r="D35" s="274"/>
      <c r="E35" s="274"/>
      <c r="F35" s="274"/>
    </row>
    <row r="36" spans="1:18" ht="67.5" customHeight="1">
      <c r="A36" s="267" t="s">
        <v>348</v>
      </c>
      <c r="B36" s="276" t="s">
        <v>4029</v>
      </c>
      <c r="C36" s="277"/>
      <c r="D36" s="276" t="s">
        <v>4030</v>
      </c>
      <c r="E36" s="276" t="s">
        <v>4031</v>
      </c>
      <c r="F36" s="277"/>
      <c r="G36" s="276"/>
      <c r="H36" s="278">
        <v>43555</v>
      </c>
      <c r="I36" s="278">
        <v>43646</v>
      </c>
      <c r="J36" s="278">
        <v>43738</v>
      </c>
      <c r="K36" s="278">
        <v>43830</v>
      </c>
      <c r="L36" s="278">
        <v>43921</v>
      </c>
      <c r="M36" s="278">
        <v>44196</v>
      </c>
      <c r="O36" s="279" t="s">
        <v>4032</v>
      </c>
      <c r="P36" s="279" t="s">
        <v>4033</v>
      </c>
      <c r="Q36" s="280" t="s">
        <v>4034</v>
      </c>
      <c r="R36" s="280" t="s">
        <v>4035</v>
      </c>
    </row>
    <row r="37" spans="1:18">
      <c r="B37" s="281" t="s">
        <v>73</v>
      </c>
      <c r="C37" s="277"/>
      <c r="D37" s="281" t="s">
        <v>74</v>
      </c>
      <c r="E37" s="281" t="s">
        <v>4036</v>
      </c>
      <c r="F37" s="277"/>
      <c r="G37" s="282"/>
      <c r="H37" s="282"/>
    </row>
    <row r="38" spans="1:18">
      <c r="A38" s="263" t="s">
        <v>4037</v>
      </c>
      <c r="B38" s="274">
        <v>1790405.7799999942</v>
      </c>
      <c r="C38" s="274"/>
      <c r="D38" s="274">
        <v>3759000</v>
      </c>
      <c r="E38" s="274">
        <f>+B38-D38</f>
        <v>-1968594.2200000058</v>
      </c>
      <c r="F38" s="274"/>
      <c r="H38" s="262">
        <f>+D38/12*7</f>
        <v>2192750</v>
      </c>
      <c r="I38" s="262">
        <f>+D38/12*10</f>
        <v>3132500</v>
      </c>
      <c r="J38" s="283">
        <f>+D38/12*13+E38/12*3</f>
        <v>3580101.4449999984</v>
      </c>
      <c r="K38" s="283">
        <f>(+D38/12*16)+(E38/12*6)</f>
        <v>4027702.8899999969</v>
      </c>
      <c r="L38" s="283">
        <f>(+D38/12*19)+(E38/12*9)</f>
        <v>4475304.3349999953</v>
      </c>
      <c r="M38" s="283">
        <f>(+D38/12*28)+(E38/12*18)</f>
        <v>5818108.6699999915</v>
      </c>
    </row>
    <row r="39" spans="1:18">
      <c r="A39" s="263" t="s">
        <v>4038</v>
      </c>
      <c r="B39" s="284">
        <v>-413779.89412217273</v>
      </c>
      <c r="C39" s="274"/>
      <c r="D39" s="274">
        <v>-499000</v>
      </c>
      <c r="E39" s="274">
        <f>+B39-D39</f>
        <v>85220.105877827271</v>
      </c>
      <c r="F39" s="274"/>
      <c r="H39" s="262">
        <f>+D39/12*7</f>
        <v>-291083.33333333337</v>
      </c>
      <c r="I39" s="262">
        <f>+D39/12*10</f>
        <v>-415833.33333333337</v>
      </c>
      <c r="J39" s="283">
        <f>+D39/12*13+E39/12*3</f>
        <v>-519278.30686387653</v>
      </c>
      <c r="K39" s="283">
        <f>(+D39/12*16)+(E39/12*6)</f>
        <v>-622723.28039441979</v>
      </c>
      <c r="L39" s="283">
        <f>(+D39/12*19)+(E39/12*9)</f>
        <v>-726168.25392496295</v>
      </c>
      <c r="M39" s="283">
        <f>(+D39/12*28)+(E39/12*18)</f>
        <v>-1036503.1745165926</v>
      </c>
    </row>
    <row r="40" spans="1:18">
      <c r="A40" s="263" t="s">
        <v>4039</v>
      </c>
      <c r="B40" s="274">
        <v>594228.24715170905</v>
      </c>
      <c r="C40" s="274"/>
      <c r="D40" s="274">
        <f>+D42-D39-D38-D41</f>
        <v>702188.8687548202</v>
      </c>
      <c r="E40" s="274">
        <f>+B40-D40</f>
        <v>-107960.62160311115</v>
      </c>
      <c r="F40" s="274"/>
      <c r="H40" s="262">
        <f>+D40/12*7</f>
        <v>409610.17344031174</v>
      </c>
      <c r="I40" s="262">
        <f>+D40/12*10</f>
        <v>585157.39062901679</v>
      </c>
      <c r="J40" s="283">
        <f>+D40/12*13+E40/12*3</f>
        <v>733714.45241694408</v>
      </c>
      <c r="K40" s="283">
        <f>(+D40/12*16)+(E40/12*6)</f>
        <v>882271.51420487138</v>
      </c>
      <c r="L40" s="283">
        <f>(+D40/12*19)+(E40/12*9)</f>
        <v>1030828.5759927987</v>
      </c>
      <c r="M40" s="283">
        <f>(+D40/12*28)+(E40/12*18)</f>
        <v>1476499.7613565803</v>
      </c>
      <c r="O40" s="285">
        <f>SUM(D38:D40)*4/12</f>
        <v>1320729.6229182733</v>
      </c>
      <c r="P40" s="285">
        <f>SUM(K38:K40)</f>
        <v>4287251.1238104478</v>
      </c>
      <c r="Q40" s="285">
        <f>SUM(K38:K40)-O40</f>
        <v>2966521.5008921744</v>
      </c>
    </row>
    <row r="41" spans="1:18" ht="16.5">
      <c r="A41" s="263" t="s">
        <v>4040</v>
      </c>
      <c r="B41" s="286">
        <v>1103811.1312451798</v>
      </c>
      <c r="C41" s="274"/>
      <c r="D41" s="287">
        <v>1103811.1312451798</v>
      </c>
      <c r="E41" s="287">
        <f>+B41-D41</f>
        <v>0</v>
      </c>
      <c r="F41" s="274"/>
      <c r="H41" s="288">
        <f>+D41/12*7</f>
        <v>643889.8265596882</v>
      </c>
      <c r="I41" s="288">
        <f>+D41/12*10</f>
        <v>919842.60937098309</v>
      </c>
      <c r="J41" s="289">
        <f>+D41/12*13+E41/12*3</f>
        <v>1195795.392182278</v>
      </c>
      <c r="K41" s="289">
        <f>(+D41/12*16)+(E41/12*6)</f>
        <v>1471748.174993573</v>
      </c>
      <c r="L41" s="289">
        <f>(+D41/12*19)+(E41/12*9)</f>
        <v>1747700.957804868</v>
      </c>
      <c r="M41" s="289">
        <f>(+D41/12*28)+(E41/12*18)</f>
        <v>2575559.3062387528</v>
      </c>
      <c r="O41" s="290">
        <f>D41*4/12</f>
        <v>367937.04374839325</v>
      </c>
      <c r="P41" s="290">
        <f>K41</f>
        <v>1471748.174993573</v>
      </c>
      <c r="Q41" s="290">
        <f>K41-O41</f>
        <v>1103811.1312451798</v>
      </c>
    </row>
    <row r="42" spans="1:18">
      <c r="A42" s="263" t="s">
        <v>4041</v>
      </c>
      <c r="B42" s="274">
        <f>SUM(B38:B41)</f>
        <v>3074665.2642747108</v>
      </c>
      <c r="C42" s="274"/>
      <c r="D42" s="274">
        <v>5066000</v>
      </c>
      <c r="E42" s="274">
        <f>SUM(E38:E41)</f>
        <v>-1991334.7357252897</v>
      </c>
      <c r="F42" s="274"/>
      <c r="G42" s="274"/>
      <c r="H42" s="262">
        <f t="shared" ref="H42:M42" si="4">SUM(H38:H41)</f>
        <v>2955166.666666666</v>
      </c>
      <c r="I42" s="262">
        <f t="shared" si="4"/>
        <v>4221666.666666666</v>
      </c>
      <c r="J42" s="262">
        <f t="shared" si="4"/>
        <v>4990332.9827353433</v>
      </c>
      <c r="K42" s="262">
        <f t="shared" si="4"/>
        <v>5758999.2988040205</v>
      </c>
      <c r="L42" s="262">
        <f t="shared" si="4"/>
        <v>6527665.6148726987</v>
      </c>
      <c r="M42" s="262">
        <f t="shared" si="4"/>
        <v>8833664.5630787313</v>
      </c>
      <c r="O42" s="285">
        <f>SUM(O40:O41)</f>
        <v>1688666.6666666665</v>
      </c>
      <c r="P42" s="285">
        <f>SUM(P40:P41)</f>
        <v>5758999.2988040205</v>
      </c>
      <c r="Q42" s="285">
        <f>SUM(Q40:Q41)</f>
        <v>4070332.6321373545</v>
      </c>
      <c r="R42" s="285">
        <f>M42-K42</f>
        <v>3074665.2642747108</v>
      </c>
    </row>
    <row r="43" spans="1:18">
      <c r="B43" s="274"/>
      <c r="C43" s="274"/>
      <c r="D43" s="274"/>
      <c r="E43" s="274"/>
      <c r="F43" s="274"/>
      <c r="G43" s="274"/>
    </row>
    <row r="44" spans="1:18" ht="16.5">
      <c r="A44" s="263" t="s">
        <v>4022</v>
      </c>
      <c r="B44" s="273">
        <v>115904.79346512095</v>
      </c>
      <c r="C44" s="274"/>
      <c r="D44" s="274"/>
      <c r="E44" s="274"/>
      <c r="F44" s="274"/>
      <c r="G44" s="274"/>
    </row>
    <row r="45" spans="1:18" ht="16.5">
      <c r="A45" s="263" t="s">
        <v>4042</v>
      </c>
      <c r="B45" s="273">
        <f>+B44</f>
        <v>115904.79346512095</v>
      </c>
      <c r="C45" s="274"/>
      <c r="D45" s="273">
        <v>-2264943</v>
      </c>
      <c r="E45" s="273">
        <f>+B45-D45</f>
        <v>2380847.7934651207</v>
      </c>
      <c r="F45" s="274"/>
      <c r="G45" s="274"/>
      <c r="H45" s="291">
        <f>+D45/12*7</f>
        <v>-1321216.75</v>
      </c>
      <c r="I45" s="291">
        <f>+D45/12*10</f>
        <v>-1887452.5</v>
      </c>
      <c r="J45" s="292">
        <f>+D45/12*13+E45/12*3</f>
        <v>-1858476.3016337198</v>
      </c>
      <c r="K45" s="292">
        <f>(+D45/12*16)+(E45/12*6)</f>
        <v>-1829500.1032674396</v>
      </c>
      <c r="L45" s="292">
        <f>(+D45/12*19)+(E45/12*9)</f>
        <v>-1800523.9049011595</v>
      </c>
      <c r="M45" s="292">
        <f>(+D45/12*28)+(E45/12*18)</f>
        <v>-1713595.3098023189</v>
      </c>
      <c r="O45" s="285">
        <f>D45*4/12</f>
        <v>-754981</v>
      </c>
      <c r="P45" s="285"/>
      <c r="Q45" s="285">
        <f>K45-O45</f>
        <v>-1074519.1032674396</v>
      </c>
      <c r="R45" s="285">
        <f>M45-K45</f>
        <v>115904.79346512072</v>
      </c>
    </row>
    <row r="46" spans="1:18" ht="16.5">
      <c r="A46" s="263" t="s">
        <v>4023</v>
      </c>
      <c r="B46" s="293">
        <f>+B45+B42</f>
        <v>3190570.0577398315</v>
      </c>
      <c r="C46" s="274"/>
      <c r="D46" s="293">
        <f>+D42+D45</f>
        <v>2801057</v>
      </c>
      <c r="E46" s="294">
        <f>+E42+E45</f>
        <v>389513.05773983104</v>
      </c>
      <c r="F46" s="274"/>
      <c r="G46" s="294"/>
      <c r="H46" s="293">
        <f t="shared" ref="H46:M46" si="5">+H45+H42</f>
        <v>1633949.916666666</v>
      </c>
      <c r="I46" s="293">
        <f t="shared" si="5"/>
        <v>2334214.166666666</v>
      </c>
      <c r="J46" s="293">
        <f t="shared" si="5"/>
        <v>3131856.6811016235</v>
      </c>
      <c r="K46" s="293">
        <f t="shared" si="5"/>
        <v>3929499.1955365809</v>
      </c>
      <c r="L46" s="293">
        <f t="shared" si="5"/>
        <v>4727141.7099715397</v>
      </c>
      <c r="M46" s="293">
        <f t="shared" si="5"/>
        <v>7120069.2532764124</v>
      </c>
    </row>
    <row r="47" spans="1:18">
      <c r="B47" s="274"/>
      <c r="C47" s="274"/>
      <c r="D47" s="274"/>
      <c r="E47" s="274"/>
      <c r="F47" s="274"/>
    </row>
    <row r="48" spans="1:18">
      <c r="B48" s="274"/>
      <c r="C48" s="274"/>
      <c r="D48" s="274"/>
      <c r="E48" s="274"/>
      <c r="F48" s="274"/>
    </row>
    <row r="49" spans="1:18">
      <c r="A49" s="263" t="s">
        <v>4043</v>
      </c>
      <c r="B49" s="269">
        <v>44360.820000003281</v>
      </c>
      <c r="C49" s="274"/>
      <c r="D49" s="274">
        <v>2360000</v>
      </c>
      <c r="E49" s="274">
        <f>+B49-D49</f>
        <v>-2315639.1799999969</v>
      </c>
      <c r="F49" s="274"/>
      <c r="H49" s="283">
        <f>+D49/12*7</f>
        <v>1376666.6666666665</v>
      </c>
      <c r="I49" s="283">
        <f>+D49/12*10</f>
        <v>1966666.6666666665</v>
      </c>
      <c r="J49" s="283">
        <f>+D49+B49/12</f>
        <v>2363696.7350000003</v>
      </c>
      <c r="K49" s="283">
        <f>+D49+(B49/12*4)+(E49/12*2)</f>
        <v>1988847.0766666681</v>
      </c>
      <c r="L49" s="283">
        <f>+D49+(B49/12*7)+(E49/12*5)</f>
        <v>1421027.4866666698</v>
      </c>
      <c r="M49" s="283">
        <f>+D49+(B49/12*16)+E49</f>
        <v>103508.58000000753</v>
      </c>
    </row>
    <row r="50" spans="1:18">
      <c r="A50" s="263" t="s">
        <v>4044</v>
      </c>
      <c r="B50" s="284">
        <v>-26932.982548212844</v>
      </c>
      <c r="C50" s="274"/>
      <c r="D50" s="274">
        <v>-798000</v>
      </c>
      <c r="E50" s="274">
        <f>+B50-D50</f>
        <v>771067.01745178713</v>
      </c>
      <c r="F50" s="274"/>
      <c r="H50" s="283">
        <f>+D50/12*7</f>
        <v>-465500</v>
      </c>
      <c r="I50" s="283">
        <f>+D50/12*10</f>
        <v>-665000</v>
      </c>
      <c r="J50" s="283">
        <f>+D50+B50/12</f>
        <v>-800244.41521235101</v>
      </c>
      <c r="K50" s="283">
        <f>+D50+(B50/12*4)+(E50/12*2)</f>
        <v>-678466.49127410643</v>
      </c>
      <c r="L50" s="283">
        <f>+D50+(B50/12*7)+(E50/12*5)</f>
        <v>-492432.98254821281</v>
      </c>
      <c r="M50" s="283">
        <f>+D50+(B50/12*16)+E50</f>
        <v>-62843.625945830019</v>
      </c>
    </row>
    <row r="51" spans="1:18">
      <c r="A51" s="263" t="s">
        <v>4045</v>
      </c>
      <c r="B51" s="295">
        <v>1496894.8663040041</v>
      </c>
      <c r="C51" s="274"/>
      <c r="D51" s="274">
        <f>+D53-D50-D49-D52</f>
        <v>480084.3729947157</v>
      </c>
      <c r="E51" s="274">
        <f>+B51-D51</f>
        <v>1016810.4933092884</v>
      </c>
      <c r="F51" s="274"/>
      <c r="H51" s="283">
        <f>+D51/12*7</f>
        <v>280049.21758025081</v>
      </c>
      <c r="I51" s="283">
        <f>+D51/12*10</f>
        <v>400070.31082892971</v>
      </c>
      <c r="J51" s="283">
        <f>+D51+B51/12</f>
        <v>604825.61185338267</v>
      </c>
      <c r="K51" s="283">
        <f>+D51+(B51/12*4)+(E51/12*2)</f>
        <v>1148517.7439809318</v>
      </c>
      <c r="L51" s="283">
        <f>+D51+(B51/12*7)+(E51/12*5)</f>
        <v>1776944.083884255</v>
      </c>
      <c r="M51" s="283">
        <f>+D51+(B51/12*16)+E51</f>
        <v>3492754.6880426761</v>
      </c>
      <c r="O51" s="285">
        <f>SUM(D49:D51)*4/12</f>
        <v>680694.7909982386</v>
      </c>
      <c r="P51" s="285">
        <f>SUM(K49:K51)</f>
        <v>2458898.3293734938</v>
      </c>
      <c r="Q51" s="285">
        <f>SUM(K49:K51)-O51</f>
        <v>1778203.5383752552</v>
      </c>
    </row>
    <row r="52" spans="1:18" ht="16.5">
      <c r="A52" s="263" t="s">
        <v>4046</v>
      </c>
      <c r="B52" s="296">
        <v>-44084.372994715675</v>
      </c>
      <c r="C52" s="274"/>
      <c r="D52" s="287">
        <v>-44084.372994715675</v>
      </c>
      <c r="E52" s="287">
        <f>+B52-D52</f>
        <v>0</v>
      </c>
      <c r="F52" s="274"/>
      <c r="H52" s="289">
        <f>+D52/12*7</f>
        <v>-25715.884246917478</v>
      </c>
      <c r="I52" s="289">
        <f>+D52/12*10</f>
        <v>-36736.977495596395</v>
      </c>
      <c r="J52" s="289">
        <f>+D52+B52/12</f>
        <v>-47758.070744275312</v>
      </c>
      <c r="K52" s="289">
        <f>+D52+(B52/12*4)+(E52/12*2)</f>
        <v>-58779.163992954236</v>
      </c>
      <c r="L52" s="289">
        <f>+D52+(B52/12*7)+(E52/12*5)</f>
        <v>-69800.257241633153</v>
      </c>
      <c r="M52" s="289">
        <f>+D52+(B52/12*16)+E52</f>
        <v>-102863.53698766991</v>
      </c>
      <c r="O52" s="290">
        <f>D52*4/12</f>
        <v>-14694.790998238559</v>
      </c>
      <c r="P52" s="290">
        <f>K52</f>
        <v>-58779.163992954236</v>
      </c>
      <c r="Q52" s="290">
        <f>K52-O52</f>
        <v>-44084.372994715675</v>
      </c>
    </row>
    <row r="53" spans="1:18">
      <c r="A53" s="263" t="s">
        <v>4047</v>
      </c>
      <c r="B53" s="274">
        <f>SUM(B49:B52)</f>
        <v>1470238.330761079</v>
      </c>
      <c r="C53" s="274"/>
      <c r="D53" s="274">
        <v>1998000</v>
      </c>
      <c r="E53" s="274">
        <f>SUM(E49:E52)</f>
        <v>-527761.66923892137</v>
      </c>
      <c r="F53" s="274"/>
      <c r="G53" s="274"/>
      <c r="H53" s="262">
        <f t="shared" ref="H53:M53" si="6">SUM(H49:H52)</f>
        <v>1165500</v>
      </c>
      <c r="I53" s="262">
        <f t="shared" si="6"/>
        <v>1665000</v>
      </c>
      <c r="J53" s="262">
        <f t="shared" si="6"/>
        <v>2120519.8608967569</v>
      </c>
      <c r="K53" s="262">
        <f t="shared" si="6"/>
        <v>2400119.1653805394</v>
      </c>
      <c r="L53" s="262">
        <f t="shared" si="6"/>
        <v>2635738.3307610787</v>
      </c>
      <c r="M53" s="262">
        <f t="shared" si="6"/>
        <v>3430556.105109184</v>
      </c>
      <c r="O53" s="285">
        <f>SUM(O51:O52)</f>
        <v>666000</v>
      </c>
      <c r="P53" s="285">
        <f>SUM(P51:P52)</f>
        <v>2400119.1653805394</v>
      </c>
      <c r="Q53" s="285">
        <f>SUM(Q51:Q52)</f>
        <v>1734119.1653805396</v>
      </c>
      <c r="R53" s="285">
        <f>M53-K53</f>
        <v>1030436.9397286447</v>
      </c>
    </row>
    <row r="54" spans="1:18">
      <c r="B54" s="274"/>
      <c r="C54" s="274"/>
      <c r="D54" s="274"/>
      <c r="E54" s="274"/>
      <c r="F54" s="274"/>
      <c r="G54" s="274"/>
    </row>
    <row r="55" spans="1:18" ht="16.5">
      <c r="A55" s="263" t="s">
        <v>4022</v>
      </c>
      <c r="B55" s="273">
        <v>39878.286461649361</v>
      </c>
      <c r="C55" s="274"/>
      <c r="D55" s="274"/>
      <c r="E55" s="274"/>
      <c r="F55" s="274"/>
      <c r="G55" s="274"/>
    </row>
    <row r="56" spans="1:18" ht="16.5">
      <c r="A56" s="263" t="s">
        <v>4048</v>
      </c>
      <c r="B56" s="273">
        <f>+B55</f>
        <v>39878.286461649361</v>
      </c>
      <c r="C56" s="274"/>
      <c r="D56" s="273">
        <v>-779278</v>
      </c>
      <c r="E56" s="273">
        <f>+B56-D56</f>
        <v>819156.28646164935</v>
      </c>
      <c r="F56" s="274"/>
      <c r="G56" s="273"/>
      <c r="H56" s="292">
        <f>+D56/12*7</f>
        <v>-454578.83333333337</v>
      </c>
      <c r="I56" s="292">
        <f>+D56/12*10</f>
        <v>-649398.33333333337</v>
      </c>
      <c r="J56" s="292">
        <f>+D56+B56/12</f>
        <v>-775954.80946152925</v>
      </c>
      <c r="K56" s="292">
        <f>+D56+(B56/12*4)+(E56/12*2)</f>
        <v>-629459.19010250864</v>
      </c>
      <c r="L56" s="292">
        <f>+D56+(B56/12*7)+(E56/12*5)</f>
        <v>-414700.54687168397</v>
      </c>
      <c r="M56" s="292">
        <f>+D56+(B56/12*16)+E56</f>
        <v>93049.335077181808</v>
      </c>
      <c r="O56" s="297">
        <f>D56*4/12</f>
        <v>-259759.33333333334</v>
      </c>
      <c r="P56" s="297"/>
      <c r="Q56" s="297">
        <f>K56-O56</f>
        <v>-369699.85676917527</v>
      </c>
      <c r="R56" s="298">
        <f>M56-K56</f>
        <v>722508.52517969045</v>
      </c>
    </row>
    <row r="57" spans="1:18" ht="16.5">
      <c r="A57" s="263" t="s">
        <v>4026</v>
      </c>
      <c r="B57" s="293">
        <f>+B56+B53</f>
        <v>1510116.6172227284</v>
      </c>
      <c r="C57" s="274"/>
      <c r="D57" s="293">
        <f>+D53+D56</f>
        <v>1218722</v>
      </c>
      <c r="E57" s="294">
        <f>+E53+E56</f>
        <v>291394.61722272797</v>
      </c>
      <c r="F57" s="274"/>
      <c r="G57" s="294"/>
      <c r="H57" s="293">
        <f t="shared" ref="H57:M57" si="7">+H56+H53</f>
        <v>710921.16666666663</v>
      </c>
      <c r="I57" s="293">
        <f t="shared" si="7"/>
        <v>1015601.6666666666</v>
      </c>
      <c r="J57" s="293">
        <f t="shared" si="7"/>
        <v>1344565.0514352275</v>
      </c>
      <c r="K57" s="293">
        <f t="shared" si="7"/>
        <v>1770659.9752780306</v>
      </c>
      <c r="L57" s="293">
        <f t="shared" si="7"/>
        <v>2221037.7838893947</v>
      </c>
      <c r="M57" s="293">
        <f t="shared" si="7"/>
        <v>3523605.440186366</v>
      </c>
    </row>
    <row r="60" spans="1:18">
      <c r="G60" s="262" t="s">
        <v>4049</v>
      </c>
      <c r="H60" s="262">
        <f t="shared" ref="H60:M60" si="8">H42+H53</f>
        <v>4120666.666666666</v>
      </c>
      <c r="I60" s="262">
        <f t="shared" si="8"/>
        <v>5886666.666666666</v>
      </c>
      <c r="J60" s="262">
        <f t="shared" si="8"/>
        <v>7110852.8436321001</v>
      </c>
      <c r="K60" s="262">
        <f t="shared" si="8"/>
        <v>8159118.4641845599</v>
      </c>
      <c r="L60" s="262">
        <f t="shared" si="8"/>
        <v>9163403.9456337765</v>
      </c>
      <c r="M60" s="262">
        <f t="shared" si="8"/>
        <v>12264220.668187916</v>
      </c>
    </row>
    <row r="61" spans="1:18">
      <c r="G61" s="299" t="s">
        <v>4050</v>
      </c>
      <c r="H61" s="299">
        <f t="shared" ref="H61:M61" si="9">H45+H56</f>
        <v>-1775795.5833333335</v>
      </c>
      <c r="I61" s="299">
        <f t="shared" si="9"/>
        <v>-2536850.8333333335</v>
      </c>
      <c r="J61" s="299">
        <f t="shared" si="9"/>
        <v>-2634431.1110952492</v>
      </c>
      <c r="K61" s="299">
        <f t="shared" si="9"/>
        <v>-2458959.2933699484</v>
      </c>
      <c r="L61" s="299">
        <f t="shared" si="9"/>
        <v>-2215224.4517728435</v>
      </c>
      <c r="M61" s="299">
        <f t="shared" si="9"/>
        <v>-1620545.974725137</v>
      </c>
    </row>
    <row r="62" spans="1:18">
      <c r="G62" s="262" t="s">
        <v>188</v>
      </c>
      <c r="H62" s="262">
        <f t="shared" ref="H62:M62" si="10">SUM(H60:H61)</f>
        <v>2344871.0833333326</v>
      </c>
      <c r="I62" s="262">
        <f t="shared" si="10"/>
        <v>3349815.8333333326</v>
      </c>
      <c r="J62" s="262">
        <f t="shared" si="10"/>
        <v>4476421.7325368505</v>
      </c>
      <c r="K62" s="262">
        <f t="shared" si="10"/>
        <v>5700159.170814611</v>
      </c>
      <c r="L62" s="262">
        <f t="shared" si="10"/>
        <v>6948179.493860933</v>
      </c>
      <c r="M62" s="262">
        <f t="shared" si="10"/>
        <v>10643674.69346278</v>
      </c>
    </row>
    <row r="63" spans="1:18">
      <c r="G63" s="262" t="s">
        <v>612</v>
      </c>
      <c r="H63" s="262">
        <f t="shared" ref="H63:M63" si="11">H46+H57-H62</f>
        <v>0</v>
      </c>
      <c r="I63" s="262">
        <f t="shared" si="11"/>
        <v>0</v>
      </c>
      <c r="J63" s="262">
        <f t="shared" si="11"/>
        <v>0</v>
      </c>
      <c r="K63" s="262">
        <f t="shared" si="11"/>
        <v>0</v>
      </c>
      <c r="L63" s="262">
        <f t="shared" si="11"/>
        <v>0</v>
      </c>
      <c r="M63" s="262">
        <f t="shared" si="11"/>
        <v>0</v>
      </c>
    </row>
  </sheetData>
  <printOptions horizontalCentered="1"/>
  <pageMargins left="0.5" right="0.5" top="1" bottom="0.5" header="0.05" footer="0"/>
  <pageSetup scale="31" orientation="portrait"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3A8002-81B0-493B-ACBD-B95DCA235DFC}">
  <sheetPr>
    <tabColor rgb="FFFF0000"/>
  </sheetPr>
  <dimension ref="A1:R546"/>
  <sheetViews>
    <sheetView workbookViewId="0"/>
  </sheetViews>
  <sheetFormatPr defaultRowHeight="15"/>
  <cols>
    <col min="8" max="8" width="40.7109375" bestFit="1" customWidth="1"/>
    <col min="11" max="11" width="15.7109375" bestFit="1" customWidth="1"/>
    <col min="13" max="13" width="15.7109375" bestFit="1" customWidth="1"/>
  </cols>
  <sheetData>
    <row r="1" spans="1:18">
      <c r="A1" t="s">
        <v>4051</v>
      </c>
    </row>
    <row r="2" spans="1:18">
      <c r="A2" t="s">
        <v>972</v>
      </c>
    </row>
    <row r="4" spans="1:18">
      <c r="A4" t="s">
        <v>535</v>
      </c>
      <c r="F4">
        <v>5360</v>
      </c>
      <c r="G4" t="s">
        <v>536</v>
      </c>
      <c r="I4" t="s">
        <v>537</v>
      </c>
      <c r="N4" t="s">
        <v>538</v>
      </c>
      <c r="P4" t="s">
        <v>539</v>
      </c>
    </row>
    <row r="5" spans="1:18">
      <c r="K5" s="603" t="s">
        <v>4052</v>
      </c>
      <c r="M5" s="6" t="s">
        <v>4053</v>
      </c>
    </row>
    <row r="6" spans="1:18">
      <c r="B6" t="s">
        <v>313</v>
      </c>
      <c r="C6" t="s">
        <v>540</v>
      </c>
      <c r="D6" t="s">
        <v>541</v>
      </c>
      <c r="E6" t="s">
        <v>542</v>
      </c>
      <c r="K6" t="s">
        <v>543</v>
      </c>
      <c r="M6" t="s">
        <v>544</v>
      </c>
      <c r="O6" t="s">
        <v>545</v>
      </c>
      <c r="Q6" t="s">
        <v>546</v>
      </c>
      <c r="R6" t="s">
        <v>4054</v>
      </c>
    </row>
    <row r="7" spans="1:18">
      <c r="B7" t="s">
        <v>201</v>
      </c>
      <c r="C7" t="s">
        <v>548</v>
      </c>
      <c r="D7" t="s">
        <v>549</v>
      </c>
      <c r="K7" t="s">
        <v>4055</v>
      </c>
      <c r="M7" t="s">
        <v>4056</v>
      </c>
      <c r="O7" t="s">
        <v>551</v>
      </c>
      <c r="Q7" t="s">
        <v>552</v>
      </c>
      <c r="R7" t="s">
        <v>4057</v>
      </c>
    </row>
    <row r="9" spans="1:18">
      <c r="E9" t="s">
        <v>4058</v>
      </c>
    </row>
    <row r="10" spans="1:18">
      <c r="C10">
        <v>5360</v>
      </c>
      <c r="E10" t="s">
        <v>4059</v>
      </c>
      <c r="H10" t="s">
        <v>4060</v>
      </c>
      <c r="K10" s="239">
        <v>1292165304.72</v>
      </c>
      <c r="M10" s="239">
        <v>1292165304.72</v>
      </c>
      <c r="O10">
        <v>0</v>
      </c>
    </row>
    <row r="11" spans="1:18">
      <c r="C11">
        <v>5360</v>
      </c>
      <c r="E11" t="s">
        <v>4061</v>
      </c>
      <c r="H11" t="s">
        <v>4062</v>
      </c>
      <c r="K11" s="239">
        <v>5590232.1500000004</v>
      </c>
      <c r="M11" s="239">
        <v>5590232.1500000004</v>
      </c>
      <c r="O11">
        <v>0</v>
      </c>
    </row>
    <row r="12" spans="1:18">
      <c r="C12">
        <v>5360</v>
      </c>
      <c r="E12" t="s">
        <v>4063</v>
      </c>
      <c r="H12" t="s">
        <v>4064</v>
      </c>
      <c r="K12" s="239">
        <v>26865203.68</v>
      </c>
      <c r="M12" s="239">
        <v>26865203.68</v>
      </c>
      <c r="O12">
        <v>0</v>
      </c>
    </row>
    <row r="13" spans="1:18">
      <c r="C13">
        <v>5360</v>
      </c>
      <c r="E13" t="s">
        <v>4065</v>
      </c>
      <c r="H13" t="s">
        <v>4066</v>
      </c>
      <c r="K13" s="239">
        <v>-132258.5</v>
      </c>
      <c r="M13" s="239">
        <v>-132258.5</v>
      </c>
      <c r="O13">
        <v>0</v>
      </c>
    </row>
    <row r="14" spans="1:18">
      <c r="C14">
        <v>5360</v>
      </c>
      <c r="E14" t="s">
        <v>4067</v>
      </c>
      <c r="H14" t="s">
        <v>4068</v>
      </c>
      <c r="K14" s="239">
        <v>1831719.34</v>
      </c>
      <c r="M14" s="239">
        <v>1831719.34</v>
      </c>
      <c r="O14">
        <v>0</v>
      </c>
    </row>
    <row r="15" spans="1:18">
      <c r="C15">
        <v>5360</v>
      </c>
      <c r="E15" t="s">
        <v>4069</v>
      </c>
      <c r="H15" t="s">
        <v>4070</v>
      </c>
      <c r="K15" s="239">
        <v>20072495.530000001</v>
      </c>
      <c r="M15" s="239">
        <v>20072495.530000001</v>
      </c>
      <c r="O15">
        <v>0</v>
      </c>
    </row>
    <row r="16" spans="1:18">
      <c r="C16">
        <v>5360</v>
      </c>
      <c r="E16" t="s">
        <v>4071</v>
      </c>
      <c r="H16" t="s">
        <v>4072</v>
      </c>
      <c r="K16" s="239">
        <v>-1796704.76</v>
      </c>
      <c r="M16" s="239">
        <v>-3591039.27</v>
      </c>
      <c r="O16" s="31">
        <v>1794334.51</v>
      </c>
      <c r="Q16">
        <v>50</v>
      </c>
    </row>
    <row r="17" spans="3:18">
      <c r="C17">
        <v>5360</v>
      </c>
      <c r="E17" t="s">
        <v>4073</v>
      </c>
      <c r="H17" t="s">
        <v>4074</v>
      </c>
      <c r="K17" s="197">
        <v>0</v>
      </c>
      <c r="M17" s="239">
        <v>-168219.43</v>
      </c>
      <c r="O17" s="31">
        <v>168219.43</v>
      </c>
      <c r="Q17">
        <v>100</v>
      </c>
    </row>
    <row r="18" spans="3:18">
      <c r="C18">
        <v>5360</v>
      </c>
      <c r="E18" t="s">
        <v>4075</v>
      </c>
      <c r="H18" t="s">
        <v>4076</v>
      </c>
      <c r="K18" s="239">
        <v>-14685.56</v>
      </c>
      <c r="M18" s="239">
        <v>-14685.56</v>
      </c>
      <c r="O18">
        <v>0</v>
      </c>
    </row>
    <row r="19" spans="3:18">
      <c r="C19">
        <v>5360</v>
      </c>
      <c r="E19" t="s">
        <v>4077</v>
      </c>
      <c r="H19" t="s">
        <v>4078</v>
      </c>
      <c r="K19" s="239">
        <v>-111936.8</v>
      </c>
      <c r="M19" s="239">
        <v>-115675.1</v>
      </c>
      <c r="O19" s="31">
        <v>3738.3</v>
      </c>
      <c r="Q19">
        <v>3.2</v>
      </c>
    </row>
    <row r="20" spans="3:18">
      <c r="C20">
        <v>5360</v>
      </c>
      <c r="E20" t="s">
        <v>4079</v>
      </c>
      <c r="H20" t="s">
        <v>4080</v>
      </c>
      <c r="K20" s="239">
        <v>99019104.640000001</v>
      </c>
      <c r="M20" s="239">
        <v>123788041.51000001</v>
      </c>
      <c r="O20" s="31">
        <v>-24768936.870000001</v>
      </c>
      <c r="Q20">
        <v>-20</v>
      </c>
    </row>
    <row r="21" spans="3:18">
      <c r="C21">
        <v>5360</v>
      </c>
      <c r="E21" t="s">
        <v>4081</v>
      </c>
      <c r="H21" t="s">
        <v>4082</v>
      </c>
      <c r="K21" s="239">
        <v>165041.01999999999</v>
      </c>
      <c r="M21" s="239">
        <v>196791.94</v>
      </c>
      <c r="O21" s="31">
        <v>-31750.92</v>
      </c>
      <c r="Q21">
        <v>-16.100000000000001</v>
      </c>
    </row>
    <row r="22" spans="3:18">
      <c r="C22">
        <v>5360</v>
      </c>
      <c r="E22" t="s">
        <v>4083</v>
      </c>
      <c r="H22" t="s">
        <v>4084</v>
      </c>
      <c r="K22" s="31">
        <v>1324102.92</v>
      </c>
      <c r="M22" s="31">
        <v>1324102.92</v>
      </c>
      <c r="O22">
        <v>0</v>
      </c>
    </row>
    <row r="23" spans="3:18">
      <c r="C23">
        <v>5360</v>
      </c>
      <c r="E23" t="s">
        <v>4085</v>
      </c>
      <c r="H23" t="s">
        <v>4086</v>
      </c>
      <c r="K23" s="31">
        <v>11476847.699999999</v>
      </c>
      <c r="M23" s="31">
        <v>11476847.699999999</v>
      </c>
      <c r="O23">
        <v>0</v>
      </c>
    </row>
    <row r="24" spans="3:18">
      <c r="C24">
        <v>5360</v>
      </c>
      <c r="E24" t="s">
        <v>4087</v>
      </c>
      <c r="H24" t="s">
        <v>4088</v>
      </c>
      <c r="K24" s="31">
        <v>138584.16</v>
      </c>
      <c r="M24" s="31">
        <v>138584.16</v>
      </c>
      <c r="O24">
        <v>0</v>
      </c>
    </row>
    <row r="25" spans="3:18">
      <c r="C25">
        <v>5360</v>
      </c>
      <c r="E25" t="s">
        <v>4089</v>
      </c>
      <c r="H25" t="s">
        <v>4090</v>
      </c>
      <c r="K25" s="31">
        <v>207401.7</v>
      </c>
      <c r="M25" s="31">
        <v>502569.64</v>
      </c>
      <c r="O25" s="31">
        <v>-295167.94</v>
      </c>
      <c r="Q25">
        <v>-58.7</v>
      </c>
    </row>
    <row r="26" spans="3:18">
      <c r="C26">
        <v>5360</v>
      </c>
      <c r="E26" t="s">
        <v>4091</v>
      </c>
      <c r="H26" t="s">
        <v>4092</v>
      </c>
      <c r="K26" s="31">
        <v>-99321.48</v>
      </c>
      <c r="M26" s="31">
        <v>-115648.18</v>
      </c>
      <c r="O26" s="31">
        <v>16326.7</v>
      </c>
      <c r="Q26">
        <v>14.1</v>
      </c>
    </row>
    <row r="27" spans="3:18">
      <c r="E27" t="s">
        <v>4093</v>
      </c>
      <c r="K27" s="31">
        <v>1456701130.46</v>
      </c>
      <c r="M27" s="31">
        <v>1479814367.25</v>
      </c>
      <c r="O27" s="31">
        <v>-23113236.789999999</v>
      </c>
      <c r="Q27">
        <v>-1.6</v>
      </c>
      <c r="R27" t="s">
        <v>658</v>
      </c>
    </row>
    <row r="28" spans="3:18">
      <c r="C28">
        <v>5360</v>
      </c>
      <c r="E28" t="s">
        <v>4094</v>
      </c>
      <c r="H28" t="s">
        <v>4095</v>
      </c>
      <c r="K28" s="31">
        <v>87739446.769999996</v>
      </c>
      <c r="M28" s="31">
        <v>87739446.769999996</v>
      </c>
      <c r="O28">
        <v>0</v>
      </c>
    </row>
    <row r="29" spans="3:18">
      <c r="C29">
        <v>5360</v>
      </c>
      <c r="E29" t="s">
        <v>4096</v>
      </c>
      <c r="H29" t="s">
        <v>4097</v>
      </c>
      <c r="K29" s="31">
        <v>2248689.31</v>
      </c>
      <c r="M29" s="31">
        <v>2248689.31</v>
      </c>
      <c r="O29">
        <v>0</v>
      </c>
    </row>
    <row r="30" spans="3:18">
      <c r="C30">
        <v>5360</v>
      </c>
      <c r="E30" t="s">
        <v>4098</v>
      </c>
      <c r="H30" t="s">
        <v>4099</v>
      </c>
      <c r="K30" s="31">
        <v>-13915529.630000001</v>
      </c>
      <c r="M30" s="31">
        <v>40970557.090000004</v>
      </c>
      <c r="O30" s="31">
        <v>-54886086.719999999</v>
      </c>
      <c r="Q30">
        <v>-134</v>
      </c>
    </row>
    <row r="31" spans="3:18">
      <c r="C31">
        <v>5360</v>
      </c>
      <c r="E31" t="s">
        <v>4100</v>
      </c>
      <c r="H31" t="s">
        <v>4101</v>
      </c>
      <c r="K31" s="31">
        <v>25820.35</v>
      </c>
      <c r="M31" s="31">
        <v>4801.9799999999996</v>
      </c>
      <c r="O31" s="31">
        <v>21018.37</v>
      </c>
      <c r="Q31">
        <v>437.7</v>
      </c>
    </row>
    <row r="32" spans="3:18">
      <c r="E32" t="s">
        <v>4102</v>
      </c>
      <c r="K32" s="239">
        <v>76098426.799999997</v>
      </c>
      <c r="M32" s="239">
        <v>130963495.15000001</v>
      </c>
      <c r="O32" s="31">
        <v>-54865068.350000001</v>
      </c>
      <c r="Q32">
        <v>-41.9</v>
      </c>
      <c r="R32" t="s">
        <v>658</v>
      </c>
    </row>
    <row r="33" spans="3:18">
      <c r="E33" t="s">
        <v>4103</v>
      </c>
      <c r="K33" s="31">
        <v>1532799557.26</v>
      </c>
      <c r="M33" s="31">
        <v>1610777862.4000001</v>
      </c>
      <c r="O33" s="31">
        <v>-77978305.140000001</v>
      </c>
      <c r="Q33">
        <v>-4.8</v>
      </c>
      <c r="R33" t="s">
        <v>569</v>
      </c>
    </row>
    <row r="34" spans="3:18">
      <c r="C34">
        <v>5360</v>
      </c>
      <c r="E34" t="s">
        <v>4104</v>
      </c>
      <c r="H34" t="s">
        <v>4105</v>
      </c>
      <c r="K34" s="239">
        <v>-410832507.45999998</v>
      </c>
      <c r="M34" s="239">
        <v>-410832507.45999998</v>
      </c>
      <c r="O34">
        <v>0</v>
      </c>
    </row>
    <row r="35" spans="3:18">
      <c r="C35">
        <v>5360</v>
      </c>
      <c r="E35" t="s">
        <v>4106</v>
      </c>
      <c r="H35" t="s">
        <v>4107</v>
      </c>
      <c r="K35" s="239">
        <v>43656.34</v>
      </c>
      <c r="M35" s="239">
        <v>43656.34</v>
      </c>
      <c r="O35">
        <v>0</v>
      </c>
    </row>
    <row r="36" spans="3:18">
      <c r="C36">
        <v>5360</v>
      </c>
      <c r="E36" t="s">
        <v>4108</v>
      </c>
      <c r="H36" t="s">
        <v>4109</v>
      </c>
      <c r="K36" s="239">
        <v>-5144359.67</v>
      </c>
      <c r="M36" s="239">
        <v>-5144359.67</v>
      </c>
      <c r="O36">
        <v>0</v>
      </c>
    </row>
    <row r="37" spans="3:18">
      <c r="C37">
        <v>5360</v>
      </c>
      <c r="E37" t="s">
        <v>4110</v>
      </c>
      <c r="H37" t="s">
        <v>4111</v>
      </c>
      <c r="K37" s="239">
        <v>-13410588.619999999</v>
      </c>
      <c r="M37" s="239">
        <v>-13410588.619999999</v>
      </c>
      <c r="O37">
        <v>0</v>
      </c>
    </row>
    <row r="38" spans="3:18">
      <c r="C38">
        <v>5360</v>
      </c>
      <c r="E38" t="s">
        <v>4112</v>
      </c>
      <c r="H38" t="s">
        <v>4113</v>
      </c>
      <c r="K38" s="239">
        <v>69516.97</v>
      </c>
      <c r="M38" s="239">
        <v>69516.97</v>
      </c>
      <c r="O38">
        <v>0</v>
      </c>
    </row>
    <row r="39" spans="3:18">
      <c r="C39">
        <v>5360</v>
      </c>
      <c r="E39" t="s">
        <v>4114</v>
      </c>
      <c r="H39" t="s">
        <v>4115</v>
      </c>
      <c r="K39" s="239">
        <v>995690.3</v>
      </c>
      <c r="M39" s="239">
        <v>995690.3</v>
      </c>
      <c r="O39">
        <v>0</v>
      </c>
    </row>
    <row r="40" spans="3:18">
      <c r="C40">
        <v>5360</v>
      </c>
      <c r="E40" t="s">
        <v>4116</v>
      </c>
      <c r="H40" t="s">
        <v>4117</v>
      </c>
      <c r="K40" s="239">
        <v>14536270.390000001</v>
      </c>
      <c r="M40" s="239">
        <v>14536270.390000001</v>
      </c>
      <c r="O40">
        <v>0</v>
      </c>
    </row>
    <row r="41" spans="3:18">
      <c r="C41">
        <v>5360</v>
      </c>
      <c r="E41" t="s">
        <v>4118</v>
      </c>
      <c r="H41" t="s">
        <v>4119</v>
      </c>
      <c r="K41" s="239">
        <v>-82085.81</v>
      </c>
      <c r="M41" s="239">
        <v>-82085.81</v>
      </c>
      <c r="O41">
        <v>0</v>
      </c>
    </row>
    <row r="42" spans="3:18">
      <c r="C42">
        <v>5360</v>
      </c>
      <c r="E42" t="s">
        <v>4120</v>
      </c>
      <c r="H42" t="s">
        <v>4121</v>
      </c>
      <c r="K42" s="239">
        <v>-21533909.859999999</v>
      </c>
      <c r="M42" s="239">
        <v>-32824580.41</v>
      </c>
      <c r="O42" s="31">
        <v>11290670.550000001</v>
      </c>
      <c r="Q42">
        <v>34.4</v>
      </c>
    </row>
    <row r="43" spans="3:18">
      <c r="C43">
        <v>5360</v>
      </c>
      <c r="E43" t="s">
        <v>4122</v>
      </c>
      <c r="H43" t="s">
        <v>4109</v>
      </c>
      <c r="K43" s="239">
        <v>-34292.050000000003</v>
      </c>
      <c r="M43" s="239">
        <v>-50918.07</v>
      </c>
      <c r="O43" s="31">
        <v>16626.02</v>
      </c>
      <c r="Q43">
        <v>32.700000000000003</v>
      </c>
    </row>
    <row r="44" spans="3:18">
      <c r="C44">
        <v>5360</v>
      </c>
      <c r="E44" t="s">
        <v>4123</v>
      </c>
      <c r="H44" t="s">
        <v>4124</v>
      </c>
      <c r="K44" s="239">
        <v>-482850.27</v>
      </c>
      <c r="M44" s="239">
        <v>-725209.13</v>
      </c>
      <c r="O44" s="31">
        <v>242358.86</v>
      </c>
      <c r="Q44">
        <v>33.4</v>
      </c>
    </row>
    <row r="45" spans="3:18">
      <c r="C45">
        <v>5360</v>
      </c>
      <c r="E45" t="s">
        <v>4125</v>
      </c>
      <c r="H45" t="s">
        <v>4126</v>
      </c>
      <c r="K45" s="239">
        <v>-57976.91</v>
      </c>
      <c r="M45" s="239">
        <v>-86633.5</v>
      </c>
      <c r="O45" s="31">
        <v>28656.59</v>
      </c>
      <c r="Q45">
        <v>33.1</v>
      </c>
    </row>
    <row r="46" spans="3:18">
      <c r="C46">
        <v>5360</v>
      </c>
      <c r="E46" t="s">
        <v>4127</v>
      </c>
      <c r="H46" t="s">
        <v>4128</v>
      </c>
      <c r="K46" s="239">
        <v>-43656.33</v>
      </c>
      <c r="M46" s="239">
        <v>-52308.55</v>
      </c>
      <c r="O46" s="31">
        <v>8652.2199999999993</v>
      </c>
      <c r="Q46">
        <v>16.5</v>
      </c>
    </row>
    <row r="47" spans="3:18">
      <c r="C47">
        <v>5360</v>
      </c>
      <c r="E47" t="s">
        <v>4129</v>
      </c>
      <c r="H47" t="s">
        <v>4130</v>
      </c>
      <c r="K47" s="239">
        <v>-50623.57</v>
      </c>
      <c r="M47" s="239">
        <v>168799.92</v>
      </c>
      <c r="O47" s="31">
        <v>-219423.49</v>
      </c>
      <c r="Q47">
        <v>-130</v>
      </c>
    </row>
    <row r="48" spans="3:18">
      <c r="C48">
        <v>5360</v>
      </c>
      <c r="E48" t="s">
        <v>4131</v>
      </c>
      <c r="H48" t="s">
        <v>4130</v>
      </c>
      <c r="K48" s="239">
        <v>6640667.3200000003</v>
      </c>
      <c r="M48" s="239">
        <v>9708702.6400000006</v>
      </c>
      <c r="O48" s="31">
        <v>-3068035.32</v>
      </c>
      <c r="Q48">
        <v>-31.6</v>
      </c>
    </row>
    <row r="49" spans="3:17">
      <c r="C49">
        <v>5360</v>
      </c>
      <c r="E49" t="s">
        <v>4132</v>
      </c>
      <c r="H49" t="s">
        <v>4133</v>
      </c>
      <c r="K49" s="239">
        <v>1796704.76</v>
      </c>
      <c r="M49" s="239">
        <v>3591039.27</v>
      </c>
      <c r="O49" s="31">
        <v>-1794334.51</v>
      </c>
      <c r="Q49">
        <v>-50</v>
      </c>
    </row>
    <row r="50" spans="3:17">
      <c r="C50">
        <v>5360</v>
      </c>
      <c r="E50" t="s">
        <v>4134</v>
      </c>
      <c r="H50" t="s">
        <v>4109</v>
      </c>
      <c r="K50" s="197">
        <v>0</v>
      </c>
      <c r="M50" s="239">
        <v>168219.43</v>
      </c>
      <c r="O50" s="31">
        <v>-168219.43</v>
      </c>
      <c r="Q50">
        <v>-100</v>
      </c>
    </row>
    <row r="51" spans="3:17">
      <c r="C51">
        <v>5360</v>
      </c>
      <c r="E51" t="s">
        <v>4135</v>
      </c>
      <c r="H51" t="s">
        <v>4113</v>
      </c>
      <c r="K51" s="239">
        <v>14685.56</v>
      </c>
      <c r="M51" s="239">
        <v>14685.56</v>
      </c>
      <c r="O51">
        <v>0</v>
      </c>
    </row>
    <row r="52" spans="3:17">
      <c r="C52">
        <v>5360</v>
      </c>
      <c r="E52" t="s">
        <v>4136</v>
      </c>
      <c r="H52" t="s">
        <v>4137</v>
      </c>
      <c r="K52" s="239">
        <v>111936.8</v>
      </c>
      <c r="M52" s="239">
        <v>115675.1</v>
      </c>
      <c r="O52" s="31">
        <v>-3738.3</v>
      </c>
      <c r="Q52">
        <v>-3.2</v>
      </c>
    </row>
    <row r="53" spans="3:17">
      <c r="C53">
        <v>5360</v>
      </c>
      <c r="E53" t="s">
        <v>4138</v>
      </c>
      <c r="H53" t="s">
        <v>4139</v>
      </c>
      <c r="K53" s="239">
        <v>4938280.05</v>
      </c>
      <c r="M53" s="239">
        <v>6915737.0700000003</v>
      </c>
      <c r="O53" s="31">
        <v>-1977457.02</v>
      </c>
      <c r="Q53">
        <v>-28.6</v>
      </c>
    </row>
    <row r="54" spans="3:17">
      <c r="C54">
        <v>5360</v>
      </c>
      <c r="E54" t="s">
        <v>4140</v>
      </c>
      <c r="H54" t="s">
        <v>4141</v>
      </c>
      <c r="K54" s="239">
        <v>-4938280.05</v>
      </c>
      <c r="M54" s="239">
        <v>-7353895.5199999996</v>
      </c>
      <c r="O54" s="31">
        <v>2415615.4700000002</v>
      </c>
      <c r="Q54">
        <v>32.799999999999997</v>
      </c>
    </row>
    <row r="55" spans="3:17">
      <c r="C55">
        <v>5360</v>
      </c>
      <c r="E55" t="s">
        <v>4142</v>
      </c>
      <c r="H55" t="s">
        <v>4143</v>
      </c>
      <c r="K55" s="197">
        <v>0</v>
      </c>
      <c r="M55" s="239">
        <v>438158.45</v>
      </c>
      <c r="O55" s="31">
        <v>-438158.45</v>
      </c>
      <c r="Q55">
        <v>-100</v>
      </c>
    </row>
    <row r="56" spans="3:17">
      <c r="C56">
        <v>5360</v>
      </c>
      <c r="E56" t="s">
        <v>4144</v>
      </c>
      <c r="H56" t="s">
        <v>4145</v>
      </c>
      <c r="K56" s="239">
        <v>153678800.13999999</v>
      </c>
      <c r="M56" s="239">
        <v>153985558.49000001</v>
      </c>
      <c r="O56" s="31">
        <v>-306758.34999999998</v>
      </c>
      <c r="Q56">
        <v>-0.2</v>
      </c>
    </row>
    <row r="57" spans="3:17">
      <c r="C57">
        <v>5360</v>
      </c>
      <c r="E57" t="s">
        <v>4146</v>
      </c>
      <c r="H57" t="s">
        <v>4117</v>
      </c>
      <c r="K57" s="239">
        <v>792198.06</v>
      </c>
      <c r="M57" s="239">
        <v>792198.06</v>
      </c>
      <c r="O57">
        <v>0</v>
      </c>
    </row>
    <row r="58" spans="3:17">
      <c r="C58">
        <v>5360</v>
      </c>
      <c r="E58" t="s">
        <v>4147</v>
      </c>
      <c r="H58" t="s">
        <v>4148</v>
      </c>
      <c r="K58" s="31">
        <v>4672.29</v>
      </c>
      <c r="M58" s="31">
        <v>4672.29</v>
      </c>
      <c r="O58">
        <v>0</v>
      </c>
    </row>
    <row r="59" spans="3:17">
      <c r="C59">
        <v>5360</v>
      </c>
      <c r="E59" t="s">
        <v>4149</v>
      </c>
      <c r="H59" t="s">
        <v>4150</v>
      </c>
      <c r="K59" s="31">
        <v>-3372199.71</v>
      </c>
      <c r="M59" s="31">
        <v>-3372199.71</v>
      </c>
      <c r="O59">
        <v>0</v>
      </c>
    </row>
    <row r="60" spans="3:17">
      <c r="C60">
        <v>5360</v>
      </c>
      <c r="E60" t="s">
        <v>4151</v>
      </c>
      <c r="H60" t="s">
        <v>4119</v>
      </c>
      <c r="K60" s="239">
        <v>-153678800.13999999</v>
      </c>
      <c r="M60" s="239">
        <v>-153985558.49000001</v>
      </c>
      <c r="O60" s="31">
        <v>306758.34999999998</v>
      </c>
      <c r="Q60">
        <v>0.2</v>
      </c>
    </row>
    <row r="61" spans="3:17">
      <c r="C61">
        <v>5360</v>
      </c>
      <c r="E61" t="s">
        <v>4152</v>
      </c>
      <c r="H61" t="s">
        <v>4153</v>
      </c>
      <c r="K61" s="31">
        <v>2362.69</v>
      </c>
      <c r="M61" s="31">
        <v>3576.79</v>
      </c>
      <c r="O61" s="31">
        <v>-1214.0999999999999</v>
      </c>
      <c r="Q61">
        <v>-33.9</v>
      </c>
    </row>
    <row r="62" spans="3:17">
      <c r="C62">
        <v>5360</v>
      </c>
      <c r="E62" t="s">
        <v>4154</v>
      </c>
      <c r="H62" t="s">
        <v>4155</v>
      </c>
      <c r="K62" s="31">
        <v>-1704607.5</v>
      </c>
      <c r="M62" s="31">
        <v>-2533459.7200000002</v>
      </c>
      <c r="O62" s="31">
        <v>828852.22</v>
      </c>
      <c r="Q62">
        <v>32.700000000000003</v>
      </c>
    </row>
    <row r="63" spans="3:17">
      <c r="C63">
        <v>5360</v>
      </c>
      <c r="E63" t="s">
        <v>4156</v>
      </c>
      <c r="H63" t="s">
        <v>4130</v>
      </c>
      <c r="K63" s="239">
        <v>5208.5</v>
      </c>
      <c r="M63" s="239">
        <v>317452.53000000003</v>
      </c>
      <c r="O63" s="31">
        <v>-312244.03000000003</v>
      </c>
      <c r="Q63">
        <v>-98.4</v>
      </c>
    </row>
    <row r="64" spans="3:17">
      <c r="C64">
        <v>5360</v>
      </c>
      <c r="E64" t="s">
        <v>4157</v>
      </c>
      <c r="H64" t="s">
        <v>4158</v>
      </c>
      <c r="K64" s="31">
        <v>52685.87</v>
      </c>
      <c r="M64" s="31">
        <v>68058.149999999994</v>
      </c>
      <c r="O64" s="31">
        <v>-15372.28</v>
      </c>
      <c r="Q64">
        <v>-22.6</v>
      </c>
    </row>
    <row r="65" spans="3:18">
      <c r="E65" t="s">
        <v>4159</v>
      </c>
      <c r="K65" s="31">
        <v>-431683401.91000003</v>
      </c>
      <c r="M65" s="31">
        <v>-438516636.91000003</v>
      </c>
      <c r="O65" s="31">
        <v>6833235</v>
      </c>
      <c r="Q65">
        <v>1.6</v>
      </c>
      <c r="R65" t="s">
        <v>658</v>
      </c>
    </row>
    <row r="66" spans="3:18">
      <c r="C66">
        <v>5360</v>
      </c>
      <c r="E66" t="s">
        <v>4160</v>
      </c>
      <c r="H66" t="s">
        <v>4161</v>
      </c>
      <c r="K66" s="239">
        <v>-19833570.02</v>
      </c>
      <c r="M66" s="239">
        <v>-19833570.02</v>
      </c>
      <c r="O66">
        <v>0</v>
      </c>
    </row>
    <row r="67" spans="3:18">
      <c r="E67" t="s">
        <v>4162</v>
      </c>
      <c r="K67" s="31">
        <v>-19833570.02</v>
      </c>
      <c r="M67" s="31">
        <v>-19833570.02</v>
      </c>
      <c r="O67">
        <v>0</v>
      </c>
      <c r="R67" t="s">
        <v>658</v>
      </c>
    </row>
    <row r="68" spans="3:18">
      <c r="E68" t="s">
        <v>4163</v>
      </c>
      <c r="K68" s="31">
        <v>-451516971.93000001</v>
      </c>
      <c r="M68" s="31">
        <v>-458350206.93000001</v>
      </c>
      <c r="O68" s="31">
        <v>6833235</v>
      </c>
      <c r="Q68">
        <v>1.5</v>
      </c>
      <c r="R68" t="s">
        <v>569</v>
      </c>
    </row>
    <row r="69" spans="3:18">
      <c r="E69" t="s">
        <v>4164</v>
      </c>
      <c r="K69" s="31">
        <v>1081282585.3299999</v>
      </c>
      <c r="M69" s="31">
        <v>1152427655.47</v>
      </c>
      <c r="O69" s="31">
        <v>-71145070.140000001</v>
      </c>
      <c r="Q69">
        <v>-6.2</v>
      </c>
      <c r="R69" t="s">
        <v>611</v>
      </c>
    </row>
    <row r="71" spans="3:18">
      <c r="C71">
        <v>5360</v>
      </c>
      <c r="E71" t="s">
        <v>4165</v>
      </c>
      <c r="H71" t="s">
        <v>4166</v>
      </c>
      <c r="K71" s="31">
        <v>354598.6</v>
      </c>
      <c r="M71" s="31">
        <v>354598.6</v>
      </c>
      <c r="O71">
        <v>0</v>
      </c>
    </row>
    <row r="72" spans="3:18">
      <c r="C72">
        <v>5360</v>
      </c>
      <c r="E72" t="s">
        <v>4167</v>
      </c>
      <c r="H72" t="s">
        <v>4168</v>
      </c>
      <c r="K72" s="31">
        <v>-25307613.530000001</v>
      </c>
      <c r="M72" s="31">
        <v>-25307613.530000001</v>
      </c>
      <c r="O72">
        <v>0</v>
      </c>
    </row>
    <row r="73" spans="3:18">
      <c r="C73">
        <v>5360</v>
      </c>
      <c r="E73" t="s">
        <v>4169</v>
      </c>
      <c r="H73" t="s">
        <v>4170</v>
      </c>
      <c r="K73" s="31">
        <v>120173859.19</v>
      </c>
      <c r="M73" s="31">
        <v>120173859.19</v>
      </c>
      <c r="O73">
        <v>0</v>
      </c>
    </row>
    <row r="74" spans="3:18">
      <c r="C74">
        <v>5360</v>
      </c>
      <c r="E74" t="s">
        <v>4171</v>
      </c>
      <c r="H74" t="s">
        <v>4172</v>
      </c>
      <c r="K74" s="31">
        <v>565701.66</v>
      </c>
      <c r="M74" s="31">
        <v>565701.66</v>
      </c>
      <c r="O74">
        <v>0</v>
      </c>
    </row>
    <row r="75" spans="3:18">
      <c r="C75">
        <v>5360</v>
      </c>
      <c r="E75" t="s">
        <v>4173</v>
      </c>
      <c r="H75" t="s">
        <v>4174</v>
      </c>
      <c r="K75" s="31">
        <v>102286571.72</v>
      </c>
      <c r="M75" s="31">
        <v>144701439.38</v>
      </c>
      <c r="O75" s="31">
        <v>-42414867.659999996</v>
      </c>
      <c r="Q75">
        <v>-29.3</v>
      </c>
    </row>
    <row r="76" spans="3:18">
      <c r="C76">
        <v>5360</v>
      </c>
      <c r="E76" t="s">
        <v>4175</v>
      </c>
      <c r="H76" t="s">
        <v>4176</v>
      </c>
      <c r="K76" s="31">
        <v>-743433.82</v>
      </c>
      <c r="M76" s="31">
        <v>-791350.99</v>
      </c>
      <c r="O76" s="31">
        <v>47917.17</v>
      </c>
      <c r="Q76">
        <v>6.1</v>
      </c>
    </row>
    <row r="77" spans="3:18">
      <c r="C77">
        <v>5360</v>
      </c>
      <c r="E77" t="s">
        <v>4177</v>
      </c>
      <c r="H77" t="s">
        <v>4178</v>
      </c>
      <c r="K77" s="31">
        <v>-1919002.67</v>
      </c>
      <c r="M77" s="31">
        <v>-2265070.5699999998</v>
      </c>
      <c r="O77" s="31">
        <v>346067.9</v>
      </c>
      <c r="Q77">
        <v>15.3</v>
      </c>
    </row>
    <row r="78" spans="3:18">
      <c r="C78">
        <v>5360</v>
      </c>
      <c r="E78" t="s">
        <v>4179</v>
      </c>
      <c r="H78" t="s">
        <v>4180</v>
      </c>
      <c r="K78" s="31">
        <v>-75677.119999999995</v>
      </c>
      <c r="M78" s="31">
        <v>-117011.05</v>
      </c>
      <c r="O78" s="31">
        <v>41333.93</v>
      </c>
      <c r="Q78">
        <v>35.299999999999997</v>
      </c>
    </row>
    <row r="79" spans="3:18">
      <c r="C79">
        <v>5360</v>
      </c>
      <c r="E79" t="s">
        <v>4181</v>
      </c>
      <c r="H79" t="s">
        <v>4182</v>
      </c>
      <c r="K79" s="31">
        <v>-85294436.379999995</v>
      </c>
      <c r="M79" s="31">
        <v>-164957122.52000001</v>
      </c>
      <c r="O79" s="31">
        <v>79662686.140000001</v>
      </c>
      <c r="Q79">
        <v>48.3</v>
      </c>
    </row>
    <row r="80" spans="3:18">
      <c r="E80" t="s">
        <v>4183</v>
      </c>
      <c r="K80" s="239">
        <v>110040567.65000001</v>
      </c>
      <c r="M80" s="239">
        <v>72357430.170000002</v>
      </c>
      <c r="O80" s="31">
        <v>37683137.479999997</v>
      </c>
      <c r="Q80">
        <v>52.1</v>
      </c>
      <c r="R80" t="s">
        <v>569</v>
      </c>
    </row>
    <row r="81" spans="3:18">
      <c r="E81" t="s">
        <v>4183</v>
      </c>
      <c r="K81" s="31">
        <v>110040567.65000001</v>
      </c>
      <c r="M81" s="31">
        <v>72357430.170000002</v>
      </c>
      <c r="O81" s="31">
        <v>37683137.479999997</v>
      </c>
      <c r="Q81">
        <v>52.1</v>
      </c>
      <c r="R81" t="s">
        <v>611</v>
      </c>
    </row>
    <row r="83" spans="3:18">
      <c r="E83" t="s">
        <v>4184</v>
      </c>
      <c r="K83" s="31">
        <v>1191323152.98</v>
      </c>
      <c r="M83" s="31">
        <v>1224785085.6400001</v>
      </c>
      <c r="O83" s="31">
        <v>-33461932.66</v>
      </c>
      <c r="Q83">
        <v>-2.7</v>
      </c>
      <c r="R83" t="s">
        <v>930</v>
      </c>
    </row>
    <row r="85" spans="3:18">
      <c r="C85">
        <v>5360</v>
      </c>
      <c r="E85" t="s">
        <v>4185</v>
      </c>
      <c r="H85" t="s">
        <v>4186</v>
      </c>
      <c r="K85" s="31">
        <v>235058056.38999999</v>
      </c>
      <c r="M85" s="31">
        <v>235058056.38999999</v>
      </c>
      <c r="O85">
        <v>0</v>
      </c>
    </row>
    <row r="86" spans="3:18">
      <c r="E86" t="s">
        <v>4187</v>
      </c>
      <c r="K86" s="31">
        <v>235058056.38999999</v>
      </c>
      <c r="M86" s="31">
        <v>235058056.38999999</v>
      </c>
      <c r="O86">
        <v>0</v>
      </c>
      <c r="R86" t="s">
        <v>611</v>
      </c>
    </row>
    <row r="88" spans="3:18">
      <c r="E88" t="s">
        <v>4188</v>
      </c>
      <c r="K88" s="31">
        <v>235058056.38999999</v>
      </c>
      <c r="M88" s="31">
        <v>235058056.38999999</v>
      </c>
      <c r="O88">
        <v>0</v>
      </c>
      <c r="R88" t="s">
        <v>930</v>
      </c>
    </row>
    <row r="90" spans="3:18">
      <c r="C90">
        <v>5360</v>
      </c>
      <c r="E90" t="s">
        <v>4189</v>
      </c>
      <c r="H90" t="s">
        <v>4190</v>
      </c>
      <c r="K90" s="31">
        <v>4041036.52</v>
      </c>
      <c r="M90" s="31">
        <v>4041036.52</v>
      </c>
      <c r="O90">
        <v>0</v>
      </c>
    </row>
    <row r="91" spans="3:18">
      <c r="E91" t="s">
        <v>4191</v>
      </c>
      <c r="K91" s="31">
        <v>4041036.52</v>
      </c>
      <c r="M91" s="31">
        <v>4041036.52</v>
      </c>
      <c r="O91">
        <v>0</v>
      </c>
      <c r="R91" t="s">
        <v>658</v>
      </c>
    </row>
    <row r="92" spans="3:18">
      <c r="E92" t="s">
        <v>4192</v>
      </c>
      <c r="K92" s="31">
        <v>4041036.52</v>
      </c>
      <c r="M92" s="31">
        <v>4041036.52</v>
      </c>
      <c r="O92">
        <v>0</v>
      </c>
      <c r="R92" t="s">
        <v>569</v>
      </c>
    </row>
    <row r="93" spans="3:18">
      <c r="E93" t="s">
        <v>4193</v>
      </c>
      <c r="K93" s="31">
        <v>4041036.52</v>
      </c>
      <c r="M93" s="31">
        <v>4041036.52</v>
      </c>
      <c r="O93">
        <v>0</v>
      </c>
      <c r="R93" t="s">
        <v>611</v>
      </c>
    </row>
    <row r="95" spans="3:18">
      <c r="C95">
        <v>5360</v>
      </c>
      <c r="E95" t="s">
        <v>4194</v>
      </c>
      <c r="H95" t="s">
        <v>4195</v>
      </c>
      <c r="K95" s="31">
        <v>57495</v>
      </c>
      <c r="M95" s="31">
        <v>57495</v>
      </c>
      <c r="O95">
        <v>0</v>
      </c>
    </row>
    <row r="96" spans="3:18">
      <c r="E96" t="s">
        <v>4196</v>
      </c>
      <c r="K96" s="31">
        <v>57495</v>
      </c>
      <c r="M96" s="31">
        <v>57495</v>
      </c>
      <c r="O96">
        <v>0</v>
      </c>
      <c r="R96" t="s">
        <v>611</v>
      </c>
    </row>
    <row r="98" spans="3:18">
      <c r="C98">
        <v>5360</v>
      </c>
      <c r="E98" t="s">
        <v>4197</v>
      </c>
      <c r="H98" t="s">
        <v>4198</v>
      </c>
      <c r="K98" s="31">
        <v>-50039.18</v>
      </c>
      <c r="M98" s="31">
        <v>-50039.18</v>
      </c>
      <c r="O98">
        <v>0</v>
      </c>
    </row>
    <row r="99" spans="3:18">
      <c r="C99">
        <v>5360</v>
      </c>
      <c r="E99" t="s">
        <v>4199</v>
      </c>
      <c r="H99" t="s">
        <v>4200</v>
      </c>
      <c r="K99" s="31">
        <v>407617.19</v>
      </c>
      <c r="M99" s="31">
        <v>407617.19</v>
      </c>
      <c r="O99">
        <v>0</v>
      </c>
    </row>
    <row r="100" spans="3:18">
      <c r="C100">
        <v>5360</v>
      </c>
      <c r="E100" t="s">
        <v>4201</v>
      </c>
      <c r="H100" t="s">
        <v>4202</v>
      </c>
      <c r="K100" s="31">
        <v>368078.99</v>
      </c>
      <c r="M100" s="31">
        <v>368078.99</v>
      </c>
      <c r="O100">
        <v>0</v>
      </c>
    </row>
    <row r="101" spans="3:18">
      <c r="C101">
        <v>5360</v>
      </c>
      <c r="E101" t="s">
        <v>4203</v>
      </c>
      <c r="H101" t="s">
        <v>4204</v>
      </c>
      <c r="K101" s="31">
        <v>-166694.18</v>
      </c>
      <c r="M101" s="31">
        <v>-166694.18</v>
      </c>
      <c r="O101">
        <v>0</v>
      </c>
    </row>
    <row r="102" spans="3:18">
      <c r="C102">
        <v>5360</v>
      </c>
      <c r="E102" t="s">
        <v>4205</v>
      </c>
      <c r="H102" t="s">
        <v>4206</v>
      </c>
      <c r="K102" s="31">
        <v>-521637.26</v>
      </c>
      <c r="M102" s="31">
        <v>-521637.26</v>
      </c>
      <c r="O102">
        <v>0</v>
      </c>
    </row>
    <row r="103" spans="3:18">
      <c r="C103">
        <v>5360</v>
      </c>
      <c r="E103" t="s">
        <v>4207</v>
      </c>
      <c r="H103" t="s">
        <v>4208</v>
      </c>
      <c r="K103" s="31">
        <v>-248472.3</v>
      </c>
      <c r="M103" s="31">
        <v>-248472.3</v>
      </c>
      <c r="O103">
        <v>0</v>
      </c>
    </row>
    <row r="104" spans="3:18">
      <c r="C104">
        <v>5360</v>
      </c>
      <c r="E104" t="s">
        <v>4209</v>
      </c>
      <c r="H104" t="s">
        <v>4210</v>
      </c>
      <c r="K104" s="31">
        <v>223937.57</v>
      </c>
      <c r="M104" s="31">
        <v>223937.57</v>
      </c>
      <c r="O104">
        <v>0</v>
      </c>
    </row>
    <row r="105" spans="3:18">
      <c r="C105">
        <v>5360</v>
      </c>
      <c r="E105" t="s">
        <v>4211</v>
      </c>
      <c r="H105" t="s">
        <v>4212</v>
      </c>
      <c r="K105" s="31">
        <v>460207.23</v>
      </c>
      <c r="M105" s="31">
        <v>460207.23</v>
      </c>
      <c r="O105">
        <v>0</v>
      </c>
    </row>
    <row r="106" spans="3:18">
      <c r="C106">
        <v>5360</v>
      </c>
      <c r="E106" t="s">
        <v>4213</v>
      </c>
      <c r="H106" t="s">
        <v>4214</v>
      </c>
      <c r="K106" s="31">
        <v>-160796.76</v>
      </c>
      <c r="M106" s="31">
        <v>-160796.76</v>
      </c>
      <c r="O106">
        <v>0</v>
      </c>
    </row>
    <row r="107" spans="3:18">
      <c r="E107" t="s">
        <v>909</v>
      </c>
      <c r="K107" s="31">
        <v>312201.3</v>
      </c>
      <c r="M107" s="31">
        <v>312201.3</v>
      </c>
      <c r="O107">
        <v>0</v>
      </c>
      <c r="R107" t="s">
        <v>611</v>
      </c>
    </row>
    <row r="109" spans="3:18">
      <c r="C109">
        <v>5360</v>
      </c>
      <c r="E109" t="s">
        <v>4215</v>
      </c>
      <c r="H109" t="s">
        <v>4216</v>
      </c>
      <c r="K109" s="31">
        <v>4392207.33</v>
      </c>
      <c r="M109" s="31">
        <v>1858827.15</v>
      </c>
      <c r="O109" s="31">
        <v>2533380.1800000002</v>
      </c>
      <c r="Q109">
        <v>136.30000000000001</v>
      </c>
    </row>
    <row r="110" spans="3:18">
      <c r="E110" t="s">
        <v>4217</v>
      </c>
      <c r="K110" s="31">
        <v>4392207.33</v>
      </c>
      <c r="M110" s="31">
        <v>1858827.15</v>
      </c>
      <c r="O110" s="31">
        <v>2533380.1800000002</v>
      </c>
      <c r="Q110">
        <v>136.30000000000001</v>
      </c>
      <c r="R110" t="s">
        <v>611</v>
      </c>
    </row>
    <row r="112" spans="3:18">
      <c r="E112" t="s">
        <v>4218</v>
      </c>
      <c r="K112" s="31">
        <v>8802940.1500000004</v>
      </c>
      <c r="M112" s="31">
        <v>6269559.9699999997</v>
      </c>
      <c r="O112" s="31">
        <v>2533380.1800000002</v>
      </c>
      <c r="Q112">
        <v>40.4</v>
      </c>
      <c r="R112" t="s">
        <v>930</v>
      </c>
    </row>
    <row r="114" spans="3:18">
      <c r="C114">
        <v>5360</v>
      </c>
      <c r="E114" t="s">
        <v>4219</v>
      </c>
      <c r="H114" t="s">
        <v>4220</v>
      </c>
      <c r="K114" s="31">
        <v>366891.07</v>
      </c>
      <c r="M114" s="31">
        <v>364811.07</v>
      </c>
      <c r="O114" s="31">
        <v>2080</v>
      </c>
      <c r="Q114">
        <v>0.6</v>
      </c>
    </row>
    <row r="115" spans="3:18">
      <c r="E115" t="s">
        <v>4221</v>
      </c>
      <c r="K115" s="31">
        <v>366891.07</v>
      </c>
      <c r="M115" s="31">
        <v>364811.07</v>
      </c>
      <c r="O115" s="31">
        <v>2080</v>
      </c>
      <c r="Q115">
        <v>0.6</v>
      </c>
      <c r="R115" t="s">
        <v>569</v>
      </c>
    </row>
    <row r="116" spans="3:18">
      <c r="E116" t="s">
        <v>4222</v>
      </c>
      <c r="K116" s="31">
        <v>366891.07</v>
      </c>
      <c r="M116" s="31">
        <v>364811.07</v>
      </c>
      <c r="O116" s="31">
        <v>2080</v>
      </c>
      <c r="Q116">
        <v>0.6</v>
      </c>
      <c r="R116" t="s">
        <v>611</v>
      </c>
    </row>
    <row r="118" spans="3:18">
      <c r="C118">
        <v>5360</v>
      </c>
      <c r="E118" t="s">
        <v>3668</v>
      </c>
      <c r="H118" t="s">
        <v>3603</v>
      </c>
      <c r="K118" s="31">
        <v>55123816.409999996</v>
      </c>
      <c r="M118" s="31">
        <v>80223768.5</v>
      </c>
      <c r="O118" s="31">
        <v>-25099952.09</v>
      </c>
      <c r="Q118">
        <v>-31.3</v>
      </c>
    </row>
    <row r="119" spans="3:18">
      <c r="C119">
        <v>5360</v>
      </c>
      <c r="E119" t="s">
        <v>4223</v>
      </c>
      <c r="H119" t="s">
        <v>4224</v>
      </c>
      <c r="K119" s="31">
        <v>-70487.23</v>
      </c>
      <c r="M119" s="31">
        <v>-70487.23</v>
      </c>
      <c r="O119">
        <v>0</v>
      </c>
    </row>
    <row r="120" spans="3:18">
      <c r="C120">
        <v>5360</v>
      </c>
      <c r="E120" t="s">
        <v>4225</v>
      </c>
      <c r="H120" t="s">
        <v>4226</v>
      </c>
      <c r="K120" s="31">
        <v>123504.35</v>
      </c>
      <c r="M120">
        <v>0</v>
      </c>
      <c r="O120" s="31">
        <v>123504.35</v>
      </c>
    </row>
    <row r="121" spans="3:18">
      <c r="C121">
        <v>5360</v>
      </c>
      <c r="E121" t="s">
        <v>4227</v>
      </c>
      <c r="H121" t="s">
        <v>4228</v>
      </c>
      <c r="K121">
        <v>-0.06</v>
      </c>
      <c r="M121">
        <v>-0.06</v>
      </c>
      <c r="O121">
        <v>0</v>
      </c>
    </row>
    <row r="122" spans="3:18">
      <c r="C122">
        <v>5360</v>
      </c>
      <c r="E122" t="s">
        <v>4229</v>
      </c>
      <c r="H122" t="s">
        <v>4230</v>
      </c>
      <c r="K122" s="31">
        <v>-74557.22</v>
      </c>
      <c r="M122">
        <v>-190</v>
      </c>
      <c r="O122" s="31">
        <v>-74367.22</v>
      </c>
      <c r="Q122" t="s">
        <v>4231</v>
      </c>
    </row>
    <row r="123" spans="3:18">
      <c r="C123">
        <v>5360</v>
      </c>
      <c r="E123" t="s">
        <v>4232</v>
      </c>
      <c r="H123" t="s">
        <v>4233</v>
      </c>
      <c r="K123">
        <v>-0.23</v>
      </c>
      <c r="M123">
        <v>-0.23</v>
      </c>
      <c r="O123">
        <v>0</v>
      </c>
    </row>
    <row r="124" spans="3:18">
      <c r="C124">
        <v>5360</v>
      </c>
      <c r="E124" t="s">
        <v>4234</v>
      </c>
      <c r="H124" t="s">
        <v>4235</v>
      </c>
      <c r="K124" s="31">
        <v>-902693.97</v>
      </c>
      <c r="M124" s="31">
        <v>-902693.97</v>
      </c>
      <c r="O124">
        <v>0</v>
      </c>
    </row>
    <row r="125" spans="3:18">
      <c r="E125" t="s">
        <v>4236</v>
      </c>
      <c r="K125" s="31">
        <v>54199582.049999997</v>
      </c>
      <c r="M125" s="31">
        <v>79250397.010000005</v>
      </c>
      <c r="O125" s="31">
        <v>-25050814.960000001</v>
      </c>
      <c r="Q125">
        <v>-31.6</v>
      </c>
      <c r="R125" t="s">
        <v>611</v>
      </c>
    </row>
    <row r="127" spans="3:18">
      <c r="C127">
        <v>5360</v>
      </c>
      <c r="E127" t="s">
        <v>4237</v>
      </c>
      <c r="H127" t="s">
        <v>4238</v>
      </c>
      <c r="K127" s="31">
        <v>2105.4499999999998</v>
      </c>
      <c r="M127" s="31">
        <v>2105.4499999999998</v>
      </c>
      <c r="O127">
        <v>0</v>
      </c>
    </row>
    <row r="128" spans="3:18">
      <c r="C128">
        <v>5360</v>
      </c>
      <c r="E128" t="s">
        <v>4239</v>
      </c>
      <c r="H128" t="s">
        <v>4240</v>
      </c>
      <c r="K128" s="31">
        <v>1401912.02</v>
      </c>
      <c r="M128" s="31">
        <v>2648022.83</v>
      </c>
      <c r="O128" s="31">
        <v>-1246110.81</v>
      </c>
      <c r="Q128">
        <v>-47.1</v>
      </c>
    </row>
    <row r="129" spans="3:18">
      <c r="C129">
        <v>5360</v>
      </c>
      <c r="E129" t="s">
        <v>4241</v>
      </c>
      <c r="H129" t="s">
        <v>4242</v>
      </c>
      <c r="K129" s="31">
        <v>3238942.03</v>
      </c>
      <c r="M129" s="31">
        <v>3238942.03</v>
      </c>
      <c r="O129">
        <v>0</v>
      </c>
    </row>
    <row r="130" spans="3:18">
      <c r="C130">
        <v>5360</v>
      </c>
      <c r="E130" t="s">
        <v>4243</v>
      </c>
      <c r="H130" t="s">
        <v>4244</v>
      </c>
      <c r="K130" s="31">
        <v>237243.91</v>
      </c>
      <c r="M130" s="31">
        <v>236466.03</v>
      </c>
      <c r="O130">
        <v>777.88</v>
      </c>
      <c r="Q130">
        <v>0.3</v>
      </c>
    </row>
    <row r="131" spans="3:18">
      <c r="C131">
        <v>5360</v>
      </c>
      <c r="E131" t="s">
        <v>4245</v>
      </c>
      <c r="H131" t="s">
        <v>4246</v>
      </c>
      <c r="K131" s="31">
        <v>-39578.879999999997</v>
      </c>
      <c r="M131" s="31">
        <v>-43315.88</v>
      </c>
      <c r="O131" s="31">
        <v>3737</v>
      </c>
      <c r="Q131">
        <v>8.6</v>
      </c>
    </row>
    <row r="132" spans="3:18">
      <c r="C132">
        <v>5360</v>
      </c>
      <c r="E132" t="s">
        <v>4247</v>
      </c>
      <c r="H132" t="s">
        <v>4248</v>
      </c>
      <c r="K132" s="31">
        <v>-1734</v>
      </c>
      <c r="M132" s="31">
        <v>-1734</v>
      </c>
      <c r="O132">
        <v>0</v>
      </c>
    </row>
    <row r="133" spans="3:18">
      <c r="C133">
        <v>5360</v>
      </c>
      <c r="E133" t="s">
        <v>4249</v>
      </c>
      <c r="H133" t="s">
        <v>4250</v>
      </c>
      <c r="K133" s="31">
        <v>-59924.81</v>
      </c>
      <c r="M133" s="31">
        <v>-68557.05</v>
      </c>
      <c r="O133" s="31">
        <v>8632.24</v>
      </c>
      <c r="Q133">
        <v>12.6</v>
      </c>
    </row>
    <row r="134" spans="3:18">
      <c r="C134">
        <v>5360</v>
      </c>
      <c r="E134" t="s">
        <v>4251</v>
      </c>
      <c r="H134" t="s">
        <v>4252</v>
      </c>
      <c r="K134" s="31">
        <v>1240</v>
      </c>
      <c r="M134" s="31">
        <v>1240</v>
      </c>
      <c r="O134">
        <v>0</v>
      </c>
    </row>
    <row r="135" spans="3:18">
      <c r="C135">
        <v>5360</v>
      </c>
      <c r="E135" t="s">
        <v>4253</v>
      </c>
      <c r="H135" t="s">
        <v>4254</v>
      </c>
      <c r="K135" s="31">
        <v>160305.38</v>
      </c>
      <c r="M135" s="31">
        <v>3508216.96</v>
      </c>
      <c r="O135" s="31">
        <v>-3347911.58</v>
      </c>
      <c r="Q135">
        <v>-95.4</v>
      </c>
    </row>
    <row r="136" spans="3:18">
      <c r="C136">
        <v>5360</v>
      </c>
      <c r="E136" t="s">
        <v>4255</v>
      </c>
      <c r="H136" t="s">
        <v>4256</v>
      </c>
      <c r="K136" s="31">
        <v>117409.07</v>
      </c>
      <c r="M136" s="31">
        <v>122509.19</v>
      </c>
      <c r="O136" s="31">
        <v>-5100.12</v>
      </c>
      <c r="Q136">
        <v>-4.2</v>
      </c>
    </row>
    <row r="137" spans="3:18">
      <c r="C137">
        <v>5360</v>
      </c>
      <c r="E137" t="s">
        <v>4257</v>
      </c>
      <c r="H137" t="s">
        <v>4258</v>
      </c>
      <c r="K137" s="31">
        <v>46132</v>
      </c>
      <c r="M137" s="31">
        <v>44624.82</v>
      </c>
      <c r="O137" s="31">
        <v>1507.18</v>
      </c>
      <c r="Q137">
        <v>3.4</v>
      </c>
    </row>
    <row r="138" spans="3:18">
      <c r="E138" t="s">
        <v>4259</v>
      </c>
      <c r="K138" s="31">
        <v>5104052.17</v>
      </c>
      <c r="M138" s="31">
        <v>9688520.3800000008</v>
      </c>
      <c r="O138" s="31">
        <v>-4584468.21</v>
      </c>
      <c r="Q138">
        <v>-47.3</v>
      </c>
      <c r="R138" t="s">
        <v>611</v>
      </c>
    </row>
    <row r="140" spans="3:18">
      <c r="C140">
        <v>5360</v>
      </c>
      <c r="E140" t="s">
        <v>4260</v>
      </c>
      <c r="H140" t="s">
        <v>4261</v>
      </c>
      <c r="K140" s="31">
        <v>-15232663.140000001</v>
      </c>
      <c r="M140" s="31">
        <v>-21359364.84</v>
      </c>
      <c r="O140" s="31">
        <v>6126701.7000000002</v>
      </c>
      <c r="Q140">
        <v>28.7</v>
      </c>
    </row>
    <row r="141" spans="3:18">
      <c r="C141">
        <v>5360</v>
      </c>
      <c r="E141" t="s">
        <v>4262</v>
      </c>
      <c r="H141" t="s">
        <v>4263</v>
      </c>
      <c r="K141">
        <v>-649.99</v>
      </c>
      <c r="M141">
        <v>-649.99</v>
      </c>
      <c r="O141">
        <v>0</v>
      </c>
    </row>
    <row r="142" spans="3:18">
      <c r="C142">
        <v>5360</v>
      </c>
      <c r="E142" t="s">
        <v>4264</v>
      </c>
      <c r="H142" t="s">
        <v>4265</v>
      </c>
      <c r="K142" s="31">
        <v>-2016.38</v>
      </c>
      <c r="M142" s="31">
        <v>-2016.38</v>
      </c>
      <c r="O142">
        <v>0</v>
      </c>
    </row>
    <row r="143" spans="3:18">
      <c r="C143">
        <v>5360</v>
      </c>
      <c r="E143" t="s">
        <v>4266</v>
      </c>
      <c r="H143" t="s">
        <v>4267</v>
      </c>
      <c r="K143" s="31">
        <v>-3685977.57</v>
      </c>
      <c r="M143" s="31">
        <v>-3781025.75</v>
      </c>
      <c r="O143" s="31">
        <v>95048.18</v>
      </c>
      <c r="Q143">
        <v>2.5</v>
      </c>
    </row>
    <row r="144" spans="3:18">
      <c r="E144" t="s">
        <v>4261</v>
      </c>
      <c r="K144" s="31">
        <v>-18921307.079999998</v>
      </c>
      <c r="M144" s="31">
        <v>-25143056.960000001</v>
      </c>
      <c r="O144" s="31">
        <v>6221749.8799999999</v>
      </c>
      <c r="Q144">
        <v>24.7</v>
      </c>
      <c r="R144" t="s">
        <v>569</v>
      </c>
    </row>
    <row r="145" spans="3:18">
      <c r="E145" t="s">
        <v>4268</v>
      </c>
      <c r="K145" s="31">
        <v>-18921307.079999998</v>
      </c>
      <c r="M145" s="31">
        <v>-25143056.960000001</v>
      </c>
      <c r="O145" s="31">
        <v>6221749.8799999999</v>
      </c>
      <c r="Q145">
        <v>24.7</v>
      </c>
      <c r="R145" t="s">
        <v>611</v>
      </c>
    </row>
    <row r="147" spans="3:18">
      <c r="C147">
        <v>5360</v>
      </c>
      <c r="E147" t="s">
        <v>4269</v>
      </c>
      <c r="H147" t="s">
        <v>4270</v>
      </c>
      <c r="K147" s="31">
        <v>2551304440.5</v>
      </c>
      <c r="M147" s="31">
        <v>2616606664.4400001</v>
      </c>
      <c r="O147" s="31">
        <v>-65302223.939999998</v>
      </c>
      <c r="Q147">
        <v>-2.5</v>
      </c>
    </row>
    <row r="148" spans="3:18">
      <c r="C148">
        <v>5360</v>
      </c>
      <c r="E148" t="s">
        <v>4271</v>
      </c>
      <c r="H148" t="s">
        <v>4272</v>
      </c>
      <c r="K148" s="31">
        <v>-2231337897.7399998</v>
      </c>
      <c r="M148" s="31">
        <v>-2231337897.7399998</v>
      </c>
      <c r="O148">
        <v>0</v>
      </c>
    </row>
    <row r="149" spans="3:18">
      <c r="C149">
        <v>5360</v>
      </c>
      <c r="E149" t="s">
        <v>4273</v>
      </c>
      <c r="H149" t="s">
        <v>4274</v>
      </c>
      <c r="K149" s="31">
        <v>-509627.62</v>
      </c>
      <c r="M149">
        <v>0</v>
      </c>
      <c r="O149" s="31">
        <v>-509627.62</v>
      </c>
    </row>
    <row r="150" spans="3:18">
      <c r="C150">
        <v>5360</v>
      </c>
      <c r="E150" t="s">
        <v>4275</v>
      </c>
      <c r="H150" t="s">
        <v>4276</v>
      </c>
      <c r="K150" s="31">
        <v>124416.38</v>
      </c>
      <c r="M150" s="31">
        <v>124416.38</v>
      </c>
      <c r="O150">
        <v>0</v>
      </c>
    </row>
    <row r="151" spans="3:18">
      <c r="C151">
        <v>5360</v>
      </c>
      <c r="E151" t="s">
        <v>4277</v>
      </c>
      <c r="H151" t="s">
        <v>4270</v>
      </c>
      <c r="K151" s="31">
        <v>2570604.3199999998</v>
      </c>
      <c r="M151" s="31">
        <v>2570633.27</v>
      </c>
      <c r="O151">
        <v>-28.95</v>
      </c>
    </row>
    <row r="152" spans="3:18">
      <c r="C152">
        <v>5360</v>
      </c>
      <c r="E152" t="s">
        <v>4278</v>
      </c>
      <c r="H152" t="s">
        <v>4272</v>
      </c>
      <c r="K152" s="31">
        <v>-4675.92</v>
      </c>
      <c r="M152" s="31">
        <v>-4675.92</v>
      </c>
      <c r="O152">
        <v>0</v>
      </c>
    </row>
    <row r="153" spans="3:18">
      <c r="C153">
        <v>5360</v>
      </c>
      <c r="E153" t="s">
        <v>4279</v>
      </c>
      <c r="H153" t="s">
        <v>4280</v>
      </c>
      <c r="K153">
        <v>0</v>
      </c>
      <c r="M153" s="31">
        <v>150591.26</v>
      </c>
      <c r="O153" s="31">
        <v>-150591.26</v>
      </c>
      <c r="Q153">
        <v>-100</v>
      </c>
    </row>
    <row r="154" spans="3:18">
      <c r="E154" t="s">
        <v>4281</v>
      </c>
      <c r="K154" s="31">
        <v>322147259.92000002</v>
      </c>
      <c r="M154" s="31">
        <v>388109731.69</v>
      </c>
      <c r="O154" s="31">
        <v>-65962471.770000003</v>
      </c>
      <c r="Q154">
        <v>-17</v>
      </c>
      <c r="R154" t="s">
        <v>611</v>
      </c>
    </row>
    <row r="156" spans="3:18">
      <c r="C156">
        <v>5360</v>
      </c>
      <c r="E156" t="s">
        <v>4282</v>
      </c>
      <c r="H156" t="s">
        <v>4283</v>
      </c>
      <c r="K156" s="31">
        <v>8535099.4499999993</v>
      </c>
      <c r="M156" s="31">
        <v>8042722.4699999997</v>
      </c>
      <c r="O156" s="31">
        <v>492376.98</v>
      </c>
      <c r="Q156">
        <v>6.1</v>
      </c>
    </row>
    <row r="157" spans="3:18">
      <c r="C157">
        <v>5360</v>
      </c>
      <c r="E157" t="s">
        <v>4284</v>
      </c>
      <c r="H157" t="s">
        <v>4285</v>
      </c>
      <c r="K157" s="31">
        <v>3348115.55</v>
      </c>
      <c r="M157" s="31">
        <v>3297775.84</v>
      </c>
      <c r="O157" s="31">
        <v>50339.71</v>
      </c>
      <c r="Q157">
        <v>1.5</v>
      </c>
    </row>
    <row r="158" spans="3:18">
      <c r="E158" t="s">
        <v>4286</v>
      </c>
      <c r="K158" s="31">
        <v>11883215</v>
      </c>
      <c r="M158" s="31">
        <v>11340498.310000001</v>
      </c>
      <c r="O158" s="31">
        <v>542716.68999999994</v>
      </c>
      <c r="Q158">
        <v>4.8</v>
      </c>
      <c r="R158" t="s">
        <v>611</v>
      </c>
    </row>
    <row r="160" spans="3:18">
      <c r="C160">
        <v>5360</v>
      </c>
      <c r="E160" t="s">
        <v>4287</v>
      </c>
      <c r="H160" t="s">
        <v>4288</v>
      </c>
      <c r="K160" s="31">
        <v>187422.05</v>
      </c>
      <c r="M160" s="31">
        <v>189688.45</v>
      </c>
      <c r="O160" s="31">
        <v>-2266.4</v>
      </c>
      <c r="Q160">
        <v>-1.2</v>
      </c>
    </row>
    <row r="161" spans="3:18">
      <c r="C161">
        <v>5360</v>
      </c>
      <c r="E161" t="s">
        <v>4289</v>
      </c>
      <c r="H161" t="s">
        <v>4290</v>
      </c>
      <c r="K161" s="31">
        <v>3884631.38</v>
      </c>
      <c r="M161" s="31">
        <v>4212145.9800000004</v>
      </c>
      <c r="O161" s="31">
        <v>-327514.59999999998</v>
      </c>
      <c r="Q161">
        <v>-7.8</v>
      </c>
    </row>
    <row r="162" spans="3:18">
      <c r="C162">
        <v>5360</v>
      </c>
      <c r="E162" t="s">
        <v>4291</v>
      </c>
      <c r="H162" t="s">
        <v>4292</v>
      </c>
      <c r="K162" s="31">
        <v>-174135.23</v>
      </c>
      <c r="M162" s="31">
        <v>-174135.23</v>
      </c>
      <c r="O162">
        <v>0</v>
      </c>
    </row>
    <row r="163" spans="3:18">
      <c r="C163">
        <v>5360</v>
      </c>
      <c r="E163" t="s">
        <v>4293</v>
      </c>
      <c r="H163" t="s">
        <v>4294</v>
      </c>
      <c r="K163" s="31">
        <v>821720.57</v>
      </c>
      <c r="M163" s="31">
        <v>951466.89</v>
      </c>
      <c r="O163" s="31">
        <v>-129746.32</v>
      </c>
      <c r="Q163">
        <v>-13.6</v>
      </c>
    </row>
    <row r="164" spans="3:18">
      <c r="C164">
        <v>5360</v>
      </c>
      <c r="E164" t="s">
        <v>4295</v>
      </c>
      <c r="H164" t="s">
        <v>4296</v>
      </c>
      <c r="K164" s="31">
        <v>2662886.4900000002</v>
      </c>
      <c r="M164" s="31">
        <v>2970547.5</v>
      </c>
      <c r="O164" s="31">
        <v>-307661.01</v>
      </c>
      <c r="Q164">
        <v>-10.4</v>
      </c>
    </row>
    <row r="165" spans="3:18">
      <c r="C165">
        <v>5360</v>
      </c>
      <c r="E165" t="s">
        <v>4297</v>
      </c>
      <c r="H165" t="s">
        <v>4296</v>
      </c>
      <c r="K165" s="31">
        <v>27354.51</v>
      </c>
      <c r="M165" s="31">
        <v>27354.51</v>
      </c>
      <c r="O165">
        <v>0</v>
      </c>
    </row>
    <row r="166" spans="3:18">
      <c r="E166" t="s">
        <v>4298</v>
      </c>
      <c r="K166" s="31">
        <v>7409879.7699999996</v>
      </c>
      <c r="M166" s="31">
        <v>8177068.0999999996</v>
      </c>
      <c r="O166" s="31">
        <v>-767188.33</v>
      </c>
      <c r="Q166">
        <v>-9.4</v>
      </c>
      <c r="R166" t="s">
        <v>611</v>
      </c>
    </row>
    <row r="168" spans="3:18">
      <c r="C168">
        <v>5360</v>
      </c>
      <c r="E168" t="s">
        <v>4299</v>
      </c>
      <c r="H168" t="s">
        <v>4300</v>
      </c>
      <c r="K168" s="31">
        <v>429227.45</v>
      </c>
      <c r="M168" s="31">
        <v>1222438.4099999999</v>
      </c>
      <c r="O168" s="31">
        <v>-793210.96</v>
      </c>
      <c r="Q168">
        <v>-64.900000000000006</v>
      </c>
    </row>
    <row r="169" spans="3:18">
      <c r="C169">
        <v>5360</v>
      </c>
      <c r="E169" t="s">
        <v>4301</v>
      </c>
      <c r="H169" t="s">
        <v>4302</v>
      </c>
      <c r="K169">
        <v>0.09</v>
      </c>
      <c r="M169">
        <v>0.09</v>
      </c>
      <c r="O169">
        <v>0</v>
      </c>
    </row>
    <row r="170" spans="3:18">
      <c r="C170">
        <v>5360</v>
      </c>
      <c r="E170" t="s">
        <v>4303</v>
      </c>
      <c r="H170" t="s">
        <v>4304</v>
      </c>
      <c r="K170" s="31">
        <v>51900.32</v>
      </c>
      <c r="M170" s="31">
        <v>2007.95</v>
      </c>
      <c r="O170" s="31">
        <v>49892.37</v>
      </c>
      <c r="Q170">
        <v>2484.6999999999998</v>
      </c>
    </row>
    <row r="171" spans="3:18">
      <c r="C171">
        <v>5360</v>
      </c>
      <c r="E171" t="s">
        <v>4305</v>
      </c>
      <c r="H171" t="s">
        <v>4306</v>
      </c>
      <c r="K171">
        <v>-0.09</v>
      </c>
      <c r="M171">
        <v>-0.09</v>
      </c>
      <c r="O171">
        <v>0</v>
      </c>
    </row>
    <row r="172" spans="3:18">
      <c r="E172" t="s">
        <v>4307</v>
      </c>
      <c r="K172" s="31">
        <v>481127.77</v>
      </c>
      <c r="M172" s="31">
        <v>1224446.3600000001</v>
      </c>
      <c r="O172" s="31">
        <v>-743318.59</v>
      </c>
      <c r="Q172">
        <v>-60.7</v>
      </c>
      <c r="R172" t="s">
        <v>611</v>
      </c>
    </row>
    <row r="174" spans="3:18">
      <c r="C174">
        <v>5360</v>
      </c>
      <c r="E174" t="s">
        <v>4308</v>
      </c>
      <c r="H174" t="s">
        <v>4309</v>
      </c>
      <c r="K174" s="31">
        <v>81233.929999999993</v>
      </c>
      <c r="M174" s="31">
        <v>150591.26</v>
      </c>
      <c r="O174" s="31">
        <v>-69357.33</v>
      </c>
      <c r="Q174">
        <v>-46.1</v>
      </c>
    </row>
    <row r="175" spans="3:18">
      <c r="C175">
        <v>5360</v>
      </c>
      <c r="E175" t="s">
        <v>4310</v>
      </c>
      <c r="H175" t="s">
        <v>4311</v>
      </c>
      <c r="K175">
        <v>0</v>
      </c>
      <c r="M175" s="31">
        <v>-150591.26</v>
      </c>
      <c r="O175" s="31">
        <v>150591.26</v>
      </c>
      <c r="Q175">
        <v>100</v>
      </c>
    </row>
    <row r="176" spans="3:18">
      <c r="E176" t="s">
        <v>4312</v>
      </c>
      <c r="K176" s="31">
        <v>81233.929999999993</v>
      </c>
      <c r="M176">
        <v>0</v>
      </c>
      <c r="O176" s="31">
        <v>81233.929999999993</v>
      </c>
      <c r="R176" t="s">
        <v>611</v>
      </c>
    </row>
    <row r="178" spans="3:18">
      <c r="C178">
        <v>5360</v>
      </c>
      <c r="E178" t="s">
        <v>3607</v>
      </c>
      <c r="H178" t="s">
        <v>4313</v>
      </c>
      <c r="K178" s="31">
        <v>6463173.9199999999</v>
      </c>
      <c r="M178" s="31">
        <v>34444421.890000001</v>
      </c>
      <c r="O178" s="31">
        <v>-27981247.969999999</v>
      </c>
      <c r="Q178">
        <v>-81.2</v>
      </c>
    </row>
    <row r="179" spans="3:18">
      <c r="E179" t="s">
        <v>4314</v>
      </c>
      <c r="K179" s="31">
        <v>6463173.9199999999</v>
      </c>
      <c r="M179" s="31">
        <v>34444421.890000001</v>
      </c>
      <c r="O179" s="31">
        <v>-27981247.969999999</v>
      </c>
      <c r="Q179">
        <v>-81.2</v>
      </c>
      <c r="R179" t="s">
        <v>611</v>
      </c>
    </row>
    <row r="181" spans="3:18">
      <c r="C181">
        <v>5360</v>
      </c>
      <c r="E181" t="s">
        <v>4315</v>
      </c>
      <c r="H181" t="s">
        <v>4316</v>
      </c>
      <c r="K181" s="31">
        <v>60668.94</v>
      </c>
      <c r="M181" s="31">
        <v>10312.93</v>
      </c>
      <c r="O181" s="31">
        <v>50356.01</v>
      </c>
      <c r="Q181">
        <v>488.3</v>
      </c>
    </row>
    <row r="182" spans="3:18">
      <c r="E182" t="s">
        <v>4317</v>
      </c>
      <c r="K182" s="31">
        <v>60668.94</v>
      </c>
      <c r="M182" s="31">
        <v>10312.93</v>
      </c>
      <c r="O182" s="31">
        <v>50356.01</v>
      </c>
      <c r="Q182">
        <v>488.3</v>
      </c>
      <c r="R182" t="s">
        <v>611</v>
      </c>
    </row>
    <row r="184" spans="3:18">
      <c r="C184">
        <v>5360</v>
      </c>
      <c r="E184" t="s">
        <v>4318</v>
      </c>
      <c r="H184" t="s">
        <v>4319</v>
      </c>
      <c r="K184" s="31">
        <v>129621.31</v>
      </c>
      <c r="M184" s="31">
        <v>93762.66</v>
      </c>
      <c r="O184" s="31">
        <v>35858.65</v>
      </c>
      <c r="Q184">
        <v>38.200000000000003</v>
      </c>
    </row>
    <row r="185" spans="3:18">
      <c r="C185">
        <v>5360</v>
      </c>
      <c r="E185" t="s">
        <v>4320</v>
      </c>
      <c r="H185" t="s">
        <v>4319</v>
      </c>
      <c r="K185" s="31">
        <v>6543197.2199999997</v>
      </c>
      <c r="M185" s="31">
        <v>2589749.98</v>
      </c>
      <c r="O185" s="31">
        <v>3953447.24</v>
      </c>
      <c r="Q185">
        <v>152.69999999999999</v>
      </c>
    </row>
    <row r="186" spans="3:18">
      <c r="E186" t="s">
        <v>4321</v>
      </c>
      <c r="K186" s="31">
        <v>6672818.5300000003</v>
      </c>
      <c r="M186" s="31">
        <v>2683512.64</v>
      </c>
      <c r="O186" s="31">
        <v>3989305.89</v>
      </c>
      <c r="Q186">
        <v>148.69999999999999</v>
      </c>
      <c r="R186" t="s">
        <v>611</v>
      </c>
    </row>
    <row r="188" spans="3:18">
      <c r="E188" t="s">
        <v>4322</v>
      </c>
      <c r="K188" s="31">
        <v>395948595.99000001</v>
      </c>
      <c r="M188" s="31">
        <v>510150663.42000002</v>
      </c>
      <c r="O188" s="31">
        <v>-114202067.43000001</v>
      </c>
      <c r="Q188">
        <v>-22.4</v>
      </c>
      <c r="R188" t="s">
        <v>930</v>
      </c>
    </row>
    <row r="190" spans="3:18">
      <c r="C190">
        <v>5360</v>
      </c>
      <c r="E190" t="s">
        <v>4323</v>
      </c>
      <c r="H190" t="s">
        <v>4324</v>
      </c>
      <c r="K190" s="31">
        <v>30037.69</v>
      </c>
      <c r="M190" s="31">
        <v>30037.69</v>
      </c>
      <c r="O190">
        <v>0</v>
      </c>
    </row>
    <row r="191" spans="3:18">
      <c r="C191">
        <v>5360</v>
      </c>
      <c r="E191" t="s">
        <v>4325</v>
      </c>
      <c r="H191" t="s">
        <v>4326</v>
      </c>
      <c r="K191" s="31">
        <v>37291439.130000003</v>
      </c>
      <c r="M191" s="31">
        <v>35617153.729999997</v>
      </c>
      <c r="O191" s="31">
        <v>1674285.4</v>
      </c>
      <c r="Q191">
        <v>4.7</v>
      </c>
    </row>
    <row r="192" spans="3:18">
      <c r="C192">
        <v>5360</v>
      </c>
      <c r="E192" t="s">
        <v>4327</v>
      </c>
      <c r="H192" t="s">
        <v>4328</v>
      </c>
      <c r="K192" s="31">
        <v>3149625.84</v>
      </c>
      <c r="M192" s="31">
        <v>2793861.77</v>
      </c>
      <c r="O192" s="31">
        <v>355764.07</v>
      </c>
      <c r="Q192">
        <v>12.7</v>
      </c>
    </row>
    <row r="193" spans="3:17">
      <c r="C193">
        <v>5360</v>
      </c>
      <c r="E193" t="s">
        <v>4329</v>
      </c>
      <c r="H193" t="s">
        <v>4330</v>
      </c>
      <c r="K193" s="31">
        <v>66903.33</v>
      </c>
      <c r="M193" s="31">
        <v>548553.56000000006</v>
      </c>
      <c r="O193" s="31">
        <v>-481650.23</v>
      </c>
      <c r="Q193">
        <v>-87.8</v>
      </c>
    </row>
    <row r="194" spans="3:17">
      <c r="C194">
        <v>5360</v>
      </c>
      <c r="E194" t="s">
        <v>4331</v>
      </c>
      <c r="H194" t="s">
        <v>4324</v>
      </c>
      <c r="K194" s="31">
        <v>7030636.6799999997</v>
      </c>
      <c r="M194" s="31">
        <v>6823299.79</v>
      </c>
      <c r="O194" s="31">
        <v>207336.89</v>
      </c>
      <c r="Q194">
        <v>3</v>
      </c>
    </row>
    <row r="195" spans="3:17">
      <c r="C195">
        <v>5360</v>
      </c>
      <c r="E195" t="s">
        <v>4332</v>
      </c>
      <c r="H195" t="s">
        <v>4333</v>
      </c>
      <c r="K195" s="31">
        <v>11465958.83</v>
      </c>
      <c r="M195" s="31">
        <v>12949797.609999999</v>
      </c>
      <c r="O195" s="31">
        <v>-1483838.78</v>
      </c>
      <c r="Q195">
        <v>-11.5</v>
      </c>
    </row>
    <row r="196" spans="3:17">
      <c r="C196">
        <v>5360</v>
      </c>
      <c r="E196" t="s">
        <v>4334</v>
      </c>
      <c r="H196" t="s">
        <v>4335</v>
      </c>
      <c r="K196" s="31">
        <v>6768692.8399999999</v>
      </c>
      <c r="M196" s="31">
        <v>16480754.68</v>
      </c>
      <c r="O196" s="31">
        <v>-9712061.8399999999</v>
      </c>
      <c r="Q196">
        <v>-58.9</v>
      </c>
    </row>
    <row r="197" spans="3:17">
      <c r="C197">
        <v>5360</v>
      </c>
      <c r="E197" t="s">
        <v>4336</v>
      </c>
      <c r="H197" t="s">
        <v>4337</v>
      </c>
      <c r="K197" s="31">
        <v>244948</v>
      </c>
      <c r="M197" s="31">
        <v>178144</v>
      </c>
      <c r="O197" s="31">
        <v>66804</v>
      </c>
      <c r="Q197">
        <v>37.5</v>
      </c>
    </row>
    <row r="198" spans="3:17">
      <c r="C198">
        <v>5360</v>
      </c>
      <c r="E198" t="s">
        <v>4338</v>
      </c>
      <c r="H198" t="s">
        <v>4339</v>
      </c>
      <c r="K198" s="31">
        <v>1879108.44</v>
      </c>
      <c r="M198" s="31">
        <v>1689750.51</v>
      </c>
      <c r="O198" s="31">
        <v>189357.93</v>
      </c>
      <c r="Q198">
        <v>11.2</v>
      </c>
    </row>
    <row r="199" spans="3:17">
      <c r="C199">
        <v>5360</v>
      </c>
      <c r="E199" t="s">
        <v>4340</v>
      </c>
      <c r="H199" t="s">
        <v>4341</v>
      </c>
      <c r="K199" s="31">
        <v>77443881.549999997</v>
      </c>
      <c r="M199" s="31">
        <v>76222191.310000002</v>
      </c>
      <c r="O199" s="31">
        <v>1221690.24</v>
      </c>
      <c r="Q199">
        <v>1.6</v>
      </c>
    </row>
    <row r="200" spans="3:17">
      <c r="C200">
        <v>5360</v>
      </c>
      <c r="E200" t="s">
        <v>4342</v>
      </c>
      <c r="H200" t="s">
        <v>4343</v>
      </c>
      <c r="K200" s="31">
        <v>-3108290.91</v>
      </c>
      <c r="M200" s="31">
        <v>-3103294.92</v>
      </c>
      <c r="O200" s="31">
        <v>-4995.99</v>
      </c>
      <c r="Q200">
        <v>-0.2</v>
      </c>
    </row>
    <row r="201" spans="3:17">
      <c r="C201">
        <v>5360</v>
      </c>
      <c r="E201" t="s">
        <v>4344</v>
      </c>
      <c r="H201" t="s">
        <v>4345</v>
      </c>
      <c r="K201" s="31">
        <v>208843.71</v>
      </c>
      <c r="M201" s="31">
        <v>22021.22</v>
      </c>
      <c r="O201" s="31">
        <v>186822.49</v>
      </c>
      <c r="Q201">
        <v>848.4</v>
      </c>
    </row>
    <row r="202" spans="3:17">
      <c r="C202">
        <v>5360</v>
      </c>
      <c r="E202" t="s">
        <v>4346</v>
      </c>
      <c r="H202" t="s">
        <v>4347</v>
      </c>
      <c r="K202" s="31">
        <v>330365.21000000002</v>
      </c>
      <c r="M202" s="31">
        <v>165182.57</v>
      </c>
      <c r="O202" s="31">
        <v>165182.64000000001</v>
      </c>
      <c r="Q202">
        <v>100</v>
      </c>
    </row>
    <row r="203" spans="3:17">
      <c r="C203">
        <v>5360</v>
      </c>
      <c r="E203" t="s">
        <v>4348</v>
      </c>
      <c r="H203" t="s">
        <v>4349</v>
      </c>
      <c r="K203" s="31">
        <v>1790336.1</v>
      </c>
      <c r="M203" s="31">
        <v>2499463.08</v>
      </c>
      <c r="O203" s="31">
        <v>-709126.98</v>
      </c>
      <c r="Q203">
        <v>-28.4</v>
      </c>
    </row>
    <row r="204" spans="3:17">
      <c r="C204">
        <v>5360</v>
      </c>
      <c r="E204" t="s">
        <v>4350</v>
      </c>
      <c r="H204" t="s">
        <v>4351</v>
      </c>
      <c r="K204" s="31">
        <v>1618814.65</v>
      </c>
      <c r="M204" s="31">
        <v>1444635.82</v>
      </c>
      <c r="O204" s="31">
        <v>174178.83</v>
      </c>
      <c r="Q204">
        <v>12.1</v>
      </c>
    </row>
    <row r="205" spans="3:17">
      <c r="C205">
        <v>5360</v>
      </c>
      <c r="E205" t="s">
        <v>4352</v>
      </c>
      <c r="H205" t="s">
        <v>4353</v>
      </c>
      <c r="K205" s="31">
        <v>-153853.85999999999</v>
      </c>
      <c r="M205" s="31">
        <v>-151732.99</v>
      </c>
      <c r="O205" s="31">
        <v>-2120.87</v>
      </c>
      <c r="Q205">
        <v>-1.4</v>
      </c>
    </row>
    <row r="206" spans="3:17">
      <c r="C206">
        <v>5360</v>
      </c>
      <c r="E206" t="s">
        <v>4354</v>
      </c>
      <c r="H206" t="s">
        <v>4355</v>
      </c>
      <c r="K206" s="31">
        <v>733357.07</v>
      </c>
      <c r="M206" s="31">
        <v>895772.47</v>
      </c>
      <c r="O206" s="31">
        <v>-162415.4</v>
      </c>
      <c r="Q206">
        <v>-18.100000000000001</v>
      </c>
    </row>
    <row r="207" spans="3:17">
      <c r="C207">
        <v>5360</v>
      </c>
      <c r="E207" t="s">
        <v>4356</v>
      </c>
      <c r="H207" t="s">
        <v>4357</v>
      </c>
      <c r="K207">
        <v>0</v>
      </c>
      <c r="M207" s="31">
        <v>115358.69</v>
      </c>
      <c r="O207" s="31">
        <v>-115358.69</v>
      </c>
      <c r="Q207">
        <v>-100</v>
      </c>
    </row>
    <row r="208" spans="3:17">
      <c r="C208">
        <v>5360</v>
      </c>
      <c r="E208" t="s">
        <v>4358</v>
      </c>
      <c r="H208" t="s">
        <v>4359</v>
      </c>
      <c r="K208" s="31">
        <v>31850820.98</v>
      </c>
      <c r="M208" s="31">
        <v>31346939.260000002</v>
      </c>
      <c r="O208" s="31">
        <v>503881.72</v>
      </c>
      <c r="Q208">
        <v>1.6</v>
      </c>
    </row>
    <row r="209" spans="3:18">
      <c r="C209">
        <v>5360</v>
      </c>
      <c r="E209" t="s">
        <v>4360</v>
      </c>
      <c r="H209" t="s">
        <v>4361</v>
      </c>
      <c r="K209">
        <v>0</v>
      </c>
      <c r="M209" s="31">
        <v>56824.58</v>
      </c>
      <c r="O209" s="31">
        <v>-56824.58</v>
      </c>
      <c r="Q209">
        <v>-100</v>
      </c>
    </row>
    <row r="210" spans="3:18">
      <c r="C210">
        <v>5360</v>
      </c>
      <c r="E210" t="s">
        <v>4362</v>
      </c>
      <c r="H210" t="s">
        <v>4363</v>
      </c>
      <c r="K210">
        <v>0</v>
      </c>
      <c r="M210" s="31">
        <v>37760.32</v>
      </c>
      <c r="O210" s="31">
        <v>-37760.32</v>
      </c>
      <c r="Q210">
        <v>-100</v>
      </c>
    </row>
    <row r="211" spans="3:18">
      <c r="C211">
        <v>5360</v>
      </c>
      <c r="E211" t="s">
        <v>4364</v>
      </c>
      <c r="H211" t="s">
        <v>4365</v>
      </c>
      <c r="K211">
        <v>0</v>
      </c>
      <c r="M211" s="31">
        <v>8704.39</v>
      </c>
      <c r="O211" s="31">
        <v>-8704.39</v>
      </c>
      <c r="Q211">
        <v>-100</v>
      </c>
    </row>
    <row r="212" spans="3:18">
      <c r="C212">
        <v>5360</v>
      </c>
      <c r="E212" t="s">
        <v>4366</v>
      </c>
      <c r="H212" t="s">
        <v>4367</v>
      </c>
      <c r="K212">
        <v>0</v>
      </c>
      <c r="M212" s="31">
        <v>2191779.19</v>
      </c>
      <c r="O212" s="31">
        <v>-2191779.19</v>
      </c>
      <c r="Q212">
        <v>-100</v>
      </c>
    </row>
    <row r="213" spans="3:18">
      <c r="C213">
        <v>5360</v>
      </c>
      <c r="E213" t="s">
        <v>4368</v>
      </c>
      <c r="H213" t="s">
        <v>4369</v>
      </c>
      <c r="K213" s="31">
        <v>7124793.2400000002</v>
      </c>
      <c r="M213" s="31">
        <v>8289136.1399999997</v>
      </c>
      <c r="O213" s="31">
        <v>-1164342.8999999999</v>
      </c>
      <c r="Q213">
        <v>-14</v>
      </c>
    </row>
    <row r="214" spans="3:18">
      <c r="C214">
        <v>5360</v>
      </c>
      <c r="E214" t="s">
        <v>4370</v>
      </c>
      <c r="H214" t="s">
        <v>4371</v>
      </c>
      <c r="K214" s="31">
        <v>941094.06</v>
      </c>
      <c r="M214" s="31">
        <v>834549.06</v>
      </c>
      <c r="O214" s="31">
        <v>106545</v>
      </c>
      <c r="Q214">
        <v>12.8</v>
      </c>
    </row>
    <row r="215" spans="3:18">
      <c r="E215" t="s">
        <v>4372</v>
      </c>
      <c r="K215" s="31">
        <v>186707512.58000001</v>
      </c>
      <c r="M215" s="31">
        <v>197986643.53</v>
      </c>
      <c r="O215" s="31">
        <v>-11279130.949999999</v>
      </c>
      <c r="Q215">
        <v>-5.7</v>
      </c>
      <c r="R215" t="s">
        <v>611</v>
      </c>
    </row>
    <row r="217" spans="3:18">
      <c r="E217" t="s">
        <v>4373</v>
      </c>
      <c r="K217" s="31">
        <v>186707512.58000001</v>
      </c>
      <c r="M217" s="31">
        <v>197986643.53</v>
      </c>
      <c r="O217" s="31">
        <v>-11279130.949999999</v>
      </c>
      <c r="Q217">
        <v>-5.7</v>
      </c>
      <c r="R217" t="s">
        <v>930</v>
      </c>
    </row>
    <row r="219" spans="3:18">
      <c r="C219">
        <v>5360</v>
      </c>
      <c r="E219" t="s">
        <v>4374</v>
      </c>
      <c r="H219" t="s">
        <v>4375</v>
      </c>
      <c r="K219" s="31">
        <v>39434.300000000003</v>
      </c>
      <c r="M219" s="31">
        <v>36452.269999999997</v>
      </c>
      <c r="O219" s="31">
        <v>2982.03</v>
      </c>
      <c r="Q219">
        <v>8.1999999999999993</v>
      </c>
    </row>
    <row r="220" spans="3:18">
      <c r="E220" t="s">
        <v>4376</v>
      </c>
      <c r="K220" s="31">
        <v>39434.300000000003</v>
      </c>
      <c r="M220" s="31">
        <v>36452.269999999997</v>
      </c>
      <c r="O220" s="31">
        <v>2982.03</v>
      </c>
      <c r="Q220">
        <v>8.1999999999999993</v>
      </c>
      <c r="R220" t="s">
        <v>611</v>
      </c>
    </row>
    <row r="222" spans="3:18">
      <c r="C222">
        <v>5360</v>
      </c>
      <c r="E222" t="s">
        <v>4377</v>
      </c>
      <c r="H222" t="s">
        <v>4378</v>
      </c>
      <c r="K222" s="31">
        <v>7365.16</v>
      </c>
      <c r="M222" s="31">
        <v>7365.16</v>
      </c>
      <c r="O222">
        <v>0</v>
      </c>
    </row>
    <row r="223" spans="3:18">
      <c r="E223" t="s">
        <v>4379</v>
      </c>
      <c r="K223" s="31">
        <v>7365.16</v>
      </c>
      <c r="M223" s="31">
        <v>7365.16</v>
      </c>
      <c r="O223">
        <v>0</v>
      </c>
      <c r="R223" t="s">
        <v>611</v>
      </c>
    </row>
    <row r="225" spans="3:17">
      <c r="C225">
        <v>5360</v>
      </c>
      <c r="E225" t="s">
        <v>4380</v>
      </c>
      <c r="H225" t="s">
        <v>4381</v>
      </c>
      <c r="K225" s="31">
        <v>-6349910.7000000002</v>
      </c>
      <c r="M225" s="31">
        <v>-6349910.7000000002</v>
      </c>
      <c r="O225">
        <v>0</v>
      </c>
    </row>
    <row r="226" spans="3:17">
      <c r="C226">
        <v>5360</v>
      </c>
      <c r="E226" t="s">
        <v>4382</v>
      </c>
      <c r="H226" t="s">
        <v>4383</v>
      </c>
      <c r="K226" s="31">
        <v>3114717.06</v>
      </c>
      <c r="M226" s="31">
        <v>4477122.87</v>
      </c>
      <c r="O226" s="31">
        <v>-1362405.81</v>
      </c>
      <c r="Q226">
        <v>-30.4</v>
      </c>
    </row>
    <row r="227" spans="3:17">
      <c r="C227">
        <v>5360</v>
      </c>
      <c r="E227" t="s">
        <v>4384</v>
      </c>
      <c r="H227" t="s">
        <v>4385</v>
      </c>
      <c r="K227" s="31">
        <v>496681.22</v>
      </c>
      <c r="M227" s="31">
        <v>1164999.23</v>
      </c>
      <c r="O227" s="31">
        <v>-668318.01</v>
      </c>
      <c r="Q227">
        <v>-57.4</v>
      </c>
    </row>
    <row r="228" spans="3:17">
      <c r="C228">
        <v>5360</v>
      </c>
      <c r="E228" t="s">
        <v>4386</v>
      </c>
      <c r="H228" t="s">
        <v>4387</v>
      </c>
      <c r="K228" s="31">
        <v>1707931.31</v>
      </c>
      <c r="M228" s="31">
        <v>2811062.06</v>
      </c>
      <c r="O228" s="31">
        <v>-1103130.75</v>
      </c>
      <c r="Q228">
        <v>-39.200000000000003</v>
      </c>
    </row>
    <row r="229" spans="3:17">
      <c r="C229">
        <v>5360</v>
      </c>
      <c r="E229" t="s">
        <v>4388</v>
      </c>
      <c r="H229" t="s">
        <v>4389</v>
      </c>
      <c r="K229" s="31">
        <v>649313.88</v>
      </c>
      <c r="M229" s="31">
        <v>1037574.52</v>
      </c>
      <c r="O229" s="31">
        <v>-388260.64</v>
      </c>
      <c r="Q229">
        <v>-37.4</v>
      </c>
    </row>
    <row r="230" spans="3:17">
      <c r="C230">
        <v>5360</v>
      </c>
      <c r="E230" t="s">
        <v>4390</v>
      </c>
      <c r="H230" t="s">
        <v>4391</v>
      </c>
      <c r="K230" s="31">
        <v>7345.5</v>
      </c>
      <c r="M230" s="31">
        <v>7345.5</v>
      </c>
      <c r="O230">
        <v>0</v>
      </c>
    </row>
    <row r="231" spans="3:17">
      <c r="C231">
        <v>5360</v>
      </c>
      <c r="E231" t="s">
        <v>4392</v>
      </c>
      <c r="H231" t="s">
        <v>4393</v>
      </c>
      <c r="K231">
        <v>0</v>
      </c>
      <c r="M231">
        <v>198.43</v>
      </c>
      <c r="O231">
        <v>-198.43</v>
      </c>
      <c r="Q231">
        <v>-100</v>
      </c>
    </row>
    <row r="232" spans="3:17">
      <c r="C232">
        <v>5360</v>
      </c>
      <c r="E232" t="s">
        <v>4394</v>
      </c>
      <c r="H232" t="s">
        <v>4395</v>
      </c>
      <c r="K232" s="31">
        <v>182956.97</v>
      </c>
      <c r="M232" s="31">
        <v>316141.84999999998</v>
      </c>
      <c r="O232" s="31">
        <v>-133184.88</v>
      </c>
      <c r="Q232">
        <v>-42.1</v>
      </c>
    </row>
    <row r="233" spans="3:17">
      <c r="C233">
        <v>5360</v>
      </c>
      <c r="E233" t="s">
        <v>4396</v>
      </c>
      <c r="H233" t="s">
        <v>4397</v>
      </c>
      <c r="K233" s="31">
        <v>4742.95</v>
      </c>
      <c r="M233" s="31">
        <v>6685.35</v>
      </c>
      <c r="O233" s="31">
        <v>-1942.4</v>
      </c>
      <c r="Q233">
        <v>-29.1</v>
      </c>
    </row>
    <row r="234" spans="3:17">
      <c r="C234">
        <v>5360</v>
      </c>
      <c r="E234" t="s">
        <v>4398</v>
      </c>
      <c r="H234" t="s">
        <v>4399</v>
      </c>
      <c r="K234" s="31">
        <v>41446.769999999997</v>
      </c>
      <c r="M234" s="31">
        <v>61376.19</v>
      </c>
      <c r="O234" s="31">
        <v>-19929.419999999998</v>
      </c>
      <c r="Q234">
        <v>-32.5</v>
      </c>
    </row>
    <row r="235" spans="3:17">
      <c r="C235">
        <v>5360</v>
      </c>
      <c r="E235" t="s">
        <v>4400</v>
      </c>
      <c r="H235" t="s">
        <v>4401</v>
      </c>
      <c r="K235" s="31">
        <v>133811.51999999999</v>
      </c>
      <c r="M235" s="31">
        <v>283483.8</v>
      </c>
      <c r="O235" s="31">
        <v>-149672.28</v>
      </c>
      <c r="Q235">
        <v>-52.8</v>
      </c>
    </row>
    <row r="236" spans="3:17">
      <c r="C236">
        <v>5360</v>
      </c>
      <c r="E236" t="s">
        <v>4402</v>
      </c>
      <c r="H236" t="s">
        <v>4403</v>
      </c>
      <c r="K236" s="31">
        <v>220751.27</v>
      </c>
      <c r="M236" s="31">
        <v>-13598.46</v>
      </c>
      <c r="O236" s="31">
        <v>234349.73</v>
      </c>
      <c r="Q236">
        <v>1723.4</v>
      </c>
    </row>
    <row r="237" spans="3:17">
      <c r="C237">
        <v>5360</v>
      </c>
      <c r="E237" t="s">
        <v>4404</v>
      </c>
      <c r="H237" t="s">
        <v>4405</v>
      </c>
      <c r="K237" s="31">
        <v>-9248730.6300000008</v>
      </c>
      <c r="M237" s="31">
        <v>-9201237.0800000001</v>
      </c>
      <c r="O237" s="31">
        <v>-47493.55</v>
      </c>
      <c r="Q237">
        <v>-0.5</v>
      </c>
    </row>
    <row r="238" spans="3:17">
      <c r="C238">
        <v>5360</v>
      </c>
      <c r="E238" t="s">
        <v>4406</v>
      </c>
      <c r="H238" t="s">
        <v>4407</v>
      </c>
      <c r="K238" s="31">
        <v>-3223624.52</v>
      </c>
      <c r="M238" s="31">
        <v>-3204425.68</v>
      </c>
      <c r="O238" s="31">
        <v>-19198.84</v>
      </c>
      <c r="Q238">
        <v>-0.6</v>
      </c>
    </row>
    <row r="239" spans="3:17">
      <c r="C239">
        <v>5360</v>
      </c>
      <c r="E239" t="s">
        <v>4408</v>
      </c>
      <c r="H239" t="s">
        <v>4409</v>
      </c>
      <c r="K239" s="31">
        <v>-44452.77</v>
      </c>
      <c r="M239" s="31">
        <v>14352.88</v>
      </c>
      <c r="O239" s="31">
        <v>-58805.65</v>
      </c>
      <c r="Q239">
        <v>-409.7</v>
      </c>
    </row>
    <row r="240" spans="3:17">
      <c r="C240">
        <v>5360</v>
      </c>
      <c r="E240" t="s">
        <v>4410</v>
      </c>
      <c r="H240" t="s">
        <v>4411</v>
      </c>
      <c r="K240" s="31">
        <v>-209640.02</v>
      </c>
      <c r="M240" s="31">
        <v>45777.93</v>
      </c>
      <c r="O240" s="31">
        <v>-255417.95</v>
      </c>
      <c r="Q240">
        <v>-557.9</v>
      </c>
    </row>
    <row r="241" spans="3:18">
      <c r="C241">
        <v>5360</v>
      </c>
      <c r="E241" t="s">
        <v>4412</v>
      </c>
      <c r="H241" t="s">
        <v>4413</v>
      </c>
      <c r="K241" s="31">
        <v>83505202.790000007</v>
      </c>
      <c r="M241" s="31">
        <v>87083702.739999995</v>
      </c>
      <c r="O241" s="31">
        <v>-3578499.95</v>
      </c>
      <c r="Q241">
        <v>-4.0999999999999996</v>
      </c>
    </row>
    <row r="242" spans="3:18">
      <c r="C242">
        <v>5360</v>
      </c>
      <c r="E242" t="s">
        <v>4414</v>
      </c>
      <c r="H242" t="s">
        <v>4415</v>
      </c>
      <c r="K242" s="31">
        <v>8354880.1399999997</v>
      </c>
      <c r="M242" s="31">
        <v>8794707.9100000001</v>
      </c>
      <c r="O242" s="31">
        <v>-439827.77</v>
      </c>
      <c r="Q242">
        <v>-5</v>
      </c>
    </row>
    <row r="243" spans="3:18">
      <c r="C243">
        <v>5360</v>
      </c>
      <c r="E243" t="s">
        <v>4416</v>
      </c>
      <c r="H243" t="s">
        <v>4417</v>
      </c>
      <c r="K243" s="31">
        <v>22548318.199999999</v>
      </c>
      <c r="M243" s="31">
        <v>23590772.440000001</v>
      </c>
      <c r="O243" s="31">
        <v>-1042454.24</v>
      </c>
      <c r="Q243">
        <v>-4.4000000000000004</v>
      </c>
    </row>
    <row r="244" spans="3:18">
      <c r="C244">
        <v>5360</v>
      </c>
      <c r="E244" t="s">
        <v>4418</v>
      </c>
      <c r="H244" t="s">
        <v>4419</v>
      </c>
      <c r="K244" s="31">
        <v>1745087.96</v>
      </c>
      <c r="M244" s="31">
        <v>1970106.8</v>
      </c>
      <c r="O244" s="31">
        <v>-225018.84</v>
      </c>
      <c r="Q244">
        <v>-11.4</v>
      </c>
    </row>
    <row r="245" spans="3:18">
      <c r="C245">
        <v>5360</v>
      </c>
      <c r="E245" t="s">
        <v>4420</v>
      </c>
      <c r="H245" t="s">
        <v>4421</v>
      </c>
      <c r="K245" s="31">
        <v>234710.81</v>
      </c>
      <c r="M245" s="31">
        <v>235686.19</v>
      </c>
      <c r="O245">
        <v>-975.38</v>
      </c>
      <c r="Q245">
        <v>-0.4</v>
      </c>
    </row>
    <row r="246" spans="3:18">
      <c r="C246">
        <v>5360</v>
      </c>
      <c r="E246" t="s">
        <v>4422</v>
      </c>
      <c r="H246" t="s">
        <v>4423</v>
      </c>
      <c r="K246" s="31">
        <v>3463850.38</v>
      </c>
      <c r="M246" s="31">
        <v>3678867.86</v>
      </c>
      <c r="O246" s="31">
        <v>-215017.48</v>
      </c>
      <c r="Q246">
        <v>-5.8</v>
      </c>
    </row>
    <row r="247" spans="3:18">
      <c r="C247">
        <v>5360</v>
      </c>
      <c r="E247" t="s">
        <v>4424</v>
      </c>
      <c r="H247" t="s">
        <v>4425</v>
      </c>
      <c r="K247" s="31">
        <v>4905.92</v>
      </c>
      <c r="M247" s="31">
        <v>4905.92</v>
      </c>
      <c r="O247">
        <v>0</v>
      </c>
    </row>
    <row r="248" spans="3:18">
      <c r="C248">
        <v>5360</v>
      </c>
      <c r="E248" t="s">
        <v>4426</v>
      </c>
      <c r="H248" t="s">
        <v>4405</v>
      </c>
      <c r="K248" s="31">
        <v>53945178.740000002</v>
      </c>
      <c r="M248" s="31">
        <v>55032604.909999996</v>
      </c>
      <c r="O248" s="31">
        <v>-1087426.17</v>
      </c>
      <c r="Q248">
        <v>-2</v>
      </c>
    </row>
    <row r="249" spans="3:18">
      <c r="C249">
        <v>5360</v>
      </c>
      <c r="E249" t="s">
        <v>4427</v>
      </c>
      <c r="H249" t="s">
        <v>4428</v>
      </c>
      <c r="K249" s="31">
        <v>16270784.16</v>
      </c>
      <c r="M249" s="31">
        <v>16624998.58</v>
      </c>
      <c r="O249" s="31">
        <v>-354214.42</v>
      </c>
      <c r="Q249">
        <v>-2.1</v>
      </c>
    </row>
    <row r="250" spans="3:18">
      <c r="E250" t="s">
        <v>4429</v>
      </c>
      <c r="K250" s="31">
        <v>177556258.91</v>
      </c>
      <c r="M250" s="31">
        <v>188473302.03999999</v>
      </c>
      <c r="O250" s="31">
        <v>-10917043.130000001</v>
      </c>
      <c r="Q250">
        <v>-5.8</v>
      </c>
      <c r="R250" t="s">
        <v>611</v>
      </c>
    </row>
    <row r="252" spans="3:18">
      <c r="C252">
        <v>5360</v>
      </c>
      <c r="E252" t="s">
        <v>4430</v>
      </c>
      <c r="H252" t="s">
        <v>4431</v>
      </c>
      <c r="K252" s="31">
        <v>-2007.91</v>
      </c>
      <c r="M252" s="31">
        <v>-80974.210000000006</v>
      </c>
      <c r="O252" s="31">
        <v>78966.3</v>
      </c>
      <c r="Q252">
        <v>97.5</v>
      </c>
    </row>
    <row r="253" spans="3:18">
      <c r="C253">
        <v>5360</v>
      </c>
      <c r="E253" t="s">
        <v>4432</v>
      </c>
      <c r="H253" t="s">
        <v>4433</v>
      </c>
      <c r="K253" s="31">
        <v>-54257.96</v>
      </c>
      <c r="M253" s="31">
        <v>-54257.96</v>
      </c>
      <c r="O253">
        <v>0</v>
      </c>
    </row>
    <row r="254" spans="3:18">
      <c r="C254">
        <v>5360</v>
      </c>
      <c r="E254" t="s">
        <v>4434</v>
      </c>
      <c r="H254" t="s">
        <v>4435</v>
      </c>
      <c r="K254">
        <v>1.88</v>
      </c>
      <c r="M254">
        <v>1.88</v>
      </c>
      <c r="O254">
        <v>0</v>
      </c>
    </row>
    <row r="255" spans="3:18">
      <c r="C255">
        <v>5360</v>
      </c>
      <c r="E255" t="s">
        <v>4436</v>
      </c>
      <c r="H255" t="s">
        <v>4437</v>
      </c>
      <c r="K255">
        <v>0.03</v>
      </c>
      <c r="M255">
        <v>0.03</v>
      </c>
      <c r="O255">
        <v>0</v>
      </c>
    </row>
    <row r="256" spans="3:18">
      <c r="C256">
        <v>5360</v>
      </c>
      <c r="E256" t="s">
        <v>4438</v>
      </c>
      <c r="H256" t="s">
        <v>4439</v>
      </c>
      <c r="K256" s="31">
        <v>-8115.57</v>
      </c>
      <c r="M256" s="31">
        <v>-11185.57</v>
      </c>
      <c r="O256" s="31">
        <v>3070</v>
      </c>
      <c r="Q256">
        <v>27.4</v>
      </c>
    </row>
    <row r="257" spans="3:18">
      <c r="C257">
        <v>5360</v>
      </c>
      <c r="E257" t="s">
        <v>4440</v>
      </c>
      <c r="H257" t="s">
        <v>4441</v>
      </c>
      <c r="K257">
        <v>-0.09</v>
      </c>
      <c r="M257">
        <v>-0.09</v>
      </c>
      <c r="O257">
        <v>0</v>
      </c>
    </row>
    <row r="258" spans="3:18">
      <c r="C258">
        <v>5360</v>
      </c>
      <c r="E258" t="s">
        <v>4442</v>
      </c>
      <c r="H258" t="s">
        <v>4443</v>
      </c>
      <c r="K258" s="31">
        <v>-2699429073.4099998</v>
      </c>
      <c r="M258" s="31">
        <v>-2834418591.5100002</v>
      </c>
      <c r="O258" s="31">
        <v>134989518.09999999</v>
      </c>
      <c r="Q258">
        <v>4.8</v>
      </c>
    </row>
    <row r="259" spans="3:18">
      <c r="E259" t="s">
        <v>4444</v>
      </c>
      <c r="K259" s="31">
        <v>-2699493453.0300002</v>
      </c>
      <c r="M259" s="31">
        <v>-2834565007.4299998</v>
      </c>
      <c r="O259" s="31">
        <v>135071554.40000001</v>
      </c>
      <c r="Q259">
        <v>4.8</v>
      </c>
      <c r="R259" t="s">
        <v>569</v>
      </c>
    </row>
    <row r="260" spans="3:18">
      <c r="E260" t="s">
        <v>4444</v>
      </c>
      <c r="K260" s="31">
        <v>-2699493453.0300002</v>
      </c>
      <c r="M260" s="31">
        <v>-2834565007.4299998</v>
      </c>
      <c r="O260" s="31">
        <v>135071554.40000001</v>
      </c>
      <c r="Q260">
        <v>4.8</v>
      </c>
      <c r="R260" t="s">
        <v>611</v>
      </c>
    </row>
    <row r="262" spans="3:18">
      <c r="C262">
        <v>5360</v>
      </c>
      <c r="E262" t="s">
        <v>4445</v>
      </c>
      <c r="H262" t="s">
        <v>4446</v>
      </c>
      <c r="K262" s="31">
        <v>94884.43</v>
      </c>
      <c r="M262" s="31">
        <v>94884.43</v>
      </c>
      <c r="O262">
        <v>0</v>
      </c>
    </row>
    <row r="263" spans="3:18">
      <c r="C263">
        <v>5360</v>
      </c>
      <c r="E263" t="s">
        <v>4447</v>
      </c>
      <c r="H263" t="s">
        <v>4448</v>
      </c>
      <c r="K263" s="31">
        <v>7878083.6100000003</v>
      </c>
      <c r="M263" s="31">
        <v>7878083.6100000003</v>
      </c>
      <c r="O263">
        <v>0</v>
      </c>
    </row>
    <row r="264" spans="3:18">
      <c r="C264">
        <v>5360</v>
      </c>
      <c r="E264" t="s">
        <v>4449</v>
      </c>
      <c r="H264" t="s">
        <v>4450</v>
      </c>
      <c r="K264" s="31">
        <v>-1612655.92</v>
      </c>
      <c r="M264" s="31">
        <v>-1612655.92</v>
      </c>
      <c r="O264">
        <v>0</v>
      </c>
    </row>
    <row r="265" spans="3:18">
      <c r="C265">
        <v>5360</v>
      </c>
      <c r="E265" t="s">
        <v>4451</v>
      </c>
      <c r="H265" t="s">
        <v>4452</v>
      </c>
      <c r="K265" s="31">
        <v>6303.42</v>
      </c>
      <c r="M265" s="31">
        <v>6303.42</v>
      </c>
      <c r="O265">
        <v>0</v>
      </c>
    </row>
    <row r="266" spans="3:18">
      <c r="C266">
        <v>5360</v>
      </c>
      <c r="E266" t="s">
        <v>4453</v>
      </c>
      <c r="H266" t="s">
        <v>4454</v>
      </c>
      <c r="K266" s="31">
        <v>179552.76</v>
      </c>
      <c r="M266" s="31">
        <v>179552.76</v>
      </c>
      <c r="O266">
        <v>0</v>
      </c>
    </row>
    <row r="267" spans="3:18">
      <c r="C267">
        <v>5360</v>
      </c>
      <c r="E267" t="s">
        <v>4455</v>
      </c>
      <c r="H267" t="s">
        <v>4456</v>
      </c>
      <c r="K267" s="31">
        <v>369460.35</v>
      </c>
      <c r="M267" s="31">
        <v>369460.35</v>
      </c>
      <c r="O267">
        <v>0</v>
      </c>
    </row>
    <row r="268" spans="3:18">
      <c r="C268">
        <v>5360</v>
      </c>
      <c r="E268" t="s">
        <v>4457</v>
      </c>
      <c r="H268" t="s">
        <v>4458</v>
      </c>
      <c r="K268" s="31">
        <v>1003848.58</v>
      </c>
      <c r="M268" s="31">
        <v>1003848.58</v>
      </c>
      <c r="O268">
        <v>0</v>
      </c>
    </row>
    <row r="269" spans="3:18">
      <c r="C269">
        <v>5360</v>
      </c>
      <c r="E269" t="s">
        <v>4459</v>
      </c>
      <c r="H269" t="s">
        <v>4460</v>
      </c>
      <c r="K269" s="31">
        <v>1396494</v>
      </c>
      <c r="M269" s="31">
        <v>1396494</v>
      </c>
      <c r="O269">
        <v>0</v>
      </c>
    </row>
    <row r="270" spans="3:18">
      <c r="C270">
        <v>5360</v>
      </c>
      <c r="E270" t="s">
        <v>4461</v>
      </c>
      <c r="H270" t="s">
        <v>4462</v>
      </c>
      <c r="K270" s="31">
        <v>8148905</v>
      </c>
      <c r="M270" s="31">
        <v>8148905</v>
      </c>
      <c r="O270">
        <v>0</v>
      </c>
    </row>
    <row r="271" spans="3:18">
      <c r="C271">
        <v>5360</v>
      </c>
      <c r="E271" t="s">
        <v>4463</v>
      </c>
      <c r="H271" t="s">
        <v>4464</v>
      </c>
      <c r="K271">
        <v>0.1</v>
      </c>
      <c r="M271">
        <v>0.1</v>
      </c>
      <c r="O271">
        <v>0</v>
      </c>
    </row>
    <row r="272" spans="3:18">
      <c r="C272">
        <v>5360</v>
      </c>
      <c r="E272" t="s">
        <v>4465</v>
      </c>
      <c r="H272" t="s">
        <v>4466</v>
      </c>
      <c r="K272" s="31">
        <v>-9122158.75</v>
      </c>
      <c r="M272" s="31">
        <v>-9122158.75</v>
      </c>
      <c r="O272">
        <v>0</v>
      </c>
    </row>
    <row r="273" spans="3:18">
      <c r="C273">
        <v>5360</v>
      </c>
      <c r="E273" t="s">
        <v>4467</v>
      </c>
      <c r="H273" t="s">
        <v>4468</v>
      </c>
      <c r="K273" s="31">
        <v>915219.11</v>
      </c>
      <c r="M273" s="31">
        <v>915219.11</v>
      </c>
      <c r="O273">
        <v>0</v>
      </c>
    </row>
    <row r="274" spans="3:18">
      <c r="C274">
        <v>5360</v>
      </c>
      <c r="E274" t="s">
        <v>4469</v>
      </c>
      <c r="H274" t="s">
        <v>4470</v>
      </c>
      <c r="K274" s="31">
        <v>-4834152.7699999996</v>
      </c>
      <c r="M274" s="31">
        <v>-4834152.7699999996</v>
      </c>
      <c r="O274">
        <v>0</v>
      </c>
    </row>
    <row r="275" spans="3:18">
      <c r="C275">
        <v>5360</v>
      </c>
      <c r="E275" t="s">
        <v>4471</v>
      </c>
      <c r="H275" t="s">
        <v>4472</v>
      </c>
      <c r="K275" s="31">
        <v>12828105.73</v>
      </c>
      <c r="M275" s="31">
        <v>12828105.73</v>
      </c>
      <c r="O275">
        <v>0</v>
      </c>
    </row>
    <row r="276" spans="3:18">
      <c r="C276">
        <v>5360</v>
      </c>
      <c r="E276" t="s">
        <v>4473</v>
      </c>
      <c r="H276" t="s">
        <v>4474</v>
      </c>
      <c r="K276" s="31">
        <v>-3057643.51</v>
      </c>
      <c r="M276" s="31">
        <v>-3057643.51</v>
      </c>
      <c r="O276">
        <v>0</v>
      </c>
    </row>
    <row r="277" spans="3:18">
      <c r="C277">
        <v>5360</v>
      </c>
      <c r="E277" t="s">
        <v>4475</v>
      </c>
      <c r="H277" t="s">
        <v>4476</v>
      </c>
      <c r="K277" s="31">
        <v>-12030</v>
      </c>
      <c r="M277" s="31">
        <v>-12030</v>
      </c>
      <c r="O277">
        <v>0</v>
      </c>
    </row>
    <row r="278" spans="3:18">
      <c r="C278">
        <v>5360</v>
      </c>
      <c r="E278" t="s">
        <v>4477</v>
      </c>
      <c r="H278" t="s">
        <v>4478</v>
      </c>
      <c r="K278" s="31">
        <v>219361.8</v>
      </c>
      <c r="M278" s="31">
        <v>219361.8</v>
      </c>
      <c r="O278">
        <v>0</v>
      </c>
    </row>
    <row r="279" spans="3:18">
      <c r="C279">
        <v>5360</v>
      </c>
      <c r="E279" t="s">
        <v>4479</v>
      </c>
      <c r="H279" t="s">
        <v>4480</v>
      </c>
      <c r="K279" s="31">
        <v>-1366939</v>
      </c>
      <c r="M279" s="31">
        <v>-1366939</v>
      </c>
      <c r="O279">
        <v>0</v>
      </c>
    </row>
    <row r="280" spans="3:18">
      <c r="C280">
        <v>5360</v>
      </c>
      <c r="E280" t="s">
        <v>4481</v>
      </c>
      <c r="H280" t="s">
        <v>4482</v>
      </c>
      <c r="K280" s="31">
        <v>-565556.75</v>
      </c>
      <c r="M280" s="31">
        <v>-565556.75</v>
      </c>
      <c r="O280">
        <v>0</v>
      </c>
    </row>
    <row r="281" spans="3:18">
      <c r="C281">
        <v>5360</v>
      </c>
      <c r="E281" t="s">
        <v>4483</v>
      </c>
      <c r="H281" t="s">
        <v>4484</v>
      </c>
      <c r="K281" s="31">
        <v>14544328.130000001</v>
      </c>
      <c r="M281" s="31">
        <v>14544328.130000001</v>
      </c>
      <c r="O281">
        <v>0</v>
      </c>
    </row>
    <row r="282" spans="3:18">
      <c r="C282">
        <v>5360</v>
      </c>
      <c r="E282" t="s">
        <v>4485</v>
      </c>
      <c r="H282" t="s">
        <v>4486</v>
      </c>
      <c r="K282" s="31">
        <v>537415.69999999995</v>
      </c>
      <c r="M282" s="31">
        <v>537415.69999999995</v>
      </c>
      <c r="O282">
        <v>0</v>
      </c>
    </row>
    <row r="283" spans="3:18">
      <c r="C283">
        <v>5360</v>
      </c>
      <c r="E283" t="s">
        <v>4487</v>
      </c>
      <c r="H283" t="s">
        <v>4488</v>
      </c>
      <c r="K283" s="31">
        <v>9712860.1799999997</v>
      </c>
      <c r="M283" s="31">
        <v>9712860.1799999997</v>
      </c>
      <c r="O283">
        <v>0</v>
      </c>
    </row>
    <row r="284" spans="3:18">
      <c r="C284">
        <v>5360</v>
      </c>
      <c r="E284" t="s">
        <v>4489</v>
      </c>
      <c r="H284" t="s">
        <v>4490</v>
      </c>
      <c r="K284" s="31">
        <v>-309090.67</v>
      </c>
      <c r="M284" s="31">
        <v>-309090.67</v>
      </c>
      <c r="O284">
        <v>0</v>
      </c>
    </row>
    <row r="285" spans="3:18">
      <c r="C285">
        <v>5360</v>
      </c>
      <c r="E285" t="s">
        <v>4491</v>
      </c>
      <c r="H285" t="s">
        <v>4492</v>
      </c>
      <c r="K285" s="31">
        <v>111640.2</v>
      </c>
      <c r="M285" s="31">
        <v>111640.2</v>
      </c>
      <c r="O285">
        <v>0</v>
      </c>
    </row>
    <row r="286" spans="3:18">
      <c r="C286">
        <v>5360</v>
      </c>
      <c r="E286" t="s">
        <v>4493</v>
      </c>
      <c r="H286" t="s">
        <v>4494</v>
      </c>
      <c r="K286" s="31">
        <v>325362</v>
      </c>
      <c r="M286" s="31">
        <v>325362</v>
      </c>
      <c r="O286">
        <v>0</v>
      </c>
    </row>
    <row r="287" spans="3:18">
      <c r="C287">
        <v>5360</v>
      </c>
      <c r="E287" t="s">
        <v>4495</v>
      </c>
      <c r="H287" t="s">
        <v>4496</v>
      </c>
      <c r="K287" s="31">
        <v>256596.46</v>
      </c>
      <c r="M287" s="31">
        <v>256596.46</v>
      </c>
      <c r="O287">
        <v>0</v>
      </c>
    </row>
    <row r="288" spans="3:18">
      <c r="E288" t="s">
        <v>4497</v>
      </c>
      <c r="K288" s="31">
        <v>37648194.189999998</v>
      </c>
      <c r="M288" s="31">
        <v>37648194.189999998</v>
      </c>
      <c r="O288">
        <v>0</v>
      </c>
      <c r="R288" t="s">
        <v>569</v>
      </c>
    </row>
    <row r="289" spans="1:18">
      <c r="C289">
        <v>5360</v>
      </c>
      <c r="E289" t="s">
        <v>4498</v>
      </c>
      <c r="H289" t="s">
        <v>4499</v>
      </c>
      <c r="K289" s="31">
        <v>-63818.2</v>
      </c>
      <c r="M289" s="31">
        <v>-63818.2</v>
      </c>
      <c r="O289">
        <v>0</v>
      </c>
    </row>
    <row r="290" spans="1:18">
      <c r="C290">
        <v>5360</v>
      </c>
      <c r="E290" t="s">
        <v>4500</v>
      </c>
      <c r="H290" t="s">
        <v>4501</v>
      </c>
      <c r="K290" s="31">
        <v>4160110.14</v>
      </c>
      <c r="M290" s="31">
        <v>4160110.14</v>
      </c>
      <c r="O290">
        <v>0</v>
      </c>
    </row>
    <row r="291" spans="1:18">
      <c r="C291">
        <v>5360</v>
      </c>
      <c r="E291" t="s">
        <v>4502</v>
      </c>
      <c r="H291" t="s">
        <v>4503</v>
      </c>
      <c r="K291" s="31">
        <v>-6390</v>
      </c>
      <c r="M291" s="31">
        <v>-6390</v>
      </c>
      <c r="O291">
        <v>0</v>
      </c>
    </row>
    <row r="292" spans="1:18">
      <c r="C292">
        <v>5360</v>
      </c>
      <c r="E292" t="s">
        <v>4504</v>
      </c>
      <c r="H292" t="s">
        <v>4505</v>
      </c>
      <c r="K292" s="31">
        <v>-318972</v>
      </c>
      <c r="M292" s="31">
        <v>-318972</v>
      </c>
      <c r="O292">
        <v>0</v>
      </c>
    </row>
    <row r="293" spans="1:18">
      <c r="E293" t="s">
        <v>4506</v>
      </c>
      <c r="K293" s="31">
        <v>3770929.94</v>
      </c>
      <c r="M293" s="31">
        <v>3770929.94</v>
      </c>
      <c r="O293">
        <v>0</v>
      </c>
      <c r="R293" t="s">
        <v>569</v>
      </c>
    </row>
    <row r="294" spans="1:18">
      <c r="E294" t="s">
        <v>4507</v>
      </c>
      <c r="K294" s="31">
        <v>41419124.130000003</v>
      </c>
      <c r="M294" s="31">
        <v>41419124.130000003</v>
      </c>
      <c r="O294">
        <v>0</v>
      </c>
      <c r="R294" t="s">
        <v>611</v>
      </c>
    </row>
    <row r="296" spans="1:18">
      <c r="E296" t="s">
        <v>4508</v>
      </c>
      <c r="K296" s="31">
        <v>-2480471270.5300002</v>
      </c>
      <c r="M296" s="31">
        <v>-2604628763.8299999</v>
      </c>
      <c r="O296" s="31">
        <v>124157493.3</v>
      </c>
      <c r="Q296">
        <v>4.8</v>
      </c>
      <c r="R296" t="s">
        <v>930</v>
      </c>
    </row>
    <row r="298" spans="1:18">
      <c r="E298" t="s">
        <v>4058</v>
      </c>
      <c r="K298" s="31">
        <v>-462631012.44</v>
      </c>
      <c r="M298" s="31">
        <v>-430378754.88</v>
      </c>
      <c r="O298" s="31">
        <v>-32252257.559999999</v>
      </c>
      <c r="Q298">
        <v>-7.5</v>
      </c>
      <c r="R298" t="s">
        <v>970</v>
      </c>
    </row>
    <row r="302" spans="1:18">
      <c r="A302" t="s">
        <v>4051</v>
      </c>
    </row>
    <row r="303" spans="1:18">
      <c r="A303" t="s">
        <v>4509</v>
      </c>
    </row>
    <row r="305" spans="1:18">
      <c r="A305" t="s">
        <v>535</v>
      </c>
      <c r="F305">
        <v>5360</v>
      </c>
      <c r="G305" t="s">
        <v>536</v>
      </c>
      <c r="I305" t="s">
        <v>537</v>
      </c>
      <c r="N305" t="s">
        <v>538</v>
      </c>
      <c r="P305" t="s">
        <v>539</v>
      </c>
    </row>
    <row r="307" spans="1:18">
      <c r="B307" t="s">
        <v>313</v>
      </c>
      <c r="C307" t="s">
        <v>540</v>
      </c>
      <c r="D307" t="s">
        <v>541</v>
      </c>
      <c r="E307" t="s">
        <v>542</v>
      </c>
      <c r="J307" t="s">
        <v>543</v>
      </c>
      <c r="L307" t="s">
        <v>544</v>
      </c>
      <c r="O307" t="s">
        <v>545</v>
      </c>
      <c r="Q307" t="s">
        <v>546</v>
      </c>
      <c r="R307" t="s">
        <v>4054</v>
      </c>
    </row>
    <row r="308" spans="1:18">
      <c r="B308" t="s">
        <v>201</v>
      </c>
      <c r="C308" t="s">
        <v>548</v>
      </c>
      <c r="D308" t="s">
        <v>549</v>
      </c>
      <c r="J308" t="s">
        <v>4055</v>
      </c>
      <c r="L308" t="s">
        <v>4056</v>
      </c>
      <c r="O308" t="s">
        <v>551</v>
      </c>
      <c r="Q308" t="s">
        <v>552</v>
      </c>
      <c r="R308" t="s">
        <v>4057</v>
      </c>
    </row>
    <row r="310" spans="1:18">
      <c r="E310" t="s">
        <v>4510</v>
      </c>
    </row>
    <row r="311" spans="1:18">
      <c r="C311">
        <v>5360</v>
      </c>
      <c r="E311" t="s">
        <v>4511</v>
      </c>
      <c r="H311" t="s">
        <v>4512</v>
      </c>
      <c r="K311" s="31">
        <v>-24493.34</v>
      </c>
      <c r="M311" s="31">
        <v>-24493.34</v>
      </c>
      <c r="O311">
        <v>0</v>
      </c>
    </row>
    <row r="312" spans="1:18">
      <c r="E312" t="s">
        <v>4513</v>
      </c>
      <c r="K312" s="31">
        <v>-24493.34</v>
      </c>
      <c r="M312" s="31">
        <v>-24493.34</v>
      </c>
      <c r="O312">
        <v>0</v>
      </c>
      <c r="R312" t="s">
        <v>658</v>
      </c>
    </row>
    <row r="313" spans="1:18">
      <c r="C313">
        <v>5360</v>
      </c>
      <c r="E313" t="s">
        <v>4514</v>
      </c>
      <c r="H313" t="s">
        <v>4515</v>
      </c>
      <c r="K313" s="31">
        <v>-306357594.54000002</v>
      </c>
      <c r="M313" s="31">
        <v>-306357594.54000002</v>
      </c>
      <c r="O313">
        <v>0</v>
      </c>
    </row>
    <row r="314" spans="1:18">
      <c r="C314">
        <v>5360</v>
      </c>
      <c r="E314" t="s">
        <v>4516</v>
      </c>
      <c r="H314" t="s">
        <v>4517</v>
      </c>
      <c r="K314" s="31">
        <v>-38819563.369999997</v>
      </c>
      <c r="M314" s="31">
        <v>-38819563.369999997</v>
      </c>
      <c r="O314">
        <v>0</v>
      </c>
    </row>
    <row r="315" spans="1:18">
      <c r="C315">
        <v>5360</v>
      </c>
      <c r="E315" t="s">
        <v>4518</v>
      </c>
      <c r="H315" t="s">
        <v>4519</v>
      </c>
      <c r="K315" s="31">
        <v>-70770171.049999997</v>
      </c>
      <c r="M315" s="31">
        <v>-70770171.049999997</v>
      </c>
      <c r="O315">
        <v>0</v>
      </c>
    </row>
    <row r="316" spans="1:18">
      <c r="E316" t="s">
        <v>4520</v>
      </c>
      <c r="K316" s="31">
        <v>-415947328.95999998</v>
      </c>
      <c r="M316" s="31">
        <v>-415947328.95999998</v>
      </c>
      <c r="O316">
        <v>0</v>
      </c>
      <c r="R316" t="s">
        <v>658</v>
      </c>
    </row>
    <row r="317" spans="1:18">
      <c r="E317" t="s">
        <v>4521</v>
      </c>
      <c r="K317" s="31">
        <v>1664734350.5599999</v>
      </c>
      <c r="M317" s="31">
        <v>1655687164.96</v>
      </c>
      <c r="O317" s="31">
        <v>9047185.5999999996</v>
      </c>
      <c r="Q317">
        <v>0.5</v>
      </c>
      <c r="R317" t="s">
        <v>650</v>
      </c>
    </row>
    <row r="318" spans="1:18">
      <c r="E318" t="s">
        <v>4522</v>
      </c>
      <c r="K318" s="31">
        <v>1664734350.5599999</v>
      </c>
      <c r="M318" s="31">
        <v>1655687164.96</v>
      </c>
      <c r="O318" s="31">
        <v>9047185.5999999996</v>
      </c>
      <c r="Q318">
        <v>0.5</v>
      </c>
      <c r="R318" t="s">
        <v>658</v>
      </c>
    </row>
    <row r="319" spans="1:18">
      <c r="C319">
        <v>5360</v>
      </c>
      <c r="E319" t="s">
        <v>4523</v>
      </c>
      <c r="H319" t="s">
        <v>4524</v>
      </c>
      <c r="K319" s="31">
        <v>-2614432</v>
      </c>
      <c r="M319" s="31">
        <v>-2614432</v>
      </c>
      <c r="O319">
        <v>0</v>
      </c>
    </row>
    <row r="320" spans="1:18">
      <c r="C320">
        <v>5360</v>
      </c>
      <c r="E320" t="s">
        <v>4525</v>
      </c>
      <c r="H320" t="s">
        <v>4526</v>
      </c>
      <c r="K320" s="31">
        <v>5844.39</v>
      </c>
      <c r="M320" s="31">
        <v>5844.39</v>
      </c>
      <c r="O320">
        <v>0</v>
      </c>
    </row>
    <row r="321" spans="3:18">
      <c r="C321">
        <v>5360</v>
      </c>
      <c r="E321" t="s">
        <v>4527</v>
      </c>
      <c r="H321" t="s">
        <v>4528</v>
      </c>
      <c r="K321" s="31">
        <v>160796.76</v>
      </c>
      <c r="M321" s="31">
        <v>160796.76</v>
      </c>
      <c r="O321">
        <v>0</v>
      </c>
    </row>
    <row r="322" spans="3:18">
      <c r="E322" t="s">
        <v>4529</v>
      </c>
      <c r="K322" s="31">
        <v>-2447790.85</v>
      </c>
      <c r="M322" s="31">
        <v>-2447790.85</v>
      </c>
      <c r="O322">
        <v>0</v>
      </c>
      <c r="R322" t="s">
        <v>658</v>
      </c>
    </row>
    <row r="323" spans="3:18">
      <c r="E323" t="s">
        <v>4530</v>
      </c>
      <c r="K323" s="31">
        <v>1246314737.4100001</v>
      </c>
      <c r="M323" s="31">
        <v>1237267551.8099999</v>
      </c>
      <c r="O323" s="31">
        <v>9047185.5999999996</v>
      </c>
      <c r="Q323">
        <v>0.7</v>
      </c>
      <c r="R323" t="s">
        <v>569</v>
      </c>
    </row>
    <row r="324" spans="3:18">
      <c r="E324" t="s">
        <v>46</v>
      </c>
      <c r="K324" s="31">
        <v>1246314737.4100001</v>
      </c>
      <c r="M324" s="31">
        <v>1237267551.8099999</v>
      </c>
      <c r="O324" s="31">
        <v>9047185.5999999996</v>
      </c>
      <c r="Q324">
        <v>0.7</v>
      </c>
      <c r="R324" t="s">
        <v>611</v>
      </c>
    </row>
    <row r="326" spans="3:18">
      <c r="C326" s="197">
        <v>5360</v>
      </c>
      <c r="D326" s="197"/>
      <c r="E326" s="197" t="s">
        <v>4531</v>
      </c>
      <c r="F326" s="197"/>
      <c r="G326" s="197"/>
      <c r="H326" s="197" t="s">
        <v>4532</v>
      </c>
      <c r="I326" s="197"/>
      <c r="J326" s="197"/>
      <c r="K326" s="239">
        <v>-48089000</v>
      </c>
      <c r="L326" s="197"/>
      <c r="M326" s="239">
        <v>-48089000</v>
      </c>
      <c r="O326">
        <v>0</v>
      </c>
    </row>
    <row r="327" spans="3:18">
      <c r="E327" t="s">
        <v>506</v>
      </c>
      <c r="K327" s="31">
        <v>-48089000</v>
      </c>
      <c r="M327" s="31">
        <v>-48089000</v>
      </c>
      <c r="O327">
        <v>0</v>
      </c>
      <c r="R327" t="s">
        <v>569</v>
      </c>
    </row>
    <row r="328" spans="3:18">
      <c r="E328" t="s">
        <v>506</v>
      </c>
      <c r="K328" s="31">
        <v>-48089000</v>
      </c>
      <c r="M328" s="31">
        <v>-48089000</v>
      </c>
      <c r="O328">
        <v>0</v>
      </c>
      <c r="R328" t="s">
        <v>611</v>
      </c>
    </row>
    <row r="330" spans="3:18">
      <c r="E330" t="s">
        <v>4533</v>
      </c>
      <c r="K330" s="31">
        <v>1198225737.4100001</v>
      </c>
      <c r="M330" s="31">
        <v>1189178551.8099999</v>
      </c>
      <c r="O330" s="31">
        <v>9047185.5999999996</v>
      </c>
      <c r="Q330">
        <v>0.8</v>
      </c>
      <c r="R330" t="s">
        <v>930</v>
      </c>
    </row>
    <row r="332" spans="3:18">
      <c r="C332" s="197">
        <v>5360</v>
      </c>
      <c r="D332" s="197"/>
      <c r="E332" s="197" t="s">
        <v>4534</v>
      </c>
      <c r="F332" s="197"/>
      <c r="G332" s="197"/>
      <c r="H332" s="197" t="s">
        <v>4535</v>
      </c>
      <c r="I332" s="197"/>
      <c r="J332" s="197"/>
      <c r="K332" s="239">
        <v>-1375000</v>
      </c>
      <c r="L332" s="197"/>
      <c r="M332" s="239">
        <v>-1375000</v>
      </c>
      <c r="O332">
        <v>0</v>
      </c>
    </row>
    <row r="333" spans="3:18">
      <c r="E333" t="s">
        <v>4536</v>
      </c>
      <c r="K333" s="31">
        <v>-1375000</v>
      </c>
      <c r="M333" s="31">
        <v>-1375000</v>
      </c>
      <c r="O333">
        <v>0</v>
      </c>
      <c r="R333" t="s">
        <v>569</v>
      </c>
    </row>
    <row r="334" spans="3:18">
      <c r="C334">
        <v>5360</v>
      </c>
      <c r="E334" t="s">
        <v>4537</v>
      </c>
      <c r="H334" t="s">
        <v>4538</v>
      </c>
      <c r="K334" s="31">
        <v>-1899339.49</v>
      </c>
      <c r="M334" s="31">
        <v>-3441880.84</v>
      </c>
      <c r="O334" s="31">
        <v>1542541.35</v>
      </c>
      <c r="Q334">
        <v>44.8</v>
      </c>
    </row>
    <row r="335" spans="3:18">
      <c r="C335">
        <v>5360</v>
      </c>
      <c r="E335" t="s">
        <v>4539</v>
      </c>
      <c r="H335" t="s">
        <v>4540</v>
      </c>
      <c r="K335" s="31">
        <v>-2598367.38</v>
      </c>
      <c r="M335" s="31">
        <v>-644452.03</v>
      </c>
      <c r="O335" s="31">
        <v>-1953915.35</v>
      </c>
      <c r="Q335">
        <v>-303.2</v>
      </c>
    </row>
    <row r="336" spans="3:18">
      <c r="C336">
        <v>5360</v>
      </c>
      <c r="E336" t="s">
        <v>4541</v>
      </c>
      <c r="H336" t="s">
        <v>4542</v>
      </c>
      <c r="K336" s="31">
        <v>-5008.53</v>
      </c>
      <c r="M336" s="31">
        <v>-5008.53</v>
      </c>
      <c r="O336">
        <v>0</v>
      </c>
    </row>
    <row r="337" spans="3:17">
      <c r="C337">
        <v>5360</v>
      </c>
      <c r="E337" t="s">
        <v>4543</v>
      </c>
      <c r="H337" t="s">
        <v>4544</v>
      </c>
      <c r="K337" s="31">
        <v>37917.910000000003</v>
      </c>
      <c r="M337" s="31">
        <v>34072.15</v>
      </c>
      <c r="O337" s="31">
        <v>3845.76</v>
      </c>
      <c r="Q337">
        <v>11.3</v>
      </c>
    </row>
    <row r="338" spans="3:17">
      <c r="C338">
        <v>5360</v>
      </c>
      <c r="E338" t="s">
        <v>4545</v>
      </c>
      <c r="H338" t="s">
        <v>4546</v>
      </c>
      <c r="K338" s="31">
        <v>-9754.9500000000007</v>
      </c>
      <c r="M338" s="31">
        <v>-9754.9500000000007</v>
      </c>
      <c r="O338">
        <v>0</v>
      </c>
    </row>
    <row r="339" spans="3:17">
      <c r="C339">
        <v>5360</v>
      </c>
      <c r="E339" t="s">
        <v>4547</v>
      </c>
      <c r="H339" t="s">
        <v>4548</v>
      </c>
      <c r="K339">
        <v>0</v>
      </c>
      <c r="M339" s="31">
        <v>-127896.16</v>
      </c>
      <c r="O339" s="31">
        <v>127896.16</v>
      </c>
      <c r="Q339">
        <v>100</v>
      </c>
    </row>
    <row r="340" spans="3:17">
      <c r="C340">
        <v>5360</v>
      </c>
      <c r="E340" t="s">
        <v>4549</v>
      </c>
      <c r="H340" t="s">
        <v>4550</v>
      </c>
      <c r="K340" s="31">
        <v>-2625.19</v>
      </c>
      <c r="M340" s="31">
        <v>-2625.19</v>
      </c>
      <c r="O340">
        <v>0</v>
      </c>
    </row>
    <row r="341" spans="3:17">
      <c r="C341">
        <v>5360</v>
      </c>
      <c r="E341" t="s">
        <v>4551</v>
      </c>
      <c r="H341" t="s">
        <v>4552</v>
      </c>
      <c r="K341" s="31">
        <v>-7494380.0499999998</v>
      </c>
      <c r="M341" s="31">
        <v>-20767102.760000002</v>
      </c>
      <c r="O341" s="31">
        <v>13272722.710000001</v>
      </c>
      <c r="Q341">
        <v>63.9</v>
      </c>
    </row>
    <row r="342" spans="3:17">
      <c r="C342">
        <v>5360</v>
      </c>
      <c r="E342" t="s">
        <v>4553</v>
      </c>
      <c r="H342" t="s">
        <v>4554</v>
      </c>
      <c r="K342" s="31">
        <v>-10229904.210000001</v>
      </c>
      <c r="M342" s="31">
        <v>-8454933.5600000005</v>
      </c>
      <c r="O342" s="31">
        <v>-1774970.65</v>
      </c>
      <c r="Q342">
        <v>-21</v>
      </c>
    </row>
    <row r="343" spans="3:17">
      <c r="C343">
        <v>5360</v>
      </c>
      <c r="E343" t="s">
        <v>4555</v>
      </c>
      <c r="H343" t="s">
        <v>4556</v>
      </c>
      <c r="K343" s="31">
        <v>141892.35999999999</v>
      </c>
      <c r="M343" s="31">
        <v>126358.37</v>
      </c>
      <c r="O343" s="31">
        <v>15533.99</v>
      </c>
      <c r="Q343">
        <v>12.3</v>
      </c>
    </row>
    <row r="344" spans="3:17">
      <c r="C344">
        <v>5360</v>
      </c>
      <c r="E344" t="s">
        <v>4557</v>
      </c>
      <c r="H344" t="s">
        <v>4558</v>
      </c>
      <c r="K344" s="31">
        <v>362400.49</v>
      </c>
      <c r="M344" s="31">
        <v>362400.49</v>
      </c>
      <c r="O344">
        <v>0</v>
      </c>
    </row>
    <row r="345" spans="3:17">
      <c r="C345">
        <v>5360</v>
      </c>
      <c r="E345" t="s">
        <v>4559</v>
      </c>
      <c r="H345" t="s">
        <v>4560</v>
      </c>
      <c r="K345" s="31">
        <v>-14561.08</v>
      </c>
      <c r="M345" s="31">
        <v>-12850.7</v>
      </c>
      <c r="O345" s="31">
        <v>-1710.38</v>
      </c>
      <c r="Q345">
        <v>-13.3</v>
      </c>
    </row>
    <row r="346" spans="3:17">
      <c r="C346">
        <v>5360</v>
      </c>
      <c r="E346" t="s">
        <v>4561</v>
      </c>
      <c r="H346" t="s">
        <v>4562</v>
      </c>
      <c r="K346" s="31">
        <v>-6694141.0300000003</v>
      </c>
      <c r="M346" s="31">
        <v>-6696447.6299999999</v>
      </c>
      <c r="O346" s="31">
        <v>2306.6</v>
      </c>
    </row>
    <row r="347" spans="3:17">
      <c r="C347">
        <v>5360</v>
      </c>
      <c r="E347" t="s">
        <v>4563</v>
      </c>
      <c r="H347" t="s">
        <v>4564</v>
      </c>
      <c r="K347" s="31">
        <v>1662.41</v>
      </c>
      <c r="M347" s="31">
        <v>1471.41</v>
      </c>
      <c r="O347">
        <v>191</v>
      </c>
      <c r="Q347">
        <v>13</v>
      </c>
    </row>
    <row r="348" spans="3:17">
      <c r="C348">
        <v>5360</v>
      </c>
      <c r="E348" t="s">
        <v>4565</v>
      </c>
      <c r="H348" t="s">
        <v>4566</v>
      </c>
      <c r="K348" s="31">
        <v>31600.31</v>
      </c>
      <c r="M348" s="31">
        <v>27209.83</v>
      </c>
      <c r="O348" s="31">
        <v>4390.4799999999996</v>
      </c>
      <c r="Q348">
        <v>16.100000000000001</v>
      </c>
    </row>
    <row r="349" spans="3:17">
      <c r="C349">
        <v>5360</v>
      </c>
      <c r="E349" t="s">
        <v>4567</v>
      </c>
      <c r="H349" t="s">
        <v>4568</v>
      </c>
      <c r="K349" s="31">
        <v>-1158876.6399999999</v>
      </c>
      <c r="M349" s="31">
        <v>-1159980.1200000001</v>
      </c>
      <c r="O349" s="31">
        <v>1103.48</v>
      </c>
      <c r="Q349">
        <v>0.1</v>
      </c>
    </row>
    <row r="350" spans="3:17">
      <c r="C350">
        <v>5360</v>
      </c>
      <c r="E350" t="s">
        <v>4569</v>
      </c>
      <c r="H350" t="s">
        <v>4570</v>
      </c>
      <c r="K350" s="31">
        <v>22801.68</v>
      </c>
      <c r="M350" s="31">
        <v>9298.35</v>
      </c>
      <c r="O350" s="31">
        <v>13503.33</v>
      </c>
      <c r="Q350">
        <v>145.19999999999999</v>
      </c>
    </row>
    <row r="351" spans="3:17">
      <c r="C351">
        <v>5360</v>
      </c>
      <c r="E351" t="s">
        <v>4571</v>
      </c>
      <c r="H351" t="s">
        <v>4572</v>
      </c>
      <c r="K351" s="31">
        <v>-58037.89</v>
      </c>
      <c r="M351" s="31">
        <v>-57637.25</v>
      </c>
      <c r="O351">
        <v>-400.64</v>
      </c>
      <c r="Q351">
        <v>-0.7</v>
      </c>
    </row>
    <row r="352" spans="3:17">
      <c r="C352">
        <v>5360</v>
      </c>
      <c r="E352" t="s">
        <v>4573</v>
      </c>
      <c r="H352" t="s">
        <v>4574</v>
      </c>
      <c r="K352">
        <v>187.65</v>
      </c>
      <c r="M352">
        <v>187.65</v>
      </c>
      <c r="O352">
        <v>0</v>
      </c>
    </row>
    <row r="353" spans="3:17">
      <c r="C353">
        <v>5360</v>
      </c>
      <c r="E353" t="s">
        <v>4575</v>
      </c>
      <c r="H353" t="s">
        <v>4576</v>
      </c>
      <c r="K353" s="31">
        <v>-6128872.6299999999</v>
      </c>
      <c r="M353" s="31">
        <v>-6453115.9000000004</v>
      </c>
      <c r="O353" s="31">
        <v>324243.27</v>
      </c>
      <c r="Q353">
        <v>5</v>
      </c>
    </row>
    <row r="354" spans="3:17">
      <c r="C354">
        <v>5360</v>
      </c>
      <c r="E354" t="s">
        <v>4577</v>
      </c>
      <c r="H354" t="s">
        <v>4578</v>
      </c>
      <c r="K354" s="31">
        <v>111850.83</v>
      </c>
      <c r="M354" s="31">
        <v>111850.83</v>
      </c>
      <c r="O354">
        <v>0</v>
      </c>
    </row>
    <row r="355" spans="3:17">
      <c r="C355">
        <v>5360</v>
      </c>
      <c r="E355" t="s">
        <v>4579</v>
      </c>
      <c r="H355" t="s">
        <v>4580</v>
      </c>
      <c r="K355" s="31">
        <v>-283956.51</v>
      </c>
      <c r="M355" s="31">
        <v>-283956.51</v>
      </c>
      <c r="O355">
        <v>0</v>
      </c>
    </row>
    <row r="356" spans="3:17">
      <c r="C356">
        <v>5360</v>
      </c>
      <c r="E356" t="s">
        <v>4581</v>
      </c>
      <c r="H356" t="s">
        <v>4582</v>
      </c>
      <c r="K356" s="31">
        <v>-280900.94</v>
      </c>
      <c r="M356" s="31">
        <v>-280900.94</v>
      </c>
      <c r="O356">
        <v>0</v>
      </c>
    </row>
    <row r="357" spans="3:17">
      <c r="C357">
        <v>5360</v>
      </c>
      <c r="E357" t="s">
        <v>4583</v>
      </c>
      <c r="H357" t="s">
        <v>4584</v>
      </c>
      <c r="K357" s="31">
        <v>-953663.18</v>
      </c>
      <c r="M357" s="31">
        <v>-953663.18</v>
      </c>
      <c r="O357">
        <v>0</v>
      </c>
    </row>
    <row r="358" spans="3:17">
      <c r="C358">
        <v>5360</v>
      </c>
      <c r="E358" t="s">
        <v>4585</v>
      </c>
      <c r="H358" t="s">
        <v>4586</v>
      </c>
      <c r="K358" s="31">
        <v>-1039901.58</v>
      </c>
      <c r="M358" s="31">
        <v>-1039901.58</v>
      </c>
      <c r="O358">
        <v>0</v>
      </c>
    </row>
    <row r="359" spans="3:17">
      <c r="C359">
        <v>5360</v>
      </c>
      <c r="E359" t="s">
        <v>4587</v>
      </c>
      <c r="H359" t="s">
        <v>4588</v>
      </c>
      <c r="K359" s="31">
        <v>-3714941.88</v>
      </c>
      <c r="M359" s="31">
        <v>-3714941.88</v>
      </c>
      <c r="O359">
        <v>0</v>
      </c>
    </row>
    <row r="360" spans="3:17">
      <c r="C360">
        <v>5360</v>
      </c>
      <c r="E360" t="s">
        <v>4589</v>
      </c>
      <c r="H360" t="s">
        <v>4590</v>
      </c>
      <c r="K360">
        <v>-8.3000000000000007</v>
      </c>
      <c r="M360">
        <v>-8.3000000000000007</v>
      </c>
      <c r="O360">
        <v>0</v>
      </c>
    </row>
    <row r="361" spans="3:17">
      <c r="C361">
        <v>5360</v>
      </c>
      <c r="E361" t="s">
        <v>4591</v>
      </c>
      <c r="H361" t="s">
        <v>4592</v>
      </c>
      <c r="K361">
        <v>860.38</v>
      </c>
      <c r="M361">
        <v>860.38</v>
      </c>
      <c r="O361">
        <v>0</v>
      </c>
    </row>
    <row r="362" spans="3:17">
      <c r="C362">
        <v>5360</v>
      </c>
      <c r="E362" t="s">
        <v>4593</v>
      </c>
      <c r="H362" t="s">
        <v>4594</v>
      </c>
      <c r="K362" s="31">
        <v>-6600</v>
      </c>
      <c r="M362" s="31">
        <v>-6600</v>
      </c>
      <c r="O362">
        <v>0</v>
      </c>
    </row>
    <row r="363" spans="3:17">
      <c r="C363">
        <v>5360</v>
      </c>
      <c r="E363" t="s">
        <v>4595</v>
      </c>
      <c r="H363" t="s">
        <v>4596</v>
      </c>
      <c r="K363" s="31">
        <v>-512819.96</v>
      </c>
      <c r="M363" s="31">
        <v>-546871.77</v>
      </c>
      <c r="O363" s="31">
        <v>34051.81</v>
      </c>
      <c r="Q363">
        <v>6.2</v>
      </c>
    </row>
    <row r="364" spans="3:17">
      <c r="C364">
        <v>5360</v>
      </c>
      <c r="E364" t="s">
        <v>4597</v>
      </c>
      <c r="H364" t="s">
        <v>4598</v>
      </c>
      <c r="K364" s="31">
        <v>-3617.37</v>
      </c>
      <c r="M364" s="31">
        <v>202334.17</v>
      </c>
      <c r="O364" s="31">
        <v>-205951.54</v>
      </c>
      <c r="Q364">
        <v>-101.8</v>
      </c>
    </row>
    <row r="365" spans="3:17">
      <c r="C365">
        <v>5360</v>
      </c>
      <c r="E365" t="s">
        <v>4599</v>
      </c>
      <c r="H365" t="s">
        <v>4600</v>
      </c>
      <c r="K365" s="31">
        <v>-2683655.4900000002</v>
      </c>
      <c r="M365" s="31">
        <v>-3369937.02</v>
      </c>
      <c r="O365" s="31">
        <v>686281.53</v>
      </c>
      <c r="Q365">
        <v>20.399999999999999</v>
      </c>
    </row>
    <row r="366" spans="3:17">
      <c r="C366">
        <v>5360</v>
      </c>
      <c r="E366" t="s">
        <v>4601</v>
      </c>
      <c r="H366" t="s">
        <v>4602</v>
      </c>
      <c r="K366" s="31">
        <v>-146158.57999999999</v>
      </c>
      <c r="M366" s="31">
        <v>-140201.94</v>
      </c>
      <c r="O366" s="31">
        <v>-5956.64</v>
      </c>
      <c r="Q366">
        <v>-4.2</v>
      </c>
    </row>
    <row r="367" spans="3:17">
      <c r="C367">
        <v>5360</v>
      </c>
      <c r="E367" t="s">
        <v>4603</v>
      </c>
      <c r="H367" t="s">
        <v>4604</v>
      </c>
      <c r="K367" s="31">
        <v>-11973698.439999999</v>
      </c>
      <c r="M367" s="31">
        <v>-6742302.0700000003</v>
      </c>
      <c r="O367" s="31">
        <v>-5231396.37</v>
      </c>
      <c r="Q367">
        <v>-77.599999999999994</v>
      </c>
    </row>
    <row r="368" spans="3:17">
      <c r="C368">
        <v>5360</v>
      </c>
      <c r="E368" t="s">
        <v>4605</v>
      </c>
      <c r="H368" t="s">
        <v>4606</v>
      </c>
      <c r="K368" s="31">
        <v>-293992.39</v>
      </c>
      <c r="M368" s="31">
        <v>-144891.1</v>
      </c>
      <c r="O368" s="31">
        <v>-149101.29</v>
      </c>
      <c r="Q368">
        <v>-102.9</v>
      </c>
    </row>
    <row r="369" spans="3:18">
      <c r="C369">
        <v>5360</v>
      </c>
      <c r="E369" t="s">
        <v>4607</v>
      </c>
      <c r="H369" t="s">
        <v>4608</v>
      </c>
      <c r="K369" s="31">
        <v>163740</v>
      </c>
      <c r="M369" s="31">
        <v>163740</v>
      </c>
      <c r="O369">
        <v>0</v>
      </c>
    </row>
    <row r="370" spans="3:18">
      <c r="E370" t="s">
        <v>4609</v>
      </c>
      <c r="K370" s="31">
        <v>-57312869.670000002</v>
      </c>
      <c r="M370" s="31">
        <v>-64018078.280000001</v>
      </c>
      <c r="O370" s="31">
        <v>6705208.6100000003</v>
      </c>
      <c r="Q370">
        <v>10.5</v>
      </c>
      <c r="R370" t="s">
        <v>569</v>
      </c>
    </row>
    <row r="371" spans="3:18">
      <c r="C371">
        <v>5360</v>
      </c>
      <c r="E371" t="s">
        <v>4610</v>
      </c>
      <c r="H371" t="s">
        <v>4611</v>
      </c>
      <c r="K371" s="31">
        <v>-493138390</v>
      </c>
      <c r="M371" s="31">
        <v>-493138390</v>
      </c>
      <c r="O371">
        <v>0</v>
      </c>
    </row>
    <row r="372" spans="3:18">
      <c r="E372" t="s">
        <v>4612</v>
      </c>
      <c r="K372" s="31">
        <v>-493138390</v>
      </c>
      <c r="M372" s="31">
        <v>-493138390</v>
      </c>
      <c r="O372">
        <v>0</v>
      </c>
      <c r="R372" t="s">
        <v>569</v>
      </c>
    </row>
    <row r="373" spans="3:18">
      <c r="C373">
        <v>5360</v>
      </c>
      <c r="E373" t="s">
        <v>4613</v>
      </c>
      <c r="H373" t="s">
        <v>4614</v>
      </c>
      <c r="K373" s="31">
        <v>-6669900.71</v>
      </c>
      <c r="M373" s="31">
        <v>-8291362.75</v>
      </c>
      <c r="O373" s="31">
        <v>1621462.04</v>
      </c>
      <c r="Q373">
        <v>19.600000000000001</v>
      </c>
    </row>
    <row r="374" spans="3:18">
      <c r="C374">
        <v>5360</v>
      </c>
      <c r="E374" t="s">
        <v>4615</v>
      </c>
      <c r="H374" t="s">
        <v>4616</v>
      </c>
      <c r="K374" s="31">
        <v>-779625.68</v>
      </c>
      <c r="M374" s="31">
        <v>-751963.33</v>
      </c>
      <c r="O374" s="31">
        <v>-27662.35</v>
      </c>
      <c r="Q374">
        <v>-3.7</v>
      </c>
    </row>
    <row r="375" spans="3:18">
      <c r="C375">
        <v>5360</v>
      </c>
      <c r="E375" t="s">
        <v>4617</v>
      </c>
      <c r="H375" t="s">
        <v>4618</v>
      </c>
      <c r="K375" s="31">
        <v>27662.35</v>
      </c>
      <c r="M375">
        <v>0</v>
      </c>
      <c r="O375" s="31">
        <v>27662.35</v>
      </c>
    </row>
    <row r="376" spans="3:18">
      <c r="C376">
        <v>5360</v>
      </c>
      <c r="E376" t="s">
        <v>4619</v>
      </c>
      <c r="H376" t="s">
        <v>4620</v>
      </c>
      <c r="K376" s="31">
        <v>149513.9</v>
      </c>
      <c r="M376" s="31">
        <v>149513.9</v>
      </c>
      <c r="O376">
        <v>0</v>
      </c>
    </row>
    <row r="377" spans="3:18">
      <c r="C377">
        <v>5360</v>
      </c>
      <c r="E377" t="s">
        <v>4621</v>
      </c>
      <c r="H377" t="s">
        <v>4614</v>
      </c>
      <c r="K377" s="31">
        <v>-6651562.6799999997</v>
      </c>
      <c r="M377" s="31">
        <v>-7252092.6299999999</v>
      </c>
      <c r="O377" s="31">
        <v>600529.94999999995</v>
      </c>
      <c r="Q377">
        <v>8.3000000000000007</v>
      </c>
    </row>
    <row r="378" spans="3:18">
      <c r="C378">
        <v>5360</v>
      </c>
      <c r="E378" t="s">
        <v>4622</v>
      </c>
      <c r="H378" t="s">
        <v>4623</v>
      </c>
      <c r="K378" s="31">
        <v>-163740</v>
      </c>
      <c r="M378" s="31">
        <v>-163740</v>
      </c>
      <c r="O378">
        <v>0</v>
      </c>
    </row>
    <row r="379" spans="3:18">
      <c r="E379" t="s">
        <v>4624</v>
      </c>
      <c r="K379" s="31">
        <v>-14087652.82</v>
      </c>
      <c r="M379" s="31">
        <v>-16309644.810000001</v>
      </c>
      <c r="O379" s="31">
        <v>2221991.9900000002</v>
      </c>
      <c r="Q379">
        <v>13.6</v>
      </c>
      <c r="R379" t="s">
        <v>658</v>
      </c>
    </row>
    <row r="380" spans="3:18">
      <c r="E380" t="s">
        <v>4625</v>
      </c>
      <c r="K380" s="31">
        <v>-14087652.82</v>
      </c>
      <c r="M380" s="31">
        <v>-16309644.810000001</v>
      </c>
      <c r="O380" s="31">
        <v>2221991.9900000002</v>
      </c>
      <c r="Q380">
        <v>13.6</v>
      </c>
      <c r="R380" t="s">
        <v>569</v>
      </c>
    </row>
    <row r="381" spans="3:18">
      <c r="C381">
        <v>5360</v>
      </c>
      <c r="E381" t="s">
        <v>4626</v>
      </c>
      <c r="H381" t="s">
        <v>266</v>
      </c>
      <c r="K381" s="31">
        <v>-1947232.06</v>
      </c>
      <c r="M381" s="31">
        <v>-1884503.16</v>
      </c>
      <c r="O381" s="31">
        <v>-62728.9</v>
      </c>
      <c r="Q381">
        <v>-3.3</v>
      </c>
    </row>
    <row r="382" spans="3:18">
      <c r="E382" t="s">
        <v>266</v>
      </c>
      <c r="K382" s="31">
        <v>-1947232.06</v>
      </c>
      <c r="M382" s="31">
        <v>-1884503.16</v>
      </c>
      <c r="O382" s="31">
        <v>-62728.9</v>
      </c>
      <c r="Q382">
        <v>-3.3</v>
      </c>
      <c r="R382" t="s">
        <v>569</v>
      </c>
    </row>
    <row r="383" spans="3:18">
      <c r="C383">
        <v>5360</v>
      </c>
      <c r="E383" t="s">
        <v>4627</v>
      </c>
      <c r="H383" t="s">
        <v>4628</v>
      </c>
      <c r="K383" s="31">
        <v>57393736.770000003</v>
      </c>
      <c r="M383" s="31">
        <v>57393736.770000003</v>
      </c>
      <c r="O383">
        <v>0</v>
      </c>
    </row>
    <row r="384" spans="3:18">
      <c r="C384">
        <v>5360</v>
      </c>
      <c r="E384" t="s">
        <v>4629</v>
      </c>
      <c r="H384" t="s">
        <v>4630</v>
      </c>
      <c r="K384" s="31">
        <v>-8436791.2899999991</v>
      </c>
      <c r="M384" s="31">
        <v>-8389649.9600000009</v>
      </c>
      <c r="O384" s="31">
        <v>-47141.33</v>
      </c>
      <c r="Q384">
        <v>-0.6</v>
      </c>
    </row>
    <row r="385" spans="3:18">
      <c r="C385">
        <v>5360</v>
      </c>
      <c r="E385" t="s">
        <v>4631</v>
      </c>
      <c r="H385" t="s">
        <v>4632</v>
      </c>
      <c r="K385" s="31">
        <v>13275</v>
      </c>
      <c r="M385" s="31">
        <v>13275</v>
      </c>
      <c r="O385">
        <v>0</v>
      </c>
    </row>
    <row r="386" spans="3:18">
      <c r="C386">
        <v>5360</v>
      </c>
      <c r="E386" t="s">
        <v>4633</v>
      </c>
      <c r="H386" t="s">
        <v>4634</v>
      </c>
      <c r="K386" s="31">
        <v>-14540.71</v>
      </c>
      <c r="M386" s="31">
        <v>-14540.71</v>
      </c>
      <c r="O386">
        <v>0</v>
      </c>
    </row>
    <row r="387" spans="3:18">
      <c r="C387">
        <v>5360</v>
      </c>
      <c r="E387" t="s">
        <v>4635</v>
      </c>
      <c r="H387" t="s">
        <v>4636</v>
      </c>
      <c r="K387" s="31">
        <v>695681.14</v>
      </c>
      <c r="M387" s="31">
        <v>694751.92</v>
      </c>
      <c r="O387">
        <v>929.22</v>
      </c>
      <c r="Q387">
        <v>0.1</v>
      </c>
    </row>
    <row r="388" spans="3:18">
      <c r="C388">
        <v>5360</v>
      </c>
      <c r="E388" t="s">
        <v>4637</v>
      </c>
      <c r="H388" t="s">
        <v>4638</v>
      </c>
      <c r="K388" s="31">
        <v>123304.15</v>
      </c>
      <c r="M388" s="31">
        <v>124047.08</v>
      </c>
      <c r="O388">
        <v>-742.93</v>
      </c>
      <c r="Q388">
        <v>-0.6</v>
      </c>
    </row>
    <row r="389" spans="3:18">
      <c r="C389">
        <v>5360</v>
      </c>
      <c r="E389" t="s">
        <v>4639</v>
      </c>
      <c r="H389" t="s">
        <v>4640</v>
      </c>
      <c r="K389" s="31">
        <v>17271085.879999999</v>
      </c>
      <c r="M389" s="31">
        <v>17271085.829999998</v>
      </c>
      <c r="O389">
        <v>0.05</v>
      </c>
    </row>
    <row r="390" spans="3:18">
      <c r="C390">
        <v>5360</v>
      </c>
      <c r="E390" t="s">
        <v>4641</v>
      </c>
      <c r="H390" t="s">
        <v>4642</v>
      </c>
      <c r="K390" s="31">
        <v>117003232.03</v>
      </c>
      <c r="M390" s="31">
        <v>113479477.51000001</v>
      </c>
      <c r="O390" s="31">
        <v>3523754.52</v>
      </c>
      <c r="Q390">
        <v>3.1</v>
      </c>
    </row>
    <row r="391" spans="3:18">
      <c r="C391">
        <v>5360</v>
      </c>
      <c r="E391" t="s">
        <v>4643</v>
      </c>
      <c r="H391" t="s">
        <v>4644</v>
      </c>
      <c r="K391" s="31">
        <v>-4522773.8600000003</v>
      </c>
      <c r="M391" s="31">
        <v>-4522773.8600000003</v>
      </c>
      <c r="O391">
        <v>0</v>
      </c>
    </row>
    <row r="392" spans="3:18">
      <c r="C392">
        <v>5360</v>
      </c>
      <c r="E392" t="s">
        <v>4645</v>
      </c>
      <c r="H392" t="s">
        <v>4646</v>
      </c>
      <c r="K392" s="31">
        <v>-98616.31</v>
      </c>
      <c r="M392" s="31">
        <v>-98616.31</v>
      </c>
      <c r="O392">
        <v>0</v>
      </c>
    </row>
    <row r="393" spans="3:18">
      <c r="C393">
        <v>5360</v>
      </c>
      <c r="E393" t="s">
        <v>4647</v>
      </c>
      <c r="H393" t="s">
        <v>4648</v>
      </c>
      <c r="K393" s="31">
        <v>-2435582.14</v>
      </c>
      <c r="M393" s="31">
        <v>-2121549.7999999998</v>
      </c>
      <c r="O393" s="31">
        <v>-314032.34000000003</v>
      </c>
      <c r="Q393">
        <v>-14.8</v>
      </c>
    </row>
    <row r="394" spans="3:18">
      <c r="C394">
        <v>5360</v>
      </c>
      <c r="E394" t="s">
        <v>4649</v>
      </c>
      <c r="H394" t="s">
        <v>4650</v>
      </c>
      <c r="K394">
        <v>-846.4</v>
      </c>
      <c r="M394">
        <v>-846.4</v>
      </c>
      <c r="O394">
        <v>0</v>
      </c>
    </row>
    <row r="395" spans="3:18">
      <c r="E395" t="s">
        <v>4651</v>
      </c>
      <c r="K395" s="31">
        <v>176991164.25999999</v>
      </c>
      <c r="M395" s="31">
        <v>173828397.06999999</v>
      </c>
      <c r="O395" s="31">
        <v>3162767.19</v>
      </c>
      <c r="Q395">
        <v>1.8</v>
      </c>
      <c r="R395" t="s">
        <v>569</v>
      </c>
    </row>
    <row r="396" spans="3:18">
      <c r="C396">
        <v>5360</v>
      </c>
      <c r="E396" t="s">
        <v>4652</v>
      </c>
      <c r="H396" t="s">
        <v>4653</v>
      </c>
      <c r="K396" s="31">
        <v>-23711313.109999999</v>
      </c>
      <c r="M396" s="31">
        <v>-24083781.859999999</v>
      </c>
      <c r="O396" s="31">
        <v>372468.75</v>
      </c>
      <c r="Q396">
        <v>1.5</v>
      </c>
    </row>
    <row r="397" spans="3:18">
      <c r="C397">
        <v>5360</v>
      </c>
      <c r="E397" t="s">
        <v>4654</v>
      </c>
      <c r="H397" t="s">
        <v>4655</v>
      </c>
      <c r="K397">
        <v>-924.06</v>
      </c>
      <c r="M397">
        <v>-924.06</v>
      </c>
      <c r="O397">
        <v>0</v>
      </c>
    </row>
    <row r="398" spans="3:18">
      <c r="C398">
        <v>5360</v>
      </c>
      <c r="E398" t="s">
        <v>4656</v>
      </c>
      <c r="H398" t="s">
        <v>4657</v>
      </c>
      <c r="K398" s="31">
        <v>-3443.41</v>
      </c>
      <c r="M398" s="31">
        <v>-3881.99</v>
      </c>
      <c r="O398">
        <v>438.58</v>
      </c>
      <c r="Q398">
        <v>11.3</v>
      </c>
    </row>
    <row r="399" spans="3:18">
      <c r="E399" t="s">
        <v>4658</v>
      </c>
      <c r="K399" s="31">
        <v>-23715680.579999998</v>
      </c>
      <c r="M399" s="31">
        <v>-24088587.91</v>
      </c>
      <c r="O399" s="31">
        <v>372907.33</v>
      </c>
      <c r="Q399">
        <v>1.5</v>
      </c>
      <c r="R399" t="s">
        <v>569</v>
      </c>
    </row>
    <row r="400" spans="3:18">
      <c r="C400">
        <v>5360</v>
      </c>
      <c r="E400" t="s">
        <v>4659</v>
      </c>
      <c r="H400" t="s">
        <v>4660</v>
      </c>
      <c r="K400" s="31">
        <v>22906565.850000001</v>
      </c>
      <c r="M400" s="31">
        <v>23614560.969999999</v>
      </c>
      <c r="O400" s="31">
        <v>-707995.12</v>
      </c>
      <c r="Q400">
        <v>-3</v>
      </c>
    </row>
    <row r="401" spans="3:18">
      <c r="C401">
        <v>5360</v>
      </c>
      <c r="E401" t="s">
        <v>4661</v>
      </c>
      <c r="H401" t="s">
        <v>4662</v>
      </c>
      <c r="K401" s="31">
        <v>-4783423.76</v>
      </c>
      <c r="M401" s="31">
        <v>-4783423.76</v>
      </c>
      <c r="O401">
        <v>0</v>
      </c>
    </row>
    <row r="402" spans="3:18">
      <c r="C402">
        <v>5360</v>
      </c>
      <c r="E402" t="s">
        <v>4663</v>
      </c>
      <c r="H402" t="s">
        <v>4664</v>
      </c>
      <c r="K402" s="31">
        <v>320160.19</v>
      </c>
      <c r="M402" s="31">
        <v>302198.49</v>
      </c>
      <c r="O402" s="31">
        <v>17961.7</v>
      </c>
      <c r="Q402">
        <v>5.9</v>
      </c>
    </row>
    <row r="403" spans="3:18">
      <c r="C403">
        <v>5360</v>
      </c>
      <c r="E403" t="s">
        <v>4665</v>
      </c>
      <c r="H403" t="s">
        <v>4666</v>
      </c>
      <c r="K403" s="31">
        <v>50783744.780000001</v>
      </c>
      <c r="M403" s="31">
        <v>52830925.490000002</v>
      </c>
      <c r="O403" s="31">
        <v>-2047180.71</v>
      </c>
      <c r="Q403">
        <v>-3.9</v>
      </c>
    </row>
    <row r="404" spans="3:18">
      <c r="C404">
        <v>5360</v>
      </c>
      <c r="E404" t="s">
        <v>4667</v>
      </c>
      <c r="H404" t="s">
        <v>4668</v>
      </c>
      <c r="K404" s="31">
        <v>-289395.53000000003</v>
      </c>
      <c r="M404" s="31">
        <v>-289395.53000000003</v>
      </c>
      <c r="O404">
        <v>0</v>
      </c>
    </row>
    <row r="405" spans="3:18">
      <c r="C405">
        <v>5360</v>
      </c>
      <c r="E405" t="s">
        <v>4669</v>
      </c>
      <c r="H405" t="s">
        <v>4670</v>
      </c>
      <c r="K405">
        <v>234.38</v>
      </c>
      <c r="M405">
        <v>234.38</v>
      </c>
      <c r="O405">
        <v>0</v>
      </c>
    </row>
    <row r="406" spans="3:18">
      <c r="C406">
        <v>5360</v>
      </c>
      <c r="E406" t="s">
        <v>4671</v>
      </c>
      <c r="H406" t="s">
        <v>4672</v>
      </c>
      <c r="K406" s="31">
        <v>9174837.3599999994</v>
      </c>
      <c r="M406" s="31">
        <v>9704059.3499999996</v>
      </c>
      <c r="O406" s="31">
        <v>-529221.99</v>
      </c>
      <c r="Q406">
        <v>-5.5</v>
      </c>
    </row>
    <row r="407" spans="3:18">
      <c r="E407" t="s">
        <v>4673</v>
      </c>
      <c r="K407" s="31">
        <v>78112723.269999996</v>
      </c>
      <c r="M407" s="31">
        <v>81379159.390000001</v>
      </c>
      <c r="O407" s="31">
        <v>-3266436.12</v>
      </c>
      <c r="Q407">
        <v>-4</v>
      </c>
      <c r="R407" t="s">
        <v>569</v>
      </c>
    </row>
    <row r="408" spans="3:18">
      <c r="C408">
        <v>5360</v>
      </c>
      <c r="E408" t="s">
        <v>4674</v>
      </c>
      <c r="H408" t="s">
        <v>4675</v>
      </c>
      <c r="K408" s="31">
        <v>5110584.46</v>
      </c>
      <c r="M408" s="31">
        <v>5110584.46</v>
      </c>
      <c r="O408">
        <v>0</v>
      </c>
    </row>
    <row r="409" spans="3:18">
      <c r="C409">
        <v>5360</v>
      </c>
      <c r="E409" t="s">
        <v>4676</v>
      </c>
      <c r="H409" t="s">
        <v>4677</v>
      </c>
      <c r="K409">
        <v>0</v>
      </c>
      <c r="M409" s="31">
        <v>-300000</v>
      </c>
      <c r="O409" s="31">
        <v>300000</v>
      </c>
      <c r="Q409">
        <v>100</v>
      </c>
    </row>
    <row r="410" spans="3:18">
      <c r="C410">
        <v>5360</v>
      </c>
      <c r="E410" t="s">
        <v>4678</v>
      </c>
      <c r="H410" t="s">
        <v>4679</v>
      </c>
      <c r="K410" s="31">
        <v>-1377</v>
      </c>
      <c r="M410">
        <v>-963.96</v>
      </c>
      <c r="O410">
        <v>-413.04</v>
      </c>
      <c r="Q410">
        <v>-42.8</v>
      </c>
    </row>
    <row r="411" spans="3:18">
      <c r="C411">
        <v>5360</v>
      </c>
      <c r="E411" t="s">
        <v>4680</v>
      </c>
      <c r="H411" t="s">
        <v>4681</v>
      </c>
      <c r="K411" s="31">
        <v>155936.38</v>
      </c>
      <c r="M411" s="31">
        <v>1030</v>
      </c>
      <c r="O411" s="31">
        <v>154906.38</v>
      </c>
      <c r="Q411">
        <v>15039.5</v>
      </c>
    </row>
    <row r="412" spans="3:18">
      <c r="C412">
        <v>5360</v>
      </c>
      <c r="E412" t="s">
        <v>4682</v>
      </c>
      <c r="H412" t="s">
        <v>4683</v>
      </c>
      <c r="K412" s="31">
        <v>-3167</v>
      </c>
      <c r="M412" s="31">
        <v>-3580.04</v>
      </c>
      <c r="O412">
        <v>413.04</v>
      </c>
      <c r="Q412">
        <v>11.5</v>
      </c>
    </row>
    <row r="413" spans="3:18">
      <c r="C413">
        <v>5360</v>
      </c>
      <c r="E413" t="s">
        <v>4684</v>
      </c>
      <c r="H413" t="s">
        <v>4685</v>
      </c>
      <c r="K413" s="31">
        <v>-175585</v>
      </c>
      <c r="M413" s="31">
        <v>-175585</v>
      </c>
      <c r="O413">
        <v>0</v>
      </c>
    </row>
    <row r="414" spans="3:18">
      <c r="C414">
        <v>5360</v>
      </c>
      <c r="E414" t="s">
        <v>4686</v>
      </c>
      <c r="H414" t="s">
        <v>4687</v>
      </c>
      <c r="K414" s="31">
        <v>-79773223.420000002</v>
      </c>
      <c r="M414" s="31">
        <v>-78450067.290000007</v>
      </c>
      <c r="O414" s="31">
        <v>-1323156.1299999999</v>
      </c>
      <c r="Q414">
        <v>-1.7</v>
      </c>
    </row>
    <row r="415" spans="3:18">
      <c r="C415">
        <v>5360</v>
      </c>
      <c r="E415" t="s">
        <v>4688</v>
      </c>
      <c r="H415" t="s">
        <v>4689</v>
      </c>
      <c r="K415" s="31">
        <v>-789671.91</v>
      </c>
      <c r="M415" s="31">
        <v>-824547.87</v>
      </c>
      <c r="O415" s="31">
        <v>34875.96</v>
      </c>
      <c r="Q415">
        <v>4.2</v>
      </c>
    </row>
    <row r="416" spans="3:18">
      <c r="C416">
        <v>5360</v>
      </c>
      <c r="E416" t="s">
        <v>4690</v>
      </c>
      <c r="H416" t="s">
        <v>4691</v>
      </c>
      <c r="K416" s="31">
        <v>-2135549.1800000002</v>
      </c>
      <c r="M416" s="31">
        <v>-1861146.2</v>
      </c>
      <c r="O416" s="31">
        <v>-274402.98</v>
      </c>
      <c r="Q416">
        <v>-14.7</v>
      </c>
    </row>
    <row r="417" spans="3:18">
      <c r="C417">
        <v>5360</v>
      </c>
      <c r="E417" t="s">
        <v>4692</v>
      </c>
      <c r="H417" t="s">
        <v>4693</v>
      </c>
      <c r="K417" s="31">
        <v>1074233.19</v>
      </c>
      <c r="M417" s="31">
        <v>1074233.19</v>
      </c>
      <c r="O417">
        <v>0</v>
      </c>
    </row>
    <row r="418" spans="3:18">
      <c r="C418">
        <v>5360</v>
      </c>
      <c r="E418" t="s">
        <v>4694</v>
      </c>
      <c r="H418" t="s">
        <v>4695</v>
      </c>
      <c r="K418" s="31">
        <v>-1212644.52</v>
      </c>
      <c r="M418" s="31">
        <v>-1212644.52</v>
      </c>
      <c r="O418">
        <v>0</v>
      </c>
    </row>
    <row r="419" spans="3:18">
      <c r="C419">
        <v>5360</v>
      </c>
      <c r="E419" t="s">
        <v>4696</v>
      </c>
      <c r="H419" t="s">
        <v>4697</v>
      </c>
      <c r="K419" s="31">
        <v>-367583.35</v>
      </c>
      <c r="M419" s="31">
        <v>-367583.35</v>
      </c>
      <c r="O419">
        <v>0</v>
      </c>
    </row>
    <row r="420" spans="3:18">
      <c r="C420">
        <v>5360</v>
      </c>
      <c r="E420" t="s">
        <v>4698</v>
      </c>
      <c r="H420" t="s">
        <v>4699</v>
      </c>
      <c r="K420" s="31">
        <v>-989065.49</v>
      </c>
      <c r="M420" s="31">
        <v>-1099712.08</v>
      </c>
      <c r="O420" s="31">
        <v>110646.59</v>
      </c>
      <c r="Q420">
        <v>10.1</v>
      </c>
    </row>
    <row r="421" spans="3:18">
      <c r="C421">
        <v>5360</v>
      </c>
      <c r="E421" t="s">
        <v>4700</v>
      </c>
      <c r="H421" t="s">
        <v>4701</v>
      </c>
      <c r="K421" s="31">
        <v>-19695.8</v>
      </c>
      <c r="M421" s="31">
        <v>-20314.37</v>
      </c>
      <c r="O421">
        <v>618.57000000000005</v>
      </c>
      <c r="Q421">
        <v>3</v>
      </c>
    </row>
    <row r="422" spans="3:18">
      <c r="C422">
        <v>5360</v>
      </c>
      <c r="E422" t="s">
        <v>4702</v>
      </c>
      <c r="H422" t="s">
        <v>4703</v>
      </c>
      <c r="K422" s="31">
        <v>-172000</v>
      </c>
      <c r="M422" s="31">
        <v>-172000</v>
      </c>
      <c r="O422">
        <v>0</v>
      </c>
    </row>
    <row r="423" spans="3:18">
      <c r="C423">
        <v>5360</v>
      </c>
      <c r="E423" t="s">
        <v>4704</v>
      </c>
      <c r="H423" t="s">
        <v>4705</v>
      </c>
      <c r="K423" s="31">
        <v>-347726.76</v>
      </c>
      <c r="M423" s="31">
        <v>-347726.76</v>
      </c>
      <c r="O423">
        <v>0</v>
      </c>
    </row>
    <row r="424" spans="3:18">
      <c r="C424">
        <v>5360</v>
      </c>
      <c r="E424" t="s">
        <v>4706</v>
      </c>
      <c r="H424" t="s">
        <v>4707</v>
      </c>
      <c r="K424" s="31">
        <v>-1420433.24</v>
      </c>
      <c r="M424" s="31">
        <v>-1420433.24</v>
      </c>
      <c r="O424">
        <v>0</v>
      </c>
    </row>
    <row r="425" spans="3:18">
      <c r="C425">
        <v>5360</v>
      </c>
      <c r="E425" t="s">
        <v>4708</v>
      </c>
      <c r="H425" t="s">
        <v>4709</v>
      </c>
      <c r="K425" s="31">
        <v>-2359633.9900000002</v>
      </c>
      <c r="M425" s="31">
        <v>-2359633.9900000002</v>
      </c>
      <c r="O425">
        <v>0</v>
      </c>
    </row>
    <row r="426" spans="3:18">
      <c r="C426">
        <v>5360</v>
      </c>
      <c r="E426" t="s">
        <v>4710</v>
      </c>
      <c r="H426" t="s">
        <v>4711</v>
      </c>
      <c r="K426" s="31">
        <v>-10924137.699999999</v>
      </c>
      <c r="M426" s="31">
        <v>-2519360.04</v>
      </c>
      <c r="O426" s="31">
        <v>-8404777.6600000001</v>
      </c>
      <c r="Q426">
        <v>-333.6</v>
      </c>
    </row>
    <row r="427" spans="3:18">
      <c r="C427">
        <v>5360</v>
      </c>
      <c r="E427" t="s">
        <v>4712</v>
      </c>
      <c r="H427" t="s">
        <v>4713</v>
      </c>
      <c r="K427">
        <v>31.56</v>
      </c>
      <c r="M427">
        <v>31.56</v>
      </c>
      <c r="O427">
        <v>0</v>
      </c>
    </row>
    <row r="428" spans="3:18">
      <c r="C428">
        <v>5360</v>
      </c>
      <c r="E428" t="s">
        <v>4714</v>
      </c>
      <c r="H428" t="s">
        <v>4715</v>
      </c>
      <c r="K428" s="31">
        <v>172000</v>
      </c>
      <c r="M428" s="31">
        <v>172000</v>
      </c>
      <c r="O428">
        <v>0</v>
      </c>
    </row>
    <row r="429" spans="3:18">
      <c r="E429" t="s">
        <v>4716</v>
      </c>
      <c r="K429" s="31">
        <v>-94178708.769999996</v>
      </c>
      <c r="M429" s="31">
        <v>-84777419.5</v>
      </c>
      <c r="O429" s="31">
        <v>-9401289.2699999996</v>
      </c>
      <c r="Q429">
        <v>-11.1</v>
      </c>
      <c r="R429" t="s">
        <v>569</v>
      </c>
    </row>
    <row r="430" spans="3:18">
      <c r="C430">
        <v>5360</v>
      </c>
      <c r="E430" t="s">
        <v>4717</v>
      </c>
      <c r="H430" t="s">
        <v>4718</v>
      </c>
      <c r="K430" s="31">
        <v>-3305043.35</v>
      </c>
      <c r="M430" s="31">
        <v>-3305043.35</v>
      </c>
      <c r="O430">
        <v>0</v>
      </c>
    </row>
    <row r="431" spans="3:18">
      <c r="C431">
        <v>5360</v>
      </c>
      <c r="E431" t="s">
        <v>4719</v>
      </c>
      <c r="H431" t="s">
        <v>4720</v>
      </c>
      <c r="K431" s="31">
        <v>-38862.980000000003</v>
      </c>
      <c r="M431" s="31">
        <v>-83428.08</v>
      </c>
      <c r="O431" s="31">
        <v>44565.1</v>
      </c>
      <c r="Q431">
        <v>53.4</v>
      </c>
    </row>
    <row r="432" spans="3:18">
      <c r="C432">
        <v>5360</v>
      </c>
      <c r="E432" t="s">
        <v>4721</v>
      </c>
      <c r="H432" t="s">
        <v>4722</v>
      </c>
      <c r="K432" s="31">
        <v>1851177.61</v>
      </c>
      <c r="M432" s="31">
        <v>2734134.25</v>
      </c>
      <c r="O432" s="31">
        <v>-882956.64</v>
      </c>
      <c r="Q432">
        <v>-32.299999999999997</v>
      </c>
    </row>
    <row r="433" spans="3:18">
      <c r="C433">
        <v>5360</v>
      </c>
      <c r="E433" t="s">
        <v>4723</v>
      </c>
      <c r="H433" t="s">
        <v>4724</v>
      </c>
      <c r="K433" s="31">
        <v>-122331.52</v>
      </c>
      <c r="M433" s="31">
        <v>-176695.62</v>
      </c>
      <c r="O433" s="31">
        <v>54364.1</v>
      </c>
      <c r="Q433">
        <v>30.8</v>
      </c>
    </row>
    <row r="434" spans="3:18">
      <c r="C434">
        <v>5360</v>
      </c>
      <c r="E434" t="s">
        <v>4725</v>
      </c>
      <c r="H434" t="s">
        <v>4726</v>
      </c>
      <c r="K434" s="31">
        <v>-1416976.76</v>
      </c>
      <c r="M434" s="31">
        <v>-2031115.86</v>
      </c>
      <c r="O434" s="31">
        <v>614139.1</v>
      </c>
      <c r="Q434">
        <v>30.2</v>
      </c>
    </row>
    <row r="435" spans="3:18">
      <c r="E435" t="s">
        <v>4727</v>
      </c>
      <c r="K435" s="31">
        <v>-3032037</v>
      </c>
      <c r="M435" s="31">
        <v>-2862148.66</v>
      </c>
      <c r="O435" s="31">
        <v>-169888.34</v>
      </c>
      <c r="Q435">
        <v>-5.9</v>
      </c>
      <c r="R435" t="s">
        <v>569</v>
      </c>
    </row>
    <row r="436" spans="3:18">
      <c r="E436" t="s">
        <v>4728</v>
      </c>
      <c r="K436" s="31">
        <v>-433683683.37</v>
      </c>
      <c r="M436" s="31">
        <v>-433246215.86000001</v>
      </c>
      <c r="O436" s="31">
        <v>-437467.51</v>
      </c>
      <c r="Q436">
        <v>-0.1</v>
      </c>
      <c r="R436" t="s">
        <v>611</v>
      </c>
    </row>
    <row r="438" spans="3:18">
      <c r="C438">
        <v>5360</v>
      </c>
      <c r="E438" t="s">
        <v>4729</v>
      </c>
      <c r="H438" t="s">
        <v>4730</v>
      </c>
      <c r="K438" s="31">
        <v>-58665276.450000003</v>
      </c>
      <c r="M438" s="31">
        <v>-58665276.450000003</v>
      </c>
      <c r="O438">
        <v>0</v>
      </c>
    </row>
    <row r="439" spans="3:18">
      <c r="C439">
        <v>5360</v>
      </c>
      <c r="E439" t="s">
        <v>4731</v>
      </c>
      <c r="H439" t="s">
        <v>4732</v>
      </c>
      <c r="K439" s="31">
        <v>-43610586.829999998</v>
      </c>
      <c r="M439" s="31">
        <v>-44144710.140000001</v>
      </c>
      <c r="O439" s="31">
        <v>534123.31000000006</v>
      </c>
      <c r="Q439">
        <v>1.2</v>
      </c>
    </row>
    <row r="440" spans="3:18">
      <c r="C440">
        <v>5360</v>
      </c>
      <c r="E440" t="s">
        <v>4733</v>
      </c>
      <c r="H440" t="s">
        <v>4734</v>
      </c>
      <c r="K440" s="31">
        <v>361689.78</v>
      </c>
      <c r="M440" s="31">
        <v>361689.78</v>
      </c>
      <c r="O440">
        <v>0</v>
      </c>
    </row>
    <row r="441" spans="3:18">
      <c r="E441" t="s">
        <v>4735</v>
      </c>
      <c r="K441" s="31">
        <v>-101914173.5</v>
      </c>
      <c r="M441" s="31">
        <v>-102448296.81</v>
      </c>
      <c r="O441" s="31">
        <v>534123.31000000006</v>
      </c>
      <c r="Q441">
        <v>0.5</v>
      </c>
      <c r="R441" t="s">
        <v>650</v>
      </c>
    </row>
    <row r="442" spans="3:18">
      <c r="E442" t="s">
        <v>4736</v>
      </c>
      <c r="K442" s="31">
        <v>-101914173.5</v>
      </c>
      <c r="M442" s="31">
        <v>-102448296.81</v>
      </c>
      <c r="O442" s="31">
        <v>534123.31000000006</v>
      </c>
      <c r="Q442">
        <v>0.5</v>
      </c>
      <c r="R442" t="s">
        <v>658</v>
      </c>
    </row>
    <row r="443" spans="3:18">
      <c r="C443">
        <v>5360</v>
      </c>
      <c r="E443" t="s">
        <v>4737</v>
      </c>
      <c r="H443" t="s">
        <v>4738</v>
      </c>
      <c r="K443" s="31">
        <v>-4304106.45</v>
      </c>
      <c r="M443" s="31">
        <v>-4304106.45</v>
      </c>
      <c r="O443">
        <v>0</v>
      </c>
    </row>
    <row r="444" spans="3:18">
      <c r="C444">
        <v>5360</v>
      </c>
      <c r="E444" t="s">
        <v>4739</v>
      </c>
      <c r="H444" t="s">
        <v>4740</v>
      </c>
      <c r="K444" s="31">
        <v>-905881.71</v>
      </c>
      <c r="M444" s="31">
        <v>-1047863.85</v>
      </c>
      <c r="O444" s="31">
        <v>141982.14000000001</v>
      </c>
      <c r="Q444">
        <v>13.5</v>
      </c>
    </row>
    <row r="445" spans="3:18">
      <c r="C445">
        <v>5360</v>
      </c>
      <c r="E445" t="s">
        <v>4741</v>
      </c>
      <c r="H445" t="s">
        <v>4742</v>
      </c>
      <c r="K445" s="31">
        <v>1229000</v>
      </c>
      <c r="M445" s="31">
        <v>1229000</v>
      </c>
      <c r="O445">
        <v>0</v>
      </c>
    </row>
    <row r="446" spans="3:18">
      <c r="C446">
        <v>5360</v>
      </c>
      <c r="E446" t="s">
        <v>4743</v>
      </c>
      <c r="H446" t="s">
        <v>4744</v>
      </c>
      <c r="K446" s="31">
        <v>-1229000</v>
      </c>
      <c r="M446" s="31">
        <v>-1229000</v>
      </c>
      <c r="O446">
        <v>0</v>
      </c>
    </row>
    <row r="447" spans="3:18">
      <c r="C447">
        <v>5360</v>
      </c>
      <c r="E447" t="s">
        <v>4745</v>
      </c>
      <c r="H447" t="s">
        <v>4746</v>
      </c>
      <c r="K447" s="31">
        <v>-10140542.08</v>
      </c>
      <c r="M447" s="31">
        <v>-10140542.08</v>
      </c>
      <c r="O447">
        <v>0</v>
      </c>
    </row>
    <row r="448" spans="3:18">
      <c r="C448">
        <v>5360</v>
      </c>
      <c r="E448" t="s">
        <v>4747</v>
      </c>
      <c r="H448" t="s">
        <v>4748</v>
      </c>
      <c r="K448" s="31">
        <v>-59131.15</v>
      </c>
      <c r="M448" s="31">
        <v>-59131.15</v>
      </c>
      <c r="O448">
        <v>0</v>
      </c>
    </row>
    <row r="449" spans="3:18">
      <c r="C449">
        <v>5360</v>
      </c>
      <c r="E449" t="s">
        <v>4749</v>
      </c>
      <c r="H449" t="s">
        <v>4750</v>
      </c>
      <c r="K449" s="31">
        <v>-122338.21</v>
      </c>
      <c r="M449" s="31">
        <v>-122338.21</v>
      </c>
      <c r="O449">
        <v>0</v>
      </c>
    </row>
    <row r="450" spans="3:18">
      <c r="C450">
        <v>5360</v>
      </c>
      <c r="E450" t="s">
        <v>4751</v>
      </c>
      <c r="H450" t="s">
        <v>4752</v>
      </c>
      <c r="K450" s="31">
        <v>-91841.96</v>
      </c>
      <c r="M450" s="31">
        <v>-91841.96</v>
      </c>
      <c r="O450">
        <v>0</v>
      </c>
    </row>
    <row r="451" spans="3:18">
      <c r="C451">
        <v>5360</v>
      </c>
      <c r="E451" t="s">
        <v>4753</v>
      </c>
      <c r="H451" t="s">
        <v>4754</v>
      </c>
      <c r="K451" s="31">
        <v>988134.15</v>
      </c>
      <c r="M451" s="31">
        <v>988134.15</v>
      </c>
      <c r="O451">
        <v>0</v>
      </c>
    </row>
    <row r="452" spans="3:18">
      <c r="C452">
        <v>5360</v>
      </c>
      <c r="E452" t="s">
        <v>4755</v>
      </c>
      <c r="H452" t="s">
        <v>4756</v>
      </c>
      <c r="K452" s="31">
        <v>1173314.77</v>
      </c>
      <c r="M452" s="31">
        <v>1173314.77</v>
      </c>
      <c r="O452">
        <v>0</v>
      </c>
    </row>
    <row r="453" spans="3:18">
      <c r="C453">
        <v>5360</v>
      </c>
      <c r="E453" t="s">
        <v>4757</v>
      </c>
      <c r="H453" t="s">
        <v>4758</v>
      </c>
      <c r="K453" s="31">
        <v>2733749.4</v>
      </c>
      <c r="M453" s="31">
        <v>2733749.4</v>
      </c>
      <c r="O453">
        <v>0</v>
      </c>
    </row>
    <row r="454" spans="3:18">
      <c r="C454">
        <v>5360</v>
      </c>
      <c r="E454" t="s">
        <v>4759</v>
      </c>
      <c r="H454" t="s">
        <v>4760</v>
      </c>
      <c r="K454" s="31">
        <v>477227.75</v>
      </c>
      <c r="M454" s="31">
        <v>477227.75</v>
      </c>
      <c r="O454">
        <v>0</v>
      </c>
    </row>
    <row r="455" spans="3:18">
      <c r="C455">
        <v>5360</v>
      </c>
      <c r="E455" t="s">
        <v>4761</v>
      </c>
      <c r="H455" t="s">
        <v>4762</v>
      </c>
      <c r="K455" s="31">
        <v>-3059964.65</v>
      </c>
      <c r="M455" s="31">
        <v>-3059964.65</v>
      </c>
      <c r="O455">
        <v>0</v>
      </c>
    </row>
    <row r="456" spans="3:18">
      <c r="C456">
        <v>5360</v>
      </c>
      <c r="E456" t="s">
        <v>4763</v>
      </c>
      <c r="H456" t="s">
        <v>4764</v>
      </c>
      <c r="K456" s="31">
        <v>-8835069.6699999999</v>
      </c>
      <c r="M456" s="31">
        <v>-8835069.6699999999</v>
      </c>
      <c r="O456">
        <v>0</v>
      </c>
    </row>
    <row r="457" spans="3:18">
      <c r="C457">
        <v>5360</v>
      </c>
      <c r="E457" t="s">
        <v>4765</v>
      </c>
      <c r="H457" t="s">
        <v>4766</v>
      </c>
      <c r="K457" s="31">
        <v>3749167</v>
      </c>
      <c r="M457" s="31">
        <v>3749167</v>
      </c>
      <c r="O457">
        <v>0</v>
      </c>
    </row>
    <row r="458" spans="3:18">
      <c r="C458">
        <v>5360</v>
      </c>
      <c r="E458" t="s">
        <v>4767</v>
      </c>
      <c r="H458" t="s">
        <v>4768</v>
      </c>
      <c r="K458" s="31">
        <v>-34242752.409999996</v>
      </c>
      <c r="M458" s="31">
        <v>-34242752.409999996</v>
      </c>
      <c r="O458">
        <v>0</v>
      </c>
    </row>
    <row r="459" spans="3:18">
      <c r="C459">
        <v>5360</v>
      </c>
      <c r="E459" t="s">
        <v>4769</v>
      </c>
      <c r="H459" t="s">
        <v>4770</v>
      </c>
      <c r="K459" s="31">
        <v>-381618.17</v>
      </c>
      <c r="M459" s="31">
        <v>-381618.17</v>
      </c>
      <c r="O459">
        <v>0</v>
      </c>
    </row>
    <row r="460" spans="3:18">
      <c r="C460">
        <v>5360</v>
      </c>
      <c r="E460" t="s">
        <v>4771</v>
      </c>
      <c r="H460" t="s">
        <v>4772</v>
      </c>
      <c r="K460">
        <v>0.32</v>
      </c>
      <c r="M460">
        <v>0.32</v>
      </c>
      <c r="O460">
        <v>0</v>
      </c>
    </row>
    <row r="461" spans="3:18">
      <c r="E461" t="s">
        <v>4773</v>
      </c>
      <c r="K461" s="31">
        <v>-53021653.07</v>
      </c>
      <c r="M461" s="31">
        <v>-53163635.210000001</v>
      </c>
      <c r="O461" s="31">
        <v>141982.14000000001</v>
      </c>
      <c r="Q461">
        <v>0.3</v>
      </c>
      <c r="R461" t="s">
        <v>650</v>
      </c>
    </row>
    <row r="462" spans="3:18">
      <c r="E462" t="s">
        <v>4774</v>
      </c>
      <c r="K462" s="31">
        <v>-53021653.07</v>
      </c>
      <c r="M462" s="31">
        <v>-53163635.210000001</v>
      </c>
      <c r="O462" s="31">
        <v>141982.14000000001</v>
      </c>
      <c r="Q462">
        <v>0.3</v>
      </c>
      <c r="R462" t="s">
        <v>658</v>
      </c>
    </row>
    <row r="463" spans="3:18">
      <c r="E463" t="s">
        <v>4775</v>
      </c>
      <c r="K463" s="31">
        <v>-154935826.56999999</v>
      </c>
      <c r="M463" s="31">
        <v>-155611932.02000001</v>
      </c>
      <c r="O463" s="31">
        <v>676105.45</v>
      </c>
      <c r="Q463">
        <v>0.4</v>
      </c>
      <c r="R463" t="s">
        <v>569</v>
      </c>
    </row>
    <row r="464" spans="3:18">
      <c r="C464">
        <v>5360</v>
      </c>
      <c r="E464" t="s">
        <v>4776</v>
      </c>
      <c r="H464" t="s">
        <v>4777</v>
      </c>
      <c r="K464" s="31">
        <v>-3276803</v>
      </c>
      <c r="M464" s="31">
        <v>-3276803</v>
      </c>
      <c r="O464">
        <v>0</v>
      </c>
    </row>
    <row r="465" spans="3:17">
      <c r="C465">
        <v>5360</v>
      </c>
      <c r="E465" t="s">
        <v>4778</v>
      </c>
      <c r="H465" t="s">
        <v>4779</v>
      </c>
      <c r="K465" s="31">
        <v>-104077.03</v>
      </c>
      <c r="M465" s="31">
        <v>-104077.03</v>
      </c>
      <c r="O465">
        <v>0</v>
      </c>
    </row>
    <row r="466" spans="3:17">
      <c r="C466">
        <v>5360</v>
      </c>
      <c r="E466" t="s">
        <v>4780</v>
      </c>
      <c r="H466" t="s">
        <v>4781</v>
      </c>
      <c r="K466" s="31">
        <v>-60221.04</v>
      </c>
      <c r="M466" s="31">
        <v>-60221.04</v>
      </c>
      <c r="O466">
        <v>0</v>
      </c>
    </row>
    <row r="467" spans="3:17">
      <c r="C467">
        <v>5360</v>
      </c>
      <c r="E467" t="s">
        <v>4782</v>
      </c>
      <c r="H467" t="s">
        <v>4783</v>
      </c>
      <c r="K467" s="31">
        <v>72930.36</v>
      </c>
      <c r="M467" s="31">
        <v>158441.76999999999</v>
      </c>
      <c r="O467" s="31">
        <v>-85511.41</v>
      </c>
      <c r="Q467">
        <v>-54</v>
      </c>
    </row>
    <row r="468" spans="3:17">
      <c r="C468">
        <v>5360</v>
      </c>
      <c r="E468" t="s">
        <v>4784</v>
      </c>
      <c r="H468" t="s">
        <v>4785</v>
      </c>
      <c r="K468">
        <v>0</v>
      </c>
      <c r="M468" s="31">
        <v>-274914.44</v>
      </c>
      <c r="O468" s="31">
        <v>274914.44</v>
      </c>
      <c r="Q468">
        <v>100</v>
      </c>
    </row>
    <row r="469" spans="3:17">
      <c r="C469">
        <v>5360</v>
      </c>
      <c r="E469" t="s">
        <v>4786</v>
      </c>
      <c r="H469" t="s">
        <v>4787</v>
      </c>
      <c r="K469" s="31">
        <v>-255825.59</v>
      </c>
      <c r="M469" s="31">
        <v>-255825.59</v>
      </c>
      <c r="O469">
        <v>0</v>
      </c>
    </row>
    <row r="470" spans="3:17">
      <c r="C470">
        <v>5360</v>
      </c>
      <c r="E470" t="s">
        <v>4788</v>
      </c>
      <c r="H470" t="s">
        <v>4789</v>
      </c>
      <c r="K470" s="31">
        <v>321694.12</v>
      </c>
      <c r="M470" s="31">
        <v>394684.89</v>
      </c>
      <c r="O470" s="31">
        <v>-72990.77</v>
      </c>
      <c r="Q470">
        <v>-18.5</v>
      </c>
    </row>
    <row r="471" spans="3:17">
      <c r="C471">
        <v>5360</v>
      </c>
      <c r="E471" t="s">
        <v>4790</v>
      </c>
      <c r="H471" t="s">
        <v>4791</v>
      </c>
      <c r="K471" s="31">
        <v>-412518.40000000002</v>
      </c>
      <c r="M471" s="31">
        <v>-548748.09</v>
      </c>
      <c r="O471" s="31">
        <v>136229.69</v>
      </c>
      <c r="Q471">
        <v>24.8</v>
      </c>
    </row>
    <row r="472" spans="3:17">
      <c r="C472">
        <v>5360</v>
      </c>
      <c r="E472" t="s">
        <v>4792</v>
      </c>
      <c r="H472" t="s">
        <v>4793</v>
      </c>
      <c r="K472" s="31">
        <v>-152135.35999999999</v>
      </c>
      <c r="M472" s="31">
        <v>-255646.77</v>
      </c>
      <c r="O472" s="31">
        <v>103511.41</v>
      </c>
      <c r="Q472">
        <v>40.5</v>
      </c>
    </row>
    <row r="473" spans="3:17">
      <c r="C473">
        <v>5360</v>
      </c>
      <c r="E473" t="s">
        <v>4794</v>
      </c>
      <c r="H473" t="s">
        <v>4795</v>
      </c>
      <c r="K473" s="31">
        <v>-662214.19999999995</v>
      </c>
      <c r="M473" s="31">
        <v>-662214.19999999995</v>
      </c>
      <c r="O473">
        <v>0</v>
      </c>
    </row>
    <row r="474" spans="3:17">
      <c r="C474">
        <v>5360</v>
      </c>
      <c r="E474" t="s">
        <v>4796</v>
      </c>
      <c r="H474" t="s">
        <v>4797</v>
      </c>
      <c r="K474" s="31">
        <v>30110.52</v>
      </c>
      <c r="M474" s="31">
        <v>30110.52</v>
      </c>
      <c r="O474">
        <v>0</v>
      </c>
    </row>
    <row r="475" spans="3:17">
      <c r="C475">
        <v>5360</v>
      </c>
      <c r="E475" t="s">
        <v>4798</v>
      </c>
      <c r="H475" t="s">
        <v>4799</v>
      </c>
      <c r="K475" s="31">
        <v>1450543.76</v>
      </c>
      <c r="M475" s="31">
        <v>1450543.76</v>
      </c>
      <c r="O475">
        <v>0</v>
      </c>
    </row>
    <row r="476" spans="3:17">
      <c r="C476">
        <v>5360</v>
      </c>
      <c r="E476" t="s">
        <v>4800</v>
      </c>
      <c r="H476" t="s">
        <v>4801</v>
      </c>
      <c r="K476" s="31">
        <v>-30110.52</v>
      </c>
      <c r="M476" s="31">
        <v>-30110.52</v>
      </c>
      <c r="O476">
        <v>0</v>
      </c>
    </row>
    <row r="477" spans="3:17">
      <c r="C477">
        <v>5360</v>
      </c>
      <c r="E477" t="s">
        <v>4802</v>
      </c>
      <c r="H477" t="s">
        <v>4803</v>
      </c>
      <c r="K477" s="31">
        <v>-62516.29</v>
      </c>
      <c r="M477" s="31">
        <v>-83564.05</v>
      </c>
      <c r="O477" s="31">
        <v>21047.759999999998</v>
      </c>
      <c r="Q477">
        <v>25.2</v>
      </c>
    </row>
    <row r="478" spans="3:17">
      <c r="C478">
        <v>5360</v>
      </c>
      <c r="E478" t="s">
        <v>4804</v>
      </c>
      <c r="H478" t="s">
        <v>4805</v>
      </c>
      <c r="K478" s="31">
        <v>-8466329.0999999996</v>
      </c>
      <c r="M478" s="31">
        <v>-8466329.0999999996</v>
      </c>
      <c r="O478">
        <v>0</v>
      </c>
    </row>
    <row r="479" spans="3:17">
      <c r="C479">
        <v>5360</v>
      </c>
      <c r="E479" t="s">
        <v>4806</v>
      </c>
      <c r="H479" t="s">
        <v>4807</v>
      </c>
      <c r="K479" s="31">
        <v>5208.5</v>
      </c>
      <c r="M479" s="31">
        <v>317452.53000000003</v>
      </c>
      <c r="O479" s="31">
        <v>-312244.03000000003</v>
      </c>
      <c r="Q479">
        <v>-98.4</v>
      </c>
    </row>
    <row r="480" spans="3:17">
      <c r="C480">
        <v>5360</v>
      </c>
      <c r="E480" t="s">
        <v>4808</v>
      </c>
      <c r="H480" t="s">
        <v>4809</v>
      </c>
      <c r="K480" s="31">
        <v>-176295.56</v>
      </c>
      <c r="M480" s="31">
        <v>-264576.68</v>
      </c>
      <c r="O480" s="31">
        <v>88281.12</v>
      </c>
      <c r="Q480">
        <v>33.4</v>
      </c>
    </row>
    <row r="481" spans="3:18">
      <c r="C481">
        <v>5360</v>
      </c>
      <c r="E481" t="s">
        <v>4810</v>
      </c>
      <c r="H481" t="s">
        <v>4811</v>
      </c>
      <c r="K481" s="31">
        <v>-142794.60999999999</v>
      </c>
      <c r="M481" s="31">
        <v>-76055.100000000006</v>
      </c>
      <c r="O481" s="31">
        <v>-66739.509999999995</v>
      </c>
      <c r="Q481">
        <v>-87.8</v>
      </c>
    </row>
    <row r="482" spans="3:18">
      <c r="C482">
        <v>5360</v>
      </c>
      <c r="E482" t="s">
        <v>4812</v>
      </c>
      <c r="H482" t="s">
        <v>4813</v>
      </c>
      <c r="K482" s="31">
        <v>-6128379.8499999996</v>
      </c>
      <c r="M482" s="31">
        <v>-6128379.8499999996</v>
      </c>
      <c r="O482">
        <v>0</v>
      </c>
    </row>
    <row r="483" spans="3:18">
      <c r="C483">
        <v>5360</v>
      </c>
      <c r="E483" t="s">
        <v>4814</v>
      </c>
      <c r="H483" t="s">
        <v>4815</v>
      </c>
      <c r="K483" s="31">
        <v>-307122.88</v>
      </c>
      <c r="M483" s="31">
        <v>-557725.72</v>
      </c>
      <c r="O483" s="31">
        <v>250602.84</v>
      </c>
      <c r="Q483">
        <v>44.9</v>
      </c>
    </row>
    <row r="484" spans="3:18">
      <c r="C484">
        <v>5360</v>
      </c>
      <c r="E484" t="s">
        <v>4816</v>
      </c>
      <c r="H484" t="s">
        <v>4817</v>
      </c>
      <c r="K484" s="31">
        <v>20034.330000000002</v>
      </c>
      <c r="M484" s="31">
        <v>20034.330000000002</v>
      </c>
      <c r="O484">
        <v>0</v>
      </c>
    </row>
    <row r="485" spans="3:18">
      <c r="C485">
        <v>5360</v>
      </c>
      <c r="E485" t="s">
        <v>4818</v>
      </c>
      <c r="H485" t="s">
        <v>4819</v>
      </c>
      <c r="K485" s="31">
        <v>1416976.76</v>
      </c>
      <c r="M485" s="31">
        <v>2031115.86</v>
      </c>
      <c r="O485" s="31">
        <v>-614139.1</v>
      </c>
      <c r="Q485">
        <v>-30.2</v>
      </c>
    </row>
    <row r="486" spans="3:18">
      <c r="C486">
        <v>5360</v>
      </c>
      <c r="E486" t="s">
        <v>4820</v>
      </c>
      <c r="H486" t="s">
        <v>4821</v>
      </c>
      <c r="K486" s="31">
        <v>1570031.73</v>
      </c>
      <c r="M486" s="31">
        <v>3701883.53</v>
      </c>
      <c r="O486" s="31">
        <v>-2131851.7999999998</v>
      </c>
      <c r="Q486">
        <v>-57.6</v>
      </c>
    </row>
    <row r="487" spans="3:18">
      <c r="C487">
        <v>5360</v>
      </c>
      <c r="E487" t="s">
        <v>4822</v>
      </c>
      <c r="H487" t="s">
        <v>4823</v>
      </c>
      <c r="K487" s="31">
        <v>-37074439.259999998</v>
      </c>
      <c r="M487" s="31">
        <v>-37074439.259999998</v>
      </c>
      <c r="O487">
        <v>0</v>
      </c>
    </row>
    <row r="488" spans="3:18">
      <c r="C488">
        <v>5360</v>
      </c>
      <c r="E488" t="s">
        <v>4824</v>
      </c>
      <c r="H488" t="s">
        <v>4811</v>
      </c>
      <c r="K488" s="31">
        <v>-7390013.0700000003</v>
      </c>
      <c r="M488" s="31">
        <v>-12519584.609999999</v>
      </c>
      <c r="O488" s="31">
        <v>5129571.54</v>
      </c>
      <c r="Q488">
        <v>41</v>
      </c>
    </row>
    <row r="489" spans="3:18">
      <c r="C489">
        <v>5360</v>
      </c>
      <c r="E489" t="s">
        <v>4825</v>
      </c>
      <c r="H489" t="s">
        <v>4826</v>
      </c>
      <c r="K489" s="31">
        <v>-10314084.32</v>
      </c>
      <c r="M489" s="31">
        <v>-8409747.1999999993</v>
      </c>
      <c r="O489" s="31">
        <v>-1904337.12</v>
      </c>
      <c r="Q489">
        <v>-22.6</v>
      </c>
    </row>
    <row r="490" spans="3:18">
      <c r="E490" t="s">
        <v>4827</v>
      </c>
      <c r="K490" s="31">
        <v>-70128350</v>
      </c>
      <c r="M490" s="31">
        <v>-70944695.060000002</v>
      </c>
      <c r="O490" s="31">
        <v>816345.06</v>
      </c>
      <c r="Q490">
        <v>1.2</v>
      </c>
      <c r="R490" t="s">
        <v>569</v>
      </c>
    </row>
    <row r="491" spans="3:18">
      <c r="C491">
        <v>5360</v>
      </c>
      <c r="E491" t="s">
        <v>4828</v>
      </c>
      <c r="H491" t="s">
        <v>4829</v>
      </c>
      <c r="K491">
        <v>-38</v>
      </c>
      <c r="M491">
        <v>-38</v>
      </c>
      <c r="O491">
        <v>0</v>
      </c>
    </row>
    <row r="492" spans="3:18">
      <c r="E492" t="s">
        <v>4830</v>
      </c>
      <c r="K492">
        <v>-38</v>
      </c>
      <c r="M492">
        <v>-38</v>
      </c>
      <c r="O492">
        <v>0</v>
      </c>
      <c r="R492" t="s">
        <v>569</v>
      </c>
    </row>
    <row r="493" spans="3:18">
      <c r="C493">
        <v>5360</v>
      </c>
      <c r="E493" t="s">
        <v>4831</v>
      </c>
      <c r="H493" t="s">
        <v>4832</v>
      </c>
      <c r="K493" s="31">
        <v>-182000.13</v>
      </c>
      <c r="M493" s="31">
        <v>-182000.13</v>
      </c>
      <c r="O493">
        <v>0</v>
      </c>
    </row>
    <row r="494" spans="3:18">
      <c r="C494">
        <v>5360</v>
      </c>
      <c r="E494" t="s">
        <v>4833</v>
      </c>
      <c r="H494" t="s">
        <v>4834</v>
      </c>
      <c r="K494" s="31">
        <v>-2541746.9900000002</v>
      </c>
      <c r="M494" s="31">
        <v>-2541745.59</v>
      </c>
      <c r="O494">
        <v>-1.4</v>
      </c>
    </row>
    <row r="495" spans="3:18">
      <c r="C495">
        <v>5360</v>
      </c>
      <c r="E495" t="s">
        <v>4835</v>
      </c>
      <c r="H495" t="s">
        <v>4836</v>
      </c>
      <c r="K495" s="31">
        <v>16227.16</v>
      </c>
      <c r="M495" s="31">
        <v>16227.16</v>
      </c>
      <c r="O495">
        <v>0</v>
      </c>
    </row>
    <row r="496" spans="3:18">
      <c r="C496">
        <v>5360</v>
      </c>
      <c r="E496" t="s">
        <v>4837</v>
      </c>
      <c r="H496" t="s">
        <v>4838</v>
      </c>
      <c r="K496" s="31">
        <v>-143723.01</v>
      </c>
      <c r="M496" s="31">
        <v>-59457.39</v>
      </c>
      <c r="O496" s="31">
        <v>-84265.62</v>
      </c>
      <c r="Q496">
        <v>-141.69999999999999</v>
      </c>
    </row>
    <row r="497" spans="3:17">
      <c r="C497">
        <v>5360</v>
      </c>
      <c r="E497" t="s">
        <v>4839</v>
      </c>
      <c r="H497" t="s">
        <v>4840</v>
      </c>
      <c r="K497" s="31">
        <v>116798.46</v>
      </c>
      <c r="M497" s="31">
        <v>154684</v>
      </c>
      <c r="O497" s="31">
        <v>-37885.54</v>
      </c>
      <c r="Q497">
        <v>-24.5</v>
      </c>
    </row>
    <row r="498" spans="3:17">
      <c r="C498">
        <v>5360</v>
      </c>
      <c r="E498" t="s">
        <v>4841</v>
      </c>
      <c r="H498" t="s">
        <v>4842</v>
      </c>
      <c r="K498" s="31">
        <v>-5075212.6100000003</v>
      </c>
      <c r="M498" s="31">
        <v>-5075212.6100000003</v>
      </c>
      <c r="O498">
        <v>0</v>
      </c>
    </row>
    <row r="499" spans="3:17">
      <c r="C499">
        <v>5360</v>
      </c>
      <c r="E499" t="s">
        <v>4843</v>
      </c>
      <c r="H499" t="s">
        <v>4844</v>
      </c>
      <c r="K499" s="31">
        <v>9524846.8800000008</v>
      </c>
      <c r="M499" s="31">
        <v>9524846.8800000008</v>
      </c>
      <c r="O499">
        <v>0</v>
      </c>
    </row>
    <row r="500" spans="3:17">
      <c r="C500">
        <v>5360</v>
      </c>
      <c r="E500" t="s">
        <v>4845</v>
      </c>
      <c r="H500" t="s">
        <v>4846</v>
      </c>
      <c r="K500" s="31">
        <v>1080254.0900000001</v>
      </c>
      <c r="M500" s="31">
        <v>1080254.0900000001</v>
      </c>
      <c r="O500">
        <v>0</v>
      </c>
    </row>
    <row r="501" spans="3:17">
      <c r="C501">
        <v>5360</v>
      </c>
      <c r="E501" t="s">
        <v>4847</v>
      </c>
      <c r="H501" t="s">
        <v>4848</v>
      </c>
      <c r="K501">
        <v>97.6</v>
      </c>
      <c r="M501">
        <v>122</v>
      </c>
      <c r="O501">
        <v>-24.4</v>
      </c>
      <c r="Q501">
        <v>-20</v>
      </c>
    </row>
    <row r="502" spans="3:17">
      <c r="C502">
        <v>5360</v>
      </c>
      <c r="E502" t="s">
        <v>4849</v>
      </c>
      <c r="H502" t="s">
        <v>4850</v>
      </c>
      <c r="K502" s="31">
        <v>-1065860</v>
      </c>
      <c r="M502" s="31">
        <v>-1065860</v>
      </c>
      <c r="O502">
        <v>0</v>
      </c>
    </row>
    <row r="503" spans="3:17">
      <c r="C503">
        <v>5360</v>
      </c>
      <c r="E503" t="s">
        <v>4851</v>
      </c>
      <c r="H503" t="s">
        <v>4852</v>
      </c>
      <c r="K503" s="31">
        <v>10924137.699999999</v>
      </c>
      <c r="M503" s="31">
        <v>2519360.04</v>
      </c>
      <c r="O503" s="31">
        <v>8404777.6600000001</v>
      </c>
      <c r="Q503">
        <v>333.6</v>
      </c>
    </row>
    <row r="504" spans="3:17">
      <c r="C504">
        <v>5360</v>
      </c>
      <c r="E504" t="s">
        <v>4853</v>
      </c>
      <c r="H504" t="s">
        <v>4854</v>
      </c>
      <c r="K504" s="31">
        <v>-119349</v>
      </c>
      <c r="M504" s="31">
        <v>-179023.5</v>
      </c>
      <c r="O504" s="31">
        <v>59674.5</v>
      </c>
      <c r="Q504">
        <v>33.299999999999997</v>
      </c>
    </row>
    <row r="505" spans="3:17">
      <c r="C505">
        <v>5360</v>
      </c>
      <c r="E505" t="s">
        <v>4855</v>
      </c>
      <c r="H505" t="s">
        <v>4856</v>
      </c>
      <c r="K505" s="31">
        <v>-397230.2</v>
      </c>
      <c r="M505" s="31">
        <v>-397230.2</v>
      </c>
      <c r="O505">
        <v>0</v>
      </c>
    </row>
    <row r="506" spans="3:17">
      <c r="C506">
        <v>5360</v>
      </c>
      <c r="E506" t="s">
        <v>4857</v>
      </c>
      <c r="H506" t="s">
        <v>4858</v>
      </c>
      <c r="K506" s="31">
        <v>-14384648.98</v>
      </c>
      <c r="M506" s="31">
        <v>-14384648.98</v>
      </c>
      <c r="O506">
        <v>0</v>
      </c>
    </row>
    <row r="507" spans="3:17">
      <c r="C507">
        <v>5360</v>
      </c>
      <c r="E507" t="s">
        <v>4859</v>
      </c>
      <c r="H507" t="s">
        <v>4860</v>
      </c>
      <c r="K507" s="31">
        <v>169726.37</v>
      </c>
      <c r="M507" s="31">
        <v>327286.53999999998</v>
      </c>
      <c r="O507" s="31">
        <v>-157560.17000000001</v>
      </c>
      <c r="Q507">
        <v>-48.1</v>
      </c>
    </row>
    <row r="508" spans="3:17">
      <c r="C508">
        <v>5360</v>
      </c>
      <c r="E508" t="s">
        <v>4861</v>
      </c>
      <c r="H508" t="s">
        <v>4862</v>
      </c>
      <c r="K508" s="31">
        <v>-126524.3</v>
      </c>
      <c r="M508" s="31">
        <v>-201676.34</v>
      </c>
      <c r="O508" s="31">
        <v>75152.039999999994</v>
      </c>
      <c r="Q508">
        <v>37.299999999999997</v>
      </c>
    </row>
    <row r="509" spans="3:17">
      <c r="C509">
        <v>5360</v>
      </c>
      <c r="E509" t="s">
        <v>4863</v>
      </c>
      <c r="H509" t="s">
        <v>4864</v>
      </c>
      <c r="K509" s="31">
        <v>-661488.28</v>
      </c>
      <c r="M509" s="31">
        <v>855236.95</v>
      </c>
      <c r="O509" s="31">
        <v>-1516725.23</v>
      </c>
      <c r="Q509">
        <v>-177.3</v>
      </c>
    </row>
    <row r="510" spans="3:17">
      <c r="C510">
        <v>5360</v>
      </c>
      <c r="E510" t="s">
        <v>4865</v>
      </c>
      <c r="H510" t="s">
        <v>4842</v>
      </c>
      <c r="K510" s="31">
        <v>-3387420.04</v>
      </c>
      <c r="M510" s="31">
        <v>-3387420.04</v>
      </c>
      <c r="O510">
        <v>0</v>
      </c>
    </row>
    <row r="511" spans="3:17">
      <c r="C511">
        <v>5360</v>
      </c>
      <c r="E511" t="s">
        <v>4866</v>
      </c>
      <c r="H511" t="s">
        <v>4844</v>
      </c>
      <c r="K511" s="31">
        <v>-59232415.990000002</v>
      </c>
      <c r="M511" s="31">
        <v>-59232415.990000002</v>
      </c>
      <c r="O511">
        <v>0</v>
      </c>
    </row>
    <row r="512" spans="3:17">
      <c r="C512">
        <v>5360</v>
      </c>
      <c r="E512" t="s">
        <v>4867</v>
      </c>
      <c r="H512" t="s">
        <v>4868</v>
      </c>
      <c r="K512" s="31">
        <v>85769.48</v>
      </c>
      <c r="M512" s="31">
        <v>128654.24</v>
      </c>
      <c r="O512" s="31">
        <v>-42884.76</v>
      </c>
      <c r="Q512">
        <v>-33.299999999999997</v>
      </c>
    </row>
    <row r="513" spans="3:18">
      <c r="C513">
        <v>5360</v>
      </c>
      <c r="E513" t="s">
        <v>4869</v>
      </c>
      <c r="H513" t="s">
        <v>4870</v>
      </c>
      <c r="K513" s="31">
        <v>21146</v>
      </c>
      <c r="M513" s="31">
        <v>31718.99</v>
      </c>
      <c r="O513" s="31">
        <v>-10572.99</v>
      </c>
      <c r="Q513">
        <v>-33.299999999999997</v>
      </c>
    </row>
    <row r="514" spans="3:18">
      <c r="C514">
        <v>5360</v>
      </c>
      <c r="E514" t="s">
        <v>4871</v>
      </c>
      <c r="H514" t="s">
        <v>4872</v>
      </c>
      <c r="K514" s="31">
        <v>-785523.46</v>
      </c>
      <c r="M514" s="31">
        <v>-103414.45</v>
      </c>
      <c r="O514" s="31">
        <v>-682109.01</v>
      </c>
      <c r="Q514">
        <v>-659.6</v>
      </c>
    </row>
    <row r="515" spans="3:18">
      <c r="C515">
        <v>5360</v>
      </c>
      <c r="E515" t="s">
        <v>4873</v>
      </c>
      <c r="H515" t="s">
        <v>4858</v>
      </c>
      <c r="K515" s="31">
        <v>-22689790.280000001</v>
      </c>
      <c r="M515" s="31">
        <v>-22689790.280000001</v>
      </c>
      <c r="O515">
        <v>0</v>
      </c>
    </row>
    <row r="516" spans="3:18">
      <c r="C516">
        <v>5360</v>
      </c>
      <c r="E516" t="s">
        <v>4874</v>
      </c>
      <c r="H516" t="s">
        <v>4875</v>
      </c>
      <c r="K516" s="31">
        <v>35504407.530000001</v>
      </c>
      <c r="M516" s="31">
        <v>33372555.73</v>
      </c>
      <c r="O516" s="31">
        <v>2131851.7999999998</v>
      </c>
      <c r="Q516">
        <v>6.4</v>
      </c>
    </row>
    <row r="517" spans="3:18">
      <c r="E517" t="s">
        <v>4876</v>
      </c>
      <c r="K517" s="31">
        <v>-53349522</v>
      </c>
      <c r="M517" s="31">
        <v>-61488948.880000003</v>
      </c>
      <c r="O517" s="31">
        <v>8139426.8799999999</v>
      </c>
      <c r="Q517">
        <v>13.2</v>
      </c>
      <c r="R517" t="s">
        <v>569</v>
      </c>
    </row>
    <row r="518" spans="3:18">
      <c r="C518">
        <v>5360</v>
      </c>
      <c r="E518" t="s">
        <v>4877</v>
      </c>
      <c r="H518" t="s">
        <v>4878</v>
      </c>
      <c r="K518">
        <v>0.67</v>
      </c>
      <c r="M518">
        <v>0.67</v>
      </c>
      <c r="O518">
        <v>0</v>
      </c>
    </row>
    <row r="519" spans="3:18">
      <c r="C519">
        <v>5360</v>
      </c>
      <c r="E519" t="s">
        <v>4879</v>
      </c>
      <c r="H519" t="s">
        <v>4880</v>
      </c>
      <c r="K519">
        <v>0.09</v>
      </c>
      <c r="M519">
        <v>-71.91</v>
      </c>
      <c r="O519">
        <v>72</v>
      </c>
      <c r="Q519">
        <v>100.1</v>
      </c>
    </row>
    <row r="520" spans="3:18">
      <c r="C520">
        <v>5360</v>
      </c>
      <c r="E520" t="s">
        <v>4881</v>
      </c>
      <c r="H520" t="s">
        <v>4882</v>
      </c>
      <c r="K520" s="31">
        <v>-10647759.84</v>
      </c>
      <c r="M520" s="31">
        <v>-13889799.68</v>
      </c>
      <c r="O520" s="31">
        <v>3242039.84</v>
      </c>
      <c r="Q520">
        <v>23.3</v>
      </c>
    </row>
    <row r="521" spans="3:18">
      <c r="C521">
        <v>5360</v>
      </c>
      <c r="E521" t="s">
        <v>4883</v>
      </c>
      <c r="H521" t="s">
        <v>4884</v>
      </c>
      <c r="K521" s="31">
        <v>-19900</v>
      </c>
      <c r="M521">
        <v>0</v>
      </c>
      <c r="O521" s="31">
        <v>-19900</v>
      </c>
    </row>
    <row r="522" spans="3:18">
      <c r="C522">
        <v>5360</v>
      </c>
      <c r="E522" t="s">
        <v>4885</v>
      </c>
      <c r="H522" t="s">
        <v>4886</v>
      </c>
      <c r="K522">
        <v>0</v>
      </c>
      <c r="M522">
        <v>-3.02</v>
      </c>
      <c r="O522">
        <v>3.02</v>
      </c>
      <c r="Q522">
        <v>100</v>
      </c>
    </row>
    <row r="523" spans="3:18">
      <c r="C523">
        <v>5360</v>
      </c>
      <c r="E523" t="s">
        <v>4887</v>
      </c>
      <c r="H523" t="s">
        <v>4878</v>
      </c>
      <c r="K523" s="31">
        <v>-83385.899999999994</v>
      </c>
      <c r="M523" s="31">
        <v>-510754.18</v>
      </c>
      <c r="O523" s="31">
        <v>427368.28</v>
      </c>
      <c r="Q523">
        <v>83.7</v>
      </c>
    </row>
    <row r="524" spans="3:18">
      <c r="C524">
        <v>5360</v>
      </c>
      <c r="E524" t="s">
        <v>4888</v>
      </c>
      <c r="H524" t="s">
        <v>4880</v>
      </c>
      <c r="K524" s="31">
        <v>-2169602.0299999998</v>
      </c>
      <c r="M524" s="31">
        <v>-4532831.21</v>
      </c>
      <c r="O524" s="31">
        <v>2363229.1800000002</v>
      </c>
      <c r="Q524">
        <v>52.1</v>
      </c>
    </row>
    <row r="525" spans="3:18">
      <c r="C525">
        <v>5360</v>
      </c>
      <c r="E525" t="s">
        <v>4889</v>
      </c>
      <c r="H525" t="s">
        <v>4890</v>
      </c>
      <c r="K525" s="31">
        <v>-263249.91999999998</v>
      </c>
      <c r="M525" s="31">
        <v>317224.59000000003</v>
      </c>
      <c r="O525" s="31">
        <v>-580474.51</v>
      </c>
      <c r="Q525">
        <v>-183</v>
      </c>
    </row>
    <row r="526" spans="3:18">
      <c r="C526">
        <v>5360</v>
      </c>
      <c r="E526" t="s">
        <v>4891</v>
      </c>
      <c r="H526" t="s">
        <v>3537</v>
      </c>
      <c r="K526" s="31">
        <v>-6071198.9500000002</v>
      </c>
      <c r="M526" s="31">
        <v>-4630110.0999999996</v>
      </c>
      <c r="O526" s="31">
        <v>-1441088.85</v>
      </c>
      <c r="Q526">
        <v>-31.1</v>
      </c>
    </row>
    <row r="527" spans="3:18">
      <c r="C527">
        <v>5360</v>
      </c>
      <c r="E527" t="s">
        <v>4892</v>
      </c>
      <c r="H527" t="s">
        <v>4893</v>
      </c>
      <c r="K527" s="31">
        <v>-1558888.66</v>
      </c>
      <c r="M527" s="31">
        <v>-1453063.57</v>
      </c>
      <c r="O527" s="31">
        <v>-105825.09</v>
      </c>
      <c r="Q527">
        <v>-7.3</v>
      </c>
    </row>
    <row r="528" spans="3:18">
      <c r="C528">
        <v>5360</v>
      </c>
      <c r="E528" t="s">
        <v>4894</v>
      </c>
      <c r="H528" t="s">
        <v>4895</v>
      </c>
      <c r="K528" s="31">
        <v>12406.53</v>
      </c>
      <c r="M528" s="31">
        <v>12406.53</v>
      </c>
      <c r="O528">
        <v>0</v>
      </c>
    </row>
    <row r="529" spans="3:18">
      <c r="C529">
        <v>5360</v>
      </c>
      <c r="E529" t="s">
        <v>4896</v>
      </c>
      <c r="H529" t="s">
        <v>4357</v>
      </c>
      <c r="K529" s="31">
        <v>-108520.24</v>
      </c>
      <c r="M529" s="31">
        <v>-900988.86</v>
      </c>
      <c r="O529" s="31">
        <v>792468.62</v>
      </c>
      <c r="Q529">
        <v>88</v>
      </c>
    </row>
    <row r="530" spans="3:18">
      <c r="C530">
        <v>5360</v>
      </c>
      <c r="E530" t="s">
        <v>4897</v>
      </c>
      <c r="H530" t="s">
        <v>4359</v>
      </c>
      <c r="K530">
        <v>-610.99</v>
      </c>
      <c r="M530">
        <v>-610.99</v>
      </c>
      <c r="O530">
        <v>0</v>
      </c>
    </row>
    <row r="531" spans="3:18">
      <c r="C531">
        <v>5360</v>
      </c>
      <c r="E531" t="s">
        <v>4898</v>
      </c>
      <c r="H531" t="s">
        <v>4361</v>
      </c>
      <c r="K531">
        <v>0</v>
      </c>
      <c r="M531" s="31">
        <v>-464236.89</v>
      </c>
      <c r="O531" s="31">
        <v>464236.89</v>
      </c>
      <c r="Q531">
        <v>100</v>
      </c>
    </row>
    <row r="532" spans="3:18">
      <c r="C532">
        <v>5360</v>
      </c>
      <c r="E532" t="s">
        <v>4899</v>
      </c>
      <c r="H532" t="s">
        <v>1704</v>
      </c>
      <c r="K532" s="31">
        <v>-340826.4</v>
      </c>
      <c r="M532" s="31">
        <v>-2497938.35</v>
      </c>
      <c r="O532" s="31">
        <v>2157111.9500000002</v>
      </c>
      <c r="Q532">
        <v>86.4</v>
      </c>
    </row>
    <row r="533" spans="3:18">
      <c r="C533">
        <v>5360</v>
      </c>
      <c r="E533" t="s">
        <v>4900</v>
      </c>
      <c r="H533" t="s">
        <v>4363</v>
      </c>
      <c r="K533" s="31">
        <v>-190274.1</v>
      </c>
      <c r="M533">
        <v>0</v>
      </c>
      <c r="O533" s="31">
        <v>-190274.1</v>
      </c>
    </row>
    <row r="534" spans="3:18">
      <c r="C534">
        <v>5360</v>
      </c>
      <c r="E534" t="s">
        <v>4901</v>
      </c>
      <c r="H534" t="s">
        <v>4365</v>
      </c>
      <c r="K534" s="31">
        <v>-109421.77</v>
      </c>
      <c r="M534">
        <v>0</v>
      </c>
      <c r="O534" s="31">
        <v>-109421.77</v>
      </c>
    </row>
    <row r="535" spans="3:18">
      <c r="C535">
        <v>5360</v>
      </c>
      <c r="E535" t="s">
        <v>4902</v>
      </c>
      <c r="H535" t="s">
        <v>4903</v>
      </c>
      <c r="K535" s="31">
        <v>-2012789.34</v>
      </c>
      <c r="M535" s="31">
        <v>-2118614.4300000002</v>
      </c>
      <c r="O535" s="31">
        <v>105825.09</v>
      </c>
      <c r="Q535">
        <v>5</v>
      </c>
    </row>
    <row r="536" spans="3:18">
      <c r="C536">
        <v>5360</v>
      </c>
      <c r="E536" t="s">
        <v>4904</v>
      </c>
      <c r="H536" t="s">
        <v>4905</v>
      </c>
      <c r="K536" s="31">
        <v>-3822160.69</v>
      </c>
      <c r="M536" s="31">
        <v>-11576976.869999999</v>
      </c>
      <c r="O536" s="31">
        <v>7754816.1799999997</v>
      </c>
      <c r="Q536">
        <v>67</v>
      </c>
    </row>
    <row r="537" spans="3:18">
      <c r="C537">
        <v>5360</v>
      </c>
      <c r="E537" t="s">
        <v>4906</v>
      </c>
      <c r="H537" t="s">
        <v>4907</v>
      </c>
      <c r="K537" s="31">
        <v>-695219.23</v>
      </c>
      <c r="M537" s="31">
        <v>-675915.33</v>
      </c>
      <c r="O537" s="31">
        <v>-19303.900000000001</v>
      </c>
      <c r="Q537">
        <v>-2.9</v>
      </c>
    </row>
    <row r="538" spans="3:18">
      <c r="C538">
        <v>5360</v>
      </c>
      <c r="E538" t="s">
        <v>4908</v>
      </c>
      <c r="H538" t="s">
        <v>4909</v>
      </c>
      <c r="K538" s="31">
        <v>-338656.96</v>
      </c>
      <c r="M538" s="31">
        <v>-184541.66</v>
      </c>
      <c r="O538" s="31">
        <v>-154115.29999999999</v>
      </c>
      <c r="Q538">
        <v>-83.5</v>
      </c>
    </row>
    <row r="539" spans="3:18">
      <c r="E539" t="s">
        <v>4910</v>
      </c>
      <c r="K539" s="31">
        <v>-28420057.73</v>
      </c>
      <c r="M539" s="31">
        <v>-43106825.259999998</v>
      </c>
      <c r="O539" s="31">
        <v>14686767.529999999</v>
      </c>
      <c r="Q539">
        <v>34.1</v>
      </c>
      <c r="R539" t="s">
        <v>569</v>
      </c>
    </row>
    <row r="540" spans="3:18">
      <c r="C540">
        <v>5360</v>
      </c>
      <c r="E540" t="s">
        <v>4911</v>
      </c>
      <c r="H540" t="s">
        <v>4912</v>
      </c>
      <c r="K540" s="31">
        <v>4922752.7</v>
      </c>
      <c r="M540" s="31">
        <v>5598858.1500000004</v>
      </c>
      <c r="O540" s="31">
        <v>-676105.45</v>
      </c>
      <c r="Q540">
        <v>-12.1</v>
      </c>
    </row>
    <row r="541" spans="3:18">
      <c r="E541" t="s">
        <v>4913</v>
      </c>
      <c r="K541" s="31">
        <v>4922752.7</v>
      </c>
      <c r="M541" s="31">
        <v>5598858.1500000004</v>
      </c>
      <c r="O541" s="31">
        <v>-676105.45</v>
      </c>
      <c r="Q541">
        <v>-12.1</v>
      </c>
      <c r="R541" t="s">
        <v>569</v>
      </c>
    </row>
    <row r="542" spans="3:18">
      <c r="E542" t="s">
        <v>4914</v>
      </c>
      <c r="K542" s="31">
        <v>-301911041.60000002</v>
      </c>
      <c r="M542" s="31">
        <v>-325553581.06999999</v>
      </c>
      <c r="O542" s="31">
        <v>23642539.469999999</v>
      </c>
      <c r="Q542">
        <v>7.3</v>
      </c>
      <c r="R542" t="s">
        <v>611</v>
      </c>
    </row>
    <row r="544" spans="3:18">
      <c r="E544" t="s">
        <v>4915</v>
      </c>
      <c r="K544" s="31">
        <v>-735594724.97000003</v>
      </c>
      <c r="M544" s="31">
        <v>-758799796.92999995</v>
      </c>
      <c r="O544" s="31">
        <v>23205071.960000001</v>
      </c>
      <c r="Q544">
        <v>3.1</v>
      </c>
      <c r="R544" t="s">
        <v>930</v>
      </c>
    </row>
    <row r="546" spans="5:18">
      <c r="E546" t="s">
        <v>4510</v>
      </c>
      <c r="K546" s="31">
        <v>462631012.44</v>
      </c>
      <c r="M546" s="31">
        <v>430378754.88</v>
      </c>
      <c r="O546" s="31">
        <v>32252257.559999999</v>
      </c>
      <c r="Q546">
        <v>7.5</v>
      </c>
      <c r="R546" t="s">
        <v>970</v>
      </c>
    </row>
  </sheetData>
  <pageMargins left="0.7" right="0.7" top="0.75" bottom="0.75" header="0.3" footer="0.3"/>
  <pageSetup orientation="portrait" horizontalDpi="1200" verticalDpi="1200"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E3C197-129A-40F2-B115-E9C7943128ED}">
  <sheetPr>
    <tabColor rgb="FFFF0000"/>
  </sheetPr>
  <dimension ref="A1:R1211"/>
  <sheetViews>
    <sheetView workbookViewId="0"/>
  </sheetViews>
  <sheetFormatPr defaultRowHeight="15"/>
  <cols>
    <col min="8" max="8" width="43.7109375" bestFit="1" customWidth="1"/>
    <col min="11" max="11" width="16.140625" style="417" bestFit="1" customWidth="1"/>
    <col min="13" max="13" width="16.140625" bestFit="1" customWidth="1"/>
    <col min="15" max="15" width="14.5703125" bestFit="1" customWidth="1"/>
  </cols>
  <sheetData>
    <row r="1" spans="1:18">
      <c r="A1" t="s">
        <v>4916</v>
      </c>
    </row>
    <row r="2" spans="1:18">
      <c r="A2" t="s">
        <v>4917</v>
      </c>
    </row>
    <row r="4" spans="1:18">
      <c r="A4" t="s">
        <v>535</v>
      </c>
      <c r="F4">
        <v>5360</v>
      </c>
      <c r="G4" t="s">
        <v>536</v>
      </c>
      <c r="I4" t="s">
        <v>537</v>
      </c>
      <c r="N4" t="s">
        <v>538</v>
      </c>
      <c r="P4" t="s">
        <v>539</v>
      </c>
    </row>
    <row r="5" spans="1:18">
      <c r="K5" s="604" t="s">
        <v>4918</v>
      </c>
      <c r="M5" s="6" t="s">
        <v>4053</v>
      </c>
    </row>
    <row r="6" spans="1:18">
      <c r="B6" t="s">
        <v>313</v>
      </c>
      <c r="C6" t="s">
        <v>540</v>
      </c>
      <c r="D6" t="s">
        <v>541</v>
      </c>
      <c r="E6" t="s">
        <v>542</v>
      </c>
      <c r="J6" t="s">
        <v>543</v>
      </c>
      <c r="L6" t="s">
        <v>544</v>
      </c>
      <c r="O6" t="s">
        <v>545</v>
      </c>
      <c r="Q6" t="s">
        <v>546</v>
      </c>
      <c r="R6" t="s">
        <v>4054</v>
      </c>
    </row>
    <row r="7" spans="1:18">
      <c r="B7" t="s">
        <v>201</v>
      </c>
      <c r="C7" t="s">
        <v>548</v>
      </c>
      <c r="D7" t="s">
        <v>549</v>
      </c>
      <c r="J7" t="s">
        <v>4919</v>
      </c>
      <c r="L7" t="s">
        <v>4056</v>
      </c>
      <c r="O7" t="s">
        <v>551</v>
      </c>
      <c r="Q7" t="s">
        <v>552</v>
      </c>
      <c r="R7" t="s">
        <v>4057</v>
      </c>
    </row>
    <row r="9" spans="1:18">
      <c r="E9" t="s">
        <v>4058</v>
      </c>
    </row>
    <row r="10" spans="1:18">
      <c r="C10">
        <v>5360</v>
      </c>
      <c r="E10" t="s">
        <v>4059</v>
      </c>
      <c r="H10" t="s">
        <v>4060</v>
      </c>
      <c r="K10" s="418">
        <v>1292165304.72</v>
      </c>
      <c r="M10" s="31">
        <v>1292165304.72</v>
      </c>
      <c r="O10">
        <v>0</v>
      </c>
    </row>
    <row r="11" spans="1:18">
      <c r="C11">
        <v>5360</v>
      </c>
      <c r="E11" t="s">
        <v>4061</v>
      </c>
      <c r="H11" t="s">
        <v>4062</v>
      </c>
      <c r="K11" s="418">
        <v>5590232.1500000004</v>
      </c>
      <c r="M11" s="31">
        <v>5590232.1500000004</v>
      </c>
      <c r="O11">
        <v>0</v>
      </c>
    </row>
    <row r="12" spans="1:18">
      <c r="C12">
        <v>5360</v>
      </c>
      <c r="E12" t="s">
        <v>4063</v>
      </c>
      <c r="H12" t="s">
        <v>4064</v>
      </c>
      <c r="K12" s="418">
        <v>26865203.68</v>
      </c>
      <c r="M12" s="31">
        <v>26865203.68</v>
      </c>
      <c r="O12">
        <v>0</v>
      </c>
    </row>
    <row r="13" spans="1:18">
      <c r="C13">
        <v>5360</v>
      </c>
      <c r="E13" t="s">
        <v>4065</v>
      </c>
      <c r="H13" t="s">
        <v>4066</v>
      </c>
      <c r="K13" s="418">
        <v>-132258.5</v>
      </c>
      <c r="M13" s="31">
        <v>-132258.5</v>
      </c>
      <c r="O13">
        <v>0</v>
      </c>
    </row>
    <row r="14" spans="1:18">
      <c r="C14">
        <v>5360</v>
      </c>
      <c r="E14" t="s">
        <v>4067</v>
      </c>
      <c r="H14" t="s">
        <v>4068</v>
      </c>
      <c r="K14" s="418">
        <v>1831719.34</v>
      </c>
      <c r="M14" s="31">
        <v>1831719.34</v>
      </c>
      <c r="O14">
        <v>0</v>
      </c>
    </row>
    <row r="15" spans="1:18">
      <c r="C15">
        <v>5360</v>
      </c>
      <c r="E15" t="s">
        <v>4069</v>
      </c>
      <c r="H15" t="s">
        <v>4070</v>
      </c>
      <c r="K15" s="418">
        <v>20072495.530000001</v>
      </c>
      <c r="M15" s="31">
        <v>20072495.530000001</v>
      </c>
      <c r="O15">
        <v>0</v>
      </c>
    </row>
    <row r="16" spans="1:18">
      <c r="C16">
        <v>5360</v>
      </c>
      <c r="E16" t="s">
        <v>4920</v>
      </c>
      <c r="H16" t="s">
        <v>4921</v>
      </c>
      <c r="K16" s="418">
        <v>902272.51</v>
      </c>
      <c r="M16">
        <v>0</v>
      </c>
      <c r="O16" s="31">
        <v>902272.51</v>
      </c>
    </row>
    <row r="17" spans="3:18">
      <c r="C17">
        <v>5360</v>
      </c>
      <c r="E17" t="s">
        <v>4071</v>
      </c>
      <c r="H17" t="s">
        <v>4072</v>
      </c>
      <c r="K17" s="418">
        <v>-5442337.8300000001</v>
      </c>
      <c r="M17" s="31">
        <v>-3591039.27</v>
      </c>
      <c r="O17" s="31">
        <v>-1851298.56</v>
      </c>
      <c r="Q17">
        <v>-51.6</v>
      </c>
    </row>
    <row r="18" spans="3:18">
      <c r="C18">
        <v>5360</v>
      </c>
      <c r="E18" t="s">
        <v>4073</v>
      </c>
      <c r="H18" t="s">
        <v>4074</v>
      </c>
      <c r="K18" s="418">
        <v>-251320.72</v>
      </c>
      <c r="M18" s="31">
        <v>-168219.43</v>
      </c>
      <c r="O18" s="31">
        <v>-83101.289999999994</v>
      </c>
      <c r="Q18">
        <v>-49.4</v>
      </c>
    </row>
    <row r="19" spans="3:18">
      <c r="C19">
        <v>5360</v>
      </c>
      <c r="E19" t="s">
        <v>4075</v>
      </c>
      <c r="H19" t="s">
        <v>4076</v>
      </c>
      <c r="K19" s="418">
        <v>-33579.269999999997</v>
      </c>
      <c r="M19" s="31">
        <v>-14685.56</v>
      </c>
      <c r="O19" s="31">
        <v>-18893.71</v>
      </c>
      <c r="Q19">
        <v>-128.69999999999999</v>
      </c>
    </row>
    <row r="20" spans="3:18">
      <c r="C20">
        <v>5360</v>
      </c>
      <c r="E20" t="s">
        <v>4077</v>
      </c>
      <c r="H20" t="s">
        <v>4078</v>
      </c>
      <c r="K20" s="418">
        <v>-115675.1</v>
      </c>
      <c r="M20" s="31">
        <v>-115675.1</v>
      </c>
      <c r="O20">
        <v>0</v>
      </c>
    </row>
    <row r="21" spans="3:18">
      <c r="C21">
        <v>5360</v>
      </c>
      <c r="E21" t="s">
        <v>4079</v>
      </c>
      <c r="H21" t="s">
        <v>4080</v>
      </c>
      <c r="K21" s="418">
        <v>143484204.59</v>
      </c>
      <c r="M21" s="31">
        <v>123788041.51000001</v>
      </c>
      <c r="O21" s="31">
        <v>19696163.079999998</v>
      </c>
      <c r="Q21">
        <v>15.9</v>
      </c>
    </row>
    <row r="22" spans="3:18">
      <c r="C22">
        <v>5360</v>
      </c>
      <c r="E22" t="s">
        <v>4081</v>
      </c>
      <c r="H22" t="s">
        <v>4082</v>
      </c>
      <c r="K22" s="418">
        <v>300708.43</v>
      </c>
      <c r="M22" s="31">
        <v>196791.94</v>
      </c>
      <c r="O22" s="31">
        <v>103916.49</v>
      </c>
      <c r="Q22">
        <v>52.8</v>
      </c>
    </row>
    <row r="23" spans="3:18">
      <c r="C23">
        <v>5360</v>
      </c>
      <c r="E23" t="s">
        <v>4922</v>
      </c>
      <c r="H23" t="s">
        <v>4923</v>
      </c>
      <c r="K23" s="418">
        <v>51877.32</v>
      </c>
      <c r="M23">
        <v>0</v>
      </c>
      <c r="O23" s="31">
        <v>51877.32</v>
      </c>
    </row>
    <row r="24" spans="3:18">
      <c r="C24">
        <v>5360</v>
      </c>
      <c r="E24" t="s">
        <v>4083</v>
      </c>
      <c r="H24" t="s">
        <v>4084</v>
      </c>
      <c r="K24" s="418">
        <v>1324102.92</v>
      </c>
      <c r="M24" s="31">
        <v>1324102.92</v>
      </c>
      <c r="O24">
        <v>0</v>
      </c>
    </row>
    <row r="25" spans="3:18">
      <c r="C25">
        <v>5360</v>
      </c>
      <c r="E25" t="s">
        <v>4085</v>
      </c>
      <c r="H25" t="s">
        <v>4086</v>
      </c>
      <c r="K25" s="418">
        <v>11476847.699999999</v>
      </c>
      <c r="M25" s="31">
        <v>11476847.699999999</v>
      </c>
      <c r="O25">
        <v>0</v>
      </c>
    </row>
    <row r="26" spans="3:18">
      <c r="C26">
        <v>5360</v>
      </c>
      <c r="E26" t="s">
        <v>4087</v>
      </c>
      <c r="H26" t="s">
        <v>4088</v>
      </c>
      <c r="K26" s="418">
        <v>138584.16</v>
      </c>
      <c r="M26" s="31">
        <v>138584.16</v>
      </c>
      <c r="O26">
        <v>0</v>
      </c>
    </row>
    <row r="27" spans="3:18">
      <c r="C27">
        <v>5360</v>
      </c>
      <c r="E27" t="s">
        <v>4089</v>
      </c>
      <c r="H27" t="s">
        <v>4090</v>
      </c>
      <c r="K27" s="418">
        <v>758933.87</v>
      </c>
      <c r="M27" s="31">
        <v>502569.64</v>
      </c>
      <c r="O27" s="31">
        <v>256364.23</v>
      </c>
      <c r="Q27">
        <v>51</v>
      </c>
    </row>
    <row r="28" spans="3:18">
      <c r="C28">
        <v>5360</v>
      </c>
      <c r="E28" t="s">
        <v>4091</v>
      </c>
      <c r="H28" t="s">
        <v>4092</v>
      </c>
      <c r="K28" s="418">
        <v>-115648.18</v>
      </c>
      <c r="M28" s="31">
        <v>-115648.18</v>
      </c>
      <c r="O28">
        <v>0</v>
      </c>
    </row>
    <row r="29" spans="3:18">
      <c r="E29" t="s">
        <v>4093</v>
      </c>
      <c r="K29" s="418">
        <v>1498871667.3199999</v>
      </c>
      <c r="M29" s="31">
        <v>1479814367.25</v>
      </c>
      <c r="O29" s="31">
        <v>19057300.07</v>
      </c>
      <c r="Q29">
        <v>1.3</v>
      </c>
      <c r="R29" t="s">
        <v>658</v>
      </c>
    </row>
    <row r="30" spans="3:18">
      <c r="C30">
        <v>5360</v>
      </c>
      <c r="E30" t="s">
        <v>4094</v>
      </c>
      <c r="H30" t="s">
        <v>4095</v>
      </c>
      <c r="K30" s="418">
        <v>87739446.769999996</v>
      </c>
      <c r="M30" s="31">
        <v>87739446.769999996</v>
      </c>
      <c r="O30">
        <v>0</v>
      </c>
    </row>
    <row r="31" spans="3:18">
      <c r="C31">
        <v>5360</v>
      </c>
      <c r="E31" t="s">
        <v>4096</v>
      </c>
      <c r="H31" t="s">
        <v>4097</v>
      </c>
      <c r="K31" s="418">
        <v>2248689.31</v>
      </c>
      <c r="M31" s="31">
        <v>2248689.31</v>
      </c>
      <c r="O31">
        <v>0</v>
      </c>
    </row>
    <row r="32" spans="3:18">
      <c r="C32">
        <v>5360</v>
      </c>
      <c r="E32" t="s">
        <v>4098</v>
      </c>
      <c r="H32" t="s">
        <v>4099</v>
      </c>
      <c r="K32" s="418">
        <v>62169289.240000002</v>
      </c>
      <c r="M32" s="31">
        <v>40970557.090000004</v>
      </c>
      <c r="O32" s="31">
        <v>21198732.149999999</v>
      </c>
      <c r="Q32">
        <v>51.7</v>
      </c>
    </row>
    <row r="33" spans="3:18">
      <c r="C33">
        <v>5360</v>
      </c>
      <c r="E33" t="s">
        <v>4100</v>
      </c>
      <c r="H33" t="s">
        <v>4101</v>
      </c>
      <c r="K33" s="418">
        <v>1841337.32</v>
      </c>
      <c r="M33" s="31">
        <v>4801.9799999999996</v>
      </c>
      <c r="O33" s="31">
        <v>1836535.34</v>
      </c>
      <c r="Q33">
        <v>38245.4</v>
      </c>
    </row>
    <row r="34" spans="3:18">
      <c r="E34" t="s">
        <v>4102</v>
      </c>
      <c r="K34" s="418">
        <v>153998762.63999999</v>
      </c>
      <c r="M34" s="31">
        <v>130963495.15000001</v>
      </c>
      <c r="O34" s="31">
        <v>23035267.489999998</v>
      </c>
      <c r="Q34">
        <v>17.600000000000001</v>
      </c>
      <c r="R34" t="s">
        <v>658</v>
      </c>
    </row>
    <row r="35" spans="3:18">
      <c r="E35" t="s">
        <v>4103</v>
      </c>
      <c r="K35" s="418">
        <v>1652870429.96</v>
      </c>
      <c r="M35" s="31">
        <v>1610777862.4000001</v>
      </c>
      <c r="O35" s="31">
        <v>42092567.560000002</v>
      </c>
      <c r="Q35">
        <v>2.6</v>
      </c>
      <c r="R35" t="s">
        <v>569</v>
      </c>
    </row>
    <row r="36" spans="3:18">
      <c r="C36">
        <v>5360</v>
      </c>
      <c r="E36" t="s">
        <v>4104</v>
      </c>
      <c r="H36" t="s">
        <v>4105</v>
      </c>
      <c r="K36" s="418">
        <v>-410832507.45999998</v>
      </c>
      <c r="M36" s="31">
        <v>-410832507.45999998</v>
      </c>
      <c r="O36">
        <v>0</v>
      </c>
    </row>
    <row r="37" spans="3:18">
      <c r="C37">
        <v>5360</v>
      </c>
      <c r="E37" t="s">
        <v>4106</v>
      </c>
      <c r="H37" t="s">
        <v>4107</v>
      </c>
      <c r="K37" s="418">
        <v>43656.34</v>
      </c>
      <c r="M37" s="31">
        <v>43656.34</v>
      </c>
      <c r="O37">
        <v>0</v>
      </c>
    </row>
    <row r="38" spans="3:18">
      <c r="C38">
        <v>5360</v>
      </c>
      <c r="E38" t="s">
        <v>4108</v>
      </c>
      <c r="H38" t="s">
        <v>4109</v>
      </c>
      <c r="K38" s="418">
        <v>-5144359.67</v>
      </c>
      <c r="M38" s="31">
        <v>-5144359.67</v>
      </c>
      <c r="O38">
        <v>0</v>
      </c>
    </row>
    <row r="39" spans="3:18">
      <c r="C39">
        <v>5360</v>
      </c>
      <c r="E39" t="s">
        <v>4110</v>
      </c>
      <c r="H39" t="s">
        <v>4111</v>
      </c>
      <c r="K39" s="418">
        <v>-13410588.619999999</v>
      </c>
      <c r="M39" s="31">
        <v>-13410588.619999999</v>
      </c>
      <c r="O39">
        <v>0</v>
      </c>
    </row>
    <row r="40" spans="3:18">
      <c r="C40">
        <v>5360</v>
      </c>
      <c r="E40" t="s">
        <v>4112</v>
      </c>
      <c r="H40" t="s">
        <v>4113</v>
      </c>
      <c r="K40" s="418">
        <v>69516.97</v>
      </c>
      <c r="M40" s="31">
        <v>69516.97</v>
      </c>
      <c r="O40">
        <v>0</v>
      </c>
    </row>
    <row r="41" spans="3:18">
      <c r="C41">
        <v>5360</v>
      </c>
      <c r="E41" t="s">
        <v>4114</v>
      </c>
      <c r="H41" t="s">
        <v>4115</v>
      </c>
      <c r="K41" s="418">
        <v>995690.3</v>
      </c>
      <c r="M41" s="31">
        <v>995690.3</v>
      </c>
      <c r="O41">
        <v>0</v>
      </c>
    </row>
    <row r="42" spans="3:18">
      <c r="C42">
        <v>5360</v>
      </c>
      <c r="E42" t="s">
        <v>4116</v>
      </c>
      <c r="H42" t="s">
        <v>4117</v>
      </c>
      <c r="K42" s="418">
        <v>14536270.390000001</v>
      </c>
      <c r="M42" s="31">
        <v>14536270.390000001</v>
      </c>
      <c r="O42">
        <v>0</v>
      </c>
    </row>
    <row r="43" spans="3:18">
      <c r="C43">
        <v>5360</v>
      </c>
      <c r="E43" t="s">
        <v>4118</v>
      </c>
      <c r="H43" t="s">
        <v>4119</v>
      </c>
      <c r="K43" s="418">
        <v>-82085.81</v>
      </c>
      <c r="M43" s="31">
        <v>-82085.81</v>
      </c>
      <c r="O43">
        <v>0</v>
      </c>
    </row>
    <row r="44" spans="3:18">
      <c r="C44">
        <v>5360</v>
      </c>
      <c r="E44" t="s">
        <v>4120</v>
      </c>
      <c r="H44" t="s">
        <v>4121</v>
      </c>
      <c r="K44" s="418">
        <v>-44490132.960000001</v>
      </c>
      <c r="M44" s="31">
        <v>-32824580.41</v>
      </c>
      <c r="O44" s="31">
        <v>-11665552.550000001</v>
      </c>
      <c r="Q44">
        <v>-35.5</v>
      </c>
    </row>
    <row r="45" spans="3:18">
      <c r="C45">
        <v>5360</v>
      </c>
      <c r="E45" t="s">
        <v>4122</v>
      </c>
      <c r="H45" t="s">
        <v>4109</v>
      </c>
      <c r="K45" s="418">
        <v>-67544.100000000006</v>
      </c>
      <c r="M45" s="31">
        <v>-50918.07</v>
      </c>
      <c r="O45" s="31">
        <v>-16626.03</v>
      </c>
      <c r="Q45">
        <v>-32.700000000000003</v>
      </c>
    </row>
    <row r="46" spans="3:18">
      <c r="C46">
        <v>5360</v>
      </c>
      <c r="E46" t="s">
        <v>4123</v>
      </c>
      <c r="H46" t="s">
        <v>4124</v>
      </c>
      <c r="K46" s="418">
        <v>-978551.85</v>
      </c>
      <c r="M46" s="31">
        <v>-725209.13</v>
      </c>
      <c r="O46" s="31">
        <v>-253342.72</v>
      </c>
      <c r="Q46">
        <v>-34.9</v>
      </c>
    </row>
    <row r="47" spans="3:18">
      <c r="C47">
        <v>5360</v>
      </c>
      <c r="E47" t="s">
        <v>4125</v>
      </c>
      <c r="H47" t="s">
        <v>4126</v>
      </c>
      <c r="K47" s="418">
        <v>-116113.60000000001</v>
      </c>
      <c r="M47" s="31">
        <v>-86633.5</v>
      </c>
      <c r="O47" s="31">
        <v>-29480.1</v>
      </c>
      <c r="Q47">
        <v>-34</v>
      </c>
    </row>
    <row r="48" spans="3:18">
      <c r="C48">
        <v>5360</v>
      </c>
      <c r="E48" t="s">
        <v>4127</v>
      </c>
      <c r="H48" t="s">
        <v>4128</v>
      </c>
      <c r="K48" s="418">
        <v>-25334.73</v>
      </c>
      <c r="M48" s="31">
        <v>-52308.55</v>
      </c>
      <c r="O48" s="31">
        <v>26973.82</v>
      </c>
      <c r="Q48">
        <v>51.6</v>
      </c>
    </row>
    <row r="49" spans="3:17">
      <c r="C49">
        <v>5360</v>
      </c>
      <c r="E49" t="s">
        <v>4129</v>
      </c>
      <c r="H49" t="s">
        <v>4130</v>
      </c>
      <c r="K49" s="418">
        <v>692843.16</v>
      </c>
      <c r="M49" s="31">
        <v>168799.92</v>
      </c>
      <c r="O49" s="31">
        <v>524043.24</v>
      </c>
      <c r="Q49">
        <v>310.5</v>
      </c>
    </row>
    <row r="50" spans="3:17">
      <c r="C50">
        <v>5360</v>
      </c>
      <c r="E50" t="s">
        <v>4131</v>
      </c>
      <c r="H50" t="s">
        <v>4130</v>
      </c>
      <c r="K50" s="418">
        <v>10605945.619999999</v>
      </c>
      <c r="M50" s="31">
        <v>9708702.6400000006</v>
      </c>
      <c r="O50" s="31">
        <v>897242.98</v>
      </c>
      <c r="Q50">
        <v>9.1999999999999993</v>
      </c>
    </row>
    <row r="51" spans="3:17">
      <c r="C51">
        <v>5360</v>
      </c>
      <c r="E51" t="s">
        <v>4132</v>
      </c>
      <c r="H51" t="s">
        <v>4133</v>
      </c>
      <c r="K51" s="418">
        <v>5442337.8300000001</v>
      </c>
      <c r="M51" s="31">
        <v>3591039.27</v>
      </c>
      <c r="O51" s="31">
        <v>1851298.56</v>
      </c>
      <c r="Q51">
        <v>51.6</v>
      </c>
    </row>
    <row r="52" spans="3:17">
      <c r="C52">
        <v>5360</v>
      </c>
      <c r="E52" t="s">
        <v>4134</v>
      </c>
      <c r="H52" t="s">
        <v>4109</v>
      </c>
      <c r="K52" s="418">
        <v>174750.38</v>
      </c>
      <c r="M52" s="31">
        <v>168219.43</v>
      </c>
      <c r="O52" s="31">
        <v>6530.95</v>
      </c>
      <c r="Q52">
        <v>3.9</v>
      </c>
    </row>
    <row r="53" spans="3:17">
      <c r="C53">
        <v>5360</v>
      </c>
      <c r="E53" t="s">
        <v>4135</v>
      </c>
      <c r="H53" t="s">
        <v>4113</v>
      </c>
      <c r="K53" s="418">
        <v>33579.269999999997</v>
      </c>
      <c r="M53" s="31">
        <v>14685.56</v>
      </c>
      <c r="O53" s="31">
        <v>18893.71</v>
      </c>
      <c r="Q53">
        <v>128.69999999999999</v>
      </c>
    </row>
    <row r="54" spans="3:17">
      <c r="C54">
        <v>5360</v>
      </c>
      <c r="E54" t="s">
        <v>4136</v>
      </c>
      <c r="H54" t="s">
        <v>4137</v>
      </c>
      <c r="K54" s="418">
        <v>115675.1</v>
      </c>
      <c r="M54" s="31">
        <v>115675.1</v>
      </c>
      <c r="O54">
        <v>0</v>
      </c>
    </row>
    <row r="55" spans="3:17">
      <c r="C55">
        <v>5360</v>
      </c>
      <c r="E55" t="s">
        <v>4138</v>
      </c>
      <c r="H55" t="s">
        <v>4139</v>
      </c>
      <c r="K55" s="418">
        <v>8352712.8499999996</v>
      </c>
      <c r="M55" s="31">
        <v>6915737.0700000003</v>
      </c>
      <c r="O55" s="31">
        <v>1436975.78</v>
      </c>
      <c r="Q55">
        <v>20.8</v>
      </c>
    </row>
    <row r="56" spans="3:17">
      <c r="C56">
        <v>5360</v>
      </c>
      <c r="E56" t="s">
        <v>4140</v>
      </c>
      <c r="H56" t="s">
        <v>4141</v>
      </c>
      <c r="K56" s="418">
        <v>-8790871.3000000007</v>
      </c>
      <c r="M56" s="31">
        <v>-7353895.5199999996</v>
      </c>
      <c r="O56" s="31">
        <v>-1436975.78</v>
      </c>
      <c r="Q56">
        <v>-19.5</v>
      </c>
    </row>
    <row r="57" spans="3:17">
      <c r="C57">
        <v>5360</v>
      </c>
      <c r="E57" t="s">
        <v>4142</v>
      </c>
      <c r="H57" t="s">
        <v>4143</v>
      </c>
      <c r="K57" s="418">
        <v>438158.45</v>
      </c>
      <c r="M57" s="31">
        <v>438158.45</v>
      </c>
      <c r="O57">
        <v>0</v>
      </c>
    </row>
    <row r="58" spans="3:17">
      <c r="C58">
        <v>5360</v>
      </c>
      <c r="E58" t="s">
        <v>4144</v>
      </c>
      <c r="H58" t="s">
        <v>4145</v>
      </c>
      <c r="K58" s="418">
        <v>156320662.08000001</v>
      </c>
      <c r="M58" s="31">
        <v>153985558.49000001</v>
      </c>
      <c r="O58" s="31">
        <v>2335103.59</v>
      </c>
      <c r="Q58">
        <v>1.5</v>
      </c>
    </row>
    <row r="59" spans="3:17">
      <c r="C59">
        <v>5360</v>
      </c>
      <c r="E59" t="s">
        <v>4146</v>
      </c>
      <c r="H59" t="s">
        <v>4117</v>
      </c>
      <c r="K59" s="418">
        <v>792198.06</v>
      </c>
      <c r="M59" s="31">
        <v>792198.06</v>
      </c>
      <c r="O59">
        <v>0</v>
      </c>
    </row>
    <row r="60" spans="3:17">
      <c r="C60">
        <v>5360</v>
      </c>
      <c r="E60" t="s">
        <v>4147</v>
      </c>
      <c r="H60" t="s">
        <v>4148</v>
      </c>
      <c r="K60" s="418">
        <v>4672.29</v>
      </c>
      <c r="M60" s="31">
        <v>4672.29</v>
      </c>
      <c r="O60">
        <v>0</v>
      </c>
    </row>
    <row r="61" spans="3:17">
      <c r="C61">
        <v>5360</v>
      </c>
      <c r="E61" t="s">
        <v>4149</v>
      </c>
      <c r="H61" t="s">
        <v>4150</v>
      </c>
      <c r="K61" s="418">
        <v>-3372199.71</v>
      </c>
      <c r="M61" s="31">
        <v>-3372199.71</v>
      </c>
      <c r="O61">
        <v>0</v>
      </c>
    </row>
    <row r="62" spans="3:17">
      <c r="C62">
        <v>5360</v>
      </c>
      <c r="E62" t="s">
        <v>4151</v>
      </c>
      <c r="H62" t="s">
        <v>4119</v>
      </c>
      <c r="K62" s="418">
        <v>-156320662.08000001</v>
      </c>
      <c r="M62" s="31">
        <v>-153985558.49000001</v>
      </c>
      <c r="O62" s="31">
        <v>-2335103.59</v>
      </c>
      <c r="Q62">
        <v>-1.5</v>
      </c>
    </row>
    <row r="63" spans="3:17">
      <c r="C63">
        <v>5360</v>
      </c>
      <c r="E63" t="s">
        <v>4152</v>
      </c>
      <c r="H63" t="s">
        <v>4153</v>
      </c>
      <c r="K63" s="418">
        <v>4790.8900000000003</v>
      </c>
      <c r="M63" s="31">
        <v>3576.79</v>
      </c>
      <c r="O63" s="31">
        <v>1214.0999999999999</v>
      </c>
      <c r="Q63">
        <v>33.9</v>
      </c>
    </row>
    <row r="64" spans="3:17">
      <c r="C64">
        <v>5360</v>
      </c>
      <c r="E64" t="s">
        <v>4154</v>
      </c>
      <c r="H64" t="s">
        <v>4155</v>
      </c>
      <c r="K64" s="418">
        <v>-3354511.53</v>
      </c>
      <c r="M64" s="31">
        <v>-2533459.7200000002</v>
      </c>
      <c r="O64" s="31">
        <v>-821051.81</v>
      </c>
      <c r="Q64">
        <v>-32.4</v>
      </c>
    </row>
    <row r="65" spans="3:18">
      <c r="C65">
        <v>5360</v>
      </c>
      <c r="E65" t="s">
        <v>4156</v>
      </c>
      <c r="H65" t="s">
        <v>4130</v>
      </c>
      <c r="K65" s="418">
        <v>293458.24</v>
      </c>
      <c r="M65" s="31">
        <v>317452.53000000003</v>
      </c>
      <c r="O65" s="31">
        <v>-23994.29</v>
      </c>
      <c r="Q65">
        <v>-7.6</v>
      </c>
    </row>
    <row r="66" spans="3:18">
      <c r="C66">
        <v>5360</v>
      </c>
      <c r="E66" t="s">
        <v>4157</v>
      </c>
      <c r="H66" t="s">
        <v>4158</v>
      </c>
      <c r="K66" s="418">
        <v>68058.149999999994</v>
      </c>
      <c r="M66" s="31">
        <v>68058.149999999994</v>
      </c>
      <c r="O66">
        <v>0</v>
      </c>
    </row>
    <row r="67" spans="3:18">
      <c r="E67" t="s">
        <v>4159</v>
      </c>
      <c r="K67" s="418">
        <v>-448000487.05000001</v>
      </c>
      <c r="M67" s="31">
        <v>-438516636.91000003</v>
      </c>
      <c r="O67" s="31">
        <v>-9483850.1400000006</v>
      </c>
      <c r="Q67">
        <v>-2.2000000000000002</v>
      </c>
      <c r="R67" t="s">
        <v>658</v>
      </c>
    </row>
    <row r="68" spans="3:18">
      <c r="C68">
        <v>5360</v>
      </c>
      <c r="E68" t="s">
        <v>4160</v>
      </c>
      <c r="H68" t="s">
        <v>4161</v>
      </c>
      <c r="K68" s="418">
        <v>-19833570.02</v>
      </c>
      <c r="M68" s="31">
        <v>-19833570.02</v>
      </c>
      <c r="O68">
        <v>0</v>
      </c>
    </row>
    <row r="69" spans="3:18">
      <c r="E69" t="s">
        <v>4162</v>
      </c>
      <c r="K69" s="418">
        <v>-19833570.02</v>
      </c>
      <c r="M69" s="31">
        <v>-19833570.02</v>
      </c>
      <c r="O69">
        <v>0</v>
      </c>
      <c r="R69" t="s">
        <v>658</v>
      </c>
    </row>
    <row r="70" spans="3:18">
      <c r="E70" t="s">
        <v>4163</v>
      </c>
      <c r="K70" s="418">
        <v>-467834057.06999999</v>
      </c>
      <c r="M70" s="31">
        <v>-458350206.93000001</v>
      </c>
      <c r="O70" s="31">
        <v>-9483850.1400000006</v>
      </c>
      <c r="Q70">
        <v>-2.1</v>
      </c>
      <c r="R70" t="s">
        <v>569</v>
      </c>
    </row>
    <row r="71" spans="3:18">
      <c r="E71" t="s">
        <v>4164</v>
      </c>
      <c r="K71" s="418">
        <v>1185036372.8900001</v>
      </c>
      <c r="M71" s="31">
        <v>1152427655.47</v>
      </c>
      <c r="O71" s="31">
        <v>32608717.420000002</v>
      </c>
      <c r="Q71">
        <v>2.8</v>
      </c>
      <c r="R71" t="s">
        <v>611</v>
      </c>
    </row>
    <row r="73" spans="3:18">
      <c r="C73">
        <v>5360</v>
      </c>
      <c r="E73" t="s">
        <v>4165</v>
      </c>
      <c r="H73" t="s">
        <v>4166</v>
      </c>
      <c r="K73" s="418">
        <v>354598.6</v>
      </c>
      <c r="M73" s="31">
        <v>354598.6</v>
      </c>
      <c r="O73">
        <v>0</v>
      </c>
    </row>
    <row r="74" spans="3:18">
      <c r="C74">
        <v>5360</v>
      </c>
      <c r="E74" t="s">
        <v>4167</v>
      </c>
      <c r="H74" t="s">
        <v>4168</v>
      </c>
      <c r="K74" s="418">
        <v>-25307613.530000001</v>
      </c>
      <c r="M74" s="31">
        <v>-25307613.530000001</v>
      </c>
      <c r="O74">
        <v>0</v>
      </c>
    </row>
    <row r="75" spans="3:18">
      <c r="C75">
        <v>5360</v>
      </c>
      <c r="E75" t="s">
        <v>4169</v>
      </c>
      <c r="H75" t="s">
        <v>4170</v>
      </c>
      <c r="K75" s="418">
        <v>120173859.19</v>
      </c>
      <c r="M75" s="31">
        <v>120173859.19</v>
      </c>
      <c r="O75">
        <v>0</v>
      </c>
    </row>
    <row r="76" spans="3:18">
      <c r="C76">
        <v>5360</v>
      </c>
      <c r="E76" t="s">
        <v>4171</v>
      </c>
      <c r="H76" t="s">
        <v>4172</v>
      </c>
      <c r="K76" s="418">
        <v>565701.66</v>
      </c>
      <c r="M76" s="31">
        <v>565701.66</v>
      </c>
      <c r="O76">
        <v>0</v>
      </c>
    </row>
    <row r="77" spans="3:18">
      <c r="C77">
        <v>5360</v>
      </c>
      <c r="E77" t="s">
        <v>4173</v>
      </c>
      <c r="H77" t="s">
        <v>4174</v>
      </c>
      <c r="K77" s="418">
        <v>173324841.88999999</v>
      </c>
      <c r="M77" s="31">
        <v>144701439.38</v>
      </c>
      <c r="O77" s="31">
        <v>28623402.510000002</v>
      </c>
      <c r="Q77">
        <v>19.8</v>
      </c>
    </row>
    <row r="78" spans="3:18">
      <c r="C78">
        <v>5360</v>
      </c>
      <c r="E78" t="s">
        <v>4175</v>
      </c>
      <c r="H78" t="s">
        <v>4176</v>
      </c>
      <c r="K78" s="418">
        <v>192187.07</v>
      </c>
      <c r="M78" s="31">
        <v>-791350.99</v>
      </c>
      <c r="O78" s="31">
        <v>983538.06</v>
      </c>
      <c r="Q78">
        <v>124.3</v>
      </c>
    </row>
    <row r="79" spans="3:18">
      <c r="C79">
        <v>5360</v>
      </c>
      <c r="E79" t="s">
        <v>4177</v>
      </c>
      <c r="H79" t="s">
        <v>4178</v>
      </c>
      <c r="K79" s="418">
        <v>-593195.86</v>
      </c>
      <c r="M79" s="31">
        <v>-2265070.5699999998</v>
      </c>
      <c r="O79" s="31">
        <v>1671874.71</v>
      </c>
      <c r="Q79">
        <v>73.8</v>
      </c>
    </row>
    <row r="80" spans="3:18">
      <c r="C80">
        <v>5360</v>
      </c>
      <c r="E80" t="s">
        <v>4179</v>
      </c>
      <c r="H80" t="s">
        <v>4180</v>
      </c>
      <c r="K80" s="418">
        <v>-104440.64</v>
      </c>
      <c r="M80" s="31">
        <v>-117011.05</v>
      </c>
      <c r="O80" s="31">
        <v>12570.41</v>
      </c>
      <c r="Q80">
        <v>10.7</v>
      </c>
    </row>
    <row r="81" spans="3:18">
      <c r="C81">
        <v>5360</v>
      </c>
      <c r="E81" t="s">
        <v>4181</v>
      </c>
      <c r="H81" t="s">
        <v>4182</v>
      </c>
      <c r="K81" s="418">
        <v>-207844346.88999999</v>
      </c>
      <c r="M81" s="31">
        <v>-164957122.52000001</v>
      </c>
      <c r="O81" s="31">
        <v>-42887224.369999997</v>
      </c>
      <c r="Q81">
        <v>-26</v>
      </c>
    </row>
    <row r="82" spans="3:18">
      <c r="E82" t="s">
        <v>4183</v>
      </c>
      <c r="K82" s="418">
        <v>60761591.490000002</v>
      </c>
      <c r="M82" s="31">
        <v>72357430.170000002</v>
      </c>
      <c r="O82" s="31">
        <v>-11595838.68</v>
      </c>
      <c r="Q82">
        <v>-16</v>
      </c>
      <c r="R82" t="s">
        <v>569</v>
      </c>
    </row>
    <row r="83" spans="3:18">
      <c r="E83" t="s">
        <v>4183</v>
      </c>
      <c r="K83" s="418">
        <v>60761591.490000002</v>
      </c>
      <c r="M83" s="31">
        <v>72357430.170000002</v>
      </c>
      <c r="O83" s="31">
        <v>-11595838.68</v>
      </c>
      <c r="Q83">
        <v>-16</v>
      </c>
      <c r="R83" t="s">
        <v>611</v>
      </c>
    </row>
    <row r="85" spans="3:18">
      <c r="E85" t="s">
        <v>4184</v>
      </c>
      <c r="K85" s="418">
        <v>1245797964.3800001</v>
      </c>
      <c r="M85" s="31">
        <v>1224785085.6400001</v>
      </c>
      <c r="O85" s="31">
        <v>21012878.739999998</v>
      </c>
      <c r="Q85">
        <v>1.7</v>
      </c>
      <c r="R85" t="s">
        <v>930</v>
      </c>
    </row>
    <row r="87" spans="3:18">
      <c r="C87">
        <v>5360</v>
      </c>
      <c r="E87" t="s">
        <v>4185</v>
      </c>
      <c r="H87" t="s">
        <v>4186</v>
      </c>
      <c r="K87" s="418">
        <v>235058056.38999999</v>
      </c>
      <c r="M87" s="31">
        <v>235058056.38999999</v>
      </c>
      <c r="O87">
        <v>0</v>
      </c>
    </row>
    <row r="88" spans="3:18">
      <c r="E88" t="s">
        <v>4187</v>
      </c>
      <c r="K88" s="418">
        <v>235058056.38999999</v>
      </c>
      <c r="M88" s="31">
        <v>235058056.38999999</v>
      </c>
      <c r="O88">
        <v>0</v>
      </c>
      <c r="R88" t="s">
        <v>611</v>
      </c>
    </row>
    <row r="90" spans="3:18">
      <c r="E90" t="s">
        <v>4188</v>
      </c>
      <c r="K90" s="418">
        <v>235058056.38999999</v>
      </c>
      <c r="M90" s="31">
        <v>235058056.38999999</v>
      </c>
      <c r="O90">
        <v>0</v>
      </c>
      <c r="R90" t="s">
        <v>930</v>
      </c>
    </row>
    <row r="92" spans="3:18">
      <c r="C92">
        <v>5360</v>
      </c>
      <c r="E92" t="s">
        <v>4189</v>
      </c>
      <c r="H92" t="s">
        <v>4190</v>
      </c>
      <c r="K92" s="418">
        <v>4041036.52</v>
      </c>
      <c r="M92" s="31">
        <v>4041036.52</v>
      </c>
      <c r="O92">
        <v>0</v>
      </c>
    </row>
    <row r="93" spans="3:18">
      <c r="E93" t="s">
        <v>4191</v>
      </c>
      <c r="K93" s="418">
        <v>4041036.52</v>
      </c>
      <c r="M93" s="31">
        <v>4041036.52</v>
      </c>
      <c r="O93">
        <v>0</v>
      </c>
      <c r="R93" t="s">
        <v>658</v>
      </c>
    </row>
    <row r="94" spans="3:18">
      <c r="E94" t="s">
        <v>4192</v>
      </c>
      <c r="K94" s="418">
        <v>4041036.52</v>
      </c>
      <c r="M94" s="31">
        <v>4041036.52</v>
      </c>
      <c r="O94">
        <v>0</v>
      </c>
      <c r="R94" t="s">
        <v>569</v>
      </c>
    </row>
    <row r="95" spans="3:18">
      <c r="E95" t="s">
        <v>4193</v>
      </c>
      <c r="K95" s="418">
        <v>4041036.52</v>
      </c>
      <c r="M95" s="31">
        <v>4041036.52</v>
      </c>
      <c r="O95">
        <v>0</v>
      </c>
      <c r="R95" t="s">
        <v>611</v>
      </c>
    </row>
    <row r="97" spans="3:18">
      <c r="C97">
        <v>5360</v>
      </c>
      <c r="E97" t="s">
        <v>4194</v>
      </c>
      <c r="H97" t="s">
        <v>4195</v>
      </c>
      <c r="K97" s="418">
        <v>57495</v>
      </c>
      <c r="M97" s="31">
        <v>57495</v>
      </c>
      <c r="O97">
        <v>0</v>
      </c>
    </row>
    <row r="98" spans="3:18">
      <c r="E98" t="s">
        <v>4196</v>
      </c>
      <c r="K98" s="418">
        <v>57495</v>
      </c>
      <c r="M98" s="31">
        <v>57495</v>
      </c>
      <c r="O98">
        <v>0</v>
      </c>
      <c r="R98" t="s">
        <v>611</v>
      </c>
    </row>
    <row r="100" spans="3:18">
      <c r="C100">
        <v>5360</v>
      </c>
      <c r="E100" t="s">
        <v>4197</v>
      </c>
      <c r="H100" t="s">
        <v>4198</v>
      </c>
      <c r="K100" s="418">
        <v>-50039.18</v>
      </c>
      <c r="M100" s="31">
        <v>-50039.18</v>
      </c>
      <c r="O100">
        <v>0</v>
      </c>
    </row>
    <row r="101" spans="3:18">
      <c r="C101">
        <v>5360</v>
      </c>
      <c r="E101" t="s">
        <v>4199</v>
      </c>
      <c r="H101" t="s">
        <v>4200</v>
      </c>
      <c r="K101" s="418">
        <v>407617.19</v>
      </c>
      <c r="M101" s="31">
        <v>407617.19</v>
      </c>
      <c r="O101">
        <v>0</v>
      </c>
    </row>
    <row r="102" spans="3:18">
      <c r="C102">
        <v>5360</v>
      </c>
      <c r="E102" t="s">
        <v>4201</v>
      </c>
      <c r="H102" t="s">
        <v>4202</v>
      </c>
      <c r="K102" s="418">
        <v>368078.99</v>
      </c>
      <c r="M102" s="31">
        <v>368078.99</v>
      </c>
      <c r="O102">
        <v>0</v>
      </c>
    </row>
    <row r="103" spans="3:18">
      <c r="C103">
        <v>5360</v>
      </c>
      <c r="E103" t="s">
        <v>4203</v>
      </c>
      <c r="H103" t="s">
        <v>4204</v>
      </c>
      <c r="K103" s="418">
        <v>-166694.18</v>
      </c>
      <c r="M103" s="31">
        <v>-166694.18</v>
      </c>
      <c r="O103">
        <v>0</v>
      </c>
    </row>
    <row r="104" spans="3:18">
      <c r="C104">
        <v>5360</v>
      </c>
      <c r="E104" t="s">
        <v>4205</v>
      </c>
      <c r="H104" t="s">
        <v>4206</v>
      </c>
      <c r="K104" s="418">
        <v>-521637.26</v>
      </c>
      <c r="M104" s="31">
        <v>-521637.26</v>
      </c>
      <c r="O104">
        <v>0</v>
      </c>
    </row>
    <row r="105" spans="3:18">
      <c r="C105">
        <v>5360</v>
      </c>
      <c r="E105" t="s">
        <v>4207</v>
      </c>
      <c r="H105" t="s">
        <v>4208</v>
      </c>
      <c r="K105" s="418">
        <v>-248472.3</v>
      </c>
      <c r="M105" s="31">
        <v>-248472.3</v>
      </c>
      <c r="O105">
        <v>0</v>
      </c>
    </row>
    <row r="106" spans="3:18">
      <c r="C106">
        <v>5360</v>
      </c>
      <c r="E106" t="s">
        <v>4209</v>
      </c>
      <c r="H106" t="s">
        <v>4210</v>
      </c>
      <c r="K106" s="418">
        <v>223937.57</v>
      </c>
      <c r="M106" s="31">
        <v>223937.57</v>
      </c>
      <c r="O106">
        <v>0</v>
      </c>
    </row>
    <row r="107" spans="3:18">
      <c r="C107">
        <v>5360</v>
      </c>
      <c r="E107" t="s">
        <v>4211</v>
      </c>
      <c r="H107" t="s">
        <v>4212</v>
      </c>
      <c r="K107" s="418">
        <v>460207.23</v>
      </c>
      <c r="M107" s="31">
        <v>460207.23</v>
      </c>
      <c r="O107">
        <v>0</v>
      </c>
    </row>
    <row r="108" spans="3:18">
      <c r="C108">
        <v>5360</v>
      </c>
      <c r="E108" t="s">
        <v>4213</v>
      </c>
      <c r="H108" t="s">
        <v>4214</v>
      </c>
      <c r="K108" s="418">
        <v>-160796.76</v>
      </c>
      <c r="M108" s="31">
        <v>-160796.76</v>
      </c>
      <c r="O108">
        <v>0</v>
      </c>
    </row>
    <row r="109" spans="3:18">
      <c r="E109" t="s">
        <v>909</v>
      </c>
      <c r="K109" s="418">
        <v>312201.3</v>
      </c>
      <c r="M109" s="31">
        <v>312201.3</v>
      </c>
      <c r="O109">
        <v>0</v>
      </c>
      <c r="R109" t="s">
        <v>611</v>
      </c>
    </row>
    <row r="111" spans="3:18">
      <c r="C111">
        <v>5360</v>
      </c>
      <c r="E111" t="s">
        <v>4215</v>
      </c>
      <c r="H111" t="s">
        <v>4216</v>
      </c>
      <c r="K111" s="418">
        <v>629778.81000000006</v>
      </c>
      <c r="M111" s="31">
        <v>1858827.15</v>
      </c>
      <c r="O111" s="31">
        <v>-1229048.3400000001</v>
      </c>
      <c r="Q111">
        <v>-66.099999999999994</v>
      </c>
    </row>
    <row r="112" spans="3:18">
      <c r="E112" t="s">
        <v>4217</v>
      </c>
      <c r="K112" s="418">
        <v>629778.81000000006</v>
      </c>
      <c r="M112" s="31">
        <v>1858827.15</v>
      </c>
      <c r="O112" s="31">
        <v>-1229048.3400000001</v>
      </c>
      <c r="Q112">
        <v>-66.099999999999994</v>
      </c>
      <c r="R112" t="s">
        <v>611</v>
      </c>
    </row>
    <row r="114" spans="3:18">
      <c r="E114" t="s">
        <v>4218</v>
      </c>
      <c r="K114" s="418">
        <v>5040511.63</v>
      </c>
      <c r="M114" s="31">
        <v>6269559.9699999997</v>
      </c>
      <c r="O114" s="31">
        <v>-1229048.3400000001</v>
      </c>
      <c r="Q114">
        <v>-19.600000000000001</v>
      </c>
      <c r="R114" t="s">
        <v>930</v>
      </c>
    </row>
    <row r="116" spans="3:18">
      <c r="C116">
        <v>5360</v>
      </c>
      <c r="E116" t="s">
        <v>4219</v>
      </c>
      <c r="H116" t="s">
        <v>4220</v>
      </c>
      <c r="K116" s="418">
        <v>364695.59</v>
      </c>
      <c r="M116" s="31">
        <v>364811.07</v>
      </c>
      <c r="O116">
        <v>-115.48</v>
      </c>
    </row>
    <row r="117" spans="3:18">
      <c r="E117" t="s">
        <v>4221</v>
      </c>
      <c r="K117" s="418">
        <v>364695.59</v>
      </c>
      <c r="M117" s="31">
        <v>364811.07</v>
      </c>
      <c r="O117">
        <v>-115.48</v>
      </c>
      <c r="R117" t="s">
        <v>569</v>
      </c>
    </row>
    <row r="118" spans="3:18">
      <c r="E118" t="s">
        <v>4222</v>
      </c>
      <c r="K118" s="418">
        <v>364695.59</v>
      </c>
      <c r="M118" s="31">
        <v>364811.07</v>
      </c>
      <c r="O118">
        <v>-115.48</v>
      </c>
      <c r="R118" t="s">
        <v>611</v>
      </c>
    </row>
    <row r="120" spans="3:18">
      <c r="C120">
        <v>5360</v>
      </c>
      <c r="E120" t="s">
        <v>3668</v>
      </c>
      <c r="H120" t="s">
        <v>3603</v>
      </c>
      <c r="K120" s="418">
        <v>99802822.780000001</v>
      </c>
      <c r="M120" s="31">
        <v>80223768.5</v>
      </c>
      <c r="O120" s="31">
        <v>19579054.280000001</v>
      </c>
      <c r="Q120">
        <v>24.4</v>
      </c>
    </row>
    <row r="121" spans="3:18">
      <c r="C121">
        <v>5360</v>
      </c>
      <c r="E121" t="s">
        <v>4223</v>
      </c>
      <c r="H121" t="s">
        <v>4224</v>
      </c>
      <c r="K121" s="418">
        <v>-70487.23</v>
      </c>
      <c r="M121" s="31">
        <v>-70487.23</v>
      </c>
      <c r="O121">
        <v>0</v>
      </c>
    </row>
    <row r="122" spans="3:18">
      <c r="C122">
        <v>5360</v>
      </c>
      <c r="E122" t="s">
        <v>4227</v>
      </c>
      <c r="H122" t="s">
        <v>4228</v>
      </c>
      <c r="K122" s="417">
        <v>-0.06</v>
      </c>
      <c r="M122">
        <v>-0.06</v>
      </c>
      <c r="O122">
        <v>0</v>
      </c>
    </row>
    <row r="123" spans="3:18">
      <c r="C123">
        <v>5360</v>
      </c>
      <c r="E123" t="s">
        <v>4229</v>
      </c>
      <c r="H123" t="s">
        <v>4230</v>
      </c>
      <c r="K123" s="417">
        <v>190</v>
      </c>
      <c r="M123">
        <v>-190</v>
      </c>
      <c r="O123">
        <v>380</v>
      </c>
      <c r="Q123">
        <v>200</v>
      </c>
    </row>
    <row r="124" spans="3:18">
      <c r="C124">
        <v>5360</v>
      </c>
      <c r="E124" t="s">
        <v>4232</v>
      </c>
      <c r="H124" t="s">
        <v>4233</v>
      </c>
      <c r="K124" s="417">
        <v>-0.23</v>
      </c>
      <c r="M124">
        <v>-0.23</v>
      </c>
      <c r="O124">
        <v>0</v>
      </c>
    </row>
    <row r="125" spans="3:18">
      <c r="C125">
        <v>5360</v>
      </c>
      <c r="E125" t="s">
        <v>4234</v>
      </c>
      <c r="H125" t="s">
        <v>4235</v>
      </c>
      <c r="K125" s="418">
        <v>-902693.97</v>
      </c>
      <c r="M125" s="31">
        <v>-902693.97</v>
      </c>
      <c r="O125">
        <v>0</v>
      </c>
    </row>
    <row r="126" spans="3:18">
      <c r="E126" t="s">
        <v>4236</v>
      </c>
      <c r="K126" s="418">
        <v>98829831.290000007</v>
      </c>
      <c r="M126" s="31">
        <v>79250397.010000005</v>
      </c>
      <c r="O126" s="31">
        <v>19579434.280000001</v>
      </c>
      <c r="Q126">
        <v>24.7</v>
      </c>
      <c r="R126" t="s">
        <v>611</v>
      </c>
    </row>
    <row r="128" spans="3:18">
      <c r="C128">
        <v>5360</v>
      </c>
      <c r="E128" t="s">
        <v>4237</v>
      </c>
      <c r="H128" t="s">
        <v>4238</v>
      </c>
      <c r="K128" s="418">
        <v>2246.9499999999998</v>
      </c>
      <c r="M128" s="31">
        <v>2105.4499999999998</v>
      </c>
      <c r="O128">
        <v>141.5</v>
      </c>
      <c r="Q128">
        <v>6.7</v>
      </c>
    </row>
    <row r="129" spans="3:18">
      <c r="C129">
        <v>5360</v>
      </c>
      <c r="E129" t="s">
        <v>4239</v>
      </c>
      <c r="H129" t="s">
        <v>4240</v>
      </c>
      <c r="K129" s="418">
        <v>867022.76</v>
      </c>
      <c r="M129" s="31">
        <v>2648022.83</v>
      </c>
      <c r="O129" s="31">
        <v>-1781000.07</v>
      </c>
      <c r="Q129">
        <v>-67.3</v>
      </c>
    </row>
    <row r="130" spans="3:18">
      <c r="C130">
        <v>5360</v>
      </c>
      <c r="E130" t="s">
        <v>4241</v>
      </c>
      <c r="H130" t="s">
        <v>4242</v>
      </c>
      <c r="K130" s="418">
        <v>3238942.03</v>
      </c>
      <c r="M130" s="31">
        <v>3238942.03</v>
      </c>
      <c r="O130">
        <v>0</v>
      </c>
    </row>
    <row r="131" spans="3:18">
      <c r="C131">
        <v>5360</v>
      </c>
      <c r="E131" t="s">
        <v>4243</v>
      </c>
      <c r="H131" t="s">
        <v>4244</v>
      </c>
      <c r="K131" s="418">
        <v>233553.36</v>
      </c>
      <c r="M131" s="31">
        <v>236466.03</v>
      </c>
      <c r="O131" s="31">
        <v>-2912.67</v>
      </c>
      <c r="Q131">
        <v>-1.2</v>
      </c>
    </row>
    <row r="132" spans="3:18">
      <c r="C132">
        <v>5360</v>
      </c>
      <c r="E132" t="s">
        <v>4245</v>
      </c>
      <c r="H132" t="s">
        <v>4246</v>
      </c>
      <c r="K132" s="418">
        <v>-32459.54</v>
      </c>
      <c r="M132" s="31">
        <v>-43315.88</v>
      </c>
      <c r="O132" s="31">
        <v>10856.34</v>
      </c>
      <c r="Q132">
        <v>25.1</v>
      </c>
    </row>
    <row r="133" spans="3:18">
      <c r="C133">
        <v>5360</v>
      </c>
      <c r="E133" t="s">
        <v>4247</v>
      </c>
      <c r="H133" t="s">
        <v>4248</v>
      </c>
      <c r="K133" s="418">
        <v>-1734</v>
      </c>
      <c r="M133" s="31">
        <v>-1734</v>
      </c>
      <c r="O133">
        <v>0</v>
      </c>
    </row>
    <row r="134" spans="3:18">
      <c r="C134">
        <v>5360</v>
      </c>
      <c r="E134" t="s">
        <v>4249</v>
      </c>
      <c r="H134" t="s">
        <v>4250</v>
      </c>
      <c r="K134" s="418">
        <v>-62676.78</v>
      </c>
      <c r="M134" s="31">
        <v>-68557.05</v>
      </c>
      <c r="O134" s="31">
        <v>5880.27</v>
      </c>
      <c r="Q134">
        <v>8.6</v>
      </c>
    </row>
    <row r="135" spans="3:18">
      <c r="C135">
        <v>5360</v>
      </c>
      <c r="E135" t="s">
        <v>4251</v>
      </c>
      <c r="H135" t="s">
        <v>4252</v>
      </c>
      <c r="K135" s="418">
        <v>1240</v>
      </c>
      <c r="M135" s="31">
        <v>1240</v>
      </c>
      <c r="O135">
        <v>0</v>
      </c>
    </row>
    <row r="136" spans="3:18">
      <c r="C136">
        <v>5360</v>
      </c>
      <c r="E136" t="s">
        <v>4253</v>
      </c>
      <c r="H136" t="s">
        <v>4254</v>
      </c>
      <c r="K136" s="418">
        <v>2927883.63</v>
      </c>
      <c r="M136" s="31">
        <v>3508216.96</v>
      </c>
      <c r="O136" s="31">
        <v>-580333.32999999996</v>
      </c>
      <c r="Q136">
        <v>-16.5</v>
      </c>
    </row>
    <row r="137" spans="3:18">
      <c r="C137">
        <v>5360</v>
      </c>
      <c r="E137" t="s">
        <v>4255</v>
      </c>
      <c r="H137" t="s">
        <v>4256</v>
      </c>
      <c r="K137" s="418">
        <v>124519.19</v>
      </c>
      <c r="M137" s="31">
        <v>122509.19</v>
      </c>
      <c r="O137" s="31">
        <v>2010</v>
      </c>
      <c r="Q137">
        <v>1.6</v>
      </c>
    </row>
    <row r="138" spans="3:18">
      <c r="C138">
        <v>5360</v>
      </c>
      <c r="E138" t="s">
        <v>4257</v>
      </c>
      <c r="H138" t="s">
        <v>4258</v>
      </c>
      <c r="K138" s="418">
        <v>43338.09</v>
      </c>
      <c r="M138" s="31">
        <v>44624.82</v>
      </c>
      <c r="O138" s="31">
        <v>-1286.73</v>
      </c>
      <c r="Q138">
        <v>-2.9</v>
      </c>
    </row>
    <row r="139" spans="3:18">
      <c r="E139" t="s">
        <v>4259</v>
      </c>
      <c r="K139" s="418">
        <v>7341875.6900000004</v>
      </c>
      <c r="M139" s="31">
        <v>9688520.3800000008</v>
      </c>
      <c r="O139" s="31">
        <v>-2346644.69</v>
      </c>
      <c r="Q139">
        <v>-24.2</v>
      </c>
      <c r="R139" t="s">
        <v>611</v>
      </c>
    </row>
    <row r="141" spans="3:18">
      <c r="C141">
        <v>5360</v>
      </c>
      <c r="E141" t="s">
        <v>4260</v>
      </c>
      <c r="H141" t="s">
        <v>4261</v>
      </c>
      <c r="K141" s="418">
        <v>-19665019.870000001</v>
      </c>
      <c r="M141" s="31">
        <v>-21359364.84</v>
      </c>
      <c r="O141" s="31">
        <v>1694344.97</v>
      </c>
      <c r="Q141">
        <v>7.9</v>
      </c>
    </row>
    <row r="142" spans="3:18">
      <c r="C142">
        <v>5360</v>
      </c>
      <c r="E142" t="s">
        <v>4262</v>
      </c>
      <c r="H142" t="s">
        <v>4263</v>
      </c>
      <c r="K142" s="417">
        <v>-649.99</v>
      </c>
      <c r="M142">
        <v>-649.99</v>
      </c>
      <c r="O142">
        <v>0</v>
      </c>
    </row>
    <row r="143" spans="3:18">
      <c r="C143">
        <v>5360</v>
      </c>
      <c r="E143" t="s">
        <v>4264</v>
      </c>
      <c r="H143" t="s">
        <v>4265</v>
      </c>
      <c r="K143" s="418">
        <v>-2016.38</v>
      </c>
      <c r="M143" s="31">
        <v>-2016.38</v>
      </c>
      <c r="O143">
        <v>0</v>
      </c>
    </row>
    <row r="144" spans="3:18">
      <c r="C144">
        <v>5360</v>
      </c>
      <c r="E144" t="s">
        <v>4266</v>
      </c>
      <c r="H144" t="s">
        <v>4267</v>
      </c>
      <c r="K144" s="418">
        <v>-4439413.21</v>
      </c>
      <c r="M144" s="31">
        <v>-3781025.75</v>
      </c>
      <c r="O144" s="31">
        <v>-658387.46</v>
      </c>
      <c r="Q144">
        <v>-17.399999999999999</v>
      </c>
    </row>
    <row r="145" spans="3:18">
      <c r="E145" t="s">
        <v>4261</v>
      </c>
      <c r="K145" s="418">
        <v>-24107099.449999999</v>
      </c>
      <c r="M145" s="31">
        <v>-25143056.960000001</v>
      </c>
      <c r="O145" s="31">
        <v>1035957.51</v>
      </c>
      <c r="Q145">
        <v>4.0999999999999996</v>
      </c>
      <c r="R145" t="s">
        <v>569</v>
      </c>
    </row>
    <row r="146" spans="3:18">
      <c r="E146" t="s">
        <v>4268</v>
      </c>
      <c r="K146" s="418">
        <v>-24107099.449999999</v>
      </c>
      <c r="M146" s="31">
        <v>-25143056.960000001</v>
      </c>
      <c r="O146" s="31">
        <v>1035957.51</v>
      </c>
      <c r="Q146">
        <v>4.0999999999999996</v>
      </c>
      <c r="R146" t="s">
        <v>611</v>
      </c>
    </row>
    <row r="148" spans="3:18">
      <c r="C148">
        <v>5360</v>
      </c>
      <c r="E148" t="s">
        <v>4269</v>
      </c>
      <c r="H148" t="s">
        <v>4270</v>
      </c>
      <c r="K148" s="418">
        <v>2787915712.0999999</v>
      </c>
      <c r="M148" s="31">
        <v>2616606664.4400001</v>
      </c>
      <c r="O148" s="31">
        <v>171309047.66</v>
      </c>
      <c r="Q148">
        <v>6.5</v>
      </c>
    </row>
    <row r="149" spans="3:18">
      <c r="C149">
        <v>5360</v>
      </c>
      <c r="E149" t="s">
        <v>4271</v>
      </c>
      <c r="H149" t="s">
        <v>4272</v>
      </c>
      <c r="K149" s="418">
        <v>-2231337897.7399998</v>
      </c>
      <c r="M149" s="31">
        <v>-2231337897.7399998</v>
      </c>
      <c r="O149">
        <v>0</v>
      </c>
    </row>
    <row r="150" spans="3:18">
      <c r="C150">
        <v>5360</v>
      </c>
      <c r="E150" t="s">
        <v>4275</v>
      </c>
      <c r="H150" t="s">
        <v>4276</v>
      </c>
      <c r="K150" s="418">
        <v>124416.38</v>
      </c>
      <c r="M150" s="31">
        <v>124416.38</v>
      </c>
      <c r="O150">
        <v>0</v>
      </c>
    </row>
    <row r="151" spans="3:18">
      <c r="C151">
        <v>5360</v>
      </c>
      <c r="E151" t="s">
        <v>4277</v>
      </c>
      <c r="H151" t="s">
        <v>4270</v>
      </c>
      <c r="K151" s="418">
        <v>2746029.03</v>
      </c>
      <c r="M151" s="31">
        <v>2570633.27</v>
      </c>
      <c r="O151" s="31">
        <v>175395.76</v>
      </c>
      <c r="Q151">
        <v>6.8</v>
      </c>
    </row>
    <row r="152" spans="3:18">
      <c r="C152">
        <v>5360</v>
      </c>
      <c r="E152" t="s">
        <v>4278</v>
      </c>
      <c r="H152" t="s">
        <v>4272</v>
      </c>
      <c r="K152" s="418">
        <v>-4675.92</v>
      </c>
      <c r="M152" s="31">
        <v>-4675.92</v>
      </c>
      <c r="O152">
        <v>0</v>
      </c>
    </row>
    <row r="153" spans="3:18">
      <c r="C153">
        <v>5360</v>
      </c>
      <c r="E153" t="s">
        <v>4279</v>
      </c>
      <c r="H153" t="s">
        <v>4280</v>
      </c>
      <c r="K153" s="417">
        <v>0</v>
      </c>
      <c r="M153" s="31">
        <v>150591.26</v>
      </c>
      <c r="O153" s="31">
        <v>-150591.26</v>
      </c>
      <c r="Q153">
        <v>-100</v>
      </c>
    </row>
    <row r="154" spans="3:18">
      <c r="E154" t="s">
        <v>4281</v>
      </c>
      <c r="K154" s="418">
        <v>559443583.85000002</v>
      </c>
      <c r="M154" s="31">
        <v>388109731.69</v>
      </c>
      <c r="O154" s="31">
        <v>171333852.16</v>
      </c>
      <c r="Q154">
        <v>44.1</v>
      </c>
      <c r="R154" t="s">
        <v>611</v>
      </c>
    </row>
    <row r="156" spans="3:18">
      <c r="C156">
        <v>5360</v>
      </c>
      <c r="E156" t="s">
        <v>4282</v>
      </c>
      <c r="H156" t="s">
        <v>4283</v>
      </c>
      <c r="K156" s="418">
        <v>5997045.2199999997</v>
      </c>
      <c r="M156" s="31">
        <v>8042722.4699999997</v>
      </c>
      <c r="O156" s="31">
        <v>-2045677.25</v>
      </c>
      <c r="Q156">
        <v>-25.4</v>
      </c>
    </row>
    <row r="157" spans="3:18">
      <c r="C157">
        <v>5360</v>
      </c>
      <c r="E157" t="s">
        <v>4284</v>
      </c>
      <c r="H157" t="s">
        <v>4285</v>
      </c>
      <c r="K157" s="418">
        <v>3266371.91</v>
      </c>
      <c r="M157" s="31">
        <v>3297775.84</v>
      </c>
      <c r="O157" s="31">
        <v>-31403.93</v>
      </c>
      <c r="Q157">
        <v>-1</v>
      </c>
    </row>
    <row r="158" spans="3:18">
      <c r="E158" t="s">
        <v>4286</v>
      </c>
      <c r="K158" s="418">
        <v>9263417.1300000008</v>
      </c>
      <c r="M158" s="31">
        <v>11340498.310000001</v>
      </c>
      <c r="O158" s="31">
        <v>-2077081.18</v>
      </c>
      <c r="Q158">
        <v>-18.3</v>
      </c>
      <c r="R158" t="s">
        <v>611</v>
      </c>
    </row>
    <row r="160" spans="3:18">
      <c r="C160">
        <v>5360</v>
      </c>
      <c r="E160" t="s">
        <v>4287</v>
      </c>
      <c r="H160" t="s">
        <v>4288</v>
      </c>
      <c r="K160" s="418">
        <v>191548.93</v>
      </c>
      <c r="M160" s="31">
        <v>189688.45</v>
      </c>
      <c r="O160" s="31">
        <v>1860.48</v>
      </c>
      <c r="Q160">
        <v>1</v>
      </c>
    </row>
    <row r="161" spans="3:18">
      <c r="C161">
        <v>5360</v>
      </c>
      <c r="E161" t="s">
        <v>4289</v>
      </c>
      <c r="H161" t="s">
        <v>4290</v>
      </c>
      <c r="K161" s="418">
        <v>4918662.55</v>
      </c>
      <c r="M161" s="31">
        <v>4212145.9800000004</v>
      </c>
      <c r="O161" s="31">
        <v>706516.57</v>
      </c>
      <c r="Q161">
        <v>16.8</v>
      </c>
    </row>
    <row r="162" spans="3:18">
      <c r="C162">
        <v>5360</v>
      </c>
      <c r="E162" t="s">
        <v>4291</v>
      </c>
      <c r="H162" t="s">
        <v>4292</v>
      </c>
      <c r="K162" s="418">
        <v>-97106.46</v>
      </c>
      <c r="M162" s="31">
        <v>-174135.23</v>
      </c>
      <c r="O162" s="31">
        <v>77028.77</v>
      </c>
      <c r="Q162">
        <v>44.2</v>
      </c>
    </row>
    <row r="163" spans="3:18">
      <c r="C163">
        <v>5360</v>
      </c>
      <c r="E163" t="s">
        <v>4293</v>
      </c>
      <c r="H163" t="s">
        <v>4294</v>
      </c>
      <c r="K163" s="418">
        <v>1075506.71</v>
      </c>
      <c r="M163" s="31">
        <v>951466.89</v>
      </c>
      <c r="O163" s="31">
        <v>124039.82</v>
      </c>
      <c r="Q163">
        <v>13</v>
      </c>
    </row>
    <row r="164" spans="3:18">
      <c r="C164">
        <v>5360</v>
      </c>
      <c r="E164" t="s">
        <v>4295</v>
      </c>
      <c r="H164" t="s">
        <v>4296</v>
      </c>
      <c r="K164" s="418">
        <v>3283354.2</v>
      </c>
      <c r="M164" s="31">
        <v>2970547.5</v>
      </c>
      <c r="O164" s="31">
        <v>312806.7</v>
      </c>
      <c r="Q164">
        <v>10.5</v>
      </c>
    </row>
    <row r="165" spans="3:18">
      <c r="C165">
        <v>5360</v>
      </c>
      <c r="E165" t="s">
        <v>4297</v>
      </c>
      <c r="H165" t="s">
        <v>4296</v>
      </c>
      <c r="K165" s="418">
        <v>27354.51</v>
      </c>
      <c r="M165" s="31">
        <v>27354.51</v>
      </c>
      <c r="O165">
        <v>0</v>
      </c>
    </row>
    <row r="166" spans="3:18">
      <c r="E166" t="s">
        <v>4298</v>
      </c>
      <c r="K166" s="418">
        <v>9399320.4399999995</v>
      </c>
      <c r="M166" s="31">
        <v>8177068.0999999996</v>
      </c>
      <c r="O166" s="31">
        <v>1222252.3400000001</v>
      </c>
      <c r="Q166">
        <v>14.9</v>
      </c>
      <c r="R166" t="s">
        <v>611</v>
      </c>
    </row>
    <row r="168" spans="3:18">
      <c r="C168">
        <v>5360</v>
      </c>
      <c r="E168" t="s">
        <v>4299</v>
      </c>
      <c r="H168" t="s">
        <v>4300</v>
      </c>
      <c r="K168" s="418">
        <v>657020.41</v>
      </c>
      <c r="M168" s="31">
        <v>1222438.4099999999</v>
      </c>
      <c r="O168" s="31">
        <v>-565418</v>
      </c>
      <c r="Q168">
        <v>-46.3</v>
      </c>
    </row>
    <row r="169" spans="3:18">
      <c r="C169">
        <v>5360</v>
      </c>
      <c r="E169" t="s">
        <v>4301</v>
      </c>
      <c r="H169" t="s">
        <v>4302</v>
      </c>
      <c r="K169" s="417">
        <v>0.09</v>
      </c>
      <c r="M169">
        <v>0.09</v>
      </c>
      <c r="O169">
        <v>0</v>
      </c>
    </row>
    <row r="170" spans="3:18">
      <c r="C170">
        <v>5360</v>
      </c>
      <c r="E170" t="s">
        <v>4303</v>
      </c>
      <c r="H170" t="s">
        <v>4304</v>
      </c>
      <c r="K170" s="418">
        <v>155194.84</v>
      </c>
      <c r="M170" s="31">
        <v>2007.95</v>
      </c>
      <c r="O170" s="31">
        <v>153186.89000000001</v>
      </c>
      <c r="Q170">
        <v>7629</v>
      </c>
    </row>
    <row r="171" spans="3:18">
      <c r="C171">
        <v>5360</v>
      </c>
      <c r="E171" t="s">
        <v>4305</v>
      </c>
      <c r="H171" t="s">
        <v>4306</v>
      </c>
      <c r="K171" s="417">
        <v>-0.09</v>
      </c>
      <c r="M171">
        <v>-0.09</v>
      </c>
      <c r="O171">
        <v>0</v>
      </c>
    </row>
    <row r="172" spans="3:18">
      <c r="E172" t="s">
        <v>4307</v>
      </c>
      <c r="K172" s="418">
        <v>812215.25</v>
      </c>
      <c r="M172" s="31">
        <v>1224446.3600000001</v>
      </c>
      <c r="O172" s="31">
        <v>-412231.11</v>
      </c>
      <c r="Q172">
        <v>-33.700000000000003</v>
      </c>
      <c r="R172" t="s">
        <v>611</v>
      </c>
    </row>
    <row r="174" spans="3:18">
      <c r="C174">
        <v>5360</v>
      </c>
      <c r="E174" t="s">
        <v>4308</v>
      </c>
      <c r="H174" t="s">
        <v>4309</v>
      </c>
      <c r="K174" s="417">
        <v>0</v>
      </c>
      <c r="M174" s="31">
        <v>150591.26</v>
      </c>
      <c r="O174" s="31">
        <v>-150591.26</v>
      </c>
      <c r="Q174">
        <v>-100</v>
      </c>
    </row>
    <row r="175" spans="3:18">
      <c r="C175">
        <v>5360</v>
      </c>
      <c r="E175" t="s">
        <v>4310</v>
      </c>
      <c r="H175" t="s">
        <v>4311</v>
      </c>
      <c r="K175" s="417">
        <v>0</v>
      </c>
      <c r="M175" s="31">
        <v>-150591.26</v>
      </c>
      <c r="O175" s="31">
        <v>150591.26</v>
      </c>
      <c r="Q175">
        <v>100</v>
      </c>
    </row>
    <row r="176" spans="3:18">
      <c r="E176" t="s">
        <v>4312</v>
      </c>
      <c r="K176" s="417">
        <v>0</v>
      </c>
      <c r="M176">
        <v>0</v>
      </c>
      <c r="O176">
        <v>0</v>
      </c>
      <c r="R176" t="s">
        <v>611</v>
      </c>
    </row>
    <row r="178" spans="3:18">
      <c r="C178">
        <v>5360</v>
      </c>
      <c r="E178" t="s">
        <v>3607</v>
      </c>
      <c r="H178" t="s">
        <v>4313</v>
      </c>
      <c r="K178" s="418">
        <v>23411937.640000001</v>
      </c>
      <c r="M178" s="31">
        <v>34444421.890000001</v>
      </c>
      <c r="O178" s="31">
        <v>-11032484.25</v>
      </c>
      <c r="Q178">
        <v>-32</v>
      </c>
    </row>
    <row r="179" spans="3:18">
      <c r="E179" t="s">
        <v>4314</v>
      </c>
      <c r="K179" s="418">
        <v>23411937.640000001</v>
      </c>
      <c r="M179" s="31">
        <v>34444421.890000001</v>
      </c>
      <c r="O179" s="31">
        <v>-11032484.25</v>
      </c>
      <c r="Q179">
        <v>-32</v>
      </c>
      <c r="R179" t="s">
        <v>611</v>
      </c>
    </row>
    <row r="181" spans="3:18">
      <c r="C181">
        <v>5360</v>
      </c>
      <c r="E181" t="s">
        <v>4315</v>
      </c>
      <c r="H181" t="s">
        <v>4316</v>
      </c>
      <c r="K181" s="418">
        <v>10156.450000000001</v>
      </c>
      <c r="M181" s="31">
        <v>10312.93</v>
      </c>
      <c r="O181">
        <v>-156.47999999999999</v>
      </c>
      <c r="Q181">
        <v>-1.5</v>
      </c>
    </row>
    <row r="182" spans="3:18">
      <c r="E182" t="s">
        <v>4317</v>
      </c>
      <c r="K182" s="418">
        <v>10156.450000000001</v>
      </c>
      <c r="M182" s="31">
        <v>10312.93</v>
      </c>
      <c r="O182">
        <v>-156.47999999999999</v>
      </c>
      <c r="Q182">
        <v>-1.5</v>
      </c>
      <c r="R182" t="s">
        <v>611</v>
      </c>
    </row>
    <row r="184" spans="3:18">
      <c r="C184">
        <v>5360</v>
      </c>
      <c r="E184" t="s">
        <v>4318</v>
      </c>
      <c r="H184" t="s">
        <v>4319</v>
      </c>
      <c r="K184" s="418">
        <v>56542.47</v>
      </c>
      <c r="M184" s="31">
        <v>93762.66</v>
      </c>
      <c r="O184" s="31">
        <v>-37220.19</v>
      </c>
      <c r="Q184">
        <v>-39.700000000000003</v>
      </c>
    </row>
    <row r="185" spans="3:18">
      <c r="C185">
        <v>5360</v>
      </c>
      <c r="E185" t="s">
        <v>4320</v>
      </c>
      <c r="H185" t="s">
        <v>4319</v>
      </c>
      <c r="K185" s="418">
        <v>4953494.96</v>
      </c>
      <c r="M185" s="31">
        <v>2589749.98</v>
      </c>
      <c r="O185" s="31">
        <v>2363744.98</v>
      </c>
      <c r="Q185">
        <v>91.3</v>
      </c>
    </row>
    <row r="186" spans="3:18">
      <c r="E186" t="s">
        <v>4321</v>
      </c>
      <c r="K186" s="418">
        <v>5010037.43</v>
      </c>
      <c r="M186" s="31">
        <v>2683512.64</v>
      </c>
      <c r="O186" s="31">
        <v>2326524.79</v>
      </c>
      <c r="Q186">
        <v>86.7</v>
      </c>
      <c r="R186" t="s">
        <v>611</v>
      </c>
    </row>
    <row r="188" spans="3:18">
      <c r="E188" t="s">
        <v>4322</v>
      </c>
      <c r="K188" s="418">
        <v>689779971.30999994</v>
      </c>
      <c r="M188" s="31">
        <v>510150663.42000002</v>
      </c>
      <c r="O188" s="31">
        <v>179629307.88999999</v>
      </c>
      <c r="Q188">
        <v>35.200000000000003</v>
      </c>
      <c r="R188" t="s">
        <v>930</v>
      </c>
    </row>
    <row r="190" spans="3:18">
      <c r="C190">
        <v>5360</v>
      </c>
      <c r="E190" t="s">
        <v>4323</v>
      </c>
      <c r="H190" t="s">
        <v>4324</v>
      </c>
      <c r="K190" s="418">
        <v>30037.69</v>
      </c>
      <c r="M190" s="31">
        <v>30037.69</v>
      </c>
      <c r="O190">
        <v>0</v>
      </c>
    </row>
    <row r="191" spans="3:18">
      <c r="C191">
        <v>5360</v>
      </c>
      <c r="E191" t="s">
        <v>4325</v>
      </c>
      <c r="H191" t="s">
        <v>4326</v>
      </c>
      <c r="K191" s="418">
        <v>35258698.280000001</v>
      </c>
      <c r="M191" s="31">
        <v>35617153.729999997</v>
      </c>
      <c r="O191" s="31">
        <v>-358455.45</v>
      </c>
      <c r="Q191">
        <v>-1</v>
      </c>
    </row>
    <row r="192" spans="3:18">
      <c r="C192">
        <v>5360</v>
      </c>
      <c r="E192" t="s">
        <v>4327</v>
      </c>
      <c r="H192" t="s">
        <v>4328</v>
      </c>
      <c r="K192" s="418">
        <v>2528854.8199999998</v>
      </c>
      <c r="M192" s="31">
        <v>2793861.77</v>
      </c>
      <c r="O192" s="31">
        <v>-265006.95</v>
      </c>
      <c r="Q192">
        <v>-9.5</v>
      </c>
    </row>
    <row r="193" spans="3:17">
      <c r="C193">
        <v>5360</v>
      </c>
      <c r="E193" t="s">
        <v>4329</v>
      </c>
      <c r="H193" t="s">
        <v>4330</v>
      </c>
      <c r="K193" s="418">
        <v>268678.83</v>
      </c>
      <c r="M193" s="31">
        <v>548553.56000000006</v>
      </c>
      <c r="O193" s="31">
        <v>-279874.73</v>
      </c>
      <c r="Q193">
        <v>-51</v>
      </c>
    </row>
    <row r="194" spans="3:17">
      <c r="C194">
        <v>5360</v>
      </c>
      <c r="E194" t="s">
        <v>4331</v>
      </c>
      <c r="H194" t="s">
        <v>4324</v>
      </c>
      <c r="K194" s="418">
        <v>6950680.5199999996</v>
      </c>
      <c r="M194" s="31">
        <v>6823299.79</v>
      </c>
      <c r="O194" s="31">
        <v>127380.73</v>
      </c>
      <c r="Q194">
        <v>1.9</v>
      </c>
    </row>
    <row r="195" spans="3:17">
      <c r="C195">
        <v>5360</v>
      </c>
      <c r="E195" t="s">
        <v>4332</v>
      </c>
      <c r="H195" t="s">
        <v>4333</v>
      </c>
      <c r="K195" s="418">
        <v>1441181.38</v>
      </c>
      <c r="M195" s="31">
        <v>12949797.609999999</v>
      </c>
      <c r="O195" s="31">
        <v>-11508616.23</v>
      </c>
      <c r="Q195">
        <v>-88.9</v>
      </c>
    </row>
    <row r="196" spans="3:17">
      <c r="C196">
        <v>5360</v>
      </c>
      <c r="E196" t="s">
        <v>4334</v>
      </c>
      <c r="H196" t="s">
        <v>4335</v>
      </c>
      <c r="K196" s="418">
        <v>6220653.2199999997</v>
      </c>
      <c r="M196" s="31">
        <v>16480754.68</v>
      </c>
      <c r="O196" s="31">
        <v>-10260101.460000001</v>
      </c>
      <c r="Q196">
        <v>-62.3</v>
      </c>
    </row>
    <row r="197" spans="3:17">
      <c r="C197">
        <v>5360</v>
      </c>
      <c r="E197" t="s">
        <v>4336</v>
      </c>
      <c r="H197" t="s">
        <v>4337</v>
      </c>
      <c r="K197" s="418">
        <v>111340</v>
      </c>
      <c r="M197" s="31">
        <v>178144</v>
      </c>
      <c r="O197" s="31">
        <v>-66804</v>
      </c>
      <c r="Q197">
        <v>-37.5</v>
      </c>
    </row>
    <row r="198" spans="3:17">
      <c r="C198">
        <v>5360</v>
      </c>
      <c r="E198" t="s">
        <v>4338</v>
      </c>
      <c r="H198" t="s">
        <v>4339</v>
      </c>
      <c r="K198" s="417">
        <v>0</v>
      </c>
      <c r="M198" s="31">
        <v>1689750.51</v>
      </c>
      <c r="O198" s="31">
        <v>-1689750.51</v>
      </c>
      <c r="Q198">
        <v>-100</v>
      </c>
    </row>
    <row r="199" spans="3:17">
      <c r="C199">
        <v>5360</v>
      </c>
      <c r="E199" t="s">
        <v>4340</v>
      </c>
      <c r="H199" t="s">
        <v>4341</v>
      </c>
      <c r="K199" s="418">
        <v>55365021.07</v>
      </c>
      <c r="M199" s="31">
        <v>76222191.310000002</v>
      </c>
      <c r="O199" s="31">
        <v>-20857170.239999998</v>
      </c>
      <c r="Q199">
        <v>-27.4</v>
      </c>
    </row>
    <row r="200" spans="3:17">
      <c r="C200">
        <v>5360</v>
      </c>
      <c r="E200" t="s">
        <v>4342</v>
      </c>
      <c r="H200" t="s">
        <v>4343</v>
      </c>
      <c r="K200" s="418">
        <v>-18849071.93</v>
      </c>
      <c r="M200" s="31">
        <v>-3103294.92</v>
      </c>
      <c r="O200" s="31">
        <v>-15745777.01</v>
      </c>
      <c r="Q200">
        <v>-507.4</v>
      </c>
    </row>
    <row r="201" spans="3:17">
      <c r="C201">
        <v>5360</v>
      </c>
      <c r="E201" t="s">
        <v>4344</v>
      </c>
      <c r="H201" t="s">
        <v>4345</v>
      </c>
      <c r="K201" s="418">
        <v>129078.34</v>
      </c>
      <c r="M201" s="31">
        <v>22021.22</v>
      </c>
      <c r="O201" s="31">
        <v>107057.12</v>
      </c>
      <c r="Q201">
        <v>486.2</v>
      </c>
    </row>
    <row r="202" spans="3:17">
      <c r="C202">
        <v>5360</v>
      </c>
      <c r="E202" t="s">
        <v>4346</v>
      </c>
      <c r="H202" t="s">
        <v>4347</v>
      </c>
      <c r="K202" s="417">
        <v>0</v>
      </c>
      <c r="M202" s="31">
        <v>165182.57</v>
      </c>
      <c r="O202" s="31">
        <v>-165182.57</v>
      </c>
      <c r="Q202">
        <v>-100</v>
      </c>
    </row>
    <row r="203" spans="3:17">
      <c r="C203">
        <v>5360</v>
      </c>
      <c r="E203" t="s">
        <v>4348</v>
      </c>
      <c r="H203" t="s">
        <v>4349</v>
      </c>
      <c r="K203" s="418">
        <v>3442202.31</v>
      </c>
      <c r="M203" s="31">
        <v>2499463.08</v>
      </c>
      <c r="O203" s="31">
        <v>942739.23</v>
      </c>
      <c r="Q203">
        <v>37.700000000000003</v>
      </c>
    </row>
    <row r="204" spans="3:17">
      <c r="C204">
        <v>5360</v>
      </c>
      <c r="E204" t="s">
        <v>4350</v>
      </c>
      <c r="H204" t="s">
        <v>4351</v>
      </c>
      <c r="K204" s="418">
        <v>1289132.8500000001</v>
      </c>
      <c r="M204" s="31">
        <v>1444635.82</v>
      </c>
      <c r="O204" s="31">
        <v>-155502.97</v>
      </c>
      <c r="Q204">
        <v>-10.8</v>
      </c>
    </row>
    <row r="205" spans="3:17">
      <c r="C205">
        <v>5360</v>
      </c>
      <c r="E205" t="s">
        <v>4352</v>
      </c>
      <c r="H205" t="s">
        <v>4353</v>
      </c>
      <c r="K205" s="418">
        <v>-149747.82999999999</v>
      </c>
      <c r="M205" s="31">
        <v>-151732.99</v>
      </c>
      <c r="O205" s="31">
        <v>1985.16</v>
      </c>
      <c r="Q205">
        <v>1.3</v>
      </c>
    </row>
    <row r="206" spans="3:17">
      <c r="C206">
        <v>5360</v>
      </c>
      <c r="E206" t="s">
        <v>4354</v>
      </c>
      <c r="H206" t="s">
        <v>4355</v>
      </c>
      <c r="K206" s="418">
        <v>998881.32</v>
      </c>
      <c r="M206" s="31">
        <v>895772.47</v>
      </c>
      <c r="O206" s="31">
        <v>103108.85</v>
      </c>
      <c r="Q206">
        <v>11.5</v>
      </c>
    </row>
    <row r="207" spans="3:17">
      <c r="C207">
        <v>5360</v>
      </c>
      <c r="E207" t="s">
        <v>4356</v>
      </c>
      <c r="H207" t="s">
        <v>4357</v>
      </c>
      <c r="K207" s="418">
        <v>5083342.83</v>
      </c>
      <c r="M207" s="31">
        <v>115358.69</v>
      </c>
      <c r="O207" s="31">
        <v>4967984.1399999997</v>
      </c>
      <c r="Q207">
        <v>4306.6000000000004</v>
      </c>
    </row>
    <row r="208" spans="3:17">
      <c r="C208">
        <v>5360</v>
      </c>
      <c r="E208" t="s">
        <v>4358</v>
      </c>
      <c r="H208" t="s">
        <v>4359</v>
      </c>
      <c r="K208" s="418">
        <v>33414799.73</v>
      </c>
      <c r="M208" s="31">
        <v>31346939.260000002</v>
      </c>
      <c r="O208" s="31">
        <v>2067860.47</v>
      </c>
      <c r="Q208">
        <v>6.6</v>
      </c>
    </row>
    <row r="209" spans="3:18">
      <c r="C209">
        <v>5360</v>
      </c>
      <c r="E209" t="s">
        <v>4360</v>
      </c>
      <c r="H209" t="s">
        <v>4361</v>
      </c>
      <c r="K209" s="417">
        <v>-1.01</v>
      </c>
      <c r="M209" s="31">
        <v>56824.58</v>
      </c>
      <c r="O209" s="31">
        <v>-56825.59</v>
      </c>
      <c r="Q209">
        <v>-100</v>
      </c>
    </row>
    <row r="210" spans="3:18">
      <c r="C210">
        <v>5360</v>
      </c>
      <c r="E210" t="s">
        <v>4362</v>
      </c>
      <c r="H210" t="s">
        <v>4363</v>
      </c>
      <c r="K210" s="418">
        <v>53480.91</v>
      </c>
      <c r="M210" s="31">
        <v>37760.32</v>
      </c>
      <c r="O210" s="31">
        <v>15720.59</v>
      </c>
      <c r="Q210">
        <v>41.6</v>
      </c>
    </row>
    <row r="211" spans="3:18">
      <c r="C211">
        <v>5360</v>
      </c>
      <c r="E211" t="s">
        <v>4364</v>
      </c>
      <c r="H211" t="s">
        <v>4365</v>
      </c>
      <c r="K211" s="418">
        <v>9041.57</v>
      </c>
      <c r="M211" s="31">
        <v>8704.39</v>
      </c>
      <c r="O211">
        <v>337.18</v>
      </c>
      <c r="Q211">
        <v>3.9</v>
      </c>
    </row>
    <row r="212" spans="3:18">
      <c r="C212">
        <v>5360</v>
      </c>
      <c r="E212" t="s">
        <v>4366</v>
      </c>
      <c r="H212" t="s">
        <v>4367</v>
      </c>
      <c r="K212" s="418">
        <v>9674183.6799999997</v>
      </c>
      <c r="M212" s="31">
        <v>2191779.19</v>
      </c>
      <c r="O212" s="31">
        <v>7482404.4900000002</v>
      </c>
      <c r="Q212">
        <v>341.4</v>
      </c>
    </row>
    <row r="213" spans="3:18">
      <c r="C213">
        <v>5360</v>
      </c>
      <c r="E213" t="s">
        <v>4368</v>
      </c>
      <c r="H213" t="s">
        <v>4369</v>
      </c>
      <c r="K213" s="418">
        <v>8820679.5399999991</v>
      </c>
      <c r="M213" s="31">
        <v>8289136.1399999997</v>
      </c>
      <c r="O213" s="31">
        <v>531543.4</v>
      </c>
      <c r="Q213">
        <v>6.4</v>
      </c>
    </row>
    <row r="214" spans="3:18">
      <c r="C214">
        <v>5360</v>
      </c>
      <c r="E214" t="s">
        <v>4370</v>
      </c>
      <c r="H214" t="s">
        <v>4371</v>
      </c>
      <c r="K214" s="418">
        <v>728004.06</v>
      </c>
      <c r="M214" s="31">
        <v>834549.06</v>
      </c>
      <c r="O214" s="31">
        <v>-106545</v>
      </c>
      <c r="Q214">
        <v>-12.8</v>
      </c>
    </row>
    <row r="215" spans="3:18">
      <c r="C215">
        <v>5360</v>
      </c>
      <c r="E215" t="s">
        <v>4924</v>
      </c>
      <c r="H215" t="s">
        <v>4909</v>
      </c>
      <c r="K215" s="418">
        <v>238254.95</v>
      </c>
      <c r="M215">
        <v>0</v>
      </c>
      <c r="O215" s="31">
        <v>238254.95</v>
      </c>
    </row>
    <row r="216" spans="3:18">
      <c r="E216" t="s">
        <v>4372</v>
      </c>
      <c r="K216" s="418">
        <v>153057407.13</v>
      </c>
      <c r="M216" s="31">
        <v>197986643.53</v>
      </c>
      <c r="O216" s="31">
        <v>-44929236.399999999</v>
      </c>
      <c r="Q216">
        <v>-22.7</v>
      </c>
      <c r="R216" t="s">
        <v>611</v>
      </c>
    </row>
    <row r="218" spans="3:18">
      <c r="E218" t="s">
        <v>4373</v>
      </c>
      <c r="K218" s="418">
        <v>153057407.13</v>
      </c>
      <c r="M218" s="31">
        <v>197986643.53</v>
      </c>
      <c r="O218" s="31">
        <v>-44929236.399999999</v>
      </c>
      <c r="Q218">
        <v>-22.7</v>
      </c>
      <c r="R218" t="s">
        <v>930</v>
      </c>
    </row>
    <row r="220" spans="3:18">
      <c r="C220">
        <v>5360</v>
      </c>
      <c r="E220" t="s">
        <v>4374</v>
      </c>
      <c r="H220" t="s">
        <v>4375</v>
      </c>
      <c r="K220" s="418">
        <v>33535.06</v>
      </c>
      <c r="M220" s="31">
        <v>36452.269999999997</v>
      </c>
      <c r="O220" s="31">
        <v>-2917.21</v>
      </c>
      <c r="Q220">
        <v>-8</v>
      </c>
    </row>
    <row r="221" spans="3:18">
      <c r="E221" t="s">
        <v>4376</v>
      </c>
      <c r="K221" s="418">
        <v>33535.06</v>
      </c>
      <c r="M221" s="31">
        <v>36452.269999999997</v>
      </c>
      <c r="O221" s="31">
        <v>-2917.21</v>
      </c>
      <c r="Q221">
        <v>-8</v>
      </c>
      <c r="R221" t="s">
        <v>611</v>
      </c>
    </row>
    <row r="223" spans="3:18">
      <c r="C223">
        <v>5360</v>
      </c>
      <c r="E223" t="s">
        <v>4377</v>
      </c>
      <c r="H223" t="s">
        <v>4378</v>
      </c>
      <c r="K223" s="418">
        <v>7365.16</v>
      </c>
      <c r="M223" s="31">
        <v>7365.16</v>
      </c>
      <c r="O223">
        <v>0</v>
      </c>
    </row>
    <row r="224" spans="3:18">
      <c r="E224" t="s">
        <v>4379</v>
      </c>
      <c r="K224" s="418">
        <v>7365.16</v>
      </c>
      <c r="M224" s="31">
        <v>7365.16</v>
      </c>
      <c r="O224">
        <v>0</v>
      </c>
      <c r="R224" t="s">
        <v>611</v>
      </c>
    </row>
    <row r="226" spans="3:17">
      <c r="C226">
        <v>5360</v>
      </c>
      <c r="E226" t="s">
        <v>4380</v>
      </c>
      <c r="H226" t="s">
        <v>4381</v>
      </c>
      <c r="K226" s="418">
        <v>-6349910.7000000002</v>
      </c>
      <c r="M226" s="31">
        <v>-6349910.7000000002</v>
      </c>
      <c r="O226">
        <v>0</v>
      </c>
    </row>
    <row r="227" spans="3:17">
      <c r="C227">
        <v>5360</v>
      </c>
      <c r="E227" t="s">
        <v>4382</v>
      </c>
      <c r="H227" t="s">
        <v>4383</v>
      </c>
      <c r="K227" s="417">
        <v>0</v>
      </c>
      <c r="M227" s="31">
        <v>4477122.87</v>
      </c>
      <c r="O227" s="31">
        <v>-4477122.87</v>
      </c>
      <c r="Q227">
        <v>-100</v>
      </c>
    </row>
    <row r="228" spans="3:17">
      <c r="C228">
        <v>5360</v>
      </c>
      <c r="E228" t="s">
        <v>4384</v>
      </c>
      <c r="H228" t="s">
        <v>4385</v>
      </c>
      <c r="K228" s="417">
        <v>0</v>
      </c>
      <c r="M228" s="31">
        <v>1164999.23</v>
      </c>
      <c r="O228" s="31">
        <v>-1164999.23</v>
      </c>
      <c r="Q228">
        <v>-100</v>
      </c>
    </row>
    <row r="229" spans="3:17">
      <c r="C229">
        <v>5360</v>
      </c>
      <c r="E229" t="s">
        <v>4386</v>
      </c>
      <c r="H229" t="s">
        <v>4387</v>
      </c>
      <c r="K229" s="417">
        <v>0</v>
      </c>
      <c r="M229" s="31">
        <v>2811062.06</v>
      </c>
      <c r="O229" s="31">
        <v>-2811062.06</v>
      </c>
      <c r="Q229">
        <v>-100</v>
      </c>
    </row>
    <row r="230" spans="3:17">
      <c r="C230">
        <v>5360</v>
      </c>
      <c r="E230" t="s">
        <v>4388</v>
      </c>
      <c r="H230" t="s">
        <v>4389</v>
      </c>
      <c r="K230" s="417">
        <v>0</v>
      </c>
      <c r="M230" s="31">
        <v>1037574.52</v>
      </c>
      <c r="O230" s="31">
        <v>-1037574.52</v>
      </c>
      <c r="Q230">
        <v>-100</v>
      </c>
    </row>
    <row r="231" spans="3:17">
      <c r="C231">
        <v>5360</v>
      </c>
      <c r="E231" t="s">
        <v>4390</v>
      </c>
      <c r="H231" t="s">
        <v>4391</v>
      </c>
      <c r="K231" s="417">
        <v>0</v>
      </c>
      <c r="M231" s="31">
        <v>7345.5</v>
      </c>
      <c r="O231" s="31">
        <v>-7345.5</v>
      </c>
      <c r="Q231">
        <v>-100</v>
      </c>
    </row>
    <row r="232" spans="3:17">
      <c r="C232">
        <v>5360</v>
      </c>
      <c r="E232" t="s">
        <v>4392</v>
      </c>
      <c r="H232" t="s">
        <v>4393</v>
      </c>
      <c r="K232" s="417">
        <v>0</v>
      </c>
      <c r="M232">
        <v>198.43</v>
      </c>
      <c r="O232">
        <v>-198.43</v>
      </c>
      <c r="Q232">
        <v>-100</v>
      </c>
    </row>
    <row r="233" spans="3:17">
      <c r="C233">
        <v>5360</v>
      </c>
      <c r="E233" t="s">
        <v>4394</v>
      </c>
      <c r="H233" t="s">
        <v>4395</v>
      </c>
      <c r="K233" s="417">
        <v>0</v>
      </c>
      <c r="M233" s="31">
        <v>316141.84999999998</v>
      </c>
      <c r="O233" s="31">
        <v>-316141.84999999998</v>
      </c>
      <c r="Q233">
        <v>-100</v>
      </c>
    </row>
    <row r="234" spans="3:17">
      <c r="C234">
        <v>5360</v>
      </c>
      <c r="E234" t="s">
        <v>4396</v>
      </c>
      <c r="H234" t="s">
        <v>4397</v>
      </c>
      <c r="K234" s="417">
        <v>0</v>
      </c>
      <c r="M234" s="31">
        <v>6685.35</v>
      </c>
      <c r="O234" s="31">
        <v>-6685.35</v>
      </c>
      <c r="Q234">
        <v>-100</v>
      </c>
    </row>
    <row r="235" spans="3:17">
      <c r="C235">
        <v>5360</v>
      </c>
      <c r="E235" t="s">
        <v>4398</v>
      </c>
      <c r="H235" t="s">
        <v>4399</v>
      </c>
      <c r="K235" s="417">
        <v>0</v>
      </c>
      <c r="M235" s="31">
        <v>61376.19</v>
      </c>
      <c r="O235" s="31">
        <v>-61376.19</v>
      </c>
      <c r="Q235">
        <v>-100</v>
      </c>
    </row>
    <row r="236" spans="3:17">
      <c r="C236">
        <v>5360</v>
      </c>
      <c r="E236" t="s">
        <v>4400</v>
      </c>
      <c r="H236" t="s">
        <v>4401</v>
      </c>
      <c r="K236" s="417">
        <v>0</v>
      </c>
      <c r="M236" s="31">
        <v>283483.8</v>
      </c>
      <c r="O236" s="31">
        <v>-283483.8</v>
      </c>
      <c r="Q236">
        <v>-100</v>
      </c>
    </row>
    <row r="237" spans="3:17">
      <c r="C237">
        <v>5360</v>
      </c>
      <c r="E237" t="s">
        <v>4402</v>
      </c>
      <c r="H237" t="s">
        <v>4403</v>
      </c>
      <c r="K237" s="417">
        <v>0</v>
      </c>
      <c r="M237" s="31">
        <v>-13598.46</v>
      </c>
      <c r="O237" s="31">
        <v>13598.46</v>
      </c>
      <c r="Q237">
        <v>100</v>
      </c>
    </row>
    <row r="238" spans="3:17">
      <c r="C238">
        <v>5360</v>
      </c>
      <c r="E238" t="s">
        <v>4404</v>
      </c>
      <c r="H238" t="s">
        <v>4405</v>
      </c>
      <c r="K238" s="418">
        <v>-9225944.5500000007</v>
      </c>
      <c r="M238" s="31">
        <v>-9201237.0800000001</v>
      </c>
      <c r="O238" s="31">
        <v>-24707.47</v>
      </c>
      <c r="Q238">
        <v>-0.3</v>
      </c>
    </row>
    <row r="239" spans="3:17">
      <c r="C239">
        <v>5360</v>
      </c>
      <c r="E239" t="s">
        <v>4406</v>
      </c>
      <c r="H239" t="s">
        <v>4407</v>
      </c>
      <c r="K239" s="418">
        <v>-3216350</v>
      </c>
      <c r="M239" s="31">
        <v>-3204425.68</v>
      </c>
      <c r="O239" s="31">
        <v>-11924.32</v>
      </c>
      <c r="Q239">
        <v>-0.4</v>
      </c>
    </row>
    <row r="240" spans="3:17">
      <c r="C240">
        <v>5360</v>
      </c>
      <c r="E240" t="s">
        <v>4408</v>
      </c>
      <c r="H240" t="s">
        <v>4409</v>
      </c>
      <c r="K240" s="418">
        <v>-96132.13</v>
      </c>
      <c r="M240" s="31">
        <v>14352.88</v>
      </c>
      <c r="O240" s="31">
        <v>-110485.01</v>
      </c>
      <c r="Q240">
        <v>-769.8</v>
      </c>
    </row>
    <row r="241" spans="3:18">
      <c r="C241">
        <v>5360</v>
      </c>
      <c r="E241" t="s">
        <v>4410</v>
      </c>
      <c r="H241" t="s">
        <v>4411</v>
      </c>
      <c r="K241" s="418">
        <v>-76388.490000000005</v>
      </c>
      <c r="M241" s="31">
        <v>45777.93</v>
      </c>
      <c r="O241" s="31">
        <v>-122166.42</v>
      </c>
      <c r="Q241">
        <v>-266.89999999999998</v>
      </c>
    </row>
    <row r="242" spans="3:18">
      <c r="C242">
        <v>5360</v>
      </c>
      <c r="E242" t="s">
        <v>4412</v>
      </c>
      <c r="H242" t="s">
        <v>4413</v>
      </c>
      <c r="K242" s="418">
        <v>89969336.769999996</v>
      </c>
      <c r="M242" s="31">
        <v>87083702.739999995</v>
      </c>
      <c r="O242" s="31">
        <v>2885634.03</v>
      </c>
      <c r="Q242">
        <v>3.3</v>
      </c>
    </row>
    <row r="243" spans="3:18">
      <c r="C243">
        <v>5360</v>
      </c>
      <c r="E243" t="s">
        <v>4414</v>
      </c>
      <c r="H243" t="s">
        <v>4415</v>
      </c>
      <c r="K243" s="418">
        <v>9123669.2300000004</v>
      </c>
      <c r="M243" s="31">
        <v>8794707.9100000001</v>
      </c>
      <c r="O243" s="31">
        <v>328961.32</v>
      </c>
      <c r="Q243">
        <v>3.7</v>
      </c>
    </row>
    <row r="244" spans="3:18">
      <c r="C244">
        <v>5360</v>
      </c>
      <c r="E244" t="s">
        <v>4416</v>
      </c>
      <c r="H244" t="s">
        <v>4417</v>
      </c>
      <c r="K244" s="418">
        <v>24630463.32</v>
      </c>
      <c r="M244" s="31">
        <v>23590772.440000001</v>
      </c>
      <c r="O244" s="31">
        <v>1039690.88</v>
      </c>
      <c r="Q244">
        <v>4.4000000000000004</v>
      </c>
    </row>
    <row r="245" spans="3:18">
      <c r="C245">
        <v>5360</v>
      </c>
      <c r="E245" t="s">
        <v>4418</v>
      </c>
      <c r="H245" t="s">
        <v>4419</v>
      </c>
      <c r="K245" s="418">
        <v>1896322.86</v>
      </c>
      <c r="M245" s="31">
        <v>1970106.8</v>
      </c>
      <c r="O245" s="31">
        <v>-73783.94</v>
      </c>
      <c r="Q245">
        <v>-3.7</v>
      </c>
    </row>
    <row r="246" spans="3:18">
      <c r="C246">
        <v>5360</v>
      </c>
      <c r="E246" t="s">
        <v>4420</v>
      </c>
      <c r="H246" t="s">
        <v>4421</v>
      </c>
      <c r="K246" s="418">
        <v>239081.51</v>
      </c>
      <c r="M246" s="31">
        <v>235686.19</v>
      </c>
      <c r="O246" s="31">
        <v>3395.32</v>
      </c>
      <c r="Q246">
        <v>1.4</v>
      </c>
    </row>
    <row r="247" spans="3:18">
      <c r="C247">
        <v>5360</v>
      </c>
      <c r="E247" t="s">
        <v>4422</v>
      </c>
      <c r="H247" t="s">
        <v>4423</v>
      </c>
      <c r="K247" s="418">
        <v>3872550.48</v>
      </c>
      <c r="M247" s="31">
        <v>3678867.86</v>
      </c>
      <c r="O247" s="31">
        <v>193682.62</v>
      </c>
      <c r="Q247">
        <v>5.3</v>
      </c>
    </row>
    <row r="248" spans="3:18">
      <c r="C248">
        <v>5360</v>
      </c>
      <c r="E248" t="s">
        <v>4424</v>
      </c>
      <c r="H248" t="s">
        <v>4425</v>
      </c>
      <c r="K248" s="418">
        <v>4905.92</v>
      </c>
      <c r="M248" s="31">
        <v>4905.92</v>
      </c>
      <c r="O248">
        <v>0</v>
      </c>
    </row>
    <row r="249" spans="3:18">
      <c r="C249">
        <v>5360</v>
      </c>
      <c r="E249" t="s">
        <v>4426</v>
      </c>
      <c r="H249" t="s">
        <v>4405</v>
      </c>
      <c r="K249" s="418">
        <v>56067995.770000003</v>
      </c>
      <c r="M249" s="31">
        <v>55032604.909999996</v>
      </c>
      <c r="O249" s="31">
        <v>1035390.86</v>
      </c>
      <c r="Q249">
        <v>1.9</v>
      </c>
    </row>
    <row r="250" spans="3:18">
      <c r="C250">
        <v>5360</v>
      </c>
      <c r="E250" t="s">
        <v>4427</v>
      </c>
      <c r="H250" t="s">
        <v>4428</v>
      </c>
      <c r="K250" s="418">
        <v>16956611.140000001</v>
      </c>
      <c r="M250" s="31">
        <v>16624998.58</v>
      </c>
      <c r="O250" s="31">
        <v>331612.56</v>
      </c>
      <c r="Q250">
        <v>2</v>
      </c>
    </row>
    <row r="251" spans="3:18">
      <c r="E251" t="s">
        <v>4429</v>
      </c>
      <c r="K251" s="418">
        <v>183796211.13</v>
      </c>
      <c r="M251" s="31">
        <v>188473302.03999999</v>
      </c>
      <c r="O251" s="31">
        <v>-4677090.91</v>
      </c>
      <c r="Q251">
        <v>-2.5</v>
      </c>
      <c r="R251" t="s">
        <v>611</v>
      </c>
    </row>
    <row r="253" spans="3:18">
      <c r="C253">
        <v>5360</v>
      </c>
      <c r="E253" t="s">
        <v>4430</v>
      </c>
      <c r="H253" t="s">
        <v>4431</v>
      </c>
      <c r="K253" s="417">
        <v>0</v>
      </c>
      <c r="M253" s="31">
        <v>-80974.210000000006</v>
      </c>
      <c r="O253" s="31">
        <v>80974.210000000006</v>
      </c>
      <c r="Q253">
        <v>100</v>
      </c>
    </row>
    <row r="254" spans="3:18">
      <c r="C254">
        <v>5360</v>
      </c>
      <c r="E254" t="s">
        <v>4432</v>
      </c>
      <c r="H254" t="s">
        <v>4433</v>
      </c>
      <c r="K254" s="418">
        <v>-54257.96</v>
      </c>
      <c r="M254" s="31">
        <v>-54257.96</v>
      </c>
      <c r="O254">
        <v>0</v>
      </c>
    </row>
    <row r="255" spans="3:18">
      <c r="C255">
        <v>5360</v>
      </c>
      <c r="E255" t="s">
        <v>4434</v>
      </c>
      <c r="H255" t="s">
        <v>4435</v>
      </c>
      <c r="K255" s="417">
        <v>1.88</v>
      </c>
      <c r="M255">
        <v>1.88</v>
      </c>
      <c r="O255">
        <v>0</v>
      </c>
    </row>
    <row r="256" spans="3:18">
      <c r="C256">
        <v>5360</v>
      </c>
      <c r="E256" t="s">
        <v>4436</v>
      </c>
      <c r="H256" t="s">
        <v>4437</v>
      </c>
      <c r="K256" s="417">
        <v>0.03</v>
      </c>
      <c r="M256">
        <v>0.03</v>
      </c>
      <c r="O256">
        <v>0</v>
      </c>
    </row>
    <row r="257" spans="3:18">
      <c r="C257">
        <v>5360</v>
      </c>
      <c r="E257" t="s">
        <v>4438</v>
      </c>
      <c r="H257" t="s">
        <v>4439</v>
      </c>
      <c r="K257" s="418">
        <v>-11185.57</v>
      </c>
      <c r="M257" s="31">
        <v>-11185.57</v>
      </c>
      <c r="O257">
        <v>0</v>
      </c>
    </row>
    <row r="258" spans="3:18">
      <c r="C258">
        <v>5360</v>
      </c>
      <c r="E258" t="s">
        <v>4440</v>
      </c>
      <c r="H258" t="s">
        <v>4441</v>
      </c>
      <c r="K258" s="417">
        <v>-0.09</v>
      </c>
      <c r="M258">
        <v>-0.09</v>
      </c>
      <c r="O258">
        <v>0</v>
      </c>
    </row>
    <row r="259" spans="3:18">
      <c r="C259">
        <v>5360</v>
      </c>
      <c r="E259" t="s">
        <v>4442</v>
      </c>
      <c r="H259" t="s">
        <v>4443</v>
      </c>
      <c r="K259" s="418">
        <v>-2957297626.6500001</v>
      </c>
      <c r="M259" s="31">
        <v>-2834418591.5100002</v>
      </c>
      <c r="O259" s="31">
        <v>-122879035.14</v>
      </c>
      <c r="Q259">
        <v>-4.3</v>
      </c>
    </row>
    <row r="260" spans="3:18">
      <c r="E260" t="s">
        <v>4444</v>
      </c>
      <c r="K260" s="418">
        <v>-2957363068.3600001</v>
      </c>
      <c r="M260" s="31">
        <v>-2834565007.4299998</v>
      </c>
      <c r="O260" s="31">
        <v>-122798060.93000001</v>
      </c>
      <c r="Q260">
        <v>-4.3</v>
      </c>
      <c r="R260" t="s">
        <v>569</v>
      </c>
    </row>
    <row r="261" spans="3:18">
      <c r="E261" t="s">
        <v>4444</v>
      </c>
      <c r="K261" s="418">
        <v>-2957363068.3600001</v>
      </c>
      <c r="M261" s="31">
        <v>-2834565007.4299998</v>
      </c>
      <c r="O261" s="31">
        <v>-122798060.93000001</v>
      </c>
      <c r="Q261">
        <v>-4.3</v>
      </c>
      <c r="R261" t="s">
        <v>611</v>
      </c>
    </row>
    <row r="263" spans="3:18">
      <c r="C263">
        <v>5360</v>
      </c>
      <c r="E263" t="s">
        <v>4445</v>
      </c>
      <c r="H263" t="s">
        <v>4446</v>
      </c>
      <c r="K263" s="418">
        <v>94884.43</v>
      </c>
      <c r="M263" s="31">
        <v>94884.43</v>
      </c>
      <c r="O263">
        <v>0</v>
      </c>
    </row>
    <row r="264" spans="3:18">
      <c r="C264">
        <v>5360</v>
      </c>
      <c r="E264" t="s">
        <v>4447</v>
      </c>
      <c r="H264" t="s">
        <v>4448</v>
      </c>
      <c r="K264" s="418">
        <v>7878083.6100000003</v>
      </c>
      <c r="M264" s="31">
        <v>7878083.6100000003</v>
      </c>
      <c r="O264">
        <v>0</v>
      </c>
    </row>
    <row r="265" spans="3:18">
      <c r="C265">
        <v>5360</v>
      </c>
      <c r="E265" t="s">
        <v>4449</v>
      </c>
      <c r="H265" t="s">
        <v>4450</v>
      </c>
      <c r="K265" s="418">
        <v>-1612655.92</v>
      </c>
      <c r="M265" s="31">
        <v>-1612655.92</v>
      </c>
      <c r="O265">
        <v>0</v>
      </c>
    </row>
    <row r="266" spans="3:18">
      <c r="C266">
        <v>5360</v>
      </c>
      <c r="E266" t="s">
        <v>4451</v>
      </c>
      <c r="H266" t="s">
        <v>4452</v>
      </c>
      <c r="K266" s="418">
        <v>6303.42</v>
      </c>
      <c r="M266" s="31">
        <v>6303.42</v>
      </c>
      <c r="O266">
        <v>0</v>
      </c>
    </row>
    <row r="267" spans="3:18">
      <c r="C267">
        <v>5360</v>
      </c>
      <c r="E267" t="s">
        <v>4453</v>
      </c>
      <c r="H267" t="s">
        <v>4454</v>
      </c>
      <c r="K267" s="418">
        <v>179552.76</v>
      </c>
      <c r="M267" s="31">
        <v>179552.76</v>
      </c>
      <c r="O267">
        <v>0</v>
      </c>
    </row>
    <row r="268" spans="3:18">
      <c r="C268">
        <v>5360</v>
      </c>
      <c r="E268" t="s">
        <v>4455</v>
      </c>
      <c r="H268" t="s">
        <v>4456</v>
      </c>
      <c r="K268" s="418">
        <v>369460.35</v>
      </c>
      <c r="M268" s="31">
        <v>369460.35</v>
      </c>
      <c r="O268">
        <v>0</v>
      </c>
    </row>
    <row r="269" spans="3:18">
      <c r="C269">
        <v>5360</v>
      </c>
      <c r="E269" t="s">
        <v>4457</v>
      </c>
      <c r="H269" t="s">
        <v>4458</v>
      </c>
      <c r="K269" s="418">
        <v>1003848.58</v>
      </c>
      <c r="M269" s="31">
        <v>1003848.58</v>
      </c>
      <c r="O269">
        <v>0</v>
      </c>
    </row>
    <row r="270" spans="3:18">
      <c r="C270">
        <v>5360</v>
      </c>
      <c r="E270" t="s">
        <v>4459</v>
      </c>
      <c r="H270" t="s">
        <v>4460</v>
      </c>
      <c r="K270" s="418">
        <v>1396494</v>
      </c>
      <c r="M270" s="31">
        <v>1396494</v>
      </c>
      <c r="O270">
        <v>0</v>
      </c>
    </row>
    <row r="271" spans="3:18">
      <c r="C271">
        <v>5360</v>
      </c>
      <c r="E271" t="s">
        <v>4461</v>
      </c>
      <c r="H271" t="s">
        <v>4462</v>
      </c>
      <c r="K271" s="418">
        <v>8148905</v>
      </c>
      <c r="M271" s="31">
        <v>8148905</v>
      </c>
      <c r="O271">
        <v>0</v>
      </c>
    </row>
    <row r="272" spans="3:18">
      <c r="C272">
        <v>5360</v>
      </c>
      <c r="E272" t="s">
        <v>4463</v>
      </c>
      <c r="H272" t="s">
        <v>4464</v>
      </c>
      <c r="K272" s="417">
        <v>0.1</v>
      </c>
      <c r="M272">
        <v>0.1</v>
      </c>
      <c r="O272">
        <v>0</v>
      </c>
    </row>
    <row r="273" spans="3:15">
      <c r="C273">
        <v>5360</v>
      </c>
      <c r="E273" t="s">
        <v>4465</v>
      </c>
      <c r="H273" t="s">
        <v>4466</v>
      </c>
      <c r="K273" s="418">
        <v>-9122158.75</v>
      </c>
      <c r="M273" s="31">
        <v>-9122158.75</v>
      </c>
      <c r="O273">
        <v>0</v>
      </c>
    </row>
    <row r="274" spans="3:15">
      <c r="C274">
        <v>5360</v>
      </c>
      <c r="E274" t="s">
        <v>4467</v>
      </c>
      <c r="H274" t="s">
        <v>4468</v>
      </c>
      <c r="K274" s="418">
        <v>915219.11</v>
      </c>
      <c r="M274" s="31">
        <v>915219.11</v>
      </c>
      <c r="O274">
        <v>0</v>
      </c>
    </row>
    <row r="275" spans="3:15">
      <c r="C275">
        <v>5360</v>
      </c>
      <c r="E275" t="s">
        <v>4469</v>
      </c>
      <c r="H275" t="s">
        <v>4470</v>
      </c>
      <c r="K275" s="418">
        <v>-4834152.7699999996</v>
      </c>
      <c r="M275" s="31">
        <v>-4834152.7699999996</v>
      </c>
      <c r="O275">
        <v>0</v>
      </c>
    </row>
    <row r="276" spans="3:15">
      <c r="C276">
        <v>5360</v>
      </c>
      <c r="E276" t="s">
        <v>4471</v>
      </c>
      <c r="H276" t="s">
        <v>4472</v>
      </c>
      <c r="K276" s="418">
        <v>12828105.73</v>
      </c>
      <c r="M276" s="31">
        <v>12828105.73</v>
      </c>
      <c r="O276">
        <v>0</v>
      </c>
    </row>
    <row r="277" spans="3:15">
      <c r="C277">
        <v>5360</v>
      </c>
      <c r="E277" t="s">
        <v>4473</v>
      </c>
      <c r="H277" t="s">
        <v>4474</v>
      </c>
      <c r="K277" s="418">
        <v>-3057643.51</v>
      </c>
      <c r="M277" s="31">
        <v>-3057643.51</v>
      </c>
      <c r="O277">
        <v>0</v>
      </c>
    </row>
    <row r="278" spans="3:15">
      <c r="C278">
        <v>5360</v>
      </c>
      <c r="E278" t="s">
        <v>4475</v>
      </c>
      <c r="H278" t="s">
        <v>4476</v>
      </c>
      <c r="K278" s="418">
        <v>-12030</v>
      </c>
      <c r="M278" s="31">
        <v>-12030</v>
      </c>
      <c r="O278">
        <v>0</v>
      </c>
    </row>
    <row r="279" spans="3:15">
      <c r="C279">
        <v>5360</v>
      </c>
      <c r="E279" t="s">
        <v>4477</v>
      </c>
      <c r="H279" t="s">
        <v>4478</v>
      </c>
      <c r="K279" s="418">
        <v>219361.8</v>
      </c>
      <c r="M279" s="31">
        <v>219361.8</v>
      </c>
      <c r="O279">
        <v>0</v>
      </c>
    </row>
    <row r="280" spans="3:15">
      <c r="C280">
        <v>5360</v>
      </c>
      <c r="E280" t="s">
        <v>4479</v>
      </c>
      <c r="H280" t="s">
        <v>4480</v>
      </c>
      <c r="K280" s="418">
        <v>-1366939</v>
      </c>
      <c r="M280" s="31">
        <v>-1366939</v>
      </c>
      <c r="O280">
        <v>0</v>
      </c>
    </row>
    <row r="281" spans="3:15">
      <c r="C281">
        <v>5360</v>
      </c>
      <c r="E281" t="s">
        <v>4481</v>
      </c>
      <c r="H281" t="s">
        <v>4482</v>
      </c>
      <c r="K281" s="418">
        <v>-565556.75</v>
      </c>
      <c r="M281" s="31">
        <v>-565556.75</v>
      </c>
      <c r="O281">
        <v>0</v>
      </c>
    </row>
    <row r="282" spans="3:15">
      <c r="C282">
        <v>5360</v>
      </c>
      <c r="E282" t="s">
        <v>4483</v>
      </c>
      <c r="H282" t="s">
        <v>4484</v>
      </c>
      <c r="K282" s="418">
        <v>14544328.130000001</v>
      </c>
      <c r="M282" s="31">
        <v>14544328.130000001</v>
      </c>
      <c r="O282">
        <v>0</v>
      </c>
    </row>
    <row r="283" spans="3:15">
      <c r="C283">
        <v>5360</v>
      </c>
      <c r="E283" t="s">
        <v>4485</v>
      </c>
      <c r="H283" t="s">
        <v>4486</v>
      </c>
      <c r="K283" s="418">
        <v>537415.69999999995</v>
      </c>
      <c r="M283" s="31">
        <v>537415.69999999995</v>
      </c>
      <c r="O283">
        <v>0</v>
      </c>
    </row>
    <row r="284" spans="3:15">
      <c r="C284">
        <v>5360</v>
      </c>
      <c r="E284" t="s">
        <v>4487</v>
      </c>
      <c r="H284" t="s">
        <v>4488</v>
      </c>
      <c r="K284" s="418">
        <v>9712860.1799999997</v>
      </c>
      <c r="M284" s="31">
        <v>9712860.1799999997</v>
      </c>
      <c r="O284">
        <v>0</v>
      </c>
    </row>
    <row r="285" spans="3:15">
      <c r="C285">
        <v>5360</v>
      </c>
      <c r="E285" t="s">
        <v>4489</v>
      </c>
      <c r="H285" t="s">
        <v>4490</v>
      </c>
      <c r="K285" s="418">
        <v>-309090.67</v>
      </c>
      <c r="M285" s="31">
        <v>-309090.67</v>
      </c>
      <c r="O285">
        <v>0</v>
      </c>
    </row>
    <row r="286" spans="3:15">
      <c r="C286">
        <v>5360</v>
      </c>
      <c r="E286" t="s">
        <v>4491</v>
      </c>
      <c r="H286" t="s">
        <v>4492</v>
      </c>
      <c r="K286" s="418">
        <v>111640.2</v>
      </c>
      <c r="M286" s="31">
        <v>111640.2</v>
      </c>
      <c r="O286">
        <v>0</v>
      </c>
    </row>
    <row r="287" spans="3:15">
      <c r="C287">
        <v>5360</v>
      </c>
      <c r="E287" t="s">
        <v>4493</v>
      </c>
      <c r="H287" t="s">
        <v>4494</v>
      </c>
      <c r="K287" s="418">
        <v>325362</v>
      </c>
      <c r="M287" s="31">
        <v>325362</v>
      </c>
      <c r="O287">
        <v>0</v>
      </c>
    </row>
    <row r="288" spans="3:15">
      <c r="C288">
        <v>5360</v>
      </c>
      <c r="E288" t="s">
        <v>4495</v>
      </c>
      <c r="H288" t="s">
        <v>4496</v>
      </c>
      <c r="K288" s="418">
        <v>256596.46</v>
      </c>
      <c r="M288" s="31">
        <v>256596.46</v>
      </c>
      <c r="O288">
        <v>0</v>
      </c>
    </row>
    <row r="289" spans="1:18">
      <c r="E289" t="s">
        <v>4497</v>
      </c>
      <c r="K289" s="418">
        <v>37648194.189999998</v>
      </c>
      <c r="M289" s="31">
        <v>37648194.189999998</v>
      </c>
      <c r="O289">
        <v>0</v>
      </c>
      <c r="R289" t="s">
        <v>569</v>
      </c>
    </row>
    <row r="290" spans="1:18">
      <c r="C290">
        <v>5360</v>
      </c>
      <c r="E290" t="s">
        <v>4498</v>
      </c>
      <c r="H290" t="s">
        <v>4499</v>
      </c>
      <c r="K290" s="418">
        <v>-63818.2</v>
      </c>
      <c r="M290" s="31">
        <v>-63818.2</v>
      </c>
      <c r="O290">
        <v>0</v>
      </c>
    </row>
    <row r="291" spans="1:18">
      <c r="C291">
        <v>5360</v>
      </c>
      <c r="E291" t="s">
        <v>4500</v>
      </c>
      <c r="H291" t="s">
        <v>4501</v>
      </c>
      <c r="K291" s="418">
        <v>4160110.14</v>
      </c>
      <c r="M291" s="31">
        <v>4160110.14</v>
      </c>
      <c r="O291">
        <v>0</v>
      </c>
    </row>
    <row r="292" spans="1:18">
      <c r="C292">
        <v>5360</v>
      </c>
      <c r="E292" t="s">
        <v>4502</v>
      </c>
      <c r="H292" t="s">
        <v>4503</v>
      </c>
      <c r="K292" s="418">
        <v>-6390</v>
      </c>
      <c r="M292" s="31">
        <v>-6390</v>
      </c>
      <c r="O292">
        <v>0</v>
      </c>
    </row>
    <row r="293" spans="1:18">
      <c r="C293">
        <v>5360</v>
      </c>
      <c r="E293" t="s">
        <v>4504</v>
      </c>
      <c r="H293" t="s">
        <v>4505</v>
      </c>
      <c r="K293" s="418">
        <v>-318972</v>
      </c>
      <c r="M293" s="31">
        <v>-318972</v>
      </c>
      <c r="O293">
        <v>0</v>
      </c>
    </row>
    <row r="294" spans="1:18">
      <c r="E294" t="s">
        <v>4506</v>
      </c>
      <c r="K294" s="418">
        <v>3770929.94</v>
      </c>
      <c r="M294" s="31">
        <v>3770929.94</v>
      </c>
      <c r="O294">
        <v>0</v>
      </c>
      <c r="R294" t="s">
        <v>569</v>
      </c>
    </row>
    <row r="295" spans="1:18">
      <c r="E295" t="s">
        <v>4507</v>
      </c>
      <c r="K295" s="418">
        <v>41419124.130000003</v>
      </c>
      <c r="M295" s="31">
        <v>41419124.130000003</v>
      </c>
      <c r="O295">
        <v>0</v>
      </c>
      <c r="R295" t="s">
        <v>611</v>
      </c>
    </row>
    <row r="297" spans="1:18">
      <c r="E297" t="s">
        <v>4508</v>
      </c>
      <c r="K297" s="418">
        <v>-2732106832.8800001</v>
      </c>
      <c r="M297" s="31">
        <v>-2604628763.8299999</v>
      </c>
      <c r="O297" s="31">
        <v>-127478069.05</v>
      </c>
      <c r="Q297">
        <v>-4.9000000000000004</v>
      </c>
      <c r="R297" t="s">
        <v>930</v>
      </c>
    </row>
    <row r="299" spans="1:18">
      <c r="E299" t="s">
        <v>4058</v>
      </c>
      <c r="K299" s="418">
        <v>-403372922.04000002</v>
      </c>
      <c r="M299" s="31">
        <v>-430378754.88</v>
      </c>
      <c r="O299" s="31">
        <v>27005832.84</v>
      </c>
      <c r="Q299">
        <v>6.3</v>
      </c>
      <c r="R299" t="s">
        <v>970</v>
      </c>
    </row>
    <row r="303" spans="1:18">
      <c r="A303" t="s">
        <v>4916</v>
      </c>
    </row>
    <row r="304" spans="1:18">
      <c r="A304" t="s">
        <v>4925</v>
      </c>
    </row>
    <row r="306" spans="1:18">
      <c r="A306" t="s">
        <v>535</v>
      </c>
      <c r="F306">
        <v>5360</v>
      </c>
      <c r="G306" t="s">
        <v>536</v>
      </c>
      <c r="I306" t="s">
        <v>537</v>
      </c>
      <c r="N306" t="s">
        <v>538</v>
      </c>
      <c r="P306" t="s">
        <v>539</v>
      </c>
    </row>
    <row r="308" spans="1:18">
      <c r="B308" t="s">
        <v>313</v>
      </c>
      <c r="C308" t="s">
        <v>540</v>
      </c>
      <c r="D308" t="s">
        <v>541</v>
      </c>
      <c r="E308" t="s">
        <v>542</v>
      </c>
      <c r="J308" t="s">
        <v>543</v>
      </c>
      <c r="L308" t="s">
        <v>544</v>
      </c>
      <c r="O308" t="s">
        <v>545</v>
      </c>
      <c r="Q308" t="s">
        <v>546</v>
      </c>
      <c r="R308" t="s">
        <v>4054</v>
      </c>
    </row>
    <row r="309" spans="1:18">
      <c r="B309" t="s">
        <v>201</v>
      </c>
      <c r="C309" t="s">
        <v>548</v>
      </c>
      <c r="D309" t="s">
        <v>549</v>
      </c>
      <c r="J309" t="s">
        <v>4919</v>
      </c>
      <c r="L309" t="s">
        <v>4056</v>
      </c>
      <c r="O309" t="s">
        <v>551</v>
      </c>
      <c r="Q309" t="s">
        <v>552</v>
      </c>
      <c r="R309" t="s">
        <v>4057</v>
      </c>
    </row>
    <row r="311" spans="1:18">
      <c r="E311" t="s">
        <v>4510</v>
      </c>
    </row>
    <row r="312" spans="1:18">
      <c r="C312">
        <v>5360</v>
      </c>
      <c r="E312" t="s">
        <v>4511</v>
      </c>
      <c r="H312" t="s">
        <v>4512</v>
      </c>
      <c r="K312" s="418">
        <v>-24493.34</v>
      </c>
      <c r="M312" s="31">
        <v>-24493.34</v>
      </c>
      <c r="O312">
        <v>0</v>
      </c>
    </row>
    <row r="313" spans="1:18">
      <c r="E313" t="s">
        <v>4513</v>
      </c>
      <c r="K313" s="418">
        <v>-24493.34</v>
      </c>
      <c r="M313" s="31">
        <v>-24493.34</v>
      </c>
      <c r="O313">
        <v>0</v>
      </c>
      <c r="R313" t="s">
        <v>658</v>
      </c>
    </row>
    <row r="314" spans="1:18">
      <c r="C314">
        <v>5360</v>
      </c>
      <c r="E314" t="s">
        <v>4514</v>
      </c>
      <c r="H314" t="s">
        <v>4515</v>
      </c>
      <c r="K314" s="418">
        <v>-306357594.54000002</v>
      </c>
      <c r="M314" s="31">
        <v>-306357594.54000002</v>
      </c>
      <c r="O314">
        <v>0</v>
      </c>
    </row>
    <row r="315" spans="1:18">
      <c r="C315">
        <v>5360</v>
      </c>
      <c r="E315" t="s">
        <v>4516</v>
      </c>
      <c r="H315" t="s">
        <v>4517</v>
      </c>
      <c r="K315" s="418">
        <v>-38819563.369999997</v>
      </c>
      <c r="M315" s="31">
        <v>-38819563.369999997</v>
      </c>
      <c r="O315">
        <v>0</v>
      </c>
    </row>
    <row r="316" spans="1:18">
      <c r="C316">
        <v>5360</v>
      </c>
      <c r="E316" t="s">
        <v>4518</v>
      </c>
      <c r="H316" t="s">
        <v>4519</v>
      </c>
      <c r="K316" s="418">
        <v>-70770171.049999997</v>
      </c>
      <c r="M316" s="31">
        <v>-70770171.049999997</v>
      </c>
      <c r="O316">
        <v>0</v>
      </c>
    </row>
    <row r="317" spans="1:18">
      <c r="E317" t="s">
        <v>4520</v>
      </c>
      <c r="K317" s="418">
        <v>-415947328.95999998</v>
      </c>
      <c r="M317" s="31">
        <v>-415947328.95999998</v>
      </c>
      <c r="O317">
        <v>0</v>
      </c>
      <c r="R317" t="s">
        <v>658</v>
      </c>
    </row>
    <row r="318" spans="1:18">
      <c r="E318" t="s">
        <v>4521</v>
      </c>
      <c r="K318" s="418">
        <v>1599951949.6500001</v>
      </c>
      <c r="M318" s="31">
        <v>1655687164.96</v>
      </c>
      <c r="O318" s="31">
        <v>-55735215.310000002</v>
      </c>
      <c r="Q318">
        <v>-3.4</v>
      </c>
      <c r="R318" t="s">
        <v>650</v>
      </c>
    </row>
    <row r="319" spans="1:18">
      <c r="E319" t="s">
        <v>4522</v>
      </c>
      <c r="K319" s="418">
        <v>1599951949.6500001</v>
      </c>
      <c r="M319" s="31">
        <v>1655687164.96</v>
      </c>
      <c r="O319" s="31">
        <v>-55735215.310000002</v>
      </c>
      <c r="Q319">
        <v>-3.4</v>
      </c>
      <c r="R319" t="s">
        <v>658</v>
      </c>
    </row>
    <row r="320" spans="1:18">
      <c r="C320">
        <v>5360</v>
      </c>
      <c r="E320" t="s">
        <v>4523</v>
      </c>
      <c r="H320" t="s">
        <v>4524</v>
      </c>
      <c r="K320" s="418">
        <v>-2614432</v>
      </c>
      <c r="M320" s="31">
        <v>-2614432</v>
      </c>
      <c r="O320">
        <v>0</v>
      </c>
    </row>
    <row r="321" spans="3:18">
      <c r="C321">
        <v>5360</v>
      </c>
      <c r="E321" t="s">
        <v>4525</v>
      </c>
      <c r="H321" t="s">
        <v>4526</v>
      </c>
      <c r="K321" s="418">
        <v>5844.39</v>
      </c>
      <c r="M321" s="31">
        <v>5844.39</v>
      </c>
      <c r="O321">
        <v>0</v>
      </c>
    </row>
    <row r="322" spans="3:18">
      <c r="C322">
        <v>5360</v>
      </c>
      <c r="E322" t="s">
        <v>4527</v>
      </c>
      <c r="H322" t="s">
        <v>4528</v>
      </c>
      <c r="K322" s="418">
        <v>160796.76</v>
      </c>
      <c r="M322" s="31">
        <v>160796.76</v>
      </c>
      <c r="O322">
        <v>0</v>
      </c>
    </row>
    <row r="323" spans="3:18">
      <c r="E323" t="s">
        <v>4529</v>
      </c>
      <c r="K323" s="418">
        <v>-2447790.85</v>
      </c>
      <c r="M323" s="31">
        <v>-2447790.85</v>
      </c>
      <c r="O323">
        <v>0</v>
      </c>
      <c r="R323" t="s">
        <v>658</v>
      </c>
    </row>
    <row r="324" spans="3:18">
      <c r="E324" t="s">
        <v>4530</v>
      </c>
      <c r="K324" s="418">
        <v>1181532336.5</v>
      </c>
      <c r="M324" s="31">
        <v>1237267551.8099999</v>
      </c>
      <c r="O324" s="31">
        <v>-55735215.310000002</v>
      </c>
      <c r="Q324">
        <v>-4.5</v>
      </c>
      <c r="R324" t="s">
        <v>569</v>
      </c>
    </row>
    <row r="325" spans="3:18">
      <c r="E325" t="s">
        <v>46</v>
      </c>
      <c r="K325" s="418">
        <v>1181532336.5</v>
      </c>
      <c r="M325" s="31">
        <v>1237267551.8099999</v>
      </c>
      <c r="O325" s="31">
        <v>-55735215.310000002</v>
      </c>
      <c r="Q325">
        <v>-4.5</v>
      </c>
      <c r="R325" t="s">
        <v>611</v>
      </c>
    </row>
    <row r="327" spans="3:18">
      <c r="C327">
        <v>5360</v>
      </c>
      <c r="E327" t="s">
        <v>4531</v>
      </c>
      <c r="H327" t="s">
        <v>4532</v>
      </c>
      <c r="K327" s="418">
        <v>-48089000</v>
      </c>
      <c r="M327" s="31">
        <v>-48089000</v>
      </c>
      <c r="O327">
        <v>0</v>
      </c>
    </row>
    <row r="328" spans="3:18">
      <c r="E328" t="s">
        <v>506</v>
      </c>
      <c r="K328" s="418">
        <v>-48089000</v>
      </c>
      <c r="M328" s="31">
        <v>-48089000</v>
      </c>
      <c r="O328">
        <v>0</v>
      </c>
      <c r="R328" t="s">
        <v>569</v>
      </c>
    </row>
    <row r="329" spans="3:18">
      <c r="E329" t="s">
        <v>506</v>
      </c>
      <c r="K329" s="418">
        <v>-48089000</v>
      </c>
      <c r="M329" s="31">
        <v>-48089000</v>
      </c>
      <c r="O329">
        <v>0</v>
      </c>
      <c r="R329" t="s">
        <v>611</v>
      </c>
    </row>
    <row r="331" spans="3:18">
      <c r="E331" t="s">
        <v>4533</v>
      </c>
      <c r="K331" s="418">
        <v>1133443336.5</v>
      </c>
      <c r="M331" s="31">
        <v>1189178551.8099999</v>
      </c>
      <c r="O331" s="31">
        <v>-55735215.310000002</v>
      </c>
      <c r="Q331">
        <v>-4.7</v>
      </c>
      <c r="R331" t="s">
        <v>930</v>
      </c>
    </row>
    <row r="333" spans="3:18">
      <c r="C333">
        <v>5360</v>
      </c>
      <c r="E333" t="s">
        <v>4534</v>
      </c>
      <c r="H333" t="s">
        <v>4535</v>
      </c>
      <c r="K333" s="418">
        <v>-1375000</v>
      </c>
      <c r="M333" s="31">
        <v>-1375000</v>
      </c>
      <c r="O333">
        <v>0</v>
      </c>
    </row>
    <row r="334" spans="3:18">
      <c r="E334" t="s">
        <v>4536</v>
      </c>
      <c r="K334" s="418">
        <v>-1375000</v>
      </c>
      <c r="M334" s="31">
        <v>-1375000</v>
      </c>
      <c r="O334">
        <v>0</v>
      </c>
      <c r="R334" t="s">
        <v>569</v>
      </c>
    </row>
    <row r="335" spans="3:18">
      <c r="C335">
        <v>5360</v>
      </c>
      <c r="E335" t="s">
        <v>4537</v>
      </c>
      <c r="H335" t="s">
        <v>4538</v>
      </c>
      <c r="K335" s="418">
        <v>-3760073.22</v>
      </c>
      <c r="M335" s="31">
        <v>-3441880.84</v>
      </c>
      <c r="O335" s="31">
        <v>-318192.38</v>
      </c>
      <c r="Q335">
        <v>-9.1999999999999993</v>
      </c>
    </row>
    <row r="336" spans="3:18">
      <c r="C336">
        <v>5360</v>
      </c>
      <c r="E336" t="s">
        <v>4539</v>
      </c>
      <c r="H336" t="s">
        <v>4540</v>
      </c>
      <c r="K336" s="418">
        <v>-352549.51</v>
      </c>
      <c r="M336" s="31">
        <v>-644452.03</v>
      </c>
      <c r="O336" s="31">
        <v>291902.52</v>
      </c>
      <c r="Q336">
        <v>45.3</v>
      </c>
    </row>
    <row r="337" spans="3:17">
      <c r="C337">
        <v>5360</v>
      </c>
      <c r="E337" t="s">
        <v>4541</v>
      </c>
      <c r="H337" t="s">
        <v>4542</v>
      </c>
      <c r="K337" s="418">
        <v>-5008.53</v>
      </c>
      <c r="M337" s="31">
        <v>-5008.53</v>
      </c>
      <c r="O337">
        <v>0</v>
      </c>
    </row>
    <row r="338" spans="3:17">
      <c r="C338">
        <v>5360</v>
      </c>
      <c r="E338" t="s">
        <v>4543</v>
      </c>
      <c r="H338" t="s">
        <v>4544</v>
      </c>
      <c r="K338" s="418">
        <v>37831.620000000003</v>
      </c>
      <c r="M338" s="31">
        <v>34072.15</v>
      </c>
      <c r="O338" s="31">
        <v>3759.47</v>
      </c>
      <c r="Q338">
        <v>11</v>
      </c>
    </row>
    <row r="339" spans="3:17">
      <c r="C339">
        <v>5360</v>
      </c>
      <c r="E339" t="s">
        <v>4545</v>
      </c>
      <c r="H339" t="s">
        <v>4546</v>
      </c>
      <c r="K339" s="418">
        <v>-9754.9500000000007</v>
      </c>
      <c r="M339" s="31">
        <v>-9754.9500000000007</v>
      </c>
      <c r="O339">
        <v>0</v>
      </c>
    </row>
    <row r="340" spans="3:17">
      <c r="C340">
        <v>5360</v>
      </c>
      <c r="E340" t="s">
        <v>4547</v>
      </c>
      <c r="H340" t="s">
        <v>4548</v>
      </c>
      <c r="K340" s="418">
        <v>-104611.04</v>
      </c>
      <c r="M340" s="31">
        <v>-127896.16</v>
      </c>
      <c r="O340" s="31">
        <v>23285.119999999999</v>
      </c>
      <c r="Q340">
        <v>18.2</v>
      </c>
    </row>
    <row r="341" spans="3:17">
      <c r="C341">
        <v>5360</v>
      </c>
      <c r="E341" t="s">
        <v>4549</v>
      </c>
      <c r="H341" t="s">
        <v>4550</v>
      </c>
      <c r="K341" s="418">
        <v>-2447.09</v>
      </c>
      <c r="M341" s="31">
        <v>-2625.19</v>
      </c>
      <c r="O341">
        <v>178.1</v>
      </c>
      <c r="Q341">
        <v>6.8</v>
      </c>
    </row>
    <row r="342" spans="3:17">
      <c r="C342">
        <v>5360</v>
      </c>
      <c r="E342" t="s">
        <v>4551</v>
      </c>
      <c r="H342" t="s">
        <v>4552</v>
      </c>
      <c r="K342" s="418">
        <v>-19118734.73</v>
      </c>
      <c r="M342" s="31">
        <v>-20767102.760000002</v>
      </c>
      <c r="O342" s="31">
        <v>1648368.03</v>
      </c>
      <c r="Q342">
        <v>7.9</v>
      </c>
    </row>
    <row r="343" spans="3:17">
      <c r="C343">
        <v>5360</v>
      </c>
      <c r="E343" t="s">
        <v>4553</v>
      </c>
      <c r="H343" t="s">
        <v>4554</v>
      </c>
      <c r="K343" s="418">
        <v>-7607006.1299999999</v>
      </c>
      <c r="M343" s="31">
        <v>-8454933.5600000005</v>
      </c>
      <c r="O343" s="31">
        <v>847927.43</v>
      </c>
      <c r="Q343">
        <v>10</v>
      </c>
    </row>
    <row r="344" spans="3:17">
      <c r="C344">
        <v>5360</v>
      </c>
      <c r="E344" t="s">
        <v>4555</v>
      </c>
      <c r="H344" t="s">
        <v>4556</v>
      </c>
      <c r="K344" s="418">
        <v>141934.70000000001</v>
      </c>
      <c r="M344" s="31">
        <v>126358.37</v>
      </c>
      <c r="O344" s="31">
        <v>15576.33</v>
      </c>
      <c r="Q344">
        <v>12.3</v>
      </c>
    </row>
    <row r="345" spans="3:17">
      <c r="C345">
        <v>5360</v>
      </c>
      <c r="E345" t="s">
        <v>4557</v>
      </c>
      <c r="H345" t="s">
        <v>4558</v>
      </c>
      <c r="K345" s="418">
        <v>362400.49</v>
      </c>
      <c r="M345" s="31">
        <v>362400.49</v>
      </c>
      <c r="O345">
        <v>0</v>
      </c>
    </row>
    <row r="346" spans="3:17">
      <c r="C346">
        <v>5360</v>
      </c>
      <c r="E346" t="s">
        <v>4559</v>
      </c>
      <c r="H346" t="s">
        <v>4560</v>
      </c>
      <c r="K346" s="418">
        <v>-19530.16</v>
      </c>
      <c r="M346" s="31">
        <v>-12850.7</v>
      </c>
      <c r="O346" s="31">
        <v>-6679.46</v>
      </c>
      <c r="Q346">
        <v>-52</v>
      </c>
    </row>
    <row r="347" spans="3:17">
      <c r="C347">
        <v>5360</v>
      </c>
      <c r="E347" t="s">
        <v>4561</v>
      </c>
      <c r="H347" t="s">
        <v>4562</v>
      </c>
      <c r="K347" s="418">
        <v>-6812308.8799999999</v>
      </c>
      <c r="M347" s="31">
        <v>-6696447.6299999999</v>
      </c>
      <c r="O347" s="31">
        <v>-115861.25</v>
      </c>
      <c r="Q347">
        <v>-1.7</v>
      </c>
    </row>
    <row r="348" spans="3:17">
      <c r="C348">
        <v>5360</v>
      </c>
      <c r="E348" t="s">
        <v>4563</v>
      </c>
      <c r="H348" t="s">
        <v>4564</v>
      </c>
      <c r="K348" s="418">
        <v>1665.41</v>
      </c>
      <c r="M348" s="31">
        <v>1471.41</v>
      </c>
      <c r="O348">
        <v>194</v>
      </c>
      <c r="Q348">
        <v>13.2</v>
      </c>
    </row>
    <row r="349" spans="3:17">
      <c r="C349">
        <v>5360</v>
      </c>
      <c r="E349" t="s">
        <v>4565</v>
      </c>
      <c r="H349" t="s">
        <v>4566</v>
      </c>
      <c r="K349" s="418">
        <v>31900.5</v>
      </c>
      <c r="M349" s="31">
        <v>27209.83</v>
      </c>
      <c r="O349" s="31">
        <v>4690.67</v>
      </c>
      <c r="Q349">
        <v>17.2</v>
      </c>
    </row>
    <row r="350" spans="3:17">
      <c r="C350">
        <v>5360</v>
      </c>
      <c r="E350" t="s">
        <v>4567</v>
      </c>
      <c r="H350" t="s">
        <v>4568</v>
      </c>
      <c r="K350" s="418">
        <v>-1130028.2</v>
      </c>
      <c r="M350" s="31">
        <v>-1159980.1200000001</v>
      </c>
      <c r="O350" s="31">
        <v>29951.919999999998</v>
      </c>
      <c r="Q350">
        <v>2.6</v>
      </c>
    </row>
    <row r="351" spans="3:17">
      <c r="C351">
        <v>5360</v>
      </c>
      <c r="E351" t="s">
        <v>4569</v>
      </c>
      <c r="H351" t="s">
        <v>4570</v>
      </c>
      <c r="K351" s="418">
        <v>24914.2</v>
      </c>
      <c r="M351" s="31">
        <v>9298.35</v>
      </c>
      <c r="O351" s="31">
        <v>15615.85</v>
      </c>
      <c r="Q351">
        <v>167.9</v>
      </c>
    </row>
    <row r="352" spans="3:17">
      <c r="C352">
        <v>5360</v>
      </c>
      <c r="E352" t="s">
        <v>4571</v>
      </c>
      <c r="H352" t="s">
        <v>4572</v>
      </c>
      <c r="K352" s="418">
        <v>-55632.24</v>
      </c>
      <c r="M352" s="31">
        <v>-57637.25</v>
      </c>
      <c r="O352" s="31">
        <v>2005.01</v>
      </c>
      <c r="Q352">
        <v>3.5</v>
      </c>
    </row>
    <row r="353" spans="3:17">
      <c r="C353">
        <v>5360</v>
      </c>
      <c r="E353" t="s">
        <v>4573</v>
      </c>
      <c r="H353" t="s">
        <v>4574</v>
      </c>
      <c r="K353" s="417">
        <v>187.65</v>
      </c>
      <c r="M353">
        <v>187.65</v>
      </c>
      <c r="O353">
        <v>0</v>
      </c>
    </row>
    <row r="354" spans="3:17">
      <c r="C354">
        <v>5360</v>
      </c>
      <c r="E354" t="s">
        <v>4575</v>
      </c>
      <c r="H354" t="s">
        <v>4576</v>
      </c>
      <c r="K354" s="418">
        <v>-6765107.6299999999</v>
      </c>
      <c r="M354" s="31">
        <v>-6453115.9000000004</v>
      </c>
      <c r="O354" s="31">
        <v>-311991.73</v>
      </c>
      <c r="Q354">
        <v>-4.8</v>
      </c>
    </row>
    <row r="355" spans="3:17">
      <c r="C355">
        <v>5360</v>
      </c>
      <c r="E355" t="s">
        <v>4577</v>
      </c>
      <c r="H355" t="s">
        <v>4578</v>
      </c>
      <c r="K355" s="418">
        <v>111850.83</v>
      </c>
      <c r="M355" s="31">
        <v>111850.83</v>
      </c>
      <c r="O355">
        <v>0</v>
      </c>
    </row>
    <row r="356" spans="3:17">
      <c r="C356">
        <v>5360</v>
      </c>
      <c r="E356" t="s">
        <v>4579</v>
      </c>
      <c r="H356" t="s">
        <v>4580</v>
      </c>
      <c r="K356" s="418">
        <v>-283956.51</v>
      </c>
      <c r="M356" s="31">
        <v>-283956.51</v>
      </c>
      <c r="O356">
        <v>0</v>
      </c>
    </row>
    <row r="357" spans="3:17">
      <c r="C357">
        <v>5360</v>
      </c>
      <c r="E357" t="s">
        <v>4581</v>
      </c>
      <c r="H357" t="s">
        <v>4582</v>
      </c>
      <c r="K357" s="418">
        <v>-280900.94</v>
      </c>
      <c r="M357" s="31">
        <v>-280900.94</v>
      </c>
      <c r="O357">
        <v>0</v>
      </c>
    </row>
    <row r="358" spans="3:17">
      <c r="C358">
        <v>5360</v>
      </c>
      <c r="E358" t="s">
        <v>4583</v>
      </c>
      <c r="H358" t="s">
        <v>4584</v>
      </c>
      <c r="K358" s="418">
        <v>-953663.18</v>
      </c>
      <c r="M358" s="31">
        <v>-953663.18</v>
      </c>
      <c r="O358">
        <v>0</v>
      </c>
    </row>
    <row r="359" spans="3:17">
      <c r="C359">
        <v>5360</v>
      </c>
      <c r="E359" t="s">
        <v>4585</v>
      </c>
      <c r="H359" t="s">
        <v>4586</v>
      </c>
      <c r="K359" s="418">
        <v>-1039901.58</v>
      </c>
      <c r="M359" s="31">
        <v>-1039901.58</v>
      </c>
      <c r="O359">
        <v>0</v>
      </c>
    </row>
    <row r="360" spans="3:17">
      <c r="C360">
        <v>5360</v>
      </c>
      <c r="E360" t="s">
        <v>4587</v>
      </c>
      <c r="H360" t="s">
        <v>4588</v>
      </c>
      <c r="K360" s="418">
        <v>-3714941.88</v>
      </c>
      <c r="M360" s="31">
        <v>-3714941.88</v>
      </c>
      <c r="O360">
        <v>0</v>
      </c>
    </row>
    <row r="361" spans="3:17">
      <c r="C361">
        <v>5360</v>
      </c>
      <c r="E361" t="s">
        <v>4589</v>
      </c>
      <c r="H361" t="s">
        <v>4590</v>
      </c>
      <c r="K361" s="417">
        <v>-8.3000000000000007</v>
      </c>
      <c r="M361">
        <v>-8.3000000000000007</v>
      </c>
      <c r="O361">
        <v>0</v>
      </c>
    </row>
    <row r="362" spans="3:17">
      <c r="C362">
        <v>5360</v>
      </c>
      <c r="E362" t="s">
        <v>4591</v>
      </c>
      <c r="H362" t="s">
        <v>4592</v>
      </c>
      <c r="K362" s="417">
        <v>860.38</v>
      </c>
      <c r="M362">
        <v>860.38</v>
      </c>
      <c r="O362">
        <v>0</v>
      </c>
    </row>
    <row r="363" spans="3:17">
      <c r="C363">
        <v>5360</v>
      </c>
      <c r="E363" t="s">
        <v>4593</v>
      </c>
      <c r="H363" t="s">
        <v>4594</v>
      </c>
      <c r="K363" s="418">
        <v>-6600</v>
      </c>
      <c r="M363" s="31">
        <v>-6600</v>
      </c>
      <c r="O363">
        <v>0</v>
      </c>
    </row>
    <row r="364" spans="3:17">
      <c r="C364">
        <v>5360</v>
      </c>
      <c r="E364" t="s">
        <v>4595</v>
      </c>
      <c r="H364" t="s">
        <v>4596</v>
      </c>
      <c r="K364" s="418">
        <v>-575716.80000000005</v>
      </c>
      <c r="M364" s="31">
        <v>-546871.77</v>
      </c>
      <c r="O364" s="31">
        <v>-28845.03</v>
      </c>
      <c r="Q364">
        <v>-5.3</v>
      </c>
    </row>
    <row r="365" spans="3:17">
      <c r="C365">
        <v>5360</v>
      </c>
      <c r="E365" t="s">
        <v>4597</v>
      </c>
      <c r="H365" t="s">
        <v>4598</v>
      </c>
      <c r="K365" s="418">
        <v>202334.17</v>
      </c>
      <c r="M365" s="31">
        <v>202334.17</v>
      </c>
      <c r="O365">
        <v>0</v>
      </c>
    </row>
    <row r="366" spans="3:17">
      <c r="C366">
        <v>5360</v>
      </c>
      <c r="E366" t="s">
        <v>4599</v>
      </c>
      <c r="H366" t="s">
        <v>4600</v>
      </c>
      <c r="K366" s="418">
        <v>-2741119.67</v>
      </c>
      <c r="M366" s="31">
        <v>-3369937.02</v>
      </c>
      <c r="O366" s="31">
        <v>628817.35</v>
      </c>
      <c r="Q366">
        <v>18.7</v>
      </c>
    </row>
    <row r="367" spans="3:17">
      <c r="C367">
        <v>5360</v>
      </c>
      <c r="E367" t="s">
        <v>4601</v>
      </c>
      <c r="H367" t="s">
        <v>4602</v>
      </c>
      <c r="K367" s="418">
        <v>-477928.71</v>
      </c>
      <c r="M367" s="31">
        <v>-140201.94</v>
      </c>
      <c r="O367" s="31">
        <v>-337726.77</v>
      </c>
      <c r="Q367">
        <v>-240.9</v>
      </c>
    </row>
    <row r="368" spans="3:17">
      <c r="C368">
        <v>5360</v>
      </c>
      <c r="E368" t="s">
        <v>4603</v>
      </c>
      <c r="H368" t="s">
        <v>4604</v>
      </c>
      <c r="K368" s="418">
        <v>-2273657.98</v>
      </c>
      <c r="M368" s="31">
        <v>-6742302.0700000003</v>
      </c>
      <c r="O368" s="31">
        <v>4468644.09</v>
      </c>
      <c r="Q368">
        <v>66.3</v>
      </c>
    </row>
    <row r="369" spans="3:18">
      <c r="C369">
        <v>5360</v>
      </c>
      <c r="E369" t="s">
        <v>4926</v>
      </c>
      <c r="H369" t="s">
        <v>4927</v>
      </c>
      <c r="K369" s="418">
        <v>-29586.02</v>
      </c>
      <c r="M369">
        <v>0</v>
      </c>
      <c r="O369" s="31">
        <v>-29586.02</v>
      </c>
    </row>
    <row r="370" spans="3:18">
      <c r="C370">
        <v>5360</v>
      </c>
      <c r="E370" t="s">
        <v>4928</v>
      </c>
      <c r="H370" t="s">
        <v>4929</v>
      </c>
      <c r="K370" s="417">
        <v>-1.64</v>
      </c>
      <c r="M370">
        <v>0</v>
      </c>
      <c r="O370">
        <v>-1.64</v>
      </c>
    </row>
    <row r="371" spans="3:18">
      <c r="C371">
        <v>5360</v>
      </c>
      <c r="E371" t="s">
        <v>4605</v>
      </c>
      <c r="H371" t="s">
        <v>4606</v>
      </c>
      <c r="K371" s="418">
        <v>-221857.95</v>
      </c>
      <c r="M371" s="31">
        <v>-144891.1</v>
      </c>
      <c r="O371" s="31">
        <v>-76966.850000000006</v>
      </c>
      <c r="Q371">
        <v>-53.1</v>
      </c>
    </row>
    <row r="372" spans="3:18">
      <c r="C372">
        <v>5360</v>
      </c>
      <c r="E372" t="s">
        <v>4607</v>
      </c>
      <c r="H372" t="s">
        <v>4608</v>
      </c>
      <c r="K372" s="418">
        <v>163740</v>
      </c>
      <c r="M372" s="31">
        <v>163740</v>
      </c>
      <c r="O372">
        <v>0</v>
      </c>
    </row>
    <row r="373" spans="3:18">
      <c r="E373" t="s">
        <v>4609</v>
      </c>
      <c r="K373" s="418">
        <v>-57263013.520000003</v>
      </c>
      <c r="M373" s="31">
        <v>-64018078.280000001</v>
      </c>
      <c r="O373" s="31">
        <v>6755064.7599999998</v>
      </c>
      <c r="Q373">
        <v>10.6</v>
      </c>
      <c r="R373" t="s">
        <v>569</v>
      </c>
    </row>
    <row r="374" spans="3:18">
      <c r="C374">
        <v>5360</v>
      </c>
      <c r="E374" t="s">
        <v>4610</v>
      </c>
      <c r="H374" t="s">
        <v>4611</v>
      </c>
      <c r="K374" s="418">
        <v>-493138390</v>
      </c>
      <c r="M374" s="31">
        <v>-493138390</v>
      </c>
      <c r="O374">
        <v>0</v>
      </c>
    </row>
    <row r="375" spans="3:18">
      <c r="E375" t="s">
        <v>4612</v>
      </c>
      <c r="K375" s="418">
        <v>-493138390</v>
      </c>
      <c r="M375" s="31">
        <v>-493138390</v>
      </c>
      <c r="O375">
        <v>0</v>
      </c>
      <c r="R375" t="s">
        <v>569</v>
      </c>
    </row>
    <row r="376" spans="3:18">
      <c r="C376">
        <v>5360</v>
      </c>
      <c r="E376" t="s">
        <v>4613</v>
      </c>
      <c r="H376" t="s">
        <v>4614</v>
      </c>
      <c r="K376" s="418">
        <v>-11685976.369999999</v>
      </c>
      <c r="M376" s="31">
        <v>-8291362.75</v>
      </c>
      <c r="O376" s="31">
        <v>-3394613.62</v>
      </c>
      <c r="Q376">
        <v>-40.9</v>
      </c>
    </row>
    <row r="377" spans="3:18">
      <c r="C377">
        <v>5360</v>
      </c>
      <c r="E377" t="s">
        <v>4615</v>
      </c>
      <c r="H377" t="s">
        <v>4616</v>
      </c>
      <c r="K377" s="418">
        <v>-751984.71</v>
      </c>
      <c r="M377" s="31">
        <v>-751963.33</v>
      </c>
      <c r="O377">
        <v>-21.38</v>
      </c>
    </row>
    <row r="378" spans="3:18">
      <c r="C378">
        <v>5360</v>
      </c>
      <c r="E378" t="s">
        <v>4619</v>
      </c>
      <c r="H378" t="s">
        <v>4620</v>
      </c>
      <c r="K378" s="418">
        <v>149513.9</v>
      </c>
      <c r="M378" s="31">
        <v>149513.9</v>
      </c>
      <c r="O378">
        <v>0</v>
      </c>
    </row>
    <row r="379" spans="3:18">
      <c r="C379">
        <v>5360</v>
      </c>
      <c r="E379" t="s">
        <v>4621</v>
      </c>
      <c r="H379" t="s">
        <v>4614</v>
      </c>
      <c r="K379" s="418">
        <v>-7985991.3399999999</v>
      </c>
      <c r="M379" s="31">
        <v>-7252092.6299999999</v>
      </c>
      <c r="O379" s="31">
        <v>-733898.71</v>
      </c>
      <c r="Q379">
        <v>-10.1</v>
      </c>
    </row>
    <row r="380" spans="3:18">
      <c r="C380">
        <v>5360</v>
      </c>
      <c r="E380" t="s">
        <v>4622</v>
      </c>
      <c r="H380" t="s">
        <v>4623</v>
      </c>
      <c r="K380" s="418">
        <v>-163740</v>
      </c>
      <c r="M380" s="31">
        <v>-163740</v>
      </c>
      <c r="O380">
        <v>0</v>
      </c>
    </row>
    <row r="381" spans="3:18">
      <c r="E381" t="s">
        <v>4624</v>
      </c>
      <c r="K381" s="418">
        <v>-20438178.52</v>
      </c>
      <c r="M381" s="31">
        <v>-16309644.810000001</v>
      </c>
      <c r="O381" s="31">
        <v>-4128533.71</v>
      </c>
      <c r="Q381">
        <v>-25.3</v>
      </c>
      <c r="R381" t="s">
        <v>658</v>
      </c>
    </row>
    <row r="382" spans="3:18">
      <c r="E382" t="s">
        <v>4625</v>
      </c>
      <c r="K382" s="418">
        <v>-20438178.52</v>
      </c>
      <c r="M382" s="31">
        <v>-16309644.810000001</v>
      </c>
      <c r="O382" s="31">
        <v>-4128533.71</v>
      </c>
      <c r="Q382">
        <v>-25.3</v>
      </c>
      <c r="R382" t="s">
        <v>569</v>
      </c>
    </row>
    <row r="383" spans="3:18">
      <c r="C383">
        <v>5360</v>
      </c>
      <c r="E383" t="s">
        <v>4626</v>
      </c>
      <c r="H383" t="s">
        <v>266</v>
      </c>
      <c r="K383" s="418">
        <v>-1842678.23</v>
      </c>
      <c r="M383" s="31">
        <v>-1884503.16</v>
      </c>
      <c r="O383" s="31">
        <v>41824.93</v>
      </c>
      <c r="Q383">
        <v>2.2000000000000002</v>
      </c>
    </row>
    <row r="384" spans="3:18">
      <c r="E384" t="s">
        <v>266</v>
      </c>
      <c r="K384" s="418">
        <v>-1842678.23</v>
      </c>
      <c r="M384" s="31">
        <v>-1884503.16</v>
      </c>
      <c r="O384" s="31">
        <v>41824.93</v>
      </c>
      <c r="Q384">
        <v>2.2000000000000002</v>
      </c>
      <c r="R384" t="s">
        <v>569</v>
      </c>
    </row>
    <row r="385" spans="3:18">
      <c r="C385">
        <v>5360</v>
      </c>
      <c r="E385" t="s">
        <v>4627</v>
      </c>
      <c r="H385" t="s">
        <v>4628</v>
      </c>
      <c r="K385" s="418">
        <v>57393736.770000003</v>
      </c>
      <c r="M385" s="31">
        <v>57393736.770000003</v>
      </c>
      <c r="O385">
        <v>0</v>
      </c>
    </row>
    <row r="386" spans="3:18">
      <c r="C386">
        <v>5360</v>
      </c>
      <c r="E386" t="s">
        <v>4629</v>
      </c>
      <c r="H386" t="s">
        <v>4630</v>
      </c>
      <c r="K386" s="418">
        <v>-8398895.0600000005</v>
      </c>
      <c r="M386" s="31">
        <v>-8389649.9600000009</v>
      </c>
      <c r="O386" s="31">
        <v>-9245.1</v>
      </c>
      <c r="Q386">
        <v>-0.1</v>
      </c>
    </row>
    <row r="387" spans="3:18">
      <c r="C387">
        <v>5360</v>
      </c>
      <c r="E387" t="s">
        <v>4631</v>
      </c>
      <c r="H387" t="s">
        <v>4632</v>
      </c>
      <c r="K387" s="418">
        <v>13275</v>
      </c>
      <c r="M387" s="31">
        <v>13275</v>
      </c>
      <c r="O387">
        <v>0</v>
      </c>
    </row>
    <row r="388" spans="3:18">
      <c r="C388">
        <v>5360</v>
      </c>
      <c r="E388" t="s">
        <v>4633</v>
      </c>
      <c r="H388" t="s">
        <v>4634</v>
      </c>
      <c r="K388" s="418">
        <v>-14540.71</v>
      </c>
      <c r="M388" s="31">
        <v>-14540.71</v>
      </c>
      <c r="O388">
        <v>0</v>
      </c>
    </row>
    <row r="389" spans="3:18">
      <c r="C389">
        <v>5360</v>
      </c>
      <c r="E389" t="s">
        <v>4635</v>
      </c>
      <c r="H389" t="s">
        <v>4636</v>
      </c>
      <c r="K389" s="418">
        <v>625582.35</v>
      </c>
      <c r="M389" s="31">
        <v>694751.92</v>
      </c>
      <c r="O389" s="31">
        <v>-69169.570000000007</v>
      </c>
      <c r="Q389">
        <v>-10</v>
      </c>
    </row>
    <row r="390" spans="3:18">
      <c r="C390">
        <v>5360</v>
      </c>
      <c r="E390" t="s">
        <v>4637</v>
      </c>
      <c r="H390" t="s">
        <v>4638</v>
      </c>
      <c r="K390" s="418">
        <v>109230.39999999999</v>
      </c>
      <c r="M390" s="31">
        <v>124047.08</v>
      </c>
      <c r="O390" s="31">
        <v>-14816.68</v>
      </c>
      <c r="Q390">
        <v>-11.9</v>
      </c>
    </row>
    <row r="391" spans="3:18">
      <c r="C391">
        <v>5360</v>
      </c>
      <c r="E391" t="s">
        <v>4639</v>
      </c>
      <c r="H391" t="s">
        <v>4640</v>
      </c>
      <c r="K391" s="418">
        <v>17271085.829999998</v>
      </c>
      <c r="M391" s="31">
        <v>17271085.829999998</v>
      </c>
      <c r="O391">
        <v>0</v>
      </c>
    </row>
    <row r="392" spans="3:18">
      <c r="C392">
        <v>5360</v>
      </c>
      <c r="E392" t="s">
        <v>4641</v>
      </c>
      <c r="H392" t="s">
        <v>4642</v>
      </c>
      <c r="K392" s="418">
        <v>108427347.20999999</v>
      </c>
      <c r="M392" s="31">
        <v>113479477.51000001</v>
      </c>
      <c r="O392" s="31">
        <v>-5052130.3</v>
      </c>
      <c r="Q392">
        <v>-4.5</v>
      </c>
    </row>
    <row r="393" spans="3:18">
      <c r="C393">
        <v>5360</v>
      </c>
      <c r="E393" t="s">
        <v>4643</v>
      </c>
      <c r="H393" t="s">
        <v>4644</v>
      </c>
      <c r="K393" s="418">
        <v>-4522773.8600000003</v>
      </c>
      <c r="M393" s="31">
        <v>-4522773.8600000003</v>
      </c>
      <c r="O393">
        <v>0</v>
      </c>
    </row>
    <row r="394" spans="3:18">
      <c r="C394">
        <v>5360</v>
      </c>
      <c r="E394" t="s">
        <v>4645</v>
      </c>
      <c r="H394" t="s">
        <v>4646</v>
      </c>
      <c r="K394" s="418">
        <v>-98616.31</v>
      </c>
      <c r="M394" s="31">
        <v>-98616.31</v>
      </c>
      <c r="O394">
        <v>0</v>
      </c>
    </row>
    <row r="395" spans="3:18">
      <c r="C395">
        <v>5360</v>
      </c>
      <c r="E395" t="s">
        <v>4647</v>
      </c>
      <c r="H395" t="s">
        <v>4648</v>
      </c>
      <c r="K395" s="418">
        <v>-1654424.03</v>
      </c>
      <c r="M395" s="31">
        <v>-2121549.7999999998</v>
      </c>
      <c r="O395" s="31">
        <v>467125.77</v>
      </c>
      <c r="Q395">
        <v>22</v>
      </c>
    </row>
    <row r="396" spans="3:18">
      <c r="C396">
        <v>5360</v>
      </c>
      <c r="E396" t="s">
        <v>4649</v>
      </c>
      <c r="H396" t="s">
        <v>4650</v>
      </c>
      <c r="K396" s="417">
        <v>-846.4</v>
      </c>
      <c r="M396">
        <v>-846.4</v>
      </c>
      <c r="O396">
        <v>0</v>
      </c>
    </row>
    <row r="397" spans="3:18">
      <c r="E397" t="s">
        <v>4651</v>
      </c>
      <c r="K397" s="418">
        <v>169150161.19</v>
      </c>
      <c r="M397" s="31">
        <v>173828397.06999999</v>
      </c>
      <c r="O397" s="31">
        <v>-4678235.88</v>
      </c>
      <c r="Q397">
        <v>-2.7</v>
      </c>
      <c r="R397" t="s">
        <v>569</v>
      </c>
    </row>
    <row r="398" spans="3:18">
      <c r="C398">
        <v>5360</v>
      </c>
      <c r="E398" t="s">
        <v>4652</v>
      </c>
      <c r="H398" t="s">
        <v>4653</v>
      </c>
      <c r="K398" s="418">
        <v>-24443750.609999999</v>
      </c>
      <c r="M398" s="31">
        <v>-24083781.859999999</v>
      </c>
      <c r="O398" s="31">
        <v>-359968.75</v>
      </c>
      <c r="Q398">
        <v>-1.5</v>
      </c>
    </row>
    <row r="399" spans="3:18">
      <c r="C399">
        <v>5360</v>
      </c>
      <c r="E399" t="s">
        <v>4654</v>
      </c>
      <c r="H399" t="s">
        <v>4655</v>
      </c>
      <c r="K399" s="417">
        <v>-924.06</v>
      </c>
      <c r="M399">
        <v>-924.06</v>
      </c>
      <c r="O399">
        <v>0</v>
      </c>
    </row>
    <row r="400" spans="3:18">
      <c r="C400">
        <v>5360</v>
      </c>
      <c r="E400" t="s">
        <v>4656</v>
      </c>
      <c r="H400" t="s">
        <v>4657</v>
      </c>
      <c r="K400" s="418">
        <v>-4226.49</v>
      </c>
      <c r="M400" s="31">
        <v>-3881.99</v>
      </c>
      <c r="O400">
        <v>-344.5</v>
      </c>
      <c r="Q400">
        <v>-8.9</v>
      </c>
    </row>
    <row r="401" spans="3:18">
      <c r="E401" t="s">
        <v>4658</v>
      </c>
      <c r="K401" s="418">
        <v>-24448901.16</v>
      </c>
      <c r="M401" s="31">
        <v>-24088587.91</v>
      </c>
      <c r="O401" s="31">
        <v>-360313.25</v>
      </c>
      <c r="Q401">
        <v>-1.5</v>
      </c>
      <c r="R401" t="s">
        <v>569</v>
      </c>
    </row>
    <row r="402" spans="3:18">
      <c r="C402">
        <v>5360</v>
      </c>
      <c r="E402" t="s">
        <v>4659</v>
      </c>
      <c r="H402" t="s">
        <v>4660</v>
      </c>
      <c r="K402" s="418">
        <v>24657364.890000001</v>
      </c>
      <c r="M402" s="31">
        <v>23614560.969999999</v>
      </c>
      <c r="O402" s="31">
        <v>1042803.92</v>
      </c>
      <c r="Q402">
        <v>4.4000000000000004</v>
      </c>
    </row>
    <row r="403" spans="3:18">
      <c r="C403">
        <v>5360</v>
      </c>
      <c r="E403" t="s">
        <v>4661</v>
      </c>
      <c r="H403" t="s">
        <v>4662</v>
      </c>
      <c r="K403" s="418">
        <v>-4783423.76</v>
      </c>
      <c r="M403" s="31">
        <v>-4783423.76</v>
      </c>
      <c r="O403">
        <v>0</v>
      </c>
    </row>
    <row r="404" spans="3:18">
      <c r="C404">
        <v>5360</v>
      </c>
      <c r="E404" t="s">
        <v>4663</v>
      </c>
      <c r="H404" t="s">
        <v>4664</v>
      </c>
      <c r="K404" s="418">
        <v>182436.07</v>
      </c>
      <c r="M404" s="31">
        <v>302198.49</v>
      </c>
      <c r="O404" s="31">
        <v>-119762.42</v>
      </c>
      <c r="Q404">
        <v>-39.6</v>
      </c>
    </row>
    <row r="405" spans="3:18">
      <c r="C405">
        <v>5360</v>
      </c>
      <c r="E405" t="s">
        <v>4665</v>
      </c>
      <c r="H405" t="s">
        <v>4666</v>
      </c>
      <c r="K405" s="418">
        <v>54720218.289999999</v>
      </c>
      <c r="M405" s="31">
        <v>52830925.490000002</v>
      </c>
      <c r="O405" s="31">
        <v>1889292.8</v>
      </c>
      <c r="Q405">
        <v>3.6</v>
      </c>
    </row>
    <row r="406" spans="3:18">
      <c r="C406">
        <v>5360</v>
      </c>
      <c r="E406" t="s">
        <v>4667</v>
      </c>
      <c r="H406" t="s">
        <v>4668</v>
      </c>
      <c r="K406" s="418">
        <v>-289395.53000000003</v>
      </c>
      <c r="M406" s="31">
        <v>-289395.53000000003</v>
      </c>
      <c r="O406">
        <v>0</v>
      </c>
    </row>
    <row r="407" spans="3:18">
      <c r="C407">
        <v>5360</v>
      </c>
      <c r="E407" t="s">
        <v>4669</v>
      </c>
      <c r="H407" t="s">
        <v>4670</v>
      </c>
      <c r="K407" s="417">
        <v>234.38</v>
      </c>
      <c r="M407">
        <v>234.38</v>
      </c>
      <c r="O407">
        <v>0</v>
      </c>
    </row>
    <row r="408" spans="3:18">
      <c r="C408">
        <v>5360</v>
      </c>
      <c r="E408" t="s">
        <v>4671</v>
      </c>
      <c r="H408" t="s">
        <v>4672</v>
      </c>
      <c r="K408" s="418">
        <v>10220306.470000001</v>
      </c>
      <c r="M408" s="31">
        <v>9704059.3499999996</v>
      </c>
      <c r="O408" s="31">
        <v>516247.12</v>
      </c>
      <c r="Q408">
        <v>5.3</v>
      </c>
    </row>
    <row r="409" spans="3:18">
      <c r="E409" t="s">
        <v>4673</v>
      </c>
      <c r="K409" s="418">
        <v>84707740.810000002</v>
      </c>
      <c r="M409" s="31">
        <v>81379159.390000001</v>
      </c>
      <c r="O409" s="31">
        <v>3328581.42</v>
      </c>
      <c r="Q409">
        <v>4.0999999999999996</v>
      </c>
      <c r="R409" t="s">
        <v>569</v>
      </c>
    </row>
    <row r="410" spans="3:18">
      <c r="C410">
        <v>5360</v>
      </c>
      <c r="E410" t="s">
        <v>4674</v>
      </c>
      <c r="H410" t="s">
        <v>4675</v>
      </c>
      <c r="K410" s="418">
        <v>5210584.46</v>
      </c>
      <c r="M410" s="31">
        <v>5110584.46</v>
      </c>
      <c r="O410" s="31">
        <v>100000</v>
      </c>
      <c r="Q410">
        <v>2</v>
      </c>
    </row>
    <row r="411" spans="3:18">
      <c r="C411">
        <v>5360</v>
      </c>
      <c r="E411" t="s">
        <v>4676</v>
      </c>
      <c r="H411" t="s">
        <v>4677</v>
      </c>
      <c r="K411" s="418">
        <v>-1900000</v>
      </c>
      <c r="M411" s="31">
        <v>-300000</v>
      </c>
      <c r="O411" s="31">
        <v>-1600000</v>
      </c>
      <c r="Q411">
        <v>-533.29999999999995</v>
      </c>
    </row>
    <row r="412" spans="3:18">
      <c r="C412">
        <v>5360</v>
      </c>
      <c r="E412" t="s">
        <v>4678</v>
      </c>
      <c r="H412" t="s">
        <v>4679</v>
      </c>
      <c r="K412" s="417">
        <v>-688.6</v>
      </c>
      <c r="M412">
        <v>-963.96</v>
      </c>
      <c r="O412">
        <v>275.36</v>
      </c>
      <c r="Q412">
        <v>28.6</v>
      </c>
    </row>
    <row r="413" spans="3:18">
      <c r="C413">
        <v>5360</v>
      </c>
      <c r="E413" t="s">
        <v>4680</v>
      </c>
      <c r="H413" t="s">
        <v>4681</v>
      </c>
      <c r="K413" s="417">
        <v>0</v>
      </c>
      <c r="M413" s="31">
        <v>1030</v>
      </c>
      <c r="O413" s="31">
        <v>-1030</v>
      </c>
      <c r="Q413">
        <v>-100</v>
      </c>
    </row>
    <row r="414" spans="3:18">
      <c r="C414">
        <v>5360</v>
      </c>
      <c r="E414" t="s">
        <v>4682</v>
      </c>
      <c r="H414" t="s">
        <v>4683</v>
      </c>
      <c r="K414" s="418">
        <v>-3855.4</v>
      </c>
      <c r="M414" s="31">
        <v>-3580.04</v>
      </c>
      <c r="O414">
        <v>-275.36</v>
      </c>
      <c r="Q414">
        <v>-7.7</v>
      </c>
    </row>
    <row r="415" spans="3:18">
      <c r="C415">
        <v>5360</v>
      </c>
      <c r="E415" t="s">
        <v>4684</v>
      </c>
      <c r="H415" t="s">
        <v>4685</v>
      </c>
      <c r="K415" s="418">
        <v>-175585</v>
      </c>
      <c r="M415" s="31">
        <v>-175585</v>
      </c>
      <c r="O415">
        <v>0</v>
      </c>
    </row>
    <row r="416" spans="3:18">
      <c r="C416">
        <v>5360</v>
      </c>
      <c r="E416" t="s">
        <v>4686</v>
      </c>
      <c r="H416" t="s">
        <v>4687</v>
      </c>
      <c r="K416" s="418">
        <v>-79863676.989999995</v>
      </c>
      <c r="M416" s="31">
        <v>-78450067.290000007</v>
      </c>
      <c r="O416" s="31">
        <v>-1413609.7</v>
      </c>
      <c r="Q416">
        <v>-1.8</v>
      </c>
    </row>
    <row r="417" spans="3:17">
      <c r="C417">
        <v>5360</v>
      </c>
      <c r="E417" t="s">
        <v>4688</v>
      </c>
      <c r="H417" t="s">
        <v>4689</v>
      </c>
      <c r="K417" s="418">
        <v>-766394.05</v>
      </c>
      <c r="M417" s="31">
        <v>-824547.87</v>
      </c>
      <c r="O417" s="31">
        <v>58153.82</v>
      </c>
      <c r="Q417">
        <v>7.1</v>
      </c>
    </row>
    <row r="418" spans="3:17">
      <c r="C418">
        <v>5360</v>
      </c>
      <c r="E418" t="s">
        <v>4690</v>
      </c>
      <c r="H418" t="s">
        <v>4691</v>
      </c>
      <c r="K418" s="418">
        <v>-2123711.56</v>
      </c>
      <c r="M418" s="31">
        <v>-1861146.2</v>
      </c>
      <c r="O418" s="31">
        <v>-262565.36</v>
      </c>
      <c r="Q418">
        <v>-14.1</v>
      </c>
    </row>
    <row r="419" spans="3:17">
      <c r="C419">
        <v>5360</v>
      </c>
      <c r="E419" t="s">
        <v>4692</v>
      </c>
      <c r="H419" t="s">
        <v>4693</v>
      </c>
      <c r="K419" s="418">
        <v>1074233.19</v>
      </c>
      <c r="M419" s="31">
        <v>1074233.19</v>
      </c>
      <c r="O419">
        <v>0</v>
      </c>
    </row>
    <row r="420" spans="3:17">
      <c r="C420">
        <v>5360</v>
      </c>
      <c r="E420" t="s">
        <v>4694</v>
      </c>
      <c r="H420" t="s">
        <v>4695</v>
      </c>
      <c r="K420" s="418">
        <v>-1436223.97</v>
      </c>
      <c r="M420" s="31">
        <v>-1212644.52</v>
      </c>
      <c r="O420" s="31">
        <v>-223579.45</v>
      </c>
      <c r="Q420">
        <v>-18.399999999999999</v>
      </c>
    </row>
    <row r="421" spans="3:17">
      <c r="C421">
        <v>5360</v>
      </c>
      <c r="E421" t="s">
        <v>4696</v>
      </c>
      <c r="H421" t="s">
        <v>4697</v>
      </c>
      <c r="K421" s="418">
        <v>-460731.17</v>
      </c>
      <c r="M421" s="31">
        <v>-367583.35</v>
      </c>
      <c r="O421" s="31">
        <v>-93147.82</v>
      </c>
      <c r="Q421">
        <v>-25.3</v>
      </c>
    </row>
    <row r="422" spans="3:17">
      <c r="C422">
        <v>5360</v>
      </c>
      <c r="E422" t="s">
        <v>4698</v>
      </c>
      <c r="H422" t="s">
        <v>4699</v>
      </c>
      <c r="K422" s="418">
        <v>-1190229.92</v>
      </c>
      <c r="M422" s="31">
        <v>-1099712.08</v>
      </c>
      <c r="O422" s="31">
        <v>-90517.84</v>
      </c>
      <c r="Q422">
        <v>-8.1999999999999993</v>
      </c>
    </row>
    <row r="423" spans="3:17">
      <c r="C423">
        <v>5360</v>
      </c>
      <c r="E423" t="s">
        <v>4700</v>
      </c>
      <c r="H423" t="s">
        <v>4701</v>
      </c>
      <c r="K423" s="418">
        <v>-20520.21</v>
      </c>
      <c r="M423" s="31">
        <v>-20314.37</v>
      </c>
      <c r="O423">
        <v>-205.84</v>
      </c>
      <c r="Q423">
        <v>-1</v>
      </c>
    </row>
    <row r="424" spans="3:17">
      <c r="C424">
        <v>5360</v>
      </c>
      <c r="E424" t="s">
        <v>4702</v>
      </c>
      <c r="H424" t="s">
        <v>4703</v>
      </c>
      <c r="K424" s="418">
        <v>-172000</v>
      </c>
      <c r="M424" s="31">
        <v>-172000</v>
      </c>
      <c r="O424">
        <v>0</v>
      </c>
    </row>
    <row r="425" spans="3:17">
      <c r="C425">
        <v>5360</v>
      </c>
      <c r="E425" t="s">
        <v>4704</v>
      </c>
      <c r="H425" t="s">
        <v>4705</v>
      </c>
      <c r="K425" s="418">
        <v>-347726.76</v>
      </c>
      <c r="M425" s="31">
        <v>-347726.76</v>
      </c>
      <c r="O425">
        <v>0</v>
      </c>
    </row>
    <row r="426" spans="3:17">
      <c r="C426">
        <v>5360</v>
      </c>
      <c r="E426" t="s">
        <v>4930</v>
      </c>
      <c r="H426" t="s">
        <v>4931</v>
      </c>
      <c r="K426" s="418">
        <v>-53900.94</v>
      </c>
      <c r="M426">
        <v>0</v>
      </c>
      <c r="O426" s="31">
        <v>-53900.94</v>
      </c>
    </row>
    <row r="427" spans="3:17">
      <c r="C427">
        <v>5360</v>
      </c>
      <c r="E427" t="s">
        <v>4706</v>
      </c>
      <c r="H427" t="s">
        <v>4707</v>
      </c>
      <c r="K427" s="418">
        <v>-1420433.24</v>
      </c>
      <c r="M427" s="31">
        <v>-1420433.24</v>
      </c>
      <c r="O427">
        <v>0</v>
      </c>
    </row>
    <row r="428" spans="3:17">
      <c r="C428">
        <v>5360</v>
      </c>
      <c r="E428" t="s">
        <v>4932</v>
      </c>
      <c r="H428" t="s">
        <v>4933</v>
      </c>
      <c r="K428" s="418">
        <v>290812.11</v>
      </c>
      <c r="M428">
        <v>0</v>
      </c>
      <c r="O428" s="31">
        <v>290812.11</v>
      </c>
    </row>
    <row r="429" spans="3:17">
      <c r="C429">
        <v>5360</v>
      </c>
      <c r="E429" t="s">
        <v>4708</v>
      </c>
      <c r="H429" t="s">
        <v>4709</v>
      </c>
      <c r="K429" s="418">
        <v>-2359633.9900000002</v>
      </c>
      <c r="M429" s="31">
        <v>-2359633.9900000002</v>
      </c>
      <c r="O429">
        <v>0</v>
      </c>
    </row>
    <row r="430" spans="3:17">
      <c r="C430">
        <v>5360</v>
      </c>
      <c r="E430" t="s">
        <v>4710</v>
      </c>
      <c r="H430" t="s">
        <v>4711</v>
      </c>
      <c r="K430" s="418">
        <v>-2198119.5699999998</v>
      </c>
      <c r="M430" s="31">
        <v>-2519360.04</v>
      </c>
      <c r="O430" s="31">
        <v>321240.46999999997</v>
      </c>
      <c r="Q430">
        <v>12.8</v>
      </c>
    </row>
    <row r="431" spans="3:17">
      <c r="C431">
        <v>5360</v>
      </c>
      <c r="E431" t="s">
        <v>4712</v>
      </c>
      <c r="H431" t="s">
        <v>4713</v>
      </c>
      <c r="K431" s="417">
        <v>31.56</v>
      </c>
      <c r="M431">
        <v>31.56</v>
      </c>
      <c r="O431">
        <v>0</v>
      </c>
    </row>
    <row r="432" spans="3:17">
      <c r="C432">
        <v>5360</v>
      </c>
      <c r="E432" t="s">
        <v>4714</v>
      </c>
      <c r="H432" t="s">
        <v>4715</v>
      </c>
      <c r="K432" s="418">
        <v>172000</v>
      </c>
      <c r="M432" s="31">
        <v>172000</v>
      </c>
      <c r="O432">
        <v>0</v>
      </c>
    </row>
    <row r="433" spans="3:18">
      <c r="E433" t="s">
        <v>4716</v>
      </c>
      <c r="K433" s="418">
        <v>-87745770.049999997</v>
      </c>
      <c r="M433" s="31">
        <v>-84777419.5</v>
      </c>
      <c r="O433" s="31">
        <v>-2968350.55</v>
      </c>
      <c r="Q433">
        <v>-3.5</v>
      </c>
      <c r="R433" t="s">
        <v>569</v>
      </c>
    </row>
    <row r="434" spans="3:18">
      <c r="C434">
        <v>5360</v>
      </c>
      <c r="E434" t="s">
        <v>4717</v>
      </c>
      <c r="H434" t="s">
        <v>4718</v>
      </c>
      <c r="K434" s="418">
        <v>-3305043.35</v>
      </c>
      <c r="M434" s="31">
        <v>-3305043.35</v>
      </c>
      <c r="O434">
        <v>0</v>
      </c>
    </row>
    <row r="435" spans="3:18">
      <c r="C435">
        <v>5360</v>
      </c>
      <c r="E435" t="s">
        <v>4719</v>
      </c>
      <c r="H435" t="s">
        <v>4720</v>
      </c>
      <c r="K435" s="418">
        <v>-133039.39000000001</v>
      </c>
      <c r="M435" s="31">
        <v>-83428.08</v>
      </c>
      <c r="O435" s="31">
        <v>-49611.31</v>
      </c>
      <c r="Q435">
        <v>-59.5</v>
      </c>
    </row>
    <row r="436" spans="3:18">
      <c r="C436">
        <v>5360</v>
      </c>
      <c r="E436" t="s">
        <v>4721</v>
      </c>
      <c r="H436" t="s">
        <v>4722</v>
      </c>
      <c r="K436" s="418">
        <v>3604161.19</v>
      </c>
      <c r="M436" s="31">
        <v>2734134.25</v>
      </c>
      <c r="O436" s="31">
        <v>870026.94</v>
      </c>
      <c r="Q436">
        <v>31.8</v>
      </c>
    </row>
    <row r="437" spans="3:18">
      <c r="C437">
        <v>5360</v>
      </c>
      <c r="E437" t="s">
        <v>4723</v>
      </c>
      <c r="H437" t="s">
        <v>4724</v>
      </c>
      <c r="K437" s="418">
        <v>-226884.85</v>
      </c>
      <c r="M437" s="31">
        <v>-176695.62</v>
      </c>
      <c r="O437" s="31">
        <v>-50189.23</v>
      </c>
      <c r="Q437">
        <v>-28.4</v>
      </c>
    </row>
    <row r="438" spans="3:18">
      <c r="C438">
        <v>5360</v>
      </c>
      <c r="E438" t="s">
        <v>4725</v>
      </c>
      <c r="H438" t="s">
        <v>4726</v>
      </c>
      <c r="K438" s="418">
        <v>-2589201.5699999998</v>
      </c>
      <c r="M438" s="31">
        <v>-2031115.86</v>
      </c>
      <c r="O438" s="31">
        <v>-558085.71</v>
      </c>
      <c r="Q438">
        <v>-27.5</v>
      </c>
    </row>
    <row r="439" spans="3:18">
      <c r="E439" t="s">
        <v>4727</v>
      </c>
      <c r="K439" s="418">
        <v>-2650007.9700000002</v>
      </c>
      <c r="M439" s="31">
        <v>-2862148.66</v>
      </c>
      <c r="O439" s="31">
        <v>212140.69</v>
      </c>
      <c r="Q439">
        <v>7.4</v>
      </c>
      <c r="R439" t="s">
        <v>569</v>
      </c>
    </row>
    <row r="440" spans="3:18">
      <c r="E440" t="s">
        <v>4728</v>
      </c>
      <c r="K440" s="418">
        <v>-435044037.44999999</v>
      </c>
      <c r="M440" s="31">
        <v>-433246215.86000001</v>
      </c>
      <c r="O440" s="31">
        <v>-1797821.59</v>
      </c>
      <c r="Q440">
        <v>-0.4</v>
      </c>
      <c r="R440" t="s">
        <v>611</v>
      </c>
    </row>
    <row r="442" spans="3:18">
      <c r="C442">
        <v>5360</v>
      </c>
      <c r="E442" t="s">
        <v>4729</v>
      </c>
      <c r="H442" t="s">
        <v>4730</v>
      </c>
      <c r="K442" s="418">
        <v>-58665276.450000003</v>
      </c>
      <c r="M442" s="31">
        <v>-58665276.450000003</v>
      </c>
      <c r="O442">
        <v>0</v>
      </c>
    </row>
    <row r="443" spans="3:18">
      <c r="C443">
        <v>5360</v>
      </c>
      <c r="E443" t="s">
        <v>4731</v>
      </c>
      <c r="H443" t="s">
        <v>4732</v>
      </c>
      <c r="K443" s="418">
        <v>-44489995.130000003</v>
      </c>
      <c r="M443" s="31">
        <v>-44144710.140000001</v>
      </c>
      <c r="O443" s="31">
        <v>-345284.99</v>
      </c>
      <c r="Q443">
        <v>-0.8</v>
      </c>
    </row>
    <row r="444" spans="3:18">
      <c r="C444">
        <v>5360</v>
      </c>
      <c r="E444" t="s">
        <v>4733</v>
      </c>
      <c r="H444" t="s">
        <v>4734</v>
      </c>
      <c r="K444" s="418">
        <v>361689.78</v>
      </c>
      <c r="M444" s="31">
        <v>361689.78</v>
      </c>
      <c r="O444">
        <v>0</v>
      </c>
    </row>
    <row r="445" spans="3:18">
      <c r="E445" t="s">
        <v>4735</v>
      </c>
      <c r="K445" s="418">
        <v>-102793581.8</v>
      </c>
      <c r="M445" s="31">
        <v>-102448296.81</v>
      </c>
      <c r="O445" s="31">
        <v>-345284.99</v>
      </c>
      <c r="Q445">
        <v>-0.3</v>
      </c>
      <c r="R445" t="s">
        <v>650</v>
      </c>
    </row>
    <row r="446" spans="3:18">
      <c r="E446" t="s">
        <v>4736</v>
      </c>
      <c r="K446" s="418">
        <v>-102793581.8</v>
      </c>
      <c r="M446" s="31">
        <v>-102448296.81</v>
      </c>
      <c r="O446" s="31">
        <v>-345284.99</v>
      </c>
      <c r="Q446">
        <v>-0.3</v>
      </c>
      <c r="R446" t="s">
        <v>658</v>
      </c>
    </row>
    <row r="447" spans="3:18">
      <c r="C447">
        <v>5360</v>
      </c>
      <c r="E447" t="s">
        <v>4737</v>
      </c>
      <c r="H447" t="s">
        <v>4738</v>
      </c>
      <c r="K447" s="418">
        <v>-4304106.45</v>
      </c>
      <c r="M447" s="31">
        <v>-4304106.45</v>
      </c>
      <c r="O447">
        <v>0</v>
      </c>
    </row>
    <row r="448" spans="3:18">
      <c r="C448">
        <v>5360</v>
      </c>
      <c r="E448" t="s">
        <v>4739</v>
      </c>
      <c r="H448" t="s">
        <v>4740</v>
      </c>
      <c r="K448" s="418">
        <v>-1139648.47</v>
      </c>
      <c r="M448" s="31">
        <v>-1047863.85</v>
      </c>
      <c r="O448" s="31">
        <v>-91784.62</v>
      </c>
      <c r="Q448">
        <v>-8.8000000000000007</v>
      </c>
    </row>
    <row r="449" spans="3:15">
      <c r="C449">
        <v>5360</v>
      </c>
      <c r="E449" t="s">
        <v>4741</v>
      </c>
      <c r="H449" t="s">
        <v>4742</v>
      </c>
      <c r="K449" s="418">
        <v>1229000</v>
      </c>
      <c r="M449" s="31">
        <v>1229000</v>
      </c>
      <c r="O449">
        <v>0</v>
      </c>
    </row>
    <row r="450" spans="3:15">
      <c r="C450">
        <v>5360</v>
      </c>
      <c r="E450" t="s">
        <v>4743</v>
      </c>
      <c r="H450" t="s">
        <v>4744</v>
      </c>
      <c r="K450" s="418">
        <v>-1229000</v>
      </c>
      <c r="M450" s="31">
        <v>-1229000</v>
      </c>
      <c r="O450">
        <v>0</v>
      </c>
    </row>
    <row r="451" spans="3:15">
      <c r="C451">
        <v>5360</v>
      </c>
      <c r="E451" t="s">
        <v>4745</v>
      </c>
      <c r="H451" t="s">
        <v>4746</v>
      </c>
      <c r="K451" s="418">
        <v>-10140542.08</v>
      </c>
      <c r="M451" s="31">
        <v>-10140542.08</v>
      </c>
      <c r="O451">
        <v>0</v>
      </c>
    </row>
    <row r="452" spans="3:15">
      <c r="C452">
        <v>5360</v>
      </c>
      <c r="E452" t="s">
        <v>4747</v>
      </c>
      <c r="H452" t="s">
        <v>4748</v>
      </c>
      <c r="K452" s="418">
        <v>-59131.15</v>
      </c>
      <c r="M452" s="31">
        <v>-59131.15</v>
      </c>
      <c r="O452">
        <v>0</v>
      </c>
    </row>
    <row r="453" spans="3:15">
      <c r="C453">
        <v>5360</v>
      </c>
      <c r="E453" t="s">
        <v>4749</v>
      </c>
      <c r="H453" t="s">
        <v>4750</v>
      </c>
      <c r="K453" s="418">
        <v>-122338.21</v>
      </c>
      <c r="M453" s="31">
        <v>-122338.21</v>
      </c>
      <c r="O453">
        <v>0</v>
      </c>
    </row>
    <row r="454" spans="3:15">
      <c r="C454">
        <v>5360</v>
      </c>
      <c r="E454" t="s">
        <v>4751</v>
      </c>
      <c r="H454" t="s">
        <v>4752</v>
      </c>
      <c r="K454" s="418">
        <v>-91841.96</v>
      </c>
      <c r="M454" s="31">
        <v>-91841.96</v>
      </c>
      <c r="O454">
        <v>0</v>
      </c>
    </row>
    <row r="455" spans="3:15">
      <c r="C455">
        <v>5360</v>
      </c>
      <c r="E455" t="s">
        <v>4753</v>
      </c>
      <c r="H455" t="s">
        <v>4754</v>
      </c>
      <c r="K455" s="418">
        <v>988134.15</v>
      </c>
      <c r="M455" s="31">
        <v>988134.15</v>
      </c>
      <c r="O455">
        <v>0</v>
      </c>
    </row>
    <row r="456" spans="3:15">
      <c r="C456">
        <v>5360</v>
      </c>
      <c r="E456" t="s">
        <v>4755</v>
      </c>
      <c r="H456" t="s">
        <v>4756</v>
      </c>
      <c r="K456" s="418">
        <v>1173314.77</v>
      </c>
      <c r="M456" s="31">
        <v>1173314.77</v>
      </c>
      <c r="O456">
        <v>0</v>
      </c>
    </row>
    <row r="457" spans="3:15">
      <c r="C457">
        <v>5360</v>
      </c>
      <c r="E457" t="s">
        <v>4757</v>
      </c>
      <c r="H457" t="s">
        <v>4758</v>
      </c>
      <c r="K457" s="418">
        <v>2733749.4</v>
      </c>
      <c r="M457" s="31">
        <v>2733749.4</v>
      </c>
      <c r="O457">
        <v>0</v>
      </c>
    </row>
    <row r="458" spans="3:15">
      <c r="C458">
        <v>5360</v>
      </c>
      <c r="E458" t="s">
        <v>4759</v>
      </c>
      <c r="H458" t="s">
        <v>4760</v>
      </c>
      <c r="K458" s="418">
        <v>477227.75</v>
      </c>
      <c r="M458" s="31">
        <v>477227.75</v>
      </c>
      <c r="O458">
        <v>0</v>
      </c>
    </row>
    <row r="459" spans="3:15">
      <c r="C459">
        <v>5360</v>
      </c>
      <c r="E459" t="s">
        <v>4761</v>
      </c>
      <c r="H459" t="s">
        <v>4762</v>
      </c>
      <c r="K459" s="418">
        <v>-3059964.65</v>
      </c>
      <c r="M459" s="31">
        <v>-3059964.65</v>
      </c>
      <c r="O459">
        <v>0</v>
      </c>
    </row>
    <row r="460" spans="3:15">
      <c r="C460">
        <v>5360</v>
      </c>
      <c r="E460" t="s">
        <v>4763</v>
      </c>
      <c r="H460" t="s">
        <v>4764</v>
      </c>
      <c r="K460" s="418">
        <v>-8835069.6699999999</v>
      </c>
      <c r="M460" s="31">
        <v>-8835069.6699999999</v>
      </c>
      <c r="O460">
        <v>0</v>
      </c>
    </row>
    <row r="461" spans="3:15">
      <c r="C461">
        <v>5360</v>
      </c>
      <c r="E461" t="s">
        <v>4765</v>
      </c>
      <c r="H461" t="s">
        <v>4766</v>
      </c>
      <c r="K461" s="418">
        <v>3749167</v>
      </c>
      <c r="M461" s="31">
        <v>3749167</v>
      </c>
      <c r="O461">
        <v>0</v>
      </c>
    </row>
    <row r="462" spans="3:15">
      <c r="C462">
        <v>5360</v>
      </c>
      <c r="E462" t="s">
        <v>4767</v>
      </c>
      <c r="H462" t="s">
        <v>4768</v>
      </c>
      <c r="K462" s="418">
        <v>-34242752.409999996</v>
      </c>
      <c r="M462" s="31">
        <v>-34242752.409999996</v>
      </c>
      <c r="O462">
        <v>0</v>
      </c>
    </row>
    <row r="463" spans="3:15">
      <c r="C463">
        <v>5360</v>
      </c>
      <c r="E463" t="s">
        <v>4769</v>
      </c>
      <c r="H463" t="s">
        <v>4770</v>
      </c>
      <c r="K463" s="418">
        <v>-381618.17</v>
      </c>
      <c r="M463" s="31">
        <v>-381618.17</v>
      </c>
      <c r="O463">
        <v>0</v>
      </c>
    </row>
    <row r="464" spans="3:15">
      <c r="C464">
        <v>5360</v>
      </c>
      <c r="E464" t="s">
        <v>4771</v>
      </c>
      <c r="H464" t="s">
        <v>4772</v>
      </c>
      <c r="K464" s="417">
        <v>0.32</v>
      </c>
      <c r="M464">
        <v>0.32</v>
      </c>
      <c r="O464">
        <v>0</v>
      </c>
    </row>
    <row r="465" spans="3:18">
      <c r="E465" t="s">
        <v>4773</v>
      </c>
      <c r="K465" s="418">
        <v>-53255419.829999998</v>
      </c>
      <c r="M465" s="31">
        <v>-53163635.210000001</v>
      </c>
      <c r="O465" s="31">
        <v>-91784.62</v>
      </c>
      <c r="Q465">
        <v>-0.2</v>
      </c>
      <c r="R465" t="s">
        <v>650</v>
      </c>
    </row>
    <row r="466" spans="3:18">
      <c r="E466" t="s">
        <v>4774</v>
      </c>
      <c r="K466" s="418">
        <v>-53255419.829999998</v>
      </c>
      <c r="M466" s="31">
        <v>-53163635.210000001</v>
      </c>
      <c r="O466" s="31">
        <v>-91784.62</v>
      </c>
      <c r="Q466">
        <v>-0.2</v>
      </c>
      <c r="R466" t="s">
        <v>658</v>
      </c>
    </row>
    <row r="467" spans="3:18">
      <c r="E467" t="s">
        <v>4775</v>
      </c>
      <c r="K467" s="418">
        <v>-156049001.63</v>
      </c>
      <c r="M467" s="31">
        <v>-155611932.02000001</v>
      </c>
      <c r="O467" s="31">
        <v>-437069.61</v>
      </c>
      <c r="Q467">
        <v>-0.3</v>
      </c>
      <c r="R467" t="s">
        <v>569</v>
      </c>
    </row>
    <row r="468" spans="3:18">
      <c r="C468">
        <v>5360</v>
      </c>
      <c r="E468" t="s">
        <v>4776</v>
      </c>
      <c r="H468" t="s">
        <v>4777</v>
      </c>
      <c r="K468" s="418">
        <v>-3276803</v>
      </c>
      <c r="M468" s="31">
        <v>-3276803</v>
      </c>
      <c r="O468">
        <v>0</v>
      </c>
    </row>
    <row r="469" spans="3:18">
      <c r="C469">
        <v>5360</v>
      </c>
      <c r="E469" t="s">
        <v>4778</v>
      </c>
      <c r="H469" t="s">
        <v>4779</v>
      </c>
      <c r="K469" s="418">
        <v>-104077.03</v>
      </c>
      <c r="M469" s="31">
        <v>-104077.03</v>
      </c>
      <c r="O469">
        <v>0</v>
      </c>
    </row>
    <row r="470" spans="3:18">
      <c r="C470">
        <v>5360</v>
      </c>
      <c r="E470" t="s">
        <v>4780</v>
      </c>
      <c r="H470" t="s">
        <v>4781</v>
      </c>
      <c r="K470" s="418">
        <v>-60221.04</v>
      </c>
      <c r="M470" s="31">
        <v>-60221.04</v>
      </c>
      <c r="O470">
        <v>0</v>
      </c>
    </row>
    <row r="471" spans="3:18">
      <c r="C471">
        <v>5360</v>
      </c>
      <c r="E471" t="s">
        <v>4782</v>
      </c>
      <c r="H471" t="s">
        <v>4783</v>
      </c>
      <c r="K471" s="418">
        <v>220983.09</v>
      </c>
      <c r="M471" s="31">
        <v>158441.76999999999</v>
      </c>
      <c r="O471" s="31">
        <v>62541.32</v>
      </c>
      <c r="Q471">
        <v>39.5</v>
      </c>
    </row>
    <row r="472" spans="3:18">
      <c r="C472">
        <v>5360</v>
      </c>
      <c r="E472" t="s">
        <v>4784</v>
      </c>
      <c r="H472" t="s">
        <v>4785</v>
      </c>
      <c r="K472" s="418">
        <v>-274914.44</v>
      </c>
      <c r="M472" s="31">
        <v>-274914.44</v>
      </c>
      <c r="O472">
        <v>0</v>
      </c>
    </row>
    <row r="473" spans="3:18">
      <c r="C473">
        <v>5360</v>
      </c>
      <c r="E473" t="s">
        <v>4786</v>
      </c>
      <c r="H473" t="s">
        <v>4787</v>
      </c>
      <c r="K473" s="418">
        <v>-255825.59</v>
      </c>
      <c r="M473" s="31">
        <v>-255825.59</v>
      </c>
      <c r="O473">
        <v>0</v>
      </c>
    </row>
    <row r="474" spans="3:18">
      <c r="C474">
        <v>5360</v>
      </c>
      <c r="E474" t="s">
        <v>4788</v>
      </c>
      <c r="H474" t="s">
        <v>4789</v>
      </c>
      <c r="K474" s="418">
        <v>586169.4</v>
      </c>
      <c r="M474" s="31">
        <v>394684.89</v>
      </c>
      <c r="O474" s="31">
        <v>191484.51</v>
      </c>
      <c r="Q474">
        <v>48.5</v>
      </c>
    </row>
    <row r="475" spans="3:18">
      <c r="C475">
        <v>5360</v>
      </c>
      <c r="E475" t="s">
        <v>4790</v>
      </c>
      <c r="H475" t="s">
        <v>4791</v>
      </c>
      <c r="K475" s="418">
        <v>-756736.9</v>
      </c>
      <c r="M475" s="31">
        <v>-548748.09</v>
      </c>
      <c r="O475" s="31">
        <v>-207988.81</v>
      </c>
      <c r="Q475">
        <v>-37.9</v>
      </c>
    </row>
    <row r="476" spans="3:18">
      <c r="C476">
        <v>5360</v>
      </c>
      <c r="E476" t="s">
        <v>4792</v>
      </c>
      <c r="H476" t="s">
        <v>4793</v>
      </c>
      <c r="K476" s="418">
        <v>-273189.09000000003</v>
      </c>
      <c r="M476" s="31">
        <v>-255646.77</v>
      </c>
      <c r="O476" s="31">
        <v>-17542.32</v>
      </c>
      <c r="Q476">
        <v>-6.9</v>
      </c>
    </row>
    <row r="477" spans="3:18">
      <c r="C477">
        <v>5360</v>
      </c>
      <c r="E477" t="s">
        <v>4934</v>
      </c>
      <c r="H477" t="s">
        <v>4935</v>
      </c>
      <c r="K477" s="418">
        <v>-290812.11</v>
      </c>
      <c r="M477">
        <v>0</v>
      </c>
      <c r="O477" s="31">
        <v>-290812.11</v>
      </c>
    </row>
    <row r="478" spans="3:18">
      <c r="C478">
        <v>5360</v>
      </c>
      <c r="E478" t="s">
        <v>4794</v>
      </c>
      <c r="H478" t="s">
        <v>4795</v>
      </c>
      <c r="K478" s="418">
        <v>-662214.19999999995</v>
      </c>
      <c r="M478" s="31">
        <v>-662214.19999999995</v>
      </c>
      <c r="O478">
        <v>0</v>
      </c>
    </row>
    <row r="479" spans="3:18">
      <c r="C479">
        <v>5360</v>
      </c>
      <c r="E479" t="s">
        <v>4796</v>
      </c>
      <c r="H479" t="s">
        <v>4797</v>
      </c>
      <c r="K479" s="418">
        <v>30110.52</v>
      </c>
      <c r="M479" s="31">
        <v>30110.52</v>
      </c>
      <c r="O479">
        <v>0</v>
      </c>
    </row>
    <row r="480" spans="3:18">
      <c r="C480">
        <v>5360</v>
      </c>
      <c r="E480" t="s">
        <v>4798</v>
      </c>
      <c r="H480" t="s">
        <v>4799</v>
      </c>
      <c r="K480" s="418">
        <v>1450543.76</v>
      </c>
      <c r="M480" s="31">
        <v>1450543.76</v>
      </c>
      <c r="O480">
        <v>0</v>
      </c>
    </row>
    <row r="481" spans="3:17">
      <c r="C481">
        <v>5360</v>
      </c>
      <c r="E481" t="s">
        <v>4800</v>
      </c>
      <c r="H481" t="s">
        <v>4801</v>
      </c>
      <c r="K481" s="418">
        <v>-30110.52</v>
      </c>
      <c r="M481" s="31">
        <v>-30110.52</v>
      </c>
      <c r="O481">
        <v>0</v>
      </c>
    </row>
    <row r="482" spans="3:17">
      <c r="C482">
        <v>5360</v>
      </c>
      <c r="E482" t="s">
        <v>4802</v>
      </c>
      <c r="H482" t="s">
        <v>4803</v>
      </c>
      <c r="K482" s="418">
        <v>-101716.85</v>
      </c>
      <c r="M482" s="31">
        <v>-83564.05</v>
      </c>
      <c r="O482" s="31">
        <v>-18152.8</v>
      </c>
      <c r="Q482">
        <v>-21.7</v>
      </c>
    </row>
    <row r="483" spans="3:17">
      <c r="C483">
        <v>5360</v>
      </c>
      <c r="E483" t="s">
        <v>4804</v>
      </c>
      <c r="H483" t="s">
        <v>4805</v>
      </c>
      <c r="K483" s="418">
        <v>-8466329.0999999996</v>
      </c>
      <c r="M483" s="31">
        <v>-8466329.0999999996</v>
      </c>
      <c r="O483">
        <v>0</v>
      </c>
    </row>
    <row r="484" spans="3:17">
      <c r="C484">
        <v>5360</v>
      </c>
      <c r="E484" t="s">
        <v>4936</v>
      </c>
      <c r="H484" t="s">
        <v>4937</v>
      </c>
      <c r="K484" s="418">
        <v>-902272.51</v>
      </c>
      <c r="M484">
        <v>0</v>
      </c>
      <c r="O484" s="31">
        <v>-902272.51</v>
      </c>
    </row>
    <row r="485" spans="3:17">
      <c r="C485">
        <v>5360</v>
      </c>
      <c r="E485" t="s">
        <v>4938</v>
      </c>
      <c r="H485" t="s">
        <v>4939</v>
      </c>
      <c r="K485" s="418">
        <v>53900.94</v>
      </c>
      <c r="M485">
        <v>0</v>
      </c>
      <c r="O485" s="31">
        <v>53900.94</v>
      </c>
    </row>
    <row r="486" spans="3:17">
      <c r="C486">
        <v>5360</v>
      </c>
      <c r="E486" t="s">
        <v>4940</v>
      </c>
      <c r="H486" t="s">
        <v>4941</v>
      </c>
      <c r="K486" s="418">
        <v>700576.64</v>
      </c>
      <c r="M486">
        <v>0</v>
      </c>
      <c r="O486" s="31">
        <v>700576.64</v>
      </c>
    </row>
    <row r="487" spans="3:17">
      <c r="C487">
        <v>5360</v>
      </c>
      <c r="E487" t="s">
        <v>4806</v>
      </c>
      <c r="H487" t="s">
        <v>4807</v>
      </c>
      <c r="K487" s="418">
        <v>383098.03</v>
      </c>
      <c r="M487" s="31">
        <v>317452.53000000003</v>
      </c>
      <c r="O487" s="31">
        <v>65645.5</v>
      </c>
      <c r="Q487">
        <v>20.7</v>
      </c>
    </row>
    <row r="488" spans="3:17">
      <c r="C488">
        <v>5360</v>
      </c>
      <c r="E488" t="s">
        <v>4808</v>
      </c>
      <c r="H488" t="s">
        <v>4809</v>
      </c>
      <c r="K488" s="418">
        <v>-351337.09</v>
      </c>
      <c r="M488" s="31">
        <v>-264576.68</v>
      </c>
      <c r="O488" s="31">
        <v>-86760.41</v>
      </c>
      <c r="Q488">
        <v>-32.799999999999997</v>
      </c>
    </row>
    <row r="489" spans="3:17">
      <c r="C489">
        <v>5360</v>
      </c>
      <c r="E489" t="s">
        <v>4810</v>
      </c>
      <c r="H489" t="s">
        <v>4811</v>
      </c>
      <c r="K489" s="418">
        <v>-102482.22</v>
      </c>
      <c r="M489" s="31">
        <v>-76055.100000000006</v>
      </c>
      <c r="O489" s="31">
        <v>-26427.119999999999</v>
      </c>
      <c r="Q489">
        <v>-34.700000000000003</v>
      </c>
    </row>
    <row r="490" spans="3:17">
      <c r="C490">
        <v>5360</v>
      </c>
      <c r="E490" t="s">
        <v>4812</v>
      </c>
      <c r="H490" t="s">
        <v>4813</v>
      </c>
      <c r="K490" s="418">
        <v>-6128379.8499999996</v>
      </c>
      <c r="M490" s="31">
        <v>-6128379.8499999996</v>
      </c>
      <c r="O490">
        <v>0</v>
      </c>
    </row>
    <row r="491" spans="3:17">
      <c r="C491">
        <v>5360</v>
      </c>
      <c r="E491" t="s">
        <v>4814</v>
      </c>
      <c r="H491" t="s">
        <v>4815</v>
      </c>
      <c r="K491" s="418">
        <v>-764478.64</v>
      </c>
      <c r="M491" s="31">
        <v>-557725.72</v>
      </c>
      <c r="O491" s="31">
        <v>-206752.92</v>
      </c>
      <c r="Q491">
        <v>-37.1</v>
      </c>
    </row>
    <row r="492" spans="3:17">
      <c r="C492">
        <v>5360</v>
      </c>
      <c r="E492" t="s">
        <v>4816</v>
      </c>
      <c r="H492" t="s">
        <v>4817</v>
      </c>
      <c r="K492" s="418">
        <v>20034.330000000002</v>
      </c>
      <c r="M492" s="31">
        <v>20034.330000000002</v>
      </c>
      <c r="O492">
        <v>0</v>
      </c>
    </row>
    <row r="493" spans="3:17">
      <c r="C493">
        <v>5360</v>
      </c>
      <c r="E493" t="s">
        <v>4818</v>
      </c>
      <c r="H493" t="s">
        <v>4819</v>
      </c>
      <c r="K493" s="418">
        <v>2589201.5699999998</v>
      </c>
      <c r="M493" s="31">
        <v>2031115.86</v>
      </c>
      <c r="O493" s="31">
        <v>558085.71</v>
      </c>
      <c r="Q493">
        <v>27.5</v>
      </c>
    </row>
    <row r="494" spans="3:17">
      <c r="C494">
        <v>5360</v>
      </c>
      <c r="E494" t="s">
        <v>4820</v>
      </c>
      <c r="H494" t="s">
        <v>4821</v>
      </c>
      <c r="K494" s="418">
        <v>3739098.51</v>
      </c>
      <c r="M494" s="31">
        <v>3701883.53</v>
      </c>
      <c r="O494" s="31">
        <v>37214.980000000003</v>
      </c>
      <c r="Q494">
        <v>1</v>
      </c>
    </row>
    <row r="495" spans="3:17">
      <c r="C495">
        <v>5360</v>
      </c>
      <c r="E495" t="s">
        <v>4822</v>
      </c>
      <c r="H495" t="s">
        <v>4823</v>
      </c>
      <c r="K495" s="418">
        <v>-37074439.259999998</v>
      </c>
      <c r="M495" s="31">
        <v>-37074439.259999998</v>
      </c>
      <c r="O495">
        <v>0</v>
      </c>
    </row>
    <row r="496" spans="3:17">
      <c r="C496">
        <v>5360</v>
      </c>
      <c r="E496" t="s">
        <v>4824</v>
      </c>
      <c r="H496" t="s">
        <v>4811</v>
      </c>
      <c r="K496" s="418">
        <v>-5981274.2199999997</v>
      </c>
      <c r="M496" s="31">
        <v>-12519584.609999999</v>
      </c>
      <c r="O496" s="31">
        <v>6538310.3899999997</v>
      </c>
      <c r="Q496">
        <v>52.2</v>
      </c>
    </row>
    <row r="497" spans="3:18">
      <c r="C497">
        <v>5360</v>
      </c>
      <c r="E497" t="s">
        <v>4825</v>
      </c>
      <c r="H497" t="s">
        <v>4826</v>
      </c>
      <c r="K497" s="418">
        <v>-5822652.7699999996</v>
      </c>
      <c r="M497" s="31">
        <v>-8409747.1999999993</v>
      </c>
      <c r="O497" s="31">
        <v>2587094.4300000002</v>
      </c>
      <c r="Q497">
        <v>30.8</v>
      </c>
    </row>
    <row r="498" spans="3:18">
      <c r="E498" t="s">
        <v>4827</v>
      </c>
      <c r="K498" s="418">
        <v>-61906549.640000001</v>
      </c>
      <c r="M498" s="31">
        <v>-70944695.060000002</v>
      </c>
      <c r="O498" s="31">
        <v>9038145.4199999999</v>
      </c>
      <c r="Q498">
        <v>12.7</v>
      </c>
      <c r="R498" t="s">
        <v>569</v>
      </c>
    </row>
    <row r="499" spans="3:18">
      <c r="C499">
        <v>5360</v>
      </c>
      <c r="E499" t="s">
        <v>4828</v>
      </c>
      <c r="H499" t="s">
        <v>4829</v>
      </c>
      <c r="K499" s="417">
        <v>-38</v>
      </c>
      <c r="M499">
        <v>-38</v>
      </c>
      <c r="O499">
        <v>0</v>
      </c>
    </row>
    <row r="500" spans="3:18">
      <c r="E500" t="s">
        <v>4830</v>
      </c>
      <c r="K500" s="417">
        <v>-38</v>
      </c>
      <c r="M500">
        <v>-38</v>
      </c>
      <c r="O500">
        <v>0</v>
      </c>
      <c r="R500" t="s">
        <v>569</v>
      </c>
    </row>
    <row r="501" spans="3:18">
      <c r="C501">
        <v>5360</v>
      </c>
      <c r="E501" t="s">
        <v>4831</v>
      </c>
      <c r="H501" t="s">
        <v>4832</v>
      </c>
      <c r="K501" s="418">
        <v>-1134000.1299999999</v>
      </c>
      <c r="M501" s="31">
        <v>-182000.13</v>
      </c>
      <c r="O501" s="31">
        <v>-952000</v>
      </c>
      <c r="Q501">
        <v>-523.1</v>
      </c>
    </row>
    <row r="502" spans="3:18">
      <c r="C502">
        <v>5360</v>
      </c>
      <c r="E502" t="s">
        <v>4833</v>
      </c>
      <c r="H502" t="s">
        <v>4834</v>
      </c>
      <c r="K502" s="418">
        <v>-2541746.9900000002</v>
      </c>
      <c r="M502" s="31">
        <v>-2541745.59</v>
      </c>
      <c r="O502">
        <v>-1.4</v>
      </c>
    </row>
    <row r="503" spans="3:18">
      <c r="C503">
        <v>5360</v>
      </c>
      <c r="E503" t="s">
        <v>4835</v>
      </c>
      <c r="H503" t="s">
        <v>4836</v>
      </c>
      <c r="K503" s="418">
        <v>16227.16</v>
      </c>
      <c r="M503" s="31">
        <v>16227.16</v>
      </c>
      <c r="O503">
        <v>0</v>
      </c>
    </row>
    <row r="504" spans="3:18">
      <c r="C504">
        <v>5360</v>
      </c>
      <c r="E504" t="s">
        <v>4942</v>
      </c>
      <c r="H504" t="s">
        <v>4943</v>
      </c>
      <c r="K504" s="418">
        <v>8273.52</v>
      </c>
      <c r="M504">
        <v>0</v>
      </c>
      <c r="O504" s="31">
        <v>8273.52</v>
      </c>
    </row>
    <row r="505" spans="3:18">
      <c r="C505">
        <v>5360</v>
      </c>
      <c r="E505" t="s">
        <v>4837</v>
      </c>
      <c r="H505" t="s">
        <v>4838</v>
      </c>
      <c r="K505" s="418">
        <v>-60791.49</v>
      </c>
      <c r="M505" s="31">
        <v>-59457.39</v>
      </c>
      <c r="O505" s="31">
        <v>-1334.1</v>
      </c>
      <c r="Q505">
        <v>-2.2000000000000002</v>
      </c>
    </row>
    <row r="506" spans="3:18">
      <c r="C506">
        <v>5360</v>
      </c>
      <c r="E506" t="s">
        <v>4839</v>
      </c>
      <c r="H506" t="s">
        <v>4840</v>
      </c>
      <c r="K506" s="418">
        <v>192621.16</v>
      </c>
      <c r="M506" s="31">
        <v>154684</v>
      </c>
      <c r="O506" s="31">
        <v>37937.160000000003</v>
      </c>
      <c r="Q506">
        <v>24.5</v>
      </c>
    </row>
    <row r="507" spans="3:18">
      <c r="C507">
        <v>5360</v>
      </c>
      <c r="E507" t="s">
        <v>4841</v>
      </c>
      <c r="H507" t="s">
        <v>4842</v>
      </c>
      <c r="K507" s="418">
        <v>-5075212.6100000003</v>
      </c>
      <c r="M507" s="31">
        <v>-5075212.6100000003</v>
      </c>
      <c r="O507">
        <v>0</v>
      </c>
    </row>
    <row r="508" spans="3:18">
      <c r="C508">
        <v>5360</v>
      </c>
      <c r="E508" t="s">
        <v>4843</v>
      </c>
      <c r="H508" t="s">
        <v>4844</v>
      </c>
      <c r="K508" s="418">
        <v>9524846.8800000008</v>
      </c>
      <c r="M508" s="31">
        <v>9524846.8800000008</v>
      </c>
      <c r="O508">
        <v>0</v>
      </c>
    </row>
    <row r="509" spans="3:18">
      <c r="C509">
        <v>5360</v>
      </c>
      <c r="E509" t="s">
        <v>4845</v>
      </c>
      <c r="H509" t="s">
        <v>4846</v>
      </c>
      <c r="K509" s="418">
        <v>1080254.0900000001</v>
      </c>
      <c r="M509" s="31">
        <v>1080254.0900000001</v>
      </c>
      <c r="O509">
        <v>0</v>
      </c>
    </row>
    <row r="510" spans="3:18">
      <c r="C510">
        <v>5360</v>
      </c>
      <c r="E510" t="s">
        <v>4847</v>
      </c>
      <c r="H510" t="s">
        <v>4848</v>
      </c>
      <c r="K510" s="417">
        <v>171.2</v>
      </c>
      <c r="M510">
        <v>122</v>
      </c>
      <c r="O510">
        <v>49.2</v>
      </c>
      <c r="Q510">
        <v>40.299999999999997</v>
      </c>
    </row>
    <row r="511" spans="3:18">
      <c r="C511">
        <v>5360</v>
      </c>
      <c r="E511" t="s">
        <v>4849</v>
      </c>
      <c r="H511" t="s">
        <v>4850</v>
      </c>
      <c r="K511" s="418">
        <v>-1065860</v>
      </c>
      <c r="M511" s="31">
        <v>-1065860</v>
      </c>
      <c r="O511">
        <v>0</v>
      </c>
    </row>
    <row r="512" spans="3:18">
      <c r="C512">
        <v>5360</v>
      </c>
      <c r="E512" t="s">
        <v>4851</v>
      </c>
      <c r="H512" t="s">
        <v>4852</v>
      </c>
      <c r="K512" s="418">
        <v>2198119.5699999998</v>
      </c>
      <c r="M512" s="31">
        <v>2519360.04</v>
      </c>
      <c r="O512" s="31">
        <v>-321240.46999999997</v>
      </c>
      <c r="Q512">
        <v>-12.8</v>
      </c>
    </row>
    <row r="513" spans="3:17">
      <c r="C513">
        <v>5360</v>
      </c>
      <c r="E513" t="s">
        <v>4853</v>
      </c>
      <c r="H513" t="s">
        <v>4854</v>
      </c>
      <c r="K513" s="418">
        <v>-11965</v>
      </c>
      <c r="M513" s="31">
        <v>-179023.5</v>
      </c>
      <c r="O513" s="31">
        <v>167058.5</v>
      </c>
      <c r="Q513">
        <v>93.3</v>
      </c>
    </row>
    <row r="514" spans="3:17">
      <c r="C514">
        <v>5360</v>
      </c>
      <c r="E514" t="s">
        <v>4855</v>
      </c>
      <c r="H514" t="s">
        <v>4856</v>
      </c>
      <c r="K514" s="418">
        <v>-397230.2</v>
      </c>
      <c r="M514" s="31">
        <v>-397230.2</v>
      </c>
      <c r="O514">
        <v>0</v>
      </c>
    </row>
    <row r="515" spans="3:17">
      <c r="C515">
        <v>5360</v>
      </c>
      <c r="E515" t="s">
        <v>4857</v>
      </c>
      <c r="H515" t="s">
        <v>4858</v>
      </c>
      <c r="K515" s="418">
        <v>-14384648.98</v>
      </c>
      <c r="M515" s="31">
        <v>-14384648.98</v>
      </c>
      <c r="O515">
        <v>0</v>
      </c>
    </row>
    <row r="516" spans="3:17">
      <c r="C516">
        <v>5360</v>
      </c>
      <c r="E516" t="s">
        <v>4859</v>
      </c>
      <c r="H516" t="s">
        <v>4860</v>
      </c>
      <c r="K516" s="418">
        <v>965196.96</v>
      </c>
      <c r="M516" s="31">
        <v>327286.53999999998</v>
      </c>
      <c r="O516" s="31">
        <v>637910.42000000004</v>
      </c>
      <c r="Q516">
        <v>194.9</v>
      </c>
    </row>
    <row r="517" spans="3:17">
      <c r="C517">
        <v>5360</v>
      </c>
      <c r="E517" t="s">
        <v>4861</v>
      </c>
      <c r="H517" t="s">
        <v>4862</v>
      </c>
      <c r="K517" s="417">
        <v>0</v>
      </c>
      <c r="M517" s="31">
        <v>-201676.34</v>
      </c>
      <c r="O517" s="31">
        <v>201676.34</v>
      </c>
      <c r="Q517">
        <v>100</v>
      </c>
    </row>
    <row r="518" spans="3:17">
      <c r="C518">
        <v>5360</v>
      </c>
      <c r="E518" t="s">
        <v>4863</v>
      </c>
      <c r="H518" t="s">
        <v>4864</v>
      </c>
      <c r="K518" s="418">
        <v>575781.98</v>
      </c>
      <c r="M518" s="31">
        <v>855236.95</v>
      </c>
      <c r="O518" s="31">
        <v>-279454.96999999997</v>
      </c>
      <c r="Q518">
        <v>-32.700000000000003</v>
      </c>
    </row>
    <row r="519" spans="3:17">
      <c r="C519">
        <v>5360</v>
      </c>
      <c r="E519" t="s">
        <v>4865</v>
      </c>
      <c r="H519" t="s">
        <v>4842</v>
      </c>
      <c r="K519" s="418">
        <v>-3387420.04</v>
      </c>
      <c r="M519" s="31">
        <v>-3387420.04</v>
      </c>
      <c r="O519">
        <v>0</v>
      </c>
    </row>
    <row r="520" spans="3:17">
      <c r="C520">
        <v>5360</v>
      </c>
      <c r="E520" t="s">
        <v>4866</v>
      </c>
      <c r="H520" t="s">
        <v>4844</v>
      </c>
      <c r="K520" s="418">
        <v>-59232415.990000002</v>
      </c>
      <c r="M520" s="31">
        <v>-59232415.990000002</v>
      </c>
      <c r="O520">
        <v>0</v>
      </c>
    </row>
    <row r="521" spans="3:17">
      <c r="C521">
        <v>5360</v>
      </c>
      <c r="E521" t="s">
        <v>4867</v>
      </c>
      <c r="H521" t="s">
        <v>4868</v>
      </c>
      <c r="K521" s="418">
        <v>171539</v>
      </c>
      <c r="M521" s="31">
        <v>128654.24</v>
      </c>
      <c r="O521" s="31">
        <v>42884.76</v>
      </c>
      <c r="Q521">
        <v>33.299999999999997</v>
      </c>
    </row>
    <row r="522" spans="3:17">
      <c r="C522">
        <v>5360</v>
      </c>
      <c r="E522" t="s">
        <v>4869</v>
      </c>
      <c r="H522" t="s">
        <v>4870</v>
      </c>
      <c r="K522" s="418">
        <v>42291.98</v>
      </c>
      <c r="M522" s="31">
        <v>31718.99</v>
      </c>
      <c r="O522" s="31">
        <v>10572.99</v>
      </c>
      <c r="Q522">
        <v>33.299999999999997</v>
      </c>
    </row>
    <row r="523" spans="3:17">
      <c r="C523">
        <v>5360</v>
      </c>
      <c r="E523" t="s">
        <v>4944</v>
      </c>
      <c r="H523" t="s">
        <v>4945</v>
      </c>
      <c r="K523" s="418">
        <v>-266973.69</v>
      </c>
      <c r="M523">
        <v>0</v>
      </c>
      <c r="O523" s="31">
        <v>-266973.69</v>
      </c>
    </row>
    <row r="524" spans="3:17">
      <c r="C524">
        <v>5360</v>
      </c>
      <c r="E524" t="s">
        <v>4871</v>
      </c>
      <c r="H524" t="s">
        <v>4872</v>
      </c>
      <c r="K524" s="418">
        <v>-103414.45</v>
      </c>
      <c r="M524" s="31">
        <v>-103414.45</v>
      </c>
      <c r="O524">
        <v>0</v>
      </c>
    </row>
    <row r="525" spans="3:17">
      <c r="C525">
        <v>5360</v>
      </c>
      <c r="E525" t="s">
        <v>4946</v>
      </c>
      <c r="H525" t="s">
        <v>4947</v>
      </c>
      <c r="K525" s="418">
        <v>15750773</v>
      </c>
      <c r="M525">
        <v>0</v>
      </c>
      <c r="O525" s="31">
        <v>15750773</v>
      </c>
    </row>
    <row r="526" spans="3:17">
      <c r="C526">
        <v>5360</v>
      </c>
      <c r="E526" t="s">
        <v>4948</v>
      </c>
      <c r="H526" t="s">
        <v>4949</v>
      </c>
      <c r="K526" s="418">
        <v>19635480</v>
      </c>
      <c r="M526">
        <v>0</v>
      </c>
      <c r="O526" s="31">
        <v>19635480</v>
      </c>
    </row>
    <row r="527" spans="3:17">
      <c r="C527">
        <v>5360</v>
      </c>
      <c r="E527" t="s">
        <v>4873</v>
      </c>
      <c r="H527" t="s">
        <v>4858</v>
      </c>
      <c r="K527" s="418">
        <v>-22689790.280000001</v>
      </c>
      <c r="M527" s="31">
        <v>-22689790.280000001</v>
      </c>
      <c r="O527">
        <v>0</v>
      </c>
    </row>
    <row r="528" spans="3:17">
      <c r="C528">
        <v>5360</v>
      </c>
      <c r="E528" t="s">
        <v>4874</v>
      </c>
      <c r="H528" t="s">
        <v>4875</v>
      </c>
      <c r="K528" s="418">
        <v>33335340.75</v>
      </c>
      <c r="M528" s="31">
        <v>33372555.73</v>
      </c>
      <c r="O528" s="31">
        <v>-37214.980000000003</v>
      </c>
      <c r="Q528">
        <v>-0.1</v>
      </c>
    </row>
    <row r="529" spans="3:18">
      <c r="E529" t="s">
        <v>4876</v>
      </c>
      <c r="K529" s="418">
        <v>-26854552.600000001</v>
      </c>
      <c r="M529" s="31">
        <v>-61488948.880000003</v>
      </c>
      <c r="O529" s="31">
        <v>34634396.280000001</v>
      </c>
      <c r="Q529">
        <v>56.3</v>
      </c>
      <c r="R529" t="s">
        <v>569</v>
      </c>
    </row>
    <row r="530" spans="3:18">
      <c r="C530">
        <v>5360</v>
      </c>
      <c r="E530" t="s">
        <v>4877</v>
      </c>
      <c r="H530" t="s">
        <v>4878</v>
      </c>
      <c r="K530" s="417">
        <v>0.67</v>
      </c>
      <c r="M530">
        <v>0.67</v>
      </c>
      <c r="O530">
        <v>0</v>
      </c>
    </row>
    <row r="531" spans="3:18">
      <c r="C531">
        <v>5360</v>
      </c>
      <c r="E531" t="s">
        <v>4879</v>
      </c>
      <c r="H531" t="s">
        <v>4880</v>
      </c>
      <c r="K531" s="417">
        <v>-71.91</v>
      </c>
      <c r="M531">
        <v>-71.91</v>
      </c>
      <c r="O531">
        <v>0</v>
      </c>
    </row>
    <row r="532" spans="3:18">
      <c r="C532">
        <v>5360</v>
      </c>
      <c r="E532" t="s">
        <v>4881</v>
      </c>
      <c r="H532" t="s">
        <v>4882</v>
      </c>
      <c r="K532" s="418">
        <v>-26001034.350000001</v>
      </c>
      <c r="M532" s="31">
        <v>-13889799.68</v>
      </c>
      <c r="O532" s="31">
        <v>-12111234.67</v>
      </c>
      <c r="Q532">
        <v>-87.2</v>
      </c>
    </row>
    <row r="533" spans="3:18">
      <c r="C533">
        <v>5360</v>
      </c>
      <c r="E533" t="s">
        <v>4885</v>
      </c>
      <c r="H533" t="s">
        <v>4886</v>
      </c>
      <c r="K533" s="417">
        <v>-3.02</v>
      </c>
      <c r="M533">
        <v>-3.02</v>
      </c>
      <c r="O533">
        <v>0</v>
      </c>
    </row>
    <row r="534" spans="3:18">
      <c r="C534">
        <v>5360</v>
      </c>
      <c r="E534" t="s">
        <v>4887</v>
      </c>
      <c r="H534" t="s">
        <v>4878</v>
      </c>
      <c r="K534" s="418">
        <v>-228494</v>
      </c>
      <c r="M534" s="31">
        <v>-510754.18</v>
      </c>
      <c r="O534" s="31">
        <v>282260.18</v>
      </c>
      <c r="Q534">
        <v>55.3</v>
      </c>
    </row>
    <row r="535" spans="3:18">
      <c r="C535">
        <v>5360</v>
      </c>
      <c r="E535" t="s">
        <v>4888</v>
      </c>
      <c r="H535" t="s">
        <v>4880</v>
      </c>
      <c r="K535" s="418">
        <v>-516649.58</v>
      </c>
      <c r="M535" s="31">
        <v>-4532831.21</v>
      </c>
      <c r="O535" s="31">
        <v>4016181.63</v>
      </c>
      <c r="Q535">
        <v>88.6</v>
      </c>
    </row>
    <row r="536" spans="3:18">
      <c r="C536">
        <v>5360</v>
      </c>
      <c r="E536" t="s">
        <v>4889</v>
      </c>
      <c r="H536" t="s">
        <v>4890</v>
      </c>
      <c r="K536" s="417">
        <v>0</v>
      </c>
      <c r="M536" s="31">
        <v>317224.59000000003</v>
      </c>
      <c r="O536" s="31">
        <v>-317224.59000000003</v>
      </c>
      <c r="Q536">
        <v>-100</v>
      </c>
    </row>
    <row r="537" spans="3:18">
      <c r="C537">
        <v>5360</v>
      </c>
      <c r="E537" t="s">
        <v>4891</v>
      </c>
      <c r="H537" t="s">
        <v>3537</v>
      </c>
      <c r="K537" s="418">
        <v>-10356989.189999999</v>
      </c>
      <c r="M537" s="31">
        <v>-4630110.0999999996</v>
      </c>
      <c r="O537" s="31">
        <v>-5726879.0899999999</v>
      </c>
      <c r="Q537">
        <v>-123.7</v>
      </c>
    </row>
    <row r="538" spans="3:18">
      <c r="C538">
        <v>5360</v>
      </c>
      <c r="E538" t="s">
        <v>4892</v>
      </c>
      <c r="H538" t="s">
        <v>4893</v>
      </c>
      <c r="K538" s="418">
        <v>-1351626.02</v>
      </c>
      <c r="M538" s="31">
        <v>-1453063.57</v>
      </c>
      <c r="O538" s="31">
        <v>101437.55</v>
      </c>
      <c r="Q538">
        <v>7</v>
      </c>
    </row>
    <row r="539" spans="3:18">
      <c r="C539">
        <v>5360</v>
      </c>
      <c r="E539" t="s">
        <v>4894</v>
      </c>
      <c r="H539" t="s">
        <v>4895</v>
      </c>
      <c r="K539" s="418">
        <v>12406.53</v>
      </c>
      <c r="M539" s="31">
        <v>12406.53</v>
      </c>
      <c r="O539">
        <v>0</v>
      </c>
    </row>
    <row r="540" spans="3:18">
      <c r="C540">
        <v>5360</v>
      </c>
      <c r="E540" t="s">
        <v>4896</v>
      </c>
      <c r="H540" t="s">
        <v>4357</v>
      </c>
      <c r="K540" s="418">
        <v>-3780616.95</v>
      </c>
      <c r="M540" s="31">
        <v>-900988.86</v>
      </c>
      <c r="O540" s="31">
        <v>-2879628.09</v>
      </c>
      <c r="Q540">
        <v>-319.60000000000002</v>
      </c>
    </row>
    <row r="541" spans="3:18">
      <c r="C541">
        <v>5360</v>
      </c>
      <c r="E541" t="s">
        <v>4897</v>
      </c>
      <c r="H541" t="s">
        <v>4359</v>
      </c>
      <c r="K541" s="417">
        <v>-610.99</v>
      </c>
      <c r="M541">
        <v>-610.99</v>
      </c>
      <c r="O541">
        <v>0</v>
      </c>
    </row>
    <row r="542" spans="3:18">
      <c r="C542">
        <v>5360</v>
      </c>
      <c r="E542" t="s">
        <v>4898</v>
      </c>
      <c r="H542" t="s">
        <v>4361</v>
      </c>
      <c r="K542" s="418">
        <v>-201607.43</v>
      </c>
      <c r="M542" s="31">
        <v>-464236.89</v>
      </c>
      <c r="O542" s="31">
        <v>262629.46000000002</v>
      </c>
      <c r="Q542">
        <v>56.6</v>
      </c>
    </row>
    <row r="543" spans="3:18">
      <c r="C543">
        <v>5360</v>
      </c>
      <c r="E543" t="s">
        <v>4899</v>
      </c>
      <c r="H543" t="s">
        <v>1704</v>
      </c>
      <c r="K543" s="418">
        <v>-1612045.61</v>
      </c>
      <c r="M543" s="31">
        <v>-2497938.35</v>
      </c>
      <c r="O543" s="31">
        <v>885892.74</v>
      </c>
      <c r="Q543">
        <v>35.5</v>
      </c>
    </row>
    <row r="544" spans="3:18">
      <c r="C544">
        <v>5360</v>
      </c>
      <c r="E544" t="s">
        <v>4901</v>
      </c>
      <c r="H544" t="s">
        <v>4365</v>
      </c>
      <c r="K544" s="418">
        <v>-15138</v>
      </c>
      <c r="M544">
        <v>0</v>
      </c>
      <c r="O544" s="31">
        <v>-15138</v>
      </c>
    </row>
    <row r="545" spans="1:18">
      <c r="C545">
        <v>5360</v>
      </c>
      <c r="E545" t="s">
        <v>4902</v>
      </c>
      <c r="H545" t="s">
        <v>4903</v>
      </c>
      <c r="K545" s="418">
        <v>-2220051.98</v>
      </c>
      <c r="M545" s="31">
        <v>-2118614.4300000002</v>
      </c>
      <c r="O545" s="31">
        <v>-101437.55</v>
      </c>
      <c r="Q545">
        <v>-4.8</v>
      </c>
    </row>
    <row r="546" spans="1:18">
      <c r="C546">
        <v>5360</v>
      </c>
      <c r="E546" t="s">
        <v>4904</v>
      </c>
      <c r="H546" t="s">
        <v>4905</v>
      </c>
      <c r="K546" s="418">
        <v>-9696621.7300000004</v>
      </c>
      <c r="M546" s="31">
        <v>-11576976.869999999</v>
      </c>
      <c r="O546" s="31">
        <v>1880355.14</v>
      </c>
      <c r="Q546">
        <v>16.2</v>
      </c>
    </row>
    <row r="547" spans="1:18">
      <c r="C547">
        <v>5360</v>
      </c>
      <c r="E547" t="s">
        <v>4906</v>
      </c>
      <c r="H547" t="s">
        <v>4907</v>
      </c>
      <c r="K547" s="418">
        <v>-283009.34000000003</v>
      </c>
      <c r="M547" s="31">
        <v>-675915.33</v>
      </c>
      <c r="O547" s="31">
        <v>392905.99</v>
      </c>
      <c r="Q547">
        <v>58.1</v>
      </c>
    </row>
    <row r="548" spans="1:18">
      <c r="C548">
        <v>5360</v>
      </c>
      <c r="E548" t="s">
        <v>4908</v>
      </c>
      <c r="H548" t="s">
        <v>4909</v>
      </c>
      <c r="K548" s="417">
        <v>0</v>
      </c>
      <c r="M548" s="31">
        <v>-184541.66</v>
      </c>
      <c r="O548" s="31">
        <v>184541.66</v>
      </c>
      <c r="Q548">
        <v>100</v>
      </c>
    </row>
    <row r="549" spans="1:18">
      <c r="E549" t="s">
        <v>4910</v>
      </c>
      <c r="K549" s="418">
        <v>-56252162.899999999</v>
      </c>
      <c r="M549" s="31">
        <v>-43106825.259999998</v>
      </c>
      <c r="O549" s="31">
        <v>-13145337.640000001</v>
      </c>
      <c r="Q549">
        <v>-30.5</v>
      </c>
      <c r="R549" t="s">
        <v>569</v>
      </c>
    </row>
    <row r="550" spans="1:18">
      <c r="C550">
        <v>5360</v>
      </c>
      <c r="E550" t="s">
        <v>4911</v>
      </c>
      <c r="H550" t="s">
        <v>4912</v>
      </c>
      <c r="K550" s="418">
        <v>6035927.7599999998</v>
      </c>
      <c r="M550" s="31">
        <v>5598858.1500000004</v>
      </c>
      <c r="O550" s="31">
        <v>437069.61</v>
      </c>
      <c r="Q550">
        <v>7.8</v>
      </c>
    </row>
    <row r="551" spans="1:18">
      <c r="E551" t="s">
        <v>4913</v>
      </c>
      <c r="K551" s="418">
        <v>6035927.7599999998</v>
      </c>
      <c r="M551" s="31">
        <v>5598858.1500000004</v>
      </c>
      <c r="O551" s="31">
        <v>437069.61</v>
      </c>
      <c r="Q551">
        <v>7.8</v>
      </c>
      <c r="R551" t="s">
        <v>569</v>
      </c>
    </row>
    <row r="552" spans="1:18">
      <c r="E552" t="s">
        <v>4914</v>
      </c>
      <c r="K552" s="418">
        <v>-295026377.00999999</v>
      </c>
      <c r="M552" s="31">
        <v>-325553581.06999999</v>
      </c>
      <c r="O552" s="31">
        <v>30527204.059999999</v>
      </c>
      <c r="Q552">
        <v>9.4</v>
      </c>
      <c r="R552" t="s">
        <v>611</v>
      </c>
    </row>
    <row r="554" spans="1:18">
      <c r="E554" t="s">
        <v>4915</v>
      </c>
      <c r="K554" s="418">
        <v>-730070414.46000004</v>
      </c>
      <c r="M554" s="31">
        <v>-758799796.92999995</v>
      </c>
      <c r="O554" s="31">
        <v>28729382.469999999</v>
      </c>
      <c r="Q554">
        <v>3.8</v>
      </c>
      <c r="R554" t="s">
        <v>930</v>
      </c>
    </row>
    <row r="556" spans="1:18">
      <c r="E556" t="s">
        <v>4510</v>
      </c>
      <c r="K556" s="418">
        <v>403372922.04000002</v>
      </c>
      <c r="M556" s="31">
        <v>430378754.88</v>
      </c>
      <c r="O556" s="31">
        <v>-27005832.84</v>
      </c>
      <c r="Q556">
        <v>-6.3</v>
      </c>
      <c r="R556" t="s">
        <v>970</v>
      </c>
    </row>
    <row r="560" spans="1:18">
      <c r="A560" t="s">
        <v>4916</v>
      </c>
    </row>
    <row r="561" spans="1:18">
      <c r="A561" t="s">
        <v>4950</v>
      </c>
    </row>
    <row r="563" spans="1:18">
      <c r="A563" t="s">
        <v>535</v>
      </c>
      <c r="F563">
        <v>5360</v>
      </c>
      <c r="G563" t="s">
        <v>536</v>
      </c>
      <c r="I563" t="s">
        <v>537</v>
      </c>
      <c r="N563" t="s">
        <v>538</v>
      </c>
      <c r="P563" t="s">
        <v>539</v>
      </c>
    </row>
    <row r="565" spans="1:18">
      <c r="B565" t="s">
        <v>313</v>
      </c>
      <c r="C565" t="s">
        <v>540</v>
      </c>
      <c r="D565" t="s">
        <v>541</v>
      </c>
      <c r="E565" t="s">
        <v>542</v>
      </c>
      <c r="J565" t="s">
        <v>543</v>
      </c>
      <c r="L565" t="s">
        <v>544</v>
      </c>
      <c r="O565" t="s">
        <v>545</v>
      </c>
      <c r="Q565" t="s">
        <v>546</v>
      </c>
      <c r="R565" t="s">
        <v>4054</v>
      </c>
    </row>
    <row r="566" spans="1:18">
      <c r="B566" t="s">
        <v>201</v>
      </c>
      <c r="C566" t="s">
        <v>548</v>
      </c>
      <c r="D566" t="s">
        <v>549</v>
      </c>
      <c r="J566" t="s">
        <v>4919</v>
      </c>
      <c r="L566" t="s">
        <v>4056</v>
      </c>
      <c r="O566" t="s">
        <v>551</v>
      </c>
      <c r="Q566" t="s">
        <v>552</v>
      </c>
      <c r="R566" t="s">
        <v>4057</v>
      </c>
    </row>
    <row r="568" spans="1:18">
      <c r="E568" t="s">
        <v>4951</v>
      </c>
    </row>
    <row r="569" spans="1:18">
      <c r="C569">
        <v>5360</v>
      </c>
      <c r="E569">
        <v>91010000</v>
      </c>
      <c r="H569" t="s">
        <v>4952</v>
      </c>
      <c r="K569" s="418">
        <v>958638825.70000005</v>
      </c>
      <c r="M569" s="31">
        <v>958638825.70000005</v>
      </c>
      <c r="O569">
        <v>0</v>
      </c>
    </row>
    <row r="570" spans="1:18">
      <c r="C570">
        <v>5360</v>
      </c>
      <c r="E570">
        <v>91011000</v>
      </c>
      <c r="H570" t="s">
        <v>4953</v>
      </c>
      <c r="K570" s="418">
        <v>142895235.49000001</v>
      </c>
      <c r="M570" s="31">
        <v>142895235.49000001</v>
      </c>
      <c r="O570">
        <v>0</v>
      </c>
    </row>
    <row r="571" spans="1:18">
      <c r="C571">
        <v>5360</v>
      </c>
      <c r="E571">
        <v>91060000</v>
      </c>
      <c r="H571" t="s">
        <v>4954</v>
      </c>
      <c r="K571" s="418">
        <v>57052537.340000004</v>
      </c>
      <c r="M571" s="31">
        <v>57052537.340000004</v>
      </c>
      <c r="O571">
        <v>0</v>
      </c>
    </row>
    <row r="572" spans="1:18">
      <c r="C572">
        <v>5360</v>
      </c>
      <c r="E572">
        <v>91070000</v>
      </c>
      <c r="H572" t="s">
        <v>4955</v>
      </c>
      <c r="K572" s="418">
        <v>74726180.260000005</v>
      </c>
      <c r="M572" s="31">
        <v>74726180.260000005</v>
      </c>
      <c r="O572">
        <v>0</v>
      </c>
    </row>
    <row r="573" spans="1:18">
      <c r="C573">
        <v>5360</v>
      </c>
      <c r="E573">
        <v>91080000</v>
      </c>
      <c r="H573" t="s">
        <v>4956</v>
      </c>
      <c r="K573" s="418">
        <v>-366679974.38999999</v>
      </c>
      <c r="M573" s="31">
        <v>-366679974.38999999</v>
      </c>
      <c r="O573">
        <v>0</v>
      </c>
    </row>
    <row r="574" spans="1:18">
      <c r="C574">
        <v>5360</v>
      </c>
      <c r="E574">
        <v>91110000</v>
      </c>
      <c r="H574" t="s">
        <v>4957</v>
      </c>
      <c r="K574" s="418">
        <v>-19833570.02</v>
      </c>
      <c r="M574" s="31">
        <v>-19833570.02</v>
      </c>
      <c r="O574">
        <v>0</v>
      </c>
    </row>
    <row r="575" spans="1:18">
      <c r="C575">
        <v>5360</v>
      </c>
      <c r="E575">
        <v>91140000</v>
      </c>
      <c r="H575" t="s">
        <v>4187</v>
      </c>
      <c r="K575" s="418">
        <v>235058056.38999999</v>
      </c>
      <c r="M575" s="31">
        <v>235058056.38999999</v>
      </c>
      <c r="O575">
        <v>0</v>
      </c>
    </row>
    <row r="576" spans="1:18">
      <c r="C576">
        <v>5360</v>
      </c>
      <c r="E576">
        <v>91210000</v>
      </c>
      <c r="H576" t="s">
        <v>4958</v>
      </c>
      <c r="K576" s="418">
        <v>4041036.52</v>
      </c>
      <c r="M576" s="31">
        <v>4041036.52</v>
      </c>
      <c r="O576">
        <v>0</v>
      </c>
    </row>
    <row r="577" spans="3:15">
      <c r="C577">
        <v>5360</v>
      </c>
      <c r="E577">
        <v>91231000</v>
      </c>
      <c r="H577" t="s">
        <v>4959</v>
      </c>
      <c r="K577" s="418">
        <v>-170988.32</v>
      </c>
      <c r="M577" s="31">
        <v>-170988.32</v>
      </c>
      <c r="O577">
        <v>0</v>
      </c>
    </row>
    <row r="578" spans="3:15">
      <c r="C578">
        <v>5360</v>
      </c>
      <c r="E578">
        <v>91240000</v>
      </c>
      <c r="H578" t="s">
        <v>4960</v>
      </c>
      <c r="K578" s="418">
        <v>57495</v>
      </c>
      <c r="M578" s="31">
        <v>57495</v>
      </c>
      <c r="O578">
        <v>0</v>
      </c>
    </row>
    <row r="579" spans="3:15">
      <c r="C579">
        <v>5360</v>
      </c>
      <c r="E579">
        <v>91340000</v>
      </c>
      <c r="H579" t="s">
        <v>4961</v>
      </c>
      <c r="K579" s="418">
        <v>1477251.19</v>
      </c>
      <c r="M579" s="31">
        <v>1477251.19</v>
      </c>
      <c r="O579">
        <v>0</v>
      </c>
    </row>
    <row r="580" spans="3:15">
      <c r="C580">
        <v>5360</v>
      </c>
      <c r="E580">
        <v>91420000</v>
      </c>
      <c r="H580" t="s">
        <v>3603</v>
      </c>
      <c r="K580" s="418">
        <v>60166796.869999997</v>
      </c>
      <c r="M580" s="31">
        <v>60166796.869999997</v>
      </c>
      <c r="O580">
        <v>0</v>
      </c>
    </row>
    <row r="581" spans="3:15">
      <c r="C581">
        <v>5360</v>
      </c>
      <c r="E581">
        <v>91430000</v>
      </c>
      <c r="H581" t="s">
        <v>4962</v>
      </c>
      <c r="K581" s="418">
        <v>5214367.53</v>
      </c>
      <c r="M581" s="31">
        <v>5214367.53</v>
      </c>
      <c r="O581">
        <v>0</v>
      </c>
    </row>
    <row r="582" spans="3:15">
      <c r="C582">
        <v>5360</v>
      </c>
      <c r="E582">
        <v>91440000</v>
      </c>
      <c r="H582" t="s">
        <v>4261</v>
      </c>
      <c r="K582" s="418">
        <v>-10672306.279999999</v>
      </c>
      <c r="M582" s="31">
        <v>-10672306.279999999</v>
      </c>
      <c r="O582">
        <v>0</v>
      </c>
    </row>
    <row r="583" spans="3:15">
      <c r="C583">
        <v>5360</v>
      </c>
      <c r="E583">
        <v>91460000</v>
      </c>
      <c r="H583" t="s">
        <v>4963</v>
      </c>
      <c r="K583" s="418">
        <v>1579912872.0699999</v>
      </c>
      <c r="M583" s="31">
        <v>1579912872.0699999</v>
      </c>
      <c r="O583">
        <v>0</v>
      </c>
    </row>
    <row r="584" spans="3:15">
      <c r="C584">
        <v>5360</v>
      </c>
      <c r="E584">
        <v>91540000</v>
      </c>
      <c r="H584" t="s">
        <v>4288</v>
      </c>
      <c r="K584" s="418">
        <v>3580099.58</v>
      </c>
      <c r="M584" s="31">
        <v>3580099.58</v>
      </c>
      <c r="O584">
        <v>0</v>
      </c>
    </row>
    <row r="585" spans="3:15">
      <c r="C585">
        <v>5360</v>
      </c>
      <c r="E585">
        <v>91630000</v>
      </c>
      <c r="H585" t="s">
        <v>4964</v>
      </c>
      <c r="K585" s="418">
        <v>1086591.3700000001</v>
      </c>
      <c r="M585" s="31">
        <v>1086591.3700000001</v>
      </c>
      <c r="O585">
        <v>0</v>
      </c>
    </row>
    <row r="586" spans="3:15">
      <c r="C586">
        <v>5360</v>
      </c>
      <c r="E586">
        <v>91641000</v>
      </c>
      <c r="H586" t="s">
        <v>4965</v>
      </c>
      <c r="K586" s="418">
        <v>8298258.54</v>
      </c>
      <c r="M586" s="31">
        <v>8298258.54</v>
      </c>
      <c r="O586">
        <v>0</v>
      </c>
    </row>
    <row r="587" spans="3:15">
      <c r="C587">
        <v>5360</v>
      </c>
      <c r="E587">
        <v>91642000</v>
      </c>
      <c r="H587" t="s">
        <v>4285</v>
      </c>
      <c r="K587" s="418">
        <v>2684514.44</v>
      </c>
      <c r="M587" s="31">
        <v>2684514.44</v>
      </c>
      <c r="O587">
        <v>0</v>
      </c>
    </row>
    <row r="588" spans="3:15">
      <c r="C588">
        <v>5360</v>
      </c>
      <c r="E588">
        <v>91650000</v>
      </c>
      <c r="H588" t="s">
        <v>4300</v>
      </c>
      <c r="K588" s="418">
        <v>864352.82</v>
      </c>
      <c r="M588" s="31">
        <v>864352.82</v>
      </c>
      <c r="O588">
        <v>0</v>
      </c>
    </row>
    <row r="589" spans="3:15">
      <c r="C589">
        <v>5360</v>
      </c>
      <c r="E589">
        <v>91730000</v>
      </c>
      <c r="H589" t="s">
        <v>4966</v>
      </c>
      <c r="K589" s="418">
        <v>40602978.560000002</v>
      </c>
      <c r="M589" s="31">
        <v>40602978.560000002</v>
      </c>
      <c r="O589">
        <v>0</v>
      </c>
    </row>
    <row r="590" spans="3:15">
      <c r="C590">
        <v>5360</v>
      </c>
      <c r="E590">
        <v>91740000</v>
      </c>
      <c r="H590" t="s">
        <v>4967</v>
      </c>
      <c r="K590" s="418">
        <v>176193.53</v>
      </c>
      <c r="M590" s="31">
        <v>176193.53</v>
      </c>
      <c r="O590">
        <v>0</v>
      </c>
    </row>
    <row r="591" spans="3:15">
      <c r="C591">
        <v>5360</v>
      </c>
      <c r="E591">
        <v>91760000</v>
      </c>
      <c r="H591" t="s">
        <v>4968</v>
      </c>
      <c r="K591" s="418">
        <v>2226639.31</v>
      </c>
      <c r="M591" s="31">
        <v>2226639.31</v>
      </c>
      <c r="O591">
        <v>0</v>
      </c>
    </row>
    <row r="592" spans="3:15">
      <c r="C592">
        <v>5360</v>
      </c>
      <c r="E592">
        <v>91810000</v>
      </c>
      <c r="H592" t="s">
        <v>4375</v>
      </c>
      <c r="K592" s="418">
        <v>80830.89</v>
      </c>
      <c r="M592" s="31">
        <v>80830.89</v>
      </c>
      <c r="O592">
        <v>0</v>
      </c>
    </row>
    <row r="593" spans="3:15">
      <c r="C593">
        <v>5360</v>
      </c>
      <c r="E593">
        <v>91823000</v>
      </c>
      <c r="H593" t="s">
        <v>4373</v>
      </c>
      <c r="K593" s="418">
        <v>138605232.56999999</v>
      </c>
      <c r="M593" s="31">
        <v>138605232.56999999</v>
      </c>
      <c r="O593">
        <v>0</v>
      </c>
    </row>
    <row r="594" spans="3:15">
      <c r="C594">
        <v>5360</v>
      </c>
      <c r="E594">
        <v>91830000</v>
      </c>
      <c r="H594" t="s">
        <v>4969</v>
      </c>
      <c r="K594" s="418">
        <v>-59643.66</v>
      </c>
      <c r="M594" s="31">
        <v>-59643.66</v>
      </c>
      <c r="O594">
        <v>0</v>
      </c>
    </row>
    <row r="595" spans="3:15">
      <c r="C595">
        <v>5360</v>
      </c>
      <c r="E595">
        <v>91831000</v>
      </c>
      <c r="H595" t="s">
        <v>4970</v>
      </c>
      <c r="K595" s="418">
        <v>67967.960000000006</v>
      </c>
      <c r="M595" s="31">
        <v>67967.960000000006</v>
      </c>
      <c r="O595">
        <v>0</v>
      </c>
    </row>
    <row r="596" spans="3:15">
      <c r="C596">
        <v>5360</v>
      </c>
      <c r="E596">
        <v>91840000</v>
      </c>
      <c r="H596" t="s">
        <v>4429</v>
      </c>
      <c r="K596" s="418">
        <v>116003694.04000001</v>
      </c>
      <c r="M596" s="31">
        <v>116003694.04000001</v>
      </c>
      <c r="O596">
        <v>0</v>
      </c>
    </row>
    <row r="597" spans="3:15">
      <c r="C597">
        <v>5360</v>
      </c>
      <c r="E597">
        <v>91860000</v>
      </c>
      <c r="H597" t="s">
        <v>4971</v>
      </c>
      <c r="K597" s="418">
        <v>598849193.57000005</v>
      </c>
      <c r="M597" s="31">
        <v>598849193.57000005</v>
      </c>
      <c r="O597">
        <v>0</v>
      </c>
    </row>
    <row r="598" spans="3:15">
      <c r="C598">
        <v>5360</v>
      </c>
      <c r="E598">
        <v>91869999</v>
      </c>
      <c r="H598" t="s">
        <v>4972</v>
      </c>
      <c r="K598" s="418">
        <v>-3561128.75</v>
      </c>
      <c r="M598" s="31">
        <v>-3561128.75</v>
      </c>
      <c r="O598">
        <v>0</v>
      </c>
    </row>
    <row r="599" spans="3:15">
      <c r="C599">
        <v>5360</v>
      </c>
      <c r="E599">
        <v>91900000</v>
      </c>
      <c r="H599" t="s">
        <v>4973</v>
      </c>
      <c r="K599" s="418">
        <v>41419124.130000003</v>
      </c>
      <c r="M599" s="31">
        <v>41419124.130000003</v>
      </c>
      <c r="O599">
        <v>0</v>
      </c>
    </row>
    <row r="600" spans="3:15">
      <c r="C600">
        <v>5360</v>
      </c>
      <c r="E600">
        <v>92100000</v>
      </c>
      <c r="H600" t="s">
        <v>4974</v>
      </c>
      <c r="K600" s="418">
        <v>-34359.71</v>
      </c>
      <c r="M600" s="31">
        <v>-34359.71</v>
      </c>
      <c r="O600">
        <v>0</v>
      </c>
    </row>
    <row r="601" spans="3:15">
      <c r="C601">
        <v>5360</v>
      </c>
      <c r="E601">
        <v>92150000</v>
      </c>
      <c r="H601" t="s">
        <v>4975</v>
      </c>
      <c r="K601" s="417">
        <v>804.51</v>
      </c>
      <c r="M601">
        <v>804.51</v>
      </c>
      <c r="O601">
        <v>0</v>
      </c>
    </row>
    <row r="602" spans="3:15">
      <c r="C602">
        <v>5360</v>
      </c>
      <c r="E602">
        <v>92160000</v>
      </c>
      <c r="H602" t="s">
        <v>4519</v>
      </c>
      <c r="K602" s="418">
        <v>-924012210.5</v>
      </c>
      <c r="M602" s="31">
        <v>-924012210.5</v>
      </c>
      <c r="O602">
        <v>0</v>
      </c>
    </row>
    <row r="603" spans="3:15">
      <c r="C603">
        <v>5360</v>
      </c>
      <c r="E603">
        <v>92190000</v>
      </c>
      <c r="H603" t="s">
        <v>4976</v>
      </c>
      <c r="K603" s="418">
        <v>-2614432</v>
      </c>
      <c r="M603" s="31">
        <v>-2614432</v>
      </c>
      <c r="O603">
        <v>0</v>
      </c>
    </row>
    <row r="604" spans="3:15">
      <c r="C604">
        <v>5360</v>
      </c>
      <c r="E604">
        <v>92210000</v>
      </c>
      <c r="H604" t="s">
        <v>4532</v>
      </c>
      <c r="K604" s="418">
        <v>-49464000</v>
      </c>
      <c r="M604" s="31">
        <v>-49464000</v>
      </c>
      <c r="O604">
        <v>0</v>
      </c>
    </row>
    <row r="605" spans="3:15">
      <c r="C605">
        <v>5360</v>
      </c>
      <c r="E605">
        <v>92281000</v>
      </c>
      <c r="H605" t="s">
        <v>4779</v>
      </c>
      <c r="K605" s="418">
        <v>-104077.03</v>
      </c>
      <c r="M605" s="31">
        <v>-104077.03</v>
      </c>
      <c r="O605">
        <v>0</v>
      </c>
    </row>
    <row r="606" spans="3:15">
      <c r="C606">
        <v>5360</v>
      </c>
      <c r="E606">
        <v>92282000</v>
      </c>
      <c r="H606" t="s">
        <v>4977</v>
      </c>
      <c r="K606" s="418">
        <v>-1045221.2</v>
      </c>
      <c r="M606" s="31">
        <v>-1045221.2</v>
      </c>
      <c r="O606">
        <v>0</v>
      </c>
    </row>
    <row r="607" spans="3:15">
      <c r="C607">
        <v>5360</v>
      </c>
      <c r="E607">
        <v>92300000</v>
      </c>
      <c r="H607" t="s">
        <v>4978</v>
      </c>
      <c r="K607" s="418">
        <v>-8356862.8899999997</v>
      </c>
      <c r="M607" s="31">
        <v>-8356862.8899999997</v>
      </c>
      <c r="O607">
        <v>0</v>
      </c>
    </row>
    <row r="608" spans="3:15">
      <c r="C608">
        <v>5360</v>
      </c>
      <c r="E608">
        <v>92320000</v>
      </c>
      <c r="H608" t="s">
        <v>4609</v>
      </c>
      <c r="K608" s="418">
        <v>-64821794.549999997</v>
      </c>
      <c r="M608" s="31">
        <v>-64821794.549999997</v>
      </c>
      <c r="O608">
        <v>0</v>
      </c>
    </row>
    <row r="609" spans="3:15">
      <c r="C609">
        <v>5360</v>
      </c>
      <c r="E609">
        <v>92330000</v>
      </c>
      <c r="H609" t="s">
        <v>4979</v>
      </c>
      <c r="K609" s="418">
        <v>-493138390</v>
      </c>
      <c r="M609" s="31">
        <v>-493138390</v>
      </c>
      <c r="O609">
        <v>0</v>
      </c>
    </row>
    <row r="610" spans="3:15">
      <c r="C610">
        <v>5360</v>
      </c>
      <c r="E610">
        <v>92340000</v>
      </c>
      <c r="H610" t="s">
        <v>4624</v>
      </c>
      <c r="K610" s="418">
        <v>-391413195.02999997</v>
      </c>
      <c r="M610" s="31">
        <v>-391413195.02999997</v>
      </c>
      <c r="O610">
        <v>0</v>
      </c>
    </row>
    <row r="611" spans="3:15">
      <c r="C611">
        <v>5360</v>
      </c>
      <c r="E611">
        <v>92350000</v>
      </c>
      <c r="H611" t="s">
        <v>266</v>
      </c>
      <c r="K611" s="418">
        <v>-1840626.81</v>
      </c>
      <c r="M611" s="31">
        <v>-1840626.81</v>
      </c>
      <c r="O611">
        <v>0</v>
      </c>
    </row>
    <row r="612" spans="3:15">
      <c r="C612">
        <v>5360</v>
      </c>
      <c r="E612">
        <v>92360000</v>
      </c>
      <c r="H612" t="s">
        <v>4980</v>
      </c>
      <c r="K612" s="418">
        <v>214381032.16999999</v>
      </c>
      <c r="M612" s="31">
        <v>214381032.16999999</v>
      </c>
      <c r="O612">
        <v>0</v>
      </c>
    </row>
    <row r="613" spans="3:15">
      <c r="C613">
        <v>5360</v>
      </c>
      <c r="E613">
        <v>92370000</v>
      </c>
      <c r="H613" t="s">
        <v>4658</v>
      </c>
      <c r="K613" s="418">
        <v>-16592944.26</v>
      </c>
      <c r="M613" s="31">
        <v>-16592944.26</v>
      </c>
      <c r="O613">
        <v>0</v>
      </c>
    </row>
    <row r="614" spans="3:15">
      <c r="C614">
        <v>5360</v>
      </c>
      <c r="E614">
        <v>92410000</v>
      </c>
      <c r="H614" t="s">
        <v>4660</v>
      </c>
      <c r="K614" s="418">
        <v>41941916.409999996</v>
      </c>
      <c r="M614" s="31">
        <v>41941916.409999996</v>
      </c>
      <c r="O614">
        <v>0</v>
      </c>
    </row>
    <row r="615" spans="3:15">
      <c r="C615">
        <v>5360</v>
      </c>
      <c r="E615">
        <v>92420000</v>
      </c>
      <c r="H615" t="s">
        <v>4675</v>
      </c>
      <c r="K615" s="418">
        <v>-81304043.370000005</v>
      </c>
      <c r="M615" s="31">
        <v>-81304043.370000005</v>
      </c>
      <c r="O615">
        <v>0</v>
      </c>
    </row>
    <row r="616" spans="3:15">
      <c r="C616">
        <v>5360</v>
      </c>
      <c r="E616">
        <v>92450000</v>
      </c>
      <c r="H616" t="s">
        <v>4981</v>
      </c>
      <c r="K616" s="418">
        <v>-5232239.5599999996</v>
      </c>
      <c r="M616" s="31">
        <v>-5232239.5599999996</v>
      </c>
      <c r="O616">
        <v>0</v>
      </c>
    </row>
    <row r="617" spans="3:15">
      <c r="C617">
        <v>5360</v>
      </c>
      <c r="E617">
        <v>92520000</v>
      </c>
      <c r="H617" t="s">
        <v>4829</v>
      </c>
      <c r="K617" s="418">
        <v>-2783.23</v>
      </c>
      <c r="M617" s="31">
        <v>-2783.23</v>
      </c>
      <c r="O617">
        <v>0</v>
      </c>
    </row>
    <row r="618" spans="3:15">
      <c r="C618">
        <v>5360</v>
      </c>
      <c r="E618">
        <v>92530000</v>
      </c>
      <c r="H618" t="s">
        <v>4876</v>
      </c>
      <c r="K618" s="418">
        <v>-83568580.890000001</v>
      </c>
      <c r="M618" s="31">
        <v>-83568580.890000001</v>
      </c>
      <c r="O618">
        <v>0</v>
      </c>
    </row>
    <row r="619" spans="3:15">
      <c r="C619">
        <v>5360</v>
      </c>
      <c r="E619">
        <v>92540000</v>
      </c>
      <c r="H619" t="s">
        <v>4982</v>
      </c>
      <c r="K619" s="418">
        <v>-11372068.48</v>
      </c>
      <c r="M619" s="31">
        <v>-11372068.48</v>
      </c>
      <c r="O619">
        <v>0</v>
      </c>
    </row>
    <row r="620" spans="3:15">
      <c r="C620">
        <v>5360</v>
      </c>
      <c r="E620">
        <v>92820000</v>
      </c>
      <c r="H620" t="s">
        <v>4983</v>
      </c>
      <c r="K620" s="418">
        <v>-98506750.129999995</v>
      </c>
      <c r="M620" s="31">
        <v>-98506750.129999995</v>
      </c>
      <c r="O620">
        <v>0</v>
      </c>
    </row>
    <row r="621" spans="3:15">
      <c r="C621">
        <v>5360</v>
      </c>
      <c r="E621">
        <v>92830000</v>
      </c>
      <c r="H621" t="s">
        <v>4984</v>
      </c>
      <c r="K621" s="418">
        <v>-52115963.719999999</v>
      </c>
      <c r="M621" s="31">
        <v>-52115963.719999999</v>
      </c>
      <c r="O621">
        <v>0</v>
      </c>
    </row>
    <row r="622" spans="3:15">
      <c r="C622">
        <v>5360</v>
      </c>
      <c r="E622" t="s">
        <v>4985</v>
      </c>
      <c r="H622" t="s">
        <v>4060</v>
      </c>
      <c r="K622" s="418">
        <v>9220535.3900000006</v>
      </c>
      <c r="M622" s="31">
        <v>9220535.3900000006</v>
      </c>
      <c r="O622">
        <v>0</v>
      </c>
    </row>
    <row r="623" spans="3:15">
      <c r="C623">
        <v>5360</v>
      </c>
      <c r="E623" t="s">
        <v>4986</v>
      </c>
      <c r="H623" t="s">
        <v>4062</v>
      </c>
      <c r="K623" s="418">
        <v>769140.45</v>
      </c>
      <c r="M623" s="31">
        <v>769140.45</v>
      </c>
      <c r="O623">
        <v>0</v>
      </c>
    </row>
    <row r="624" spans="3:15">
      <c r="C624">
        <v>5360</v>
      </c>
      <c r="E624" t="s">
        <v>4987</v>
      </c>
      <c r="H624" t="s">
        <v>4066</v>
      </c>
      <c r="K624" s="418">
        <v>1280483</v>
      </c>
      <c r="M624" s="31">
        <v>1280483</v>
      </c>
      <c r="O624">
        <v>0</v>
      </c>
    </row>
    <row r="625" spans="3:17">
      <c r="C625">
        <v>5360</v>
      </c>
      <c r="E625" t="s">
        <v>4988</v>
      </c>
      <c r="H625" t="s">
        <v>4068</v>
      </c>
      <c r="K625" s="418">
        <v>20926379.210000001</v>
      </c>
      <c r="M625" s="31">
        <v>20926379.210000001</v>
      </c>
      <c r="O625">
        <v>0</v>
      </c>
    </row>
    <row r="626" spans="3:17">
      <c r="C626">
        <v>5360</v>
      </c>
      <c r="E626" t="s">
        <v>4989</v>
      </c>
      <c r="H626" t="s">
        <v>4084</v>
      </c>
      <c r="K626" s="418">
        <v>25189518.710000001</v>
      </c>
      <c r="M626" s="31">
        <v>25189518.710000001</v>
      </c>
      <c r="O626">
        <v>0</v>
      </c>
    </row>
    <row r="627" spans="3:17">
      <c r="C627">
        <v>5360</v>
      </c>
      <c r="E627" t="s">
        <v>4990</v>
      </c>
      <c r="H627" t="s">
        <v>4991</v>
      </c>
      <c r="K627" s="418">
        <v>9323257.8499999996</v>
      </c>
      <c r="M627" s="31">
        <v>3985519.33</v>
      </c>
      <c r="O627" s="31">
        <v>5337738.5199999996</v>
      </c>
      <c r="Q627">
        <v>133.9</v>
      </c>
    </row>
    <row r="628" spans="3:17">
      <c r="C628">
        <v>5360</v>
      </c>
      <c r="E628" t="s">
        <v>4992</v>
      </c>
      <c r="H628" t="s">
        <v>4088</v>
      </c>
      <c r="K628" s="418">
        <v>138584.16</v>
      </c>
      <c r="M628" s="31">
        <v>138584.16</v>
      </c>
      <c r="O628">
        <v>0</v>
      </c>
    </row>
    <row r="629" spans="3:17">
      <c r="C629">
        <v>5360</v>
      </c>
      <c r="E629" t="s">
        <v>4993</v>
      </c>
      <c r="H629" t="s">
        <v>4090</v>
      </c>
      <c r="K629" s="418">
        <v>749088.78</v>
      </c>
      <c r="M629" s="31">
        <v>502569.64</v>
      </c>
      <c r="O629" s="31">
        <v>246519.14</v>
      </c>
      <c r="Q629">
        <v>49.1</v>
      </c>
    </row>
    <row r="630" spans="3:17">
      <c r="C630">
        <v>5360</v>
      </c>
      <c r="E630" t="s">
        <v>4994</v>
      </c>
      <c r="H630" t="s">
        <v>4092</v>
      </c>
      <c r="K630" s="418">
        <v>-533639</v>
      </c>
      <c r="M630" s="31">
        <v>-543484.09</v>
      </c>
      <c r="O630" s="31">
        <v>9845.09</v>
      </c>
      <c r="Q630">
        <v>1.8</v>
      </c>
    </row>
    <row r="631" spans="3:17">
      <c r="C631">
        <v>5360</v>
      </c>
      <c r="E631" t="s">
        <v>4995</v>
      </c>
      <c r="H631" t="s">
        <v>4080</v>
      </c>
      <c r="K631" s="418">
        <v>-41028217.159999996</v>
      </c>
      <c r="M631" s="31">
        <v>-232661.3</v>
      </c>
      <c r="O631" s="31">
        <v>-40795555.859999999</v>
      </c>
      <c r="Q631" t="s">
        <v>4996</v>
      </c>
    </row>
    <row r="632" spans="3:17">
      <c r="C632">
        <v>5360</v>
      </c>
      <c r="E632" t="s">
        <v>4997</v>
      </c>
      <c r="H632" t="s">
        <v>4998</v>
      </c>
      <c r="K632" s="418">
        <v>8401705.6199999992</v>
      </c>
      <c r="M632" s="31">
        <v>8401705.6199999992</v>
      </c>
      <c r="O632">
        <v>0</v>
      </c>
    </row>
    <row r="633" spans="3:17">
      <c r="C633">
        <v>5360</v>
      </c>
      <c r="E633" t="s">
        <v>4999</v>
      </c>
      <c r="H633" t="s">
        <v>4095</v>
      </c>
      <c r="K633" s="418">
        <v>-278533.61</v>
      </c>
      <c r="M633" s="31">
        <v>-278533.61</v>
      </c>
      <c r="O633">
        <v>0</v>
      </c>
    </row>
    <row r="634" spans="3:17">
      <c r="C634">
        <v>5360</v>
      </c>
      <c r="E634" t="s">
        <v>5000</v>
      </c>
      <c r="H634" t="s">
        <v>4170</v>
      </c>
      <c r="K634" s="418">
        <v>-37167352.689999998</v>
      </c>
      <c r="M634" s="31">
        <v>-37167352.689999998</v>
      </c>
      <c r="O634">
        <v>0</v>
      </c>
    </row>
    <row r="635" spans="3:17">
      <c r="C635">
        <v>5360</v>
      </c>
      <c r="E635" t="s">
        <v>5001</v>
      </c>
      <c r="H635" t="s">
        <v>5002</v>
      </c>
      <c r="K635" s="418">
        <v>-3375452.77</v>
      </c>
      <c r="M635" s="31">
        <v>-2518475</v>
      </c>
      <c r="O635" s="31">
        <v>-856977.77</v>
      </c>
      <c r="Q635">
        <v>-34</v>
      </c>
    </row>
    <row r="636" spans="3:17">
      <c r="C636">
        <v>5360</v>
      </c>
      <c r="E636" t="s">
        <v>5003</v>
      </c>
      <c r="H636" t="s">
        <v>4176</v>
      </c>
      <c r="K636" s="418">
        <v>3971264.59</v>
      </c>
      <c r="M636" s="31">
        <v>5347529.45</v>
      </c>
      <c r="O636" s="31">
        <v>-1376264.86</v>
      </c>
      <c r="Q636">
        <v>-25.7</v>
      </c>
    </row>
    <row r="637" spans="3:17">
      <c r="C637">
        <v>5360</v>
      </c>
      <c r="E637" t="s">
        <v>5004</v>
      </c>
      <c r="H637" t="s">
        <v>4182</v>
      </c>
      <c r="K637" s="418">
        <v>41028217.159999996</v>
      </c>
      <c r="M637" s="31">
        <v>232661.3</v>
      </c>
      <c r="O637" s="31">
        <v>40795555.859999999</v>
      </c>
      <c r="Q637">
        <v>17534.3</v>
      </c>
    </row>
    <row r="638" spans="3:17">
      <c r="C638">
        <v>5360</v>
      </c>
      <c r="E638" t="s">
        <v>5005</v>
      </c>
      <c r="H638" t="s">
        <v>4105</v>
      </c>
      <c r="K638" s="418">
        <v>100875042.48999999</v>
      </c>
      <c r="M638" s="31">
        <v>100875042.48999999</v>
      </c>
      <c r="O638">
        <v>0</v>
      </c>
    </row>
    <row r="639" spans="3:17">
      <c r="C639">
        <v>5360</v>
      </c>
      <c r="E639" t="s">
        <v>5006</v>
      </c>
      <c r="H639" t="s">
        <v>5007</v>
      </c>
      <c r="K639" s="418">
        <v>-16229.58</v>
      </c>
      <c r="M639" s="31">
        <v>-16229.58</v>
      </c>
      <c r="O639">
        <v>0</v>
      </c>
    </row>
    <row r="640" spans="3:17">
      <c r="C640">
        <v>5360</v>
      </c>
      <c r="E640" t="s">
        <v>5008</v>
      </c>
      <c r="H640" t="s">
        <v>4107</v>
      </c>
      <c r="K640" s="418">
        <v>-4741688.34</v>
      </c>
      <c r="M640" s="31">
        <v>-4741688.34</v>
      </c>
      <c r="O640">
        <v>0</v>
      </c>
    </row>
    <row r="641" spans="3:17">
      <c r="C641">
        <v>5360</v>
      </c>
      <c r="E641" t="s">
        <v>5009</v>
      </c>
      <c r="H641" t="s">
        <v>4111</v>
      </c>
      <c r="K641" s="418">
        <v>2647608.04</v>
      </c>
      <c r="M641" s="31">
        <v>2647608.04</v>
      </c>
      <c r="O641">
        <v>0</v>
      </c>
    </row>
    <row r="642" spans="3:17">
      <c r="C642">
        <v>5360</v>
      </c>
      <c r="E642" t="s">
        <v>5010</v>
      </c>
      <c r="H642" t="s">
        <v>4115</v>
      </c>
      <c r="K642" s="418">
        <v>-7040931.8099999996</v>
      </c>
      <c r="M642" s="31">
        <v>-7040931.8099999996</v>
      </c>
      <c r="O642">
        <v>0</v>
      </c>
    </row>
    <row r="643" spans="3:17">
      <c r="C643">
        <v>5360</v>
      </c>
      <c r="E643" t="s">
        <v>5011</v>
      </c>
      <c r="H643" t="s">
        <v>5012</v>
      </c>
      <c r="K643" s="418">
        <v>-3466469.8</v>
      </c>
      <c r="M643" s="31">
        <v>-3466469.8</v>
      </c>
      <c r="O643">
        <v>0</v>
      </c>
    </row>
    <row r="644" spans="3:17">
      <c r="C644">
        <v>5360</v>
      </c>
      <c r="E644" t="s">
        <v>5013</v>
      </c>
      <c r="H644" t="s">
        <v>4117</v>
      </c>
      <c r="K644" s="418">
        <v>-53374052.469999999</v>
      </c>
      <c r="M644" s="31">
        <v>-53374052.469999999</v>
      </c>
      <c r="O644">
        <v>0</v>
      </c>
    </row>
    <row r="645" spans="3:17">
      <c r="C645">
        <v>5360</v>
      </c>
      <c r="E645" t="s">
        <v>5014</v>
      </c>
      <c r="H645" t="s">
        <v>4148</v>
      </c>
      <c r="K645" s="418">
        <v>-4264.08</v>
      </c>
      <c r="M645" s="31">
        <v>-4264.08</v>
      </c>
      <c r="O645">
        <v>0</v>
      </c>
    </row>
    <row r="646" spans="3:17">
      <c r="C646">
        <v>5360</v>
      </c>
      <c r="E646" t="s">
        <v>5015</v>
      </c>
      <c r="H646" t="s">
        <v>4150</v>
      </c>
      <c r="K646" s="418">
        <v>-15733763.68</v>
      </c>
      <c r="M646" s="31">
        <v>-15733763.68</v>
      </c>
      <c r="O646">
        <v>0</v>
      </c>
    </row>
    <row r="647" spans="3:17">
      <c r="C647">
        <v>5360</v>
      </c>
      <c r="E647" t="s">
        <v>5016</v>
      </c>
      <c r="H647" t="s">
        <v>5017</v>
      </c>
      <c r="K647" s="417">
        <v>35.119999999999997</v>
      </c>
      <c r="M647">
        <v>35.119999999999997</v>
      </c>
      <c r="O647">
        <v>0</v>
      </c>
    </row>
    <row r="648" spans="3:17">
      <c r="C648">
        <v>5360</v>
      </c>
      <c r="E648" t="s">
        <v>5018</v>
      </c>
      <c r="H648" t="s">
        <v>4119</v>
      </c>
      <c r="K648" s="418">
        <v>14247.93</v>
      </c>
      <c r="M648" s="31">
        <v>14247.93</v>
      </c>
      <c r="O648">
        <v>0</v>
      </c>
    </row>
    <row r="649" spans="3:17">
      <c r="C649">
        <v>5360</v>
      </c>
      <c r="E649" t="s">
        <v>5019</v>
      </c>
      <c r="H649" t="s">
        <v>5020</v>
      </c>
      <c r="K649" s="418">
        <v>8367583.6500000004</v>
      </c>
      <c r="M649">
        <v>0</v>
      </c>
      <c r="O649" s="31">
        <v>8367583.6500000004</v>
      </c>
    </row>
    <row r="650" spans="3:17">
      <c r="C650">
        <v>5360</v>
      </c>
      <c r="E650" t="s">
        <v>5021</v>
      </c>
      <c r="H650" t="s">
        <v>5022</v>
      </c>
      <c r="K650" s="418">
        <v>17046308.23</v>
      </c>
      <c r="M650" s="31">
        <v>10414529.939999999</v>
      </c>
      <c r="O650" s="31">
        <v>6631778.29</v>
      </c>
      <c r="Q650">
        <v>63.7</v>
      </c>
    </row>
    <row r="651" spans="3:17">
      <c r="C651">
        <v>5360</v>
      </c>
      <c r="E651" t="s">
        <v>5023</v>
      </c>
      <c r="H651" t="s">
        <v>5024</v>
      </c>
      <c r="K651" s="418">
        <v>64719.74</v>
      </c>
      <c r="M651" s="31">
        <v>48125.22</v>
      </c>
      <c r="O651" s="31">
        <v>16594.52</v>
      </c>
      <c r="Q651">
        <v>34.5</v>
      </c>
    </row>
    <row r="652" spans="3:17">
      <c r="C652">
        <v>5360</v>
      </c>
      <c r="E652" t="s">
        <v>5025</v>
      </c>
      <c r="H652" t="s">
        <v>4153</v>
      </c>
      <c r="K652" s="418">
        <v>-4264.08</v>
      </c>
      <c r="M652" s="31">
        <v>-3198.06</v>
      </c>
      <c r="O652" s="31">
        <v>-1066.02</v>
      </c>
      <c r="Q652">
        <v>-33.299999999999997</v>
      </c>
    </row>
    <row r="653" spans="3:17">
      <c r="C653">
        <v>5360</v>
      </c>
      <c r="E653" t="s">
        <v>5026</v>
      </c>
      <c r="H653" t="s">
        <v>4155</v>
      </c>
      <c r="K653" s="418">
        <v>-3318519.77</v>
      </c>
      <c r="M653" s="31">
        <v>-2516268.44</v>
      </c>
      <c r="O653" s="31">
        <v>-802251.33</v>
      </c>
      <c r="Q653">
        <v>-31.9</v>
      </c>
    </row>
    <row r="654" spans="3:17">
      <c r="C654">
        <v>5360</v>
      </c>
      <c r="E654" t="s">
        <v>5027</v>
      </c>
      <c r="H654" t="s">
        <v>5028</v>
      </c>
      <c r="K654" s="418">
        <v>11809.28</v>
      </c>
      <c r="M654" s="31">
        <v>14020.55</v>
      </c>
      <c r="O654" s="31">
        <v>-2211.27</v>
      </c>
      <c r="Q654">
        <v>-15.8</v>
      </c>
    </row>
    <row r="655" spans="3:17">
      <c r="C655">
        <v>5360</v>
      </c>
      <c r="E655" t="s">
        <v>5029</v>
      </c>
      <c r="H655" t="s">
        <v>4130</v>
      </c>
      <c r="K655" s="418">
        <v>-11317137.689999999</v>
      </c>
      <c r="M655" s="31">
        <v>-9958517.4399999995</v>
      </c>
      <c r="O655" s="31">
        <v>-1358620.25</v>
      </c>
      <c r="Q655">
        <v>-13.6</v>
      </c>
    </row>
    <row r="656" spans="3:17">
      <c r="C656">
        <v>5360</v>
      </c>
      <c r="E656" t="s">
        <v>5030</v>
      </c>
      <c r="H656" t="s">
        <v>4158</v>
      </c>
      <c r="K656" s="418">
        <v>477276.36</v>
      </c>
      <c r="M656" s="31">
        <v>494809.36</v>
      </c>
      <c r="O656" s="31">
        <v>-17533</v>
      </c>
      <c r="Q656">
        <v>-3.5</v>
      </c>
    </row>
    <row r="657" spans="3:17">
      <c r="C657">
        <v>5360</v>
      </c>
      <c r="E657" t="s">
        <v>5031</v>
      </c>
      <c r="H657" t="s">
        <v>5032</v>
      </c>
      <c r="K657" s="418">
        <v>355828.75</v>
      </c>
      <c r="M657" s="31">
        <v>355828.75</v>
      </c>
      <c r="O657">
        <v>0</v>
      </c>
    </row>
    <row r="658" spans="3:17">
      <c r="C658">
        <v>5360</v>
      </c>
      <c r="E658" t="s">
        <v>5033</v>
      </c>
      <c r="H658" t="s">
        <v>5034</v>
      </c>
      <c r="K658" s="418">
        <v>32068991.48</v>
      </c>
      <c r="M658" s="31">
        <v>32068991.48</v>
      </c>
      <c r="O658">
        <v>0</v>
      </c>
    </row>
    <row r="659" spans="3:17">
      <c r="C659">
        <v>5360</v>
      </c>
      <c r="E659" t="s">
        <v>5035</v>
      </c>
      <c r="H659" t="s">
        <v>5036</v>
      </c>
      <c r="K659" s="418">
        <v>-8631.2000000000007</v>
      </c>
      <c r="M659" s="31">
        <v>-8631.2000000000007</v>
      </c>
      <c r="O659">
        <v>0</v>
      </c>
    </row>
    <row r="660" spans="3:17">
      <c r="C660">
        <v>5360</v>
      </c>
      <c r="E660" t="s">
        <v>5037</v>
      </c>
      <c r="H660" t="s">
        <v>5038</v>
      </c>
      <c r="K660" s="418">
        <v>6579.97</v>
      </c>
      <c r="M660" s="31">
        <v>6579.97</v>
      </c>
      <c r="O660">
        <v>0</v>
      </c>
    </row>
    <row r="661" spans="3:17">
      <c r="C661">
        <v>5360</v>
      </c>
      <c r="E661" t="s">
        <v>5039</v>
      </c>
      <c r="H661" t="s">
        <v>5040</v>
      </c>
      <c r="K661" s="418">
        <v>1467845.2</v>
      </c>
      <c r="M661" s="31">
        <v>1467845.2</v>
      </c>
      <c r="O661">
        <v>0</v>
      </c>
    </row>
    <row r="662" spans="3:17">
      <c r="C662">
        <v>5360</v>
      </c>
      <c r="E662" t="s">
        <v>5041</v>
      </c>
      <c r="H662" t="s">
        <v>5042</v>
      </c>
      <c r="K662" s="418">
        <v>86189</v>
      </c>
      <c r="M662">
        <v>0</v>
      </c>
      <c r="O662" s="31">
        <v>86189</v>
      </c>
    </row>
    <row r="663" spans="3:17">
      <c r="C663">
        <v>5360</v>
      </c>
      <c r="E663" t="s">
        <v>5043</v>
      </c>
      <c r="H663" t="s">
        <v>5044</v>
      </c>
      <c r="K663" s="418">
        <v>-2334855.7799999998</v>
      </c>
      <c r="M663" s="31">
        <v>-984716.51</v>
      </c>
      <c r="O663" s="31">
        <v>-1350139.27</v>
      </c>
      <c r="Q663">
        <v>-137.1</v>
      </c>
    </row>
    <row r="664" spans="3:17">
      <c r="C664">
        <v>5360</v>
      </c>
      <c r="E664" t="s">
        <v>5045</v>
      </c>
      <c r="H664" t="s">
        <v>5046</v>
      </c>
      <c r="K664" s="418">
        <v>62921422.170000002</v>
      </c>
      <c r="M664" s="31">
        <v>52174412.979999997</v>
      </c>
      <c r="O664" s="31">
        <v>10747009.189999999</v>
      </c>
      <c r="Q664">
        <v>20.6</v>
      </c>
    </row>
    <row r="665" spans="3:17">
      <c r="C665">
        <v>5360</v>
      </c>
      <c r="E665" t="s">
        <v>5047</v>
      </c>
      <c r="H665" t="s">
        <v>4272</v>
      </c>
      <c r="K665" s="418">
        <v>-2638316.5</v>
      </c>
      <c r="M665" s="31">
        <v>-2638316.5</v>
      </c>
      <c r="O665">
        <v>0</v>
      </c>
    </row>
    <row r="666" spans="3:17">
      <c r="C666">
        <v>5360</v>
      </c>
      <c r="E666" t="s">
        <v>5048</v>
      </c>
      <c r="H666" t="s">
        <v>4288</v>
      </c>
      <c r="K666" s="417">
        <v>-35.549999999999997</v>
      </c>
      <c r="M666">
        <v>-35.549999999999997</v>
      </c>
      <c r="O666">
        <v>0</v>
      </c>
    </row>
    <row r="667" spans="3:17">
      <c r="C667">
        <v>5360</v>
      </c>
      <c r="E667" t="s">
        <v>5049</v>
      </c>
      <c r="H667" t="s">
        <v>4294</v>
      </c>
      <c r="K667" s="418">
        <v>-125479.23</v>
      </c>
      <c r="M667" s="31">
        <v>-133491.42000000001</v>
      </c>
      <c r="O667" s="31">
        <v>8012.19</v>
      </c>
      <c r="Q667">
        <v>6</v>
      </c>
    </row>
    <row r="668" spans="3:17">
      <c r="C668">
        <v>5360</v>
      </c>
      <c r="E668" t="s">
        <v>5050</v>
      </c>
      <c r="H668" t="s">
        <v>5051</v>
      </c>
      <c r="K668" s="418">
        <v>5664665.4000000004</v>
      </c>
      <c r="M668" s="31">
        <v>5674099.8300000001</v>
      </c>
      <c r="O668" s="31">
        <v>-9434.43</v>
      </c>
      <c r="Q668">
        <v>-0.2</v>
      </c>
    </row>
    <row r="669" spans="3:17">
      <c r="C669">
        <v>5360</v>
      </c>
      <c r="E669" t="s">
        <v>5052</v>
      </c>
      <c r="H669" t="s">
        <v>5053</v>
      </c>
      <c r="K669" s="418">
        <v>6019125.2599999998</v>
      </c>
      <c r="M669" s="31">
        <v>10198472.960000001</v>
      </c>
      <c r="O669" s="31">
        <v>-4179347.7</v>
      </c>
      <c r="Q669">
        <v>-41</v>
      </c>
    </row>
    <row r="670" spans="3:17">
      <c r="C670">
        <v>5360</v>
      </c>
      <c r="E670" t="s">
        <v>5054</v>
      </c>
      <c r="H670" t="s">
        <v>5055</v>
      </c>
      <c r="K670" s="418">
        <v>-426745.75</v>
      </c>
      <c r="M670" s="31">
        <v>-426745.75</v>
      </c>
      <c r="O670">
        <v>0</v>
      </c>
    </row>
    <row r="671" spans="3:17">
      <c r="C671">
        <v>5360</v>
      </c>
      <c r="E671" t="s">
        <v>5056</v>
      </c>
      <c r="H671" t="s">
        <v>5057</v>
      </c>
      <c r="K671" s="418">
        <v>1438462.87</v>
      </c>
      <c r="M671" s="31">
        <v>1438462.87</v>
      </c>
      <c r="O671">
        <v>0</v>
      </c>
    </row>
    <row r="672" spans="3:17">
      <c r="C672">
        <v>5360</v>
      </c>
      <c r="E672" t="s">
        <v>5058</v>
      </c>
      <c r="H672" t="s">
        <v>4324</v>
      </c>
      <c r="K672" s="418">
        <v>-3229117.63</v>
      </c>
      <c r="M672" s="31">
        <v>-3229117.63</v>
      </c>
      <c r="O672">
        <v>0</v>
      </c>
    </row>
    <row r="673" spans="3:17">
      <c r="C673">
        <v>5360</v>
      </c>
      <c r="E673" t="s">
        <v>5059</v>
      </c>
      <c r="H673" t="s">
        <v>4405</v>
      </c>
      <c r="K673" s="418">
        <v>8833439.4100000001</v>
      </c>
      <c r="M673" s="31">
        <v>8808731.9399999995</v>
      </c>
      <c r="O673" s="31">
        <v>24707.47</v>
      </c>
      <c r="Q673">
        <v>0.3</v>
      </c>
    </row>
    <row r="674" spans="3:17">
      <c r="C674">
        <v>5360</v>
      </c>
      <c r="E674" t="s">
        <v>5060</v>
      </c>
      <c r="H674" t="s">
        <v>4428</v>
      </c>
      <c r="K674" s="418">
        <v>3183219.14</v>
      </c>
      <c r="M674" s="31">
        <v>3171294.82</v>
      </c>
      <c r="O674" s="31">
        <v>11924.32</v>
      </c>
      <c r="Q674">
        <v>0.4</v>
      </c>
    </row>
    <row r="675" spans="3:17">
      <c r="C675">
        <v>5360</v>
      </c>
      <c r="E675" t="s">
        <v>5061</v>
      </c>
      <c r="H675" t="s">
        <v>4423</v>
      </c>
      <c r="K675" s="418">
        <v>490482.46</v>
      </c>
      <c r="M675" s="31">
        <v>439206.28</v>
      </c>
      <c r="O675" s="31">
        <v>51276.18</v>
      </c>
      <c r="Q675">
        <v>11.7</v>
      </c>
    </row>
    <row r="676" spans="3:17">
      <c r="C676">
        <v>5360</v>
      </c>
      <c r="E676" t="s">
        <v>5062</v>
      </c>
      <c r="H676" t="s">
        <v>5063</v>
      </c>
      <c r="K676" s="418">
        <v>629778.81000000006</v>
      </c>
      <c r="M676" s="31">
        <v>1858827.15</v>
      </c>
      <c r="O676" s="31">
        <v>-1229048.3400000001</v>
      </c>
      <c r="Q676">
        <v>-66.099999999999994</v>
      </c>
    </row>
    <row r="677" spans="3:17">
      <c r="C677">
        <v>5360</v>
      </c>
      <c r="E677" t="s">
        <v>5064</v>
      </c>
      <c r="H677" t="s">
        <v>5065</v>
      </c>
      <c r="K677" s="418">
        <v>224834.93</v>
      </c>
      <c r="M677" s="31">
        <v>224834.93</v>
      </c>
      <c r="O677">
        <v>0</v>
      </c>
    </row>
    <row r="678" spans="3:17">
      <c r="C678">
        <v>5360</v>
      </c>
      <c r="E678" t="s">
        <v>5066</v>
      </c>
      <c r="H678" t="s">
        <v>4468</v>
      </c>
      <c r="K678" s="418">
        <v>928861</v>
      </c>
      <c r="M678" s="31">
        <v>928861</v>
      </c>
      <c r="O678">
        <v>0</v>
      </c>
    </row>
    <row r="679" spans="3:17">
      <c r="C679">
        <v>5360</v>
      </c>
      <c r="E679" t="s">
        <v>5067</v>
      </c>
      <c r="H679" t="s">
        <v>4470</v>
      </c>
      <c r="K679" s="418">
        <v>4834150.7699999996</v>
      </c>
      <c r="M679" s="31">
        <v>4834150.7699999996</v>
      </c>
      <c r="O679">
        <v>0</v>
      </c>
    </row>
    <row r="680" spans="3:17">
      <c r="C680">
        <v>5360</v>
      </c>
      <c r="E680" t="s">
        <v>5068</v>
      </c>
      <c r="H680" t="s">
        <v>4476</v>
      </c>
      <c r="K680" s="418">
        <v>4586672</v>
      </c>
      <c r="M680" s="31">
        <v>4586672</v>
      </c>
      <c r="O680">
        <v>0</v>
      </c>
    </row>
    <row r="681" spans="3:17">
      <c r="C681">
        <v>5360</v>
      </c>
      <c r="E681" t="s">
        <v>5069</v>
      </c>
      <c r="H681" t="s">
        <v>4478</v>
      </c>
      <c r="K681" s="418">
        <v>-476783.87</v>
      </c>
      <c r="M681" s="31">
        <v>-476783.87</v>
      </c>
      <c r="O681">
        <v>0</v>
      </c>
    </row>
    <row r="682" spans="3:17">
      <c r="C682">
        <v>5360</v>
      </c>
      <c r="E682" t="s">
        <v>5070</v>
      </c>
      <c r="H682" t="s">
        <v>4480</v>
      </c>
      <c r="K682" s="418">
        <v>-10453106</v>
      </c>
      <c r="M682" s="31">
        <v>-10453106</v>
      </c>
      <c r="O682">
        <v>0</v>
      </c>
    </row>
    <row r="683" spans="3:17">
      <c r="C683">
        <v>5360</v>
      </c>
      <c r="E683" t="s">
        <v>5071</v>
      </c>
      <c r="H683" t="s">
        <v>4482</v>
      </c>
      <c r="K683" s="418">
        <v>565554.75</v>
      </c>
      <c r="M683" s="31">
        <v>565554.75</v>
      </c>
      <c r="O683">
        <v>0</v>
      </c>
    </row>
    <row r="684" spans="3:17">
      <c r="C684">
        <v>5360</v>
      </c>
      <c r="E684" t="s">
        <v>5072</v>
      </c>
      <c r="H684" t="s">
        <v>4494</v>
      </c>
      <c r="K684" s="418">
        <v>-325367</v>
      </c>
      <c r="M684" s="31">
        <v>-325367</v>
      </c>
      <c r="O684">
        <v>0</v>
      </c>
    </row>
    <row r="685" spans="3:17">
      <c r="C685">
        <v>5360</v>
      </c>
      <c r="E685" t="s">
        <v>5073</v>
      </c>
      <c r="H685" t="s">
        <v>4503</v>
      </c>
      <c r="K685" s="418">
        <v>-1799639</v>
      </c>
      <c r="M685" s="31">
        <v>-1799639</v>
      </c>
      <c r="O685">
        <v>0</v>
      </c>
    </row>
    <row r="686" spans="3:17">
      <c r="C686">
        <v>5360</v>
      </c>
      <c r="E686" t="s">
        <v>5074</v>
      </c>
      <c r="H686" t="s">
        <v>5075</v>
      </c>
      <c r="K686" s="418">
        <v>-3660836</v>
      </c>
      <c r="M686" s="31">
        <v>-3660836</v>
      </c>
      <c r="O686">
        <v>0</v>
      </c>
    </row>
    <row r="687" spans="3:17">
      <c r="C687">
        <v>5360</v>
      </c>
      <c r="E687" t="s">
        <v>5076</v>
      </c>
      <c r="H687" t="s">
        <v>4512</v>
      </c>
      <c r="K687" s="418">
        <v>-15524.37</v>
      </c>
      <c r="M687" s="31">
        <v>-15524.37</v>
      </c>
      <c r="O687">
        <v>0</v>
      </c>
    </row>
    <row r="688" spans="3:17">
      <c r="C688">
        <v>5360</v>
      </c>
      <c r="E688" t="s">
        <v>5077</v>
      </c>
      <c r="H688" t="s">
        <v>4519</v>
      </c>
      <c r="K688" s="418">
        <v>-127338296.95999999</v>
      </c>
      <c r="M688" s="31">
        <v>-127338296.95999999</v>
      </c>
      <c r="O688">
        <v>0</v>
      </c>
    </row>
    <row r="689" spans="3:17">
      <c r="C689">
        <v>5360</v>
      </c>
      <c r="E689" t="s">
        <v>5078</v>
      </c>
      <c r="H689" t="s">
        <v>5079</v>
      </c>
      <c r="K689" s="418">
        <v>5467045.0599999996</v>
      </c>
      <c r="M689" s="31">
        <v>5467045.0599999996</v>
      </c>
      <c r="O689">
        <v>0</v>
      </c>
    </row>
    <row r="690" spans="3:17">
      <c r="C690">
        <v>5360</v>
      </c>
      <c r="E690" t="s">
        <v>5080</v>
      </c>
      <c r="H690" t="s">
        <v>5081</v>
      </c>
      <c r="K690" s="418">
        <v>38036.25</v>
      </c>
      <c r="M690" s="31">
        <v>38036.25</v>
      </c>
      <c r="O690">
        <v>0</v>
      </c>
    </row>
    <row r="691" spans="3:17">
      <c r="C691">
        <v>5360</v>
      </c>
      <c r="E691" t="s">
        <v>5082</v>
      </c>
      <c r="H691" t="s">
        <v>5083</v>
      </c>
      <c r="K691" s="418">
        <v>-26478977.77</v>
      </c>
      <c r="M691" s="31">
        <v>-26478977.77</v>
      </c>
      <c r="O691">
        <v>0</v>
      </c>
    </row>
    <row r="692" spans="3:17">
      <c r="C692">
        <v>5360</v>
      </c>
      <c r="E692" t="s">
        <v>5084</v>
      </c>
      <c r="H692" t="s">
        <v>4524</v>
      </c>
      <c r="K692" s="418">
        <v>2614432</v>
      </c>
      <c r="M692" s="31">
        <v>2614432</v>
      </c>
      <c r="O692">
        <v>0</v>
      </c>
    </row>
    <row r="693" spans="3:17">
      <c r="C693">
        <v>5360</v>
      </c>
      <c r="E693" t="s">
        <v>5085</v>
      </c>
      <c r="H693" t="s">
        <v>5086</v>
      </c>
      <c r="K693" s="418">
        <v>-38036.25</v>
      </c>
      <c r="M693" s="31">
        <v>-38036.25</v>
      </c>
      <c r="O693">
        <v>0</v>
      </c>
    </row>
    <row r="694" spans="3:17">
      <c r="C694">
        <v>5360</v>
      </c>
      <c r="E694" t="s">
        <v>5087</v>
      </c>
      <c r="H694" t="s">
        <v>5088</v>
      </c>
      <c r="K694" s="418">
        <v>-460207.23</v>
      </c>
      <c r="M694" s="31">
        <v>-460207.23</v>
      </c>
      <c r="O694">
        <v>0</v>
      </c>
    </row>
    <row r="695" spans="3:17">
      <c r="C695">
        <v>5360</v>
      </c>
      <c r="E695" t="s">
        <v>5089</v>
      </c>
      <c r="H695" t="s">
        <v>4532</v>
      </c>
      <c r="K695" s="418">
        <v>7887610</v>
      </c>
      <c r="M695" s="31">
        <v>7804557.9400000004</v>
      </c>
      <c r="O695" s="31">
        <v>83052.06</v>
      </c>
      <c r="Q695">
        <v>1.1000000000000001</v>
      </c>
    </row>
    <row r="696" spans="3:17">
      <c r="C696">
        <v>5360</v>
      </c>
      <c r="E696" t="s">
        <v>5090</v>
      </c>
      <c r="H696" t="s">
        <v>5091</v>
      </c>
      <c r="K696" s="418">
        <v>-8577346.9000000004</v>
      </c>
      <c r="M696" s="31">
        <v>-8577346.9000000004</v>
      </c>
      <c r="O696">
        <v>0</v>
      </c>
    </row>
    <row r="697" spans="3:17">
      <c r="C697">
        <v>5360</v>
      </c>
      <c r="E697" t="s">
        <v>5092</v>
      </c>
      <c r="H697" t="s">
        <v>5093</v>
      </c>
      <c r="K697" s="418">
        <v>-8252994.1900000004</v>
      </c>
      <c r="M697" s="31">
        <v>-8252994.1900000004</v>
      </c>
      <c r="O697">
        <v>0</v>
      </c>
    </row>
    <row r="698" spans="3:17">
      <c r="C698">
        <v>5360</v>
      </c>
      <c r="E698" t="s">
        <v>5094</v>
      </c>
      <c r="H698" t="s">
        <v>4813</v>
      </c>
      <c r="K698" s="418">
        <v>-6128379.8499999996</v>
      </c>
      <c r="M698" s="31">
        <v>-6128379.8499999996</v>
      </c>
      <c r="O698">
        <v>0</v>
      </c>
    </row>
    <row r="699" spans="3:17">
      <c r="C699">
        <v>5360</v>
      </c>
      <c r="E699" t="s">
        <v>5095</v>
      </c>
      <c r="H699" t="s">
        <v>4815</v>
      </c>
      <c r="K699" s="418">
        <v>-771951.14</v>
      </c>
      <c r="M699" s="31">
        <v>-557725.72</v>
      </c>
      <c r="O699" s="31">
        <v>-214225.42</v>
      </c>
      <c r="Q699">
        <v>-38.4</v>
      </c>
    </row>
    <row r="700" spans="3:17">
      <c r="C700">
        <v>5360</v>
      </c>
      <c r="E700" t="s">
        <v>5096</v>
      </c>
      <c r="H700" t="s">
        <v>4817</v>
      </c>
      <c r="K700" s="418">
        <v>-12061.11</v>
      </c>
      <c r="M700" s="31">
        <v>-19533.61</v>
      </c>
      <c r="O700" s="31">
        <v>7472.5</v>
      </c>
      <c r="Q700">
        <v>38.299999999999997</v>
      </c>
    </row>
    <row r="701" spans="3:17">
      <c r="C701">
        <v>5360</v>
      </c>
      <c r="E701" t="s">
        <v>5097</v>
      </c>
      <c r="H701" t="s">
        <v>4819</v>
      </c>
      <c r="K701" s="418">
        <v>2589201.5699999998</v>
      </c>
      <c r="M701" s="31">
        <v>2031115.86</v>
      </c>
      <c r="O701" s="31">
        <v>558085.71</v>
      </c>
      <c r="Q701">
        <v>27.5</v>
      </c>
    </row>
    <row r="702" spans="3:17">
      <c r="C702">
        <v>5360</v>
      </c>
      <c r="E702" t="s">
        <v>5098</v>
      </c>
      <c r="H702" t="s">
        <v>4805</v>
      </c>
      <c r="K702" s="417">
        <v>-15.59</v>
      </c>
      <c r="M702">
        <v>-15.59</v>
      </c>
      <c r="O702">
        <v>0</v>
      </c>
    </row>
    <row r="703" spans="3:17">
      <c r="C703">
        <v>5360</v>
      </c>
      <c r="E703" t="s">
        <v>5099</v>
      </c>
      <c r="H703" t="s">
        <v>4546</v>
      </c>
      <c r="K703" s="418">
        <v>732371.61</v>
      </c>
      <c r="M703" s="31">
        <v>732371.61</v>
      </c>
      <c r="O703">
        <v>0</v>
      </c>
    </row>
    <row r="704" spans="3:17">
      <c r="C704">
        <v>5360</v>
      </c>
      <c r="E704" t="s">
        <v>5100</v>
      </c>
      <c r="H704" t="s">
        <v>4614</v>
      </c>
      <c r="K704" s="418">
        <v>-33869422.859999999</v>
      </c>
      <c r="M704" s="31">
        <v>-15034546.220000001</v>
      </c>
      <c r="O704" s="31">
        <v>-18834876.640000001</v>
      </c>
      <c r="Q704">
        <v>-125.3</v>
      </c>
    </row>
    <row r="705" spans="3:17">
      <c r="C705">
        <v>5360</v>
      </c>
      <c r="E705" t="s">
        <v>5101</v>
      </c>
      <c r="H705" t="s">
        <v>4616</v>
      </c>
      <c r="K705" s="418">
        <v>1883357.53</v>
      </c>
      <c r="M705" s="31">
        <v>1883357.53</v>
      </c>
      <c r="O705">
        <v>0</v>
      </c>
    </row>
    <row r="706" spans="3:17">
      <c r="C706">
        <v>5360</v>
      </c>
      <c r="E706" t="s">
        <v>5102</v>
      </c>
      <c r="H706" t="s">
        <v>5103</v>
      </c>
      <c r="K706" s="418">
        <v>-15808352.77</v>
      </c>
      <c r="M706" s="31">
        <v>-15808352.77</v>
      </c>
      <c r="O706">
        <v>0</v>
      </c>
    </row>
    <row r="707" spans="3:17">
      <c r="C707">
        <v>5360</v>
      </c>
      <c r="E707" t="s">
        <v>5104</v>
      </c>
      <c r="H707" t="s">
        <v>4628</v>
      </c>
      <c r="K707" s="418">
        <v>618592.41</v>
      </c>
      <c r="M707" s="31">
        <v>618592.41</v>
      </c>
      <c r="O707">
        <v>0</v>
      </c>
    </row>
    <row r="708" spans="3:17">
      <c r="C708">
        <v>5360</v>
      </c>
      <c r="E708" t="s">
        <v>5105</v>
      </c>
      <c r="H708" t="s">
        <v>4630</v>
      </c>
      <c r="K708" s="418">
        <v>8398895.0600000005</v>
      </c>
      <c r="M708" s="31">
        <v>8389649.9600000009</v>
      </c>
      <c r="O708" s="31">
        <v>9245.1</v>
      </c>
      <c r="Q708">
        <v>0.1</v>
      </c>
    </row>
    <row r="709" spans="3:17">
      <c r="C709">
        <v>5360</v>
      </c>
      <c r="E709" t="s">
        <v>5106</v>
      </c>
      <c r="H709" t="s">
        <v>5107</v>
      </c>
      <c r="K709" s="418">
        <v>-90193.64</v>
      </c>
      <c r="M709" s="31">
        <v>-90200.84</v>
      </c>
      <c r="O709">
        <v>7.2</v>
      </c>
    </row>
    <row r="710" spans="3:17">
      <c r="C710">
        <v>5360</v>
      </c>
      <c r="E710" t="s">
        <v>5108</v>
      </c>
      <c r="H710" t="s">
        <v>4681</v>
      </c>
      <c r="K710" s="417">
        <v>0</v>
      </c>
      <c r="M710" s="31">
        <v>-1030</v>
      </c>
      <c r="O710" s="31">
        <v>1030</v>
      </c>
      <c r="Q710">
        <v>100</v>
      </c>
    </row>
    <row r="711" spans="3:17">
      <c r="C711">
        <v>5360</v>
      </c>
      <c r="E711" t="s">
        <v>5109</v>
      </c>
      <c r="H711" t="s">
        <v>5110</v>
      </c>
      <c r="K711" s="418">
        <v>-55243.13</v>
      </c>
      <c r="M711" s="31">
        <v>-55243.13</v>
      </c>
      <c r="O711">
        <v>0</v>
      </c>
    </row>
    <row r="712" spans="3:17">
      <c r="C712">
        <v>5360</v>
      </c>
      <c r="E712" t="s">
        <v>5111</v>
      </c>
      <c r="H712" t="s">
        <v>5112</v>
      </c>
      <c r="K712" s="418">
        <v>-18105.080000000002</v>
      </c>
      <c r="M712" s="31">
        <v>-14490.79</v>
      </c>
      <c r="O712" s="31">
        <v>-3614.29</v>
      </c>
      <c r="Q712">
        <v>-24.9</v>
      </c>
    </row>
    <row r="713" spans="3:17">
      <c r="C713">
        <v>5360</v>
      </c>
      <c r="E713" t="s">
        <v>5113</v>
      </c>
      <c r="H713" t="s">
        <v>5114</v>
      </c>
      <c r="K713" s="418">
        <v>-14870.21</v>
      </c>
      <c r="M713">
        <v>0</v>
      </c>
      <c r="O713" s="31">
        <v>-14870.21</v>
      </c>
    </row>
    <row r="714" spans="3:17">
      <c r="C714">
        <v>5360</v>
      </c>
      <c r="E714" t="s">
        <v>5115</v>
      </c>
      <c r="H714" t="s">
        <v>4703</v>
      </c>
      <c r="K714" s="418">
        <v>-37619</v>
      </c>
      <c r="M714" s="31">
        <v>-37619</v>
      </c>
      <c r="O714">
        <v>0</v>
      </c>
    </row>
    <row r="715" spans="3:17">
      <c r="C715">
        <v>5360</v>
      </c>
      <c r="E715" t="s">
        <v>5116</v>
      </c>
      <c r="H715" t="s">
        <v>5117</v>
      </c>
      <c r="K715" s="418">
        <v>96468.58</v>
      </c>
      <c r="M715" s="31">
        <v>67001.05</v>
      </c>
      <c r="O715" s="31">
        <v>29467.53</v>
      </c>
      <c r="Q715">
        <v>44</v>
      </c>
    </row>
    <row r="716" spans="3:17">
      <c r="C716">
        <v>5360</v>
      </c>
      <c r="E716" t="s">
        <v>5118</v>
      </c>
      <c r="H716" t="s">
        <v>5119</v>
      </c>
      <c r="K716" s="418">
        <v>35603.97</v>
      </c>
      <c r="M716" s="31">
        <v>23880.69</v>
      </c>
      <c r="O716" s="31">
        <v>11723.28</v>
      </c>
      <c r="Q716">
        <v>49.1</v>
      </c>
    </row>
    <row r="717" spans="3:17">
      <c r="C717">
        <v>5360</v>
      </c>
      <c r="E717" t="s">
        <v>5120</v>
      </c>
      <c r="H717" t="s">
        <v>4709</v>
      </c>
      <c r="K717" s="418">
        <v>-13563.53</v>
      </c>
      <c r="M717" s="31">
        <v>-13563.53</v>
      </c>
      <c r="O717">
        <v>0</v>
      </c>
    </row>
    <row r="718" spans="3:17">
      <c r="C718">
        <v>5360</v>
      </c>
      <c r="E718" t="s">
        <v>5121</v>
      </c>
      <c r="H718" t="s">
        <v>4711</v>
      </c>
      <c r="K718" s="418">
        <v>-17067.759999999998</v>
      </c>
      <c r="M718" s="31">
        <v>-50311.54</v>
      </c>
      <c r="O718" s="31">
        <v>33243.78</v>
      </c>
      <c r="Q718">
        <v>66.099999999999994</v>
      </c>
    </row>
    <row r="719" spans="3:17">
      <c r="C719">
        <v>5360</v>
      </c>
      <c r="E719" t="s">
        <v>5122</v>
      </c>
      <c r="H719" t="s">
        <v>5123</v>
      </c>
      <c r="K719" s="418">
        <v>-94959.8</v>
      </c>
      <c r="M719" s="31">
        <v>-65793.47</v>
      </c>
      <c r="O719" s="31">
        <v>-29166.33</v>
      </c>
      <c r="Q719">
        <v>-44.3</v>
      </c>
    </row>
    <row r="720" spans="3:17">
      <c r="C720">
        <v>5360</v>
      </c>
      <c r="E720" t="s">
        <v>5124</v>
      </c>
      <c r="H720" t="s">
        <v>5125</v>
      </c>
      <c r="K720" s="418">
        <v>-34364.79</v>
      </c>
      <c r="M720" s="31">
        <v>-23880.69</v>
      </c>
      <c r="O720" s="31">
        <v>-10484.1</v>
      </c>
      <c r="Q720">
        <v>-43.9</v>
      </c>
    </row>
    <row r="721" spans="3:17">
      <c r="C721">
        <v>5360</v>
      </c>
      <c r="E721" t="s">
        <v>5126</v>
      </c>
      <c r="H721" t="s">
        <v>5127</v>
      </c>
      <c r="K721" s="418">
        <v>-3716475.91</v>
      </c>
      <c r="M721" s="31">
        <v>-3716475.91</v>
      </c>
      <c r="O721">
        <v>0</v>
      </c>
    </row>
    <row r="722" spans="3:17">
      <c r="C722">
        <v>5360</v>
      </c>
      <c r="E722" t="s">
        <v>5128</v>
      </c>
      <c r="H722" t="s">
        <v>4718</v>
      </c>
      <c r="K722" s="418">
        <v>-3305043.35</v>
      </c>
      <c r="M722" s="31">
        <v>-3305043.35</v>
      </c>
      <c r="O722">
        <v>0</v>
      </c>
    </row>
    <row r="723" spans="3:17">
      <c r="C723">
        <v>5360</v>
      </c>
      <c r="E723" t="s">
        <v>5129</v>
      </c>
      <c r="H723" t="s">
        <v>4720</v>
      </c>
      <c r="K723" s="418">
        <v>-132885.79</v>
      </c>
      <c r="M723" s="31">
        <v>-83428.08</v>
      </c>
      <c r="O723" s="31">
        <v>-49457.71</v>
      </c>
      <c r="Q723">
        <v>-59.3</v>
      </c>
    </row>
    <row r="724" spans="3:17">
      <c r="C724">
        <v>5360</v>
      </c>
      <c r="E724" t="s">
        <v>5130</v>
      </c>
      <c r="H724" t="s">
        <v>4722</v>
      </c>
      <c r="K724" s="418">
        <v>3604007.59</v>
      </c>
      <c r="M724" s="31">
        <v>2734134.25</v>
      </c>
      <c r="O724" s="31">
        <v>869873.34</v>
      </c>
      <c r="Q724">
        <v>31.8</v>
      </c>
    </row>
    <row r="725" spans="3:17">
      <c r="C725">
        <v>5360</v>
      </c>
      <c r="E725" t="s">
        <v>5131</v>
      </c>
      <c r="H725" t="s">
        <v>4724</v>
      </c>
      <c r="K725" s="418">
        <v>-226884.85</v>
      </c>
      <c r="M725" s="31">
        <v>-176695.62</v>
      </c>
      <c r="O725" s="31">
        <v>-50189.23</v>
      </c>
      <c r="Q725">
        <v>-28.4</v>
      </c>
    </row>
    <row r="726" spans="3:17">
      <c r="C726">
        <v>5360</v>
      </c>
      <c r="E726" t="s">
        <v>5132</v>
      </c>
      <c r="H726" t="s">
        <v>4726</v>
      </c>
      <c r="K726" s="418">
        <v>-2589201.5699999998</v>
      </c>
      <c r="M726" s="31">
        <v>-2031115.86</v>
      </c>
      <c r="O726" s="31">
        <v>-558085.71</v>
      </c>
      <c r="Q726">
        <v>-27.5</v>
      </c>
    </row>
    <row r="727" spans="3:17">
      <c r="C727">
        <v>5360</v>
      </c>
      <c r="E727" t="s">
        <v>5133</v>
      </c>
      <c r="H727" t="s">
        <v>5134</v>
      </c>
      <c r="K727" s="418">
        <v>-10675571.859999999</v>
      </c>
      <c r="M727" s="31">
        <v>-17340035.699999999</v>
      </c>
      <c r="O727" s="31">
        <v>6664463.8399999999</v>
      </c>
      <c r="Q727">
        <v>38.4</v>
      </c>
    </row>
    <row r="728" spans="3:17">
      <c r="C728">
        <v>5360</v>
      </c>
      <c r="E728" t="s">
        <v>5135</v>
      </c>
      <c r="H728" t="s">
        <v>5136</v>
      </c>
      <c r="K728" s="417">
        <v>0</v>
      </c>
      <c r="M728" s="31">
        <v>-1244492</v>
      </c>
      <c r="O728" s="31">
        <v>1244492</v>
      </c>
      <c r="Q728">
        <v>100</v>
      </c>
    </row>
    <row r="729" spans="3:17">
      <c r="C729">
        <v>5360</v>
      </c>
      <c r="E729" t="s">
        <v>5137</v>
      </c>
      <c r="H729" t="s">
        <v>5138</v>
      </c>
      <c r="K729" s="418">
        <v>-4414817.75</v>
      </c>
      <c r="M729" s="31">
        <v>-4415310.68</v>
      </c>
      <c r="O729">
        <v>492.93</v>
      </c>
    </row>
    <row r="730" spans="3:17">
      <c r="C730">
        <v>5360</v>
      </c>
      <c r="E730" t="s">
        <v>5139</v>
      </c>
      <c r="H730" t="s">
        <v>4842</v>
      </c>
      <c r="K730" s="418">
        <v>16464657.460000001</v>
      </c>
      <c r="M730" s="31">
        <v>16464657.460000001</v>
      </c>
      <c r="O730">
        <v>0</v>
      </c>
    </row>
    <row r="731" spans="3:17">
      <c r="C731">
        <v>5360</v>
      </c>
      <c r="E731" t="s">
        <v>5140</v>
      </c>
      <c r="H731" t="s">
        <v>4844</v>
      </c>
      <c r="K731" s="418">
        <v>30174987.649999999</v>
      </c>
      <c r="M731" s="31">
        <v>30174987.649999999</v>
      </c>
      <c r="O731">
        <v>0</v>
      </c>
    </row>
    <row r="732" spans="3:17">
      <c r="C732">
        <v>5360</v>
      </c>
      <c r="E732" t="s">
        <v>5141</v>
      </c>
      <c r="H732" t="s">
        <v>4846</v>
      </c>
      <c r="K732" s="418">
        <v>5849968.6500000004</v>
      </c>
      <c r="M732" s="31">
        <v>5849968.6500000004</v>
      </c>
      <c r="O732">
        <v>0</v>
      </c>
    </row>
    <row r="733" spans="3:17">
      <c r="C733">
        <v>5360</v>
      </c>
      <c r="E733" t="s">
        <v>5142</v>
      </c>
      <c r="H733" t="s">
        <v>5143</v>
      </c>
      <c r="K733" s="418">
        <v>-2589208.54</v>
      </c>
      <c r="M733" s="31">
        <v>-2589208.54</v>
      </c>
      <c r="O733">
        <v>0</v>
      </c>
    </row>
    <row r="734" spans="3:17">
      <c r="C734">
        <v>5360</v>
      </c>
      <c r="E734" t="s">
        <v>5144</v>
      </c>
      <c r="H734" t="s">
        <v>4852</v>
      </c>
      <c r="K734" s="418">
        <v>17067.759999999998</v>
      </c>
      <c r="M734" s="31">
        <v>50311.54</v>
      </c>
      <c r="O734" s="31">
        <v>-33243.78</v>
      </c>
      <c r="Q734">
        <v>-66.099999999999994</v>
      </c>
    </row>
    <row r="735" spans="3:17">
      <c r="C735">
        <v>5360</v>
      </c>
      <c r="E735" t="s">
        <v>5145</v>
      </c>
      <c r="H735" t="s">
        <v>4868</v>
      </c>
      <c r="K735" s="418">
        <v>-1674726</v>
      </c>
      <c r="M735">
        <v>0</v>
      </c>
      <c r="O735" s="31">
        <v>-1674726</v>
      </c>
    </row>
    <row r="736" spans="3:17">
      <c r="C736">
        <v>5360</v>
      </c>
      <c r="E736" t="s">
        <v>5146</v>
      </c>
      <c r="H736" t="s">
        <v>4870</v>
      </c>
      <c r="K736" s="418">
        <v>-5566122</v>
      </c>
      <c r="M736">
        <v>0</v>
      </c>
      <c r="O736" s="31">
        <v>-5566122</v>
      </c>
    </row>
    <row r="737" spans="3:17">
      <c r="C737">
        <v>5360</v>
      </c>
      <c r="E737" t="s">
        <v>5147</v>
      </c>
      <c r="H737" t="s">
        <v>5148</v>
      </c>
      <c r="K737" s="418">
        <v>-905253.71</v>
      </c>
      <c r="M737" s="31">
        <v>-724538.99</v>
      </c>
      <c r="O737" s="31">
        <v>-180714.72</v>
      </c>
      <c r="Q737">
        <v>-24.9</v>
      </c>
    </row>
    <row r="738" spans="3:17">
      <c r="C738">
        <v>5360</v>
      </c>
      <c r="E738" t="s">
        <v>5149</v>
      </c>
      <c r="H738" t="s">
        <v>5150</v>
      </c>
      <c r="K738" s="418">
        <v>-743510.32</v>
      </c>
      <c r="M738">
        <v>0</v>
      </c>
      <c r="O738" s="31">
        <v>-743510.32</v>
      </c>
    </row>
    <row r="739" spans="3:17">
      <c r="C739">
        <v>5360</v>
      </c>
      <c r="E739" t="s">
        <v>5151</v>
      </c>
      <c r="H739" t="s">
        <v>5152</v>
      </c>
      <c r="K739" s="418">
        <v>-11154757.01</v>
      </c>
      <c r="M739" s="31">
        <v>-11154757.01</v>
      </c>
      <c r="O739">
        <v>0</v>
      </c>
    </row>
    <row r="740" spans="3:17">
      <c r="C740">
        <v>5360</v>
      </c>
      <c r="E740" t="s">
        <v>5153</v>
      </c>
      <c r="H740" t="s">
        <v>5154</v>
      </c>
      <c r="K740" s="417">
        <v>0.32</v>
      </c>
      <c r="M740">
        <v>0.32</v>
      </c>
      <c r="O740">
        <v>0</v>
      </c>
    </row>
    <row r="741" spans="3:17">
      <c r="C741">
        <v>5360</v>
      </c>
      <c r="E741" t="s">
        <v>5155</v>
      </c>
      <c r="H741" t="s">
        <v>5156</v>
      </c>
      <c r="K741" s="418">
        <v>-5822652.7699999996</v>
      </c>
      <c r="M741" s="31">
        <v>-8409747.1999999993</v>
      </c>
      <c r="O741" s="31">
        <v>2587094.4300000002</v>
      </c>
      <c r="Q741">
        <v>30.8</v>
      </c>
    </row>
    <row r="742" spans="3:17">
      <c r="C742">
        <v>5360</v>
      </c>
      <c r="E742" t="s">
        <v>5157</v>
      </c>
      <c r="H742" t="s">
        <v>5123</v>
      </c>
      <c r="K742" s="418">
        <v>94959.8</v>
      </c>
      <c r="M742" s="31">
        <v>65793.47</v>
      </c>
      <c r="O742" s="31">
        <v>29166.33</v>
      </c>
      <c r="Q742">
        <v>44.3</v>
      </c>
    </row>
    <row r="743" spans="3:17">
      <c r="C743">
        <v>5360</v>
      </c>
      <c r="E743" t="s">
        <v>5158</v>
      </c>
      <c r="H743" t="s">
        <v>5159</v>
      </c>
      <c r="K743" s="418">
        <v>34364.79</v>
      </c>
      <c r="M743" s="31">
        <v>23880.69</v>
      </c>
      <c r="O743" s="31">
        <v>10484.1</v>
      </c>
      <c r="Q743">
        <v>43.9</v>
      </c>
    </row>
    <row r="744" spans="3:17">
      <c r="C744">
        <v>5360</v>
      </c>
      <c r="E744" t="s">
        <v>5160</v>
      </c>
      <c r="H744" t="s">
        <v>4858</v>
      </c>
      <c r="K744" s="418">
        <v>-20994328.940000001</v>
      </c>
      <c r="M744" s="31">
        <v>-20994328.940000001</v>
      </c>
      <c r="O744">
        <v>0</v>
      </c>
    </row>
    <row r="745" spans="3:17">
      <c r="C745">
        <v>5360</v>
      </c>
      <c r="E745" t="s">
        <v>5161</v>
      </c>
      <c r="H745" t="s">
        <v>5162</v>
      </c>
      <c r="K745" s="418">
        <v>-566128.43999999994</v>
      </c>
      <c r="M745" s="31">
        <v>-566128.43999999994</v>
      </c>
      <c r="O745">
        <v>0</v>
      </c>
    </row>
    <row r="746" spans="3:17">
      <c r="C746">
        <v>5360</v>
      </c>
      <c r="E746" t="s">
        <v>5163</v>
      </c>
      <c r="H746" t="s">
        <v>5164</v>
      </c>
      <c r="K746" s="418">
        <v>2419374.88</v>
      </c>
      <c r="M746" s="31">
        <v>2116080.0499999998</v>
      </c>
      <c r="O746" s="31">
        <v>303294.83</v>
      </c>
      <c r="Q746">
        <v>14.3</v>
      </c>
    </row>
    <row r="747" spans="3:17">
      <c r="C747">
        <v>5360</v>
      </c>
      <c r="E747" t="s">
        <v>5165</v>
      </c>
      <c r="H747" t="s">
        <v>5166</v>
      </c>
      <c r="K747" s="418">
        <v>-1309022</v>
      </c>
      <c r="M747" s="31">
        <v>-991282.23</v>
      </c>
      <c r="O747" s="31">
        <v>-317739.77</v>
      </c>
      <c r="Q747">
        <v>-32.1</v>
      </c>
    </row>
    <row r="748" spans="3:17">
      <c r="C748">
        <v>5360</v>
      </c>
      <c r="E748" t="s">
        <v>5167</v>
      </c>
      <c r="H748" t="s">
        <v>4912</v>
      </c>
      <c r="K748" s="418">
        <v>-4325130.3</v>
      </c>
      <c r="M748" s="31">
        <v>-3888060.69</v>
      </c>
      <c r="O748" s="31">
        <v>-437069.61</v>
      </c>
      <c r="Q748">
        <v>-11.2</v>
      </c>
    </row>
    <row r="749" spans="3:17">
      <c r="C749">
        <v>5360</v>
      </c>
      <c r="E749" t="s">
        <v>5168</v>
      </c>
      <c r="H749" t="s">
        <v>4730</v>
      </c>
      <c r="K749" s="418">
        <v>44999298.329999998</v>
      </c>
      <c r="M749" s="31">
        <v>44999298.329999998</v>
      </c>
      <c r="O749">
        <v>0</v>
      </c>
    </row>
    <row r="750" spans="3:17">
      <c r="C750">
        <v>5360</v>
      </c>
      <c r="E750" t="s">
        <v>5169</v>
      </c>
      <c r="H750" t="s">
        <v>4732</v>
      </c>
      <c r="K750" s="418">
        <v>3402885.75</v>
      </c>
      <c r="M750" s="31">
        <v>3311101.13</v>
      </c>
      <c r="O750" s="31">
        <v>91784.62</v>
      </c>
      <c r="Q750">
        <v>2.8</v>
      </c>
    </row>
    <row r="751" spans="3:17">
      <c r="C751">
        <v>5360</v>
      </c>
      <c r="E751" t="s">
        <v>5170</v>
      </c>
      <c r="H751" t="s">
        <v>4734</v>
      </c>
      <c r="K751" s="418">
        <v>-998339.27</v>
      </c>
      <c r="M751" s="31">
        <v>-998339.27</v>
      </c>
      <c r="O751">
        <v>0</v>
      </c>
    </row>
    <row r="752" spans="3:17">
      <c r="C752">
        <v>5360</v>
      </c>
      <c r="E752" t="s">
        <v>5171</v>
      </c>
      <c r="H752" t="s">
        <v>5172</v>
      </c>
      <c r="K752" s="418">
        <v>16014449.6</v>
      </c>
      <c r="M752" s="31">
        <v>16014449.6</v>
      </c>
      <c r="O752">
        <v>0</v>
      </c>
    </row>
    <row r="753" spans="3:17">
      <c r="C753">
        <v>5360</v>
      </c>
      <c r="E753" t="s">
        <v>5173</v>
      </c>
      <c r="H753" t="s">
        <v>4752</v>
      </c>
      <c r="K753" s="418">
        <v>-352318.18</v>
      </c>
      <c r="M753" s="31">
        <v>-352318.18</v>
      </c>
      <c r="O753">
        <v>0</v>
      </c>
    </row>
    <row r="754" spans="3:17">
      <c r="C754">
        <v>5360</v>
      </c>
      <c r="E754" t="s">
        <v>5174</v>
      </c>
      <c r="H754" t="s">
        <v>4756</v>
      </c>
      <c r="K754" s="418">
        <v>-1173314.77</v>
      </c>
      <c r="M754" s="31">
        <v>-1173314.77</v>
      </c>
      <c r="O754">
        <v>0</v>
      </c>
    </row>
    <row r="755" spans="3:17">
      <c r="C755">
        <v>5360</v>
      </c>
      <c r="E755" t="s">
        <v>5175</v>
      </c>
      <c r="H755" t="s">
        <v>4758</v>
      </c>
      <c r="K755" s="417">
        <v>5</v>
      </c>
      <c r="M755">
        <v>5</v>
      </c>
      <c r="O755">
        <v>0</v>
      </c>
    </row>
    <row r="756" spans="3:17">
      <c r="C756">
        <v>5360</v>
      </c>
      <c r="E756" t="s">
        <v>5176</v>
      </c>
      <c r="H756" t="s">
        <v>4760</v>
      </c>
      <c r="K756" s="418">
        <v>-477225.75</v>
      </c>
      <c r="M756" s="31">
        <v>-477225.75</v>
      </c>
      <c r="O756">
        <v>0</v>
      </c>
    </row>
    <row r="757" spans="3:17">
      <c r="C757">
        <v>5360</v>
      </c>
      <c r="E757" t="s">
        <v>5177</v>
      </c>
      <c r="H757" t="s">
        <v>4762</v>
      </c>
      <c r="K757" s="418">
        <v>-909043.74</v>
      </c>
      <c r="M757" s="31">
        <v>-909043.74</v>
      </c>
      <c r="O757">
        <v>0</v>
      </c>
    </row>
    <row r="758" spans="3:17">
      <c r="C758">
        <v>5360</v>
      </c>
      <c r="E758" t="s">
        <v>5178</v>
      </c>
      <c r="H758" t="s">
        <v>4764</v>
      </c>
      <c r="K758" s="418">
        <v>19542408.370000001</v>
      </c>
      <c r="M758" s="31">
        <v>19542408.370000001</v>
      </c>
      <c r="O758">
        <v>0</v>
      </c>
    </row>
    <row r="759" spans="3:17">
      <c r="C759">
        <v>5360</v>
      </c>
      <c r="E759" t="s">
        <v>5179</v>
      </c>
      <c r="H759" t="s">
        <v>4766</v>
      </c>
      <c r="K759" s="418">
        <v>-88329</v>
      </c>
      <c r="M759" s="31">
        <v>-88329</v>
      </c>
      <c r="O759">
        <v>0</v>
      </c>
    </row>
    <row r="760" spans="3:17">
      <c r="C760">
        <v>5360</v>
      </c>
      <c r="E760" t="s">
        <v>5180</v>
      </c>
      <c r="H760" t="s">
        <v>5181</v>
      </c>
      <c r="K760" s="418">
        <v>-1379144.63</v>
      </c>
      <c r="M760">
        <v>0</v>
      </c>
      <c r="O760" s="31">
        <v>-1379144.63</v>
      </c>
    </row>
    <row r="761" spans="3:17">
      <c r="C761">
        <v>5360</v>
      </c>
      <c r="E761" t="s">
        <v>5182</v>
      </c>
      <c r="H761" t="s">
        <v>5183</v>
      </c>
      <c r="K761" s="418">
        <v>3340316.85</v>
      </c>
      <c r="M761" s="31">
        <v>2519466.5</v>
      </c>
      <c r="O761" s="31">
        <v>820850.35</v>
      </c>
      <c r="Q761">
        <v>32.6</v>
      </c>
    </row>
    <row r="762" spans="3:17">
      <c r="C762">
        <v>5360</v>
      </c>
      <c r="E762" t="s">
        <v>5184</v>
      </c>
      <c r="H762" t="s">
        <v>5185</v>
      </c>
      <c r="K762" s="418">
        <v>642245.73</v>
      </c>
      <c r="M762" s="31">
        <v>437306.37</v>
      </c>
      <c r="O762" s="31">
        <v>204939.36</v>
      </c>
      <c r="Q762">
        <v>46.9</v>
      </c>
    </row>
    <row r="763" spans="3:17">
      <c r="C763">
        <v>5360</v>
      </c>
      <c r="E763" t="s">
        <v>5186</v>
      </c>
      <c r="H763" t="s">
        <v>5187</v>
      </c>
      <c r="K763" s="418">
        <v>-64719.74</v>
      </c>
      <c r="M763" s="31">
        <v>-48125.22</v>
      </c>
      <c r="O763" s="31">
        <v>-16594.52</v>
      </c>
      <c r="Q763">
        <v>-34.5</v>
      </c>
    </row>
    <row r="764" spans="3:17">
      <c r="C764">
        <v>5360</v>
      </c>
      <c r="E764" t="s">
        <v>5188</v>
      </c>
      <c r="H764" t="s">
        <v>5181</v>
      </c>
      <c r="K764" s="418">
        <v>-15667163.6</v>
      </c>
      <c r="M764" s="31">
        <v>-10414529.939999999</v>
      </c>
      <c r="O764" s="31">
        <v>-5252633.66</v>
      </c>
      <c r="Q764">
        <v>-50.4</v>
      </c>
    </row>
    <row r="765" spans="3:17">
      <c r="C765">
        <v>5360</v>
      </c>
      <c r="E765" t="s">
        <v>5189</v>
      </c>
      <c r="H765" t="s">
        <v>5190</v>
      </c>
      <c r="K765" s="418">
        <v>-40596.550000000003</v>
      </c>
      <c r="M765">
        <v>0</v>
      </c>
      <c r="O765" s="31">
        <v>-40596.550000000003</v>
      </c>
    </row>
    <row r="766" spans="3:17">
      <c r="C766">
        <v>5360</v>
      </c>
      <c r="E766" t="s">
        <v>5191</v>
      </c>
      <c r="H766" t="s">
        <v>5192</v>
      </c>
      <c r="K766" s="418">
        <v>-3074.65</v>
      </c>
      <c r="M766" s="31">
        <v>-2860.03</v>
      </c>
      <c r="O766">
        <v>-214.62</v>
      </c>
      <c r="Q766">
        <v>-7.5</v>
      </c>
    </row>
    <row r="767" spans="3:17">
      <c r="C767">
        <v>5360</v>
      </c>
      <c r="E767" t="s">
        <v>5193</v>
      </c>
      <c r="H767" t="s">
        <v>5194</v>
      </c>
      <c r="K767" s="418">
        <v>-1486094.94</v>
      </c>
      <c r="M767" s="31">
        <v>-1486284.27</v>
      </c>
      <c r="O767">
        <v>189.33</v>
      </c>
    </row>
    <row r="768" spans="3:17">
      <c r="C768">
        <v>5360</v>
      </c>
      <c r="E768" t="s">
        <v>5195</v>
      </c>
      <c r="H768" t="s">
        <v>5196</v>
      </c>
      <c r="K768" s="418">
        <v>-351337.09</v>
      </c>
      <c r="M768" s="31">
        <v>-264576.68</v>
      </c>
      <c r="O768" s="31">
        <v>-86760.41</v>
      </c>
      <c r="Q768">
        <v>-32.799999999999997</v>
      </c>
    </row>
    <row r="769" spans="3:17">
      <c r="C769">
        <v>5360</v>
      </c>
      <c r="E769" t="s">
        <v>5197</v>
      </c>
      <c r="H769" t="s">
        <v>5198</v>
      </c>
      <c r="K769" s="418">
        <v>1084.7</v>
      </c>
      <c r="M769" s="31">
        <v>1084.7</v>
      </c>
      <c r="O769">
        <v>0</v>
      </c>
    </row>
    <row r="770" spans="3:17">
      <c r="C770">
        <v>5360</v>
      </c>
      <c r="E770" t="s">
        <v>5199</v>
      </c>
      <c r="H770" t="s">
        <v>5200</v>
      </c>
      <c r="K770" s="417">
        <v>-232.35</v>
      </c>
      <c r="M770">
        <v>-232.35</v>
      </c>
      <c r="O770">
        <v>0</v>
      </c>
    </row>
    <row r="771" spans="3:17">
      <c r="C771">
        <v>5360</v>
      </c>
      <c r="E771" t="s">
        <v>5201</v>
      </c>
      <c r="H771" t="s">
        <v>5202</v>
      </c>
      <c r="K771" s="418">
        <v>-8109186</v>
      </c>
      <c r="M771">
        <v>0</v>
      </c>
      <c r="O771" s="31">
        <v>-8109186</v>
      </c>
    </row>
    <row r="772" spans="3:17">
      <c r="C772">
        <v>5360</v>
      </c>
      <c r="E772" t="s">
        <v>5203</v>
      </c>
      <c r="H772" t="s">
        <v>5204</v>
      </c>
      <c r="K772" s="418">
        <v>130989.45</v>
      </c>
      <c r="M772" s="31">
        <v>179457.26</v>
      </c>
      <c r="O772" s="31">
        <v>-48467.81</v>
      </c>
      <c r="Q772">
        <v>-27</v>
      </c>
    </row>
    <row r="773" spans="3:17">
      <c r="C773">
        <v>5360</v>
      </c>
      <c r="E773" t="s">
        <v>5205</v>
      </c>
      <c r="H773" t="s">
        <v>5206</v>
      </c>
      <c r="K773" s="418">
        <v>-28615.86</v>
      </c>
      <c r="M773" s="31">
        <v>-28615.86</v>
      </c>
      <c r="O773">
        <v>0</v>
      </c>
    </row>
    <row r="774" spans="3:17">
      <c r="C774">
        <v>5360</v>
      </c>
      <c r="E774" t="s">
        <v>5207</v>
      </c>
      <c r="H774" t="s">
        <v>5208</v>
      </c>
      <c r="K774" s="418">
        <v>311927.26</v>
      </c>
      <c r="M774" s="31">
        <v>118934.25</v>
      </c>
      <c r="O774" s="31">
        <v>192993.01</v>
      </c>
      <c r="Q774">
        <v>162.30000000000001</v>
      </c>
    </row>
    <row r="775" spans="3:17">
      <c r="C775">
        <v>5360</v>
      </c>
      <c r="E775" t="s">
        <v>5209</v>
      </c>
      <c r="H775" t="s">
        <v>5210</v>
      </c>
      <c r="K775" s="418">
        <v>1129765.74</v>
      </c>
      <c r="M775" s="31">
        <v>1149225.46</v>
      </c>
      <c r="O775" s="31">
        <v>-19459.72</v>
      </c>
      <c r="Q775">
        <v>-1.7</v>
      </c>
    </row>
    <row r="776" spans="3:17">
      <c r="C776">
        <v>5360</v>
      </c>
      <c r="E776" t="s">
        <v>5211</v>
      </c>
      <c r="H776" t="s">
        <v>5212</v>
      </c>
      <c r="K776" s="418">
        <v>1092372.3999999999</v>
      </c>
      <c r="M776" s="31">
        <v>1108685.68</v>
      </c>
      <c r="O776" s="31">
        <v>-16313.28</v>
      </c>
      <c r="Q776">
        <v>-1.5</v>
      </c>
    </row>
    <row r="777" spans="3:17">
      <c r="C777">
        <v>5360</v>
      </c>
      <c r="E777" t="s">
        <v>5213</v>
      </c>
      <c r="H777" t="s">
        <v>5214</v>
      </c>
      <c r="K777" s="418">
        <v>-376759.71</v>
      </c>
      <c r="M777" s="31">
        <v>-293707.65000000002</v>
      </c>
      <c r="O777" s="31">
        <v>-83052.06</v>
      </c>
      <c r="Q777">
        <v>-28.3</v>
      </c>
    </row>
    <row r="778" spans="3:17">
      <c r="C778">
        <v>5360</v>
      </c>
      <c r="E778" t="s">
        <v>5215</v>
      </c>
      <c r="H778" t="s">
        <v>5216</v>
      </c>
      <c r="K778" s="418">
        <v>10078483</v>
      </c>
      <c r="M778">
        <v>0</v>
      </c>
      <c r="O778" s="31">
        <v>10078483</v>
      </c>
    </row>
    <row r="779" spans="3:17">
      <c r="C779">
        <v>5360</v>
      </c>
      <c r="E779" t="s">
        <v>5217</v>
      </c>
      <c r="H779" t="s">
        <v>5218</v>
      </c>
      <c r="K779" s="418">
        <v>194515.07</v>
      </c>
      <c r="M779" s="31">
        <v>153887.07</v>
      </c>
      <c r="O779" s="31">
        <v>40628</v>
      </c>
      <c r="Q779">
        <v>26.4</v>
      </c>
    </row>
    <row r="780" spans="3:17">
      <c r="C780">
        <v>5360</v>
      </c>
      <c r="E780" t="s">
        <v>5219</v>
      </c>
      <c r="H780" t="s">
        <v>5220</v>
      </c>
      <c r="K780" s="418">
        <v>313522.8</v>
      </c>
      <c r="M780" s="31">
        <v>219317.92</v>
      </c>
      <c r="O780" s="31">
        <v>94204.88</v>
      </c>
      <c r="Q780">
        <v>43</v>
      </c>
    </row>
    <row r="781" spans="3:17">
      <c r="C781">
        <v>5360</v>
      </c>
      <c r="E781" t="s">
        <v>5221</v>
      </c>
      <c r="H781" t="s">
        <v>5222</v>
      </c>
      <c r="K781" s="418">
        <v>351337.09</v>
      </c>
      <c r="M781" s="31">
        <v>264576.68</v>
      </c>
      <c r="O781" s="31">
        <v>86760.41</v>
      </c>
      <c r="Q781">
        <v>32.799999999999997</v>
      </c>
    </row>
    <row r="782" spans="3:17">
      <c r="C782">
        <v>5360</v>
      </c>
      <c r="E782" t="s">
        <v>5223</v>
      </c>
      <c r="H782" t="s">
        <v>5224</v>
      </c>
      <c r="K782" s="418">
        <v>7604.06</v>
      </c>
      <c r="M782" s="31">
        <v>5657.79</v>
      </c>
      <c r="O782" s="31">
        <v>1946.27</v>
      </c>
      <c r="Q782">
        <v>34.4</v>
      </c>
    </row>
    <row r="783" spans="3:17">
      <c r="C783">
        <v>5360</v>
      </c>
      <c r="E783" t="s">
        <v>5225</v>
      </c>
      <c r="H783" t="s">
        <v>5226</v>
      </c>
      <c r="K783" s="418">
        <v>1309022</v>
      </c>
      <c r="M783" s="31">
        <v>991282.23</v>
      </c>
      <c r="O783" s="31">
        <v>317739.77</v>
      </c>
      <c r="Q783">
        <v>32.1</v>
      </c>
    </row>
    <row r="784" spans="3:17">
      <c r="C784">
        <v>5360</v>
      </c>
      <c r="E784" t="s">
        <v>5227</v>
      </c>
      <c r="H784" t="s">
        <v>5228</v>
      </c>
      <c r="K784" s="418">
        <v>-1236154.3999999999</v>
      </c>
      <c r="M784">
        <v>-120.01</v>
      </c>
      <c r="O784" s="31">
        <v>-1236034.3899999999</v>
      </c>
      <c r="Q784" t="s">
        <v>5229</v>
      </c>
    </row>
    <row r="785" spans="3:17">
      <c r="C785">
        <v>5360</v>
      </c>
      <c r="E785" t="s">
        <v>5230</v>
      </c>
      <c r="H785" t="s">
        <v>3532</v>
      </c>
      <c r="K785" s="418">
        <v>-14714.92</v>
      </c>
      <c r="M785" s="31">
        <v>-12692.93</v>
      </c>
      <c r="O785" s="31">
        <v>-2021.99</v>
      </c>
      <c r="Q785">
        <v>-15.9</v>
      </c>
    </row>
    <row r="786" spans="3:17">
      <c r="C786">
        <v>5360</v>
      </c>
      <c r="E786" t="s">
        <v>5231</v>
      </c>
      <c r="H786" t="s">
        <v>1365</v>
      </c>
      <c r="K786" s="418">
        <v>-7720.72</v>
      </c>
      <c r="M786" s="31">
        <v>-7720.72</v>
      </c>
      <c r="O786">
        <v>0</v>
      </c>
    </row>
    <row r="787" spans="3:17">
      <c r="C787">
        <v>5360</v>
      </c>
      <c r="E787" t="s">
        <v>5232</v>
      </c>
      <c r="H787" t="s">
        <v>5233</v>
      </c>
      <c r="K787" s="418">
        <v>-96468.58</v>
      </c>
      <c r="M787" s="31">
        <v>-67001.05</v>
      </c>
      <c r="O787" s="31">
        <v>-29467.53</v>
      </c>
      <c r="Q787">
        <v>-44</v>
      </c>
    </row>
    <row r="788" spans="3:17">
      <c r="C788">
        <v>5360</v>
      </c>
      <c r="E788" t="s">
        <v>5234</v>
      </c>
      <c r="H788" t="s">
        <v>5235</v>
      </c>
      <c r="K788" s="418">
        <v>-37021.339999999997</v>
      </c>
      <c r="M788" s="31">
        <v>-24797.93</v>
      </c>
      <c r="O788" s="31">
        <v>-12223.41</v>
      </c>
      <c r="Q788">
        <v>-49.3</v>
      </c>
    </row>
    <row r="789" spans="3:17">
      <c r="C789">
        <v>5360</v>
      </c>
      <c r="E789" t="s">
        <v>5236</v>
      </c>
      <c r="H789" t="s">
        <v>5237</v>
      </c>
      <c r="K789" s="418">
        <v>196168.54</v>
      </c>
      <c r="M789" s="31">
        <v>90172.37</v>
      </c>
      <c r="O789" s="31">
        <v>105996.17</v>
      </c>
      <c r="Q789">
        <v>117.5</v>
      </c>
    </row>
    <row r="790" spans="3:17">
      <c r="C790">
        <v>5360</v>
      </c>
      <c r="E790" t="s">
        <v>5238</v>
      </c>
      <c r="H790" t="s">
        <v>5239</v>
      </c>
      <c r="K790" s="417">
        <v>61.13</v>
      </c>
      <c r="M790">
        <v>5.42</v>
      </c>
      <c r="O790">
        <v>55.71</v>
      </c>
      <c r="Q790">
        <v>1027.9000000000001</v>
      </c>
    </row>
    <row r="791" spans="3:17">
      <c r="C791">
        <v>5360</v>
      </c>
      <c r="E791" t="s">
        <v>5240</v>
      </c>
      <c r="H791" t="s">
        <v>5241</v>
      </c>
      <c r="K791" s="418">
        <v>5063.2700000000004</v>
      </c>
      <c r="M791" s="31">
        <v>1925.02</v>
      </c>
      <c r="O791" s="31">
        <v>3138.25</v>
      </c>
      <c r="Q791">
        <v>163</v>
      </c>
    </row>
    <row r="792" spans="3:17">
      <c r="C792">
        <v>5360</v>
      </c>
      <c r="E792" t="s">
        <v>5242</v>
      </c>
      <c r="H792" t="s">
        <v>5243</v>
      </c>
      <c r="K792" s="418">
        <v>1541.46</v>
      </c>
      <c r="M792">
        <v>961.36</v>
      </c>
      <c r="O792">
        <v>580.1</v>
      </c>
      <c r="Q792">
        <v>60.3</v>
      </c>
    </row>
    <row r="793" spans="3:17">
      <c r="C793">
        <v>5360</v>
      </c>
      <c r="E793" t="s">
        <v>5244</v>
      </c>
      <c r="H793" t="s">
        <v>5245</v>
      </c>
      <c r="K793" s="418">
        <v>40073.03</v>
      </c>
      <c r="M793" s="31">
        <v>11855.73</v>
      </c>
      <c r="O793" s="31">
        <v>28217.3</v>
      </c>
      <c r="Q793">
        <v>238</v>
      </c>
    </row>
    <row r="794" spans="3:17">
      <c r="C794">
        <v>5360</v>
      </c>
      <c r="E794" t="s">
        <v>5246</v>
      </c>
      <c r="H794" t="s">
        <v>5247</v>
      </c>
      <c r="K794" s="417">
        <v>234.54</v>
      </c>
      <c r="M794">
        <v>160.33000000000001</v>
      </c>
      <c r="O794">
        <v>74.209999999999994</v>
      </c>
      <c r="Q794">
        <v>46.3</v>
      </c>
    </row>
    <row r="795" spans="3:17">
      <c r="C795">
        <v>5360</v>
      </c>
      <c r="E795" t="s">
        <v>5248</v>
      </c>
      <c r="H795" t="s">
        <v>5249</v>
      </c>
      <c r="K795" s="417">
        <v>-222.08</v>
      </c>
      <c r="M795">
        <v>-113.37</v>
      </c>
      <c r="O795">
        <v>-108.71</v>
      </c>
      <c r="Q795">
        <v>-95.9</v>
      </c>
    </row>
    <row r="796" spans="3:17">
      <c r="C796">
        <v>5360</v>
      </c>
      <c r="E796" t="s">
        <v>5250</v>
      </c>
      <c r="H796" t="s">
        <v>5251</v>
      </c>
      <c r="K796" s="418">
        <v>7350.48</v>
      </c>
      <c r="M796" s="31">
        <v>8952.93</v>
      </c>
      <c r="O796" s="31">
        <v>-1602.45</v>
      </c>
      <c r="Q796">
        <v>-17.899999999999999</v>
      </c>
    </row>
    <row r="797" spans="3:17">
      <c r="C797">
        <v>5360</v>
      </c>
      <c r="E797" t="s">
        <v>5252</v>
      </c>
      <c r="H797" t="s">
        <v>5253</v>
      </c>
      <c r="K797" s="417">
        <v>248.2</v>
      </c>
      <c r="M797">
        <v>166.17</v>
      </c>
      <c r="O797">
        <v>82.03</v>
      </c>
      <c r="Q797">
        <v>49.4</v>
      </c>
    </row>
    <row r="798" spans="3:17">
      <c r="C798">
        <v>5360</v>
      </c>
      <c r="E798" t="s">
        <v>5254</v>
      </c>
      <c r="H798" t="s">
        <v>5255</v>
      </c>
      <c r="K798" s="418">
        <v>4324.8100000000004</v>
      </c>
      <c r="M798">
        <v>0</v>
      </c>
      <c r="O798" s="31">
        <v>4324.8100000000004</v>
      </c>
    </row>
    <row r="799" spans="3:17">
      <c r="C799">
        <v>5360</v>
      </c>
      <c r="E799" t="s">
        <v>5256</v>
      </c>
      <c r="H799" t="s">
        <v>5257</v>
      </c>
      <c r="K799" s="418">
        <v>92118.52</v>
      </c>
      <c r="M799" s="31">
        <v>44615.59</v>
      </c>
      <c r="O799" s="31">
        <v>47502.93</v>
      </c>
      <c r="Q799">
        <v>106.5</v>
      </c>
    </row>
    <row r="800" spans="3:17">
      <c r="C800">
        <v>5360</v>
      </c>
      <c r="E800" t="s">
        <v>5258</v>
      </c>
      <c r="H800" t="s">
        <v>5259</v>
      </c>
      <c r="K800" s="417">
        <v>347.22</v>
      </c>
      <c r="M800">
        <v>206.52</v>
      </c>
      <c r="O800">
        <v>140.69999999999999</v>
      </c>
      <c r="Q800">
        <v>68.099999999999994</v>
      </c>
    </row>
    <row r="801" spans="3:17">
      <c r="C801">
        <v>5360</v>
      </c>
      <c r="E801" t="s">
        <v>5260</v>
      </c>
      <c r="H801" t="s">
        <v>5261</v>
      </c>
      <c r="K801" s="418">
        <v>1032763.18</v>
      </c>
      <c r="M801" s="31">
        <v>225648.74</v>
      </c>
      <c r="O801" s="31">
        <v>807114.44</v>
      </c>
      <c r="Q801">
        <v>357.7</v>
      </c>
    </row>
    <row r="802" spans="3:17">
      <c r="C802">
        <v>5360</v>
      </c>
      <c r="E802" t="s">
        <v>5262</v>
      </c>
      <c r="H802" t="s">
        <v>5263</v>
      </c>
      <c r="K802" s="417">
        <v>42.14</v>
      </c>
      <c r="M802">
        <v>25.49</v>
      </c>
      <c r="O802">
        <v>16.649999999999999</v>
      </c>
      <c r="Q802">
        <v>65.3</v>
      </c>
    </row>
    <row r="803" spans="3:17">
      <c r="C803">
        <v>5360</v>
      </c>
      <c r="E803" t="s">
        <v>5264</v>
      </c>
      <c r="H803" t="s">
        <v>5265</v>
      </c>
      <c r="K803" s="418">
        <v>22721.279999999999</v>
      </c>
      <c r="M803" s="31">
        <v>-1160.92</v>
      </c>
      <c r="O803" s="31">
        <v>23882.2</v>
      </c>
      <c r="Q803">
        <v>2057.1999999999998</v>
      </c>
    </row>
    <row r="804" spans="3:17">
      <c r="C804">
        <v>5360</v>
      </c>
      <c r="E804" t="s">
        <v>5266</v>
      </c>
      <c r="H804" t="s">
        <v>5267</v>
      </c>
      <c r="K804" s="417">
        <v>-1.81</v>
      </c>
      <c r="M804">
        <v>1.1100000000000001</v>
      </c>
      <c r="O804">
        <v>-2.92</v>
      </c>
      <c r="Q804">
        <v>-263.10000000000002</v>
      </c>
    </row>
    <row r="805" spans="3:17">
      <c r="C805">
        <v>5360</v>
      </c>
      <c r="E805" t="s">
        <v>5268</v>
      </c>
      <c r="H805" t="s">
        <v>5269</v>
      </c>
      <c r="K805" s="418">
        <v>42723.29</v>
      </c>
      <c r="M805" s="31">
        <v>22684.720000000001</v>
      </c>
      <c r="O805" s="31">
        <v>20038.57</v>
      </c>
      <c r="Q805">
        <v>88.3</v>
      </c>
    </row>
    <row r="806" spans="3:17">
      <c r="C806">
        <v>5360</v>
      </c>
      <c r="E806" t="s">
        <v>5270</v>
      </c>
      <c r="H806" t="s">
        <v>5271</v>
      </c>
      <c r="K806" s="417">
        <v>264.92</v>
      </c>
      <c r="M806">
        <v>162.96</v>
      </c>
      <c r="O806">
        <v>101.96</v>
      </c>
      <c r="Q806">
        <v>62.6</v>
      </c>
    </row>
    <row r="807" spans="3:17">
      <c r="C807">
        <v>5360</v>
      </c>
      <c r="E807" t="s">
        <v>5272</v>
      </c>
      <c r="H807" t="s">
        <v>5273</v>
      </c>
      <c r="K807" s="418">
        <v>15344.43</v>
      </c>
      <c r="M807" s="31">
        <v>14612.57</v>
      </c>
      <c r="O807">
        <v>731.86</v>
      </c>
      <c r="Q807">
        <v>5</v>
      </c>
    </row>
    <row r="808" spans="3:17">
      <c r="C808">
        <v>5360</v>
      </c>
      <c r="E808" t="s">
        <v>5274</v>
      </c>
      <c r="H808" t="s">
        <v>5275</v>
      </c>
      <c r="K808" s="417">
        <v>13.46</v>
      </c>
      <c r="M808">
        <v>9.1199999999999992</v>
      </c>
      <c r="O808">
        <v>4.34</v>
      </c>
      <c r="Q808">
        <v>47.6</v>
      </c>
    </row>
    <row r="809" spans="3:17">
      <c r="C809">
        <v>5360</v>
      </c>
      <c r="E809" t="s">
        <v>5276</v>
      </c>
      <c r="H809" t="s">
        <v>5277</v>
      </c>
      <c r="K809" s="418">
        <v>3348376.64</v>
      </c>
      <c r="M809" s="31">
        <v>719468.65</v>
      </c>
      <c r="O809" s="31">
        <v>2628907.9900000002</v>
      </c>
      <c r="Q809">
        <v>365.4</v>
      </c>
    </row>
    <row r="810" spans="3:17">
      <c r="C810">
        <v>5360</v>
      </c>
      <c r="E810" t="s">
        <v>5278</v>
      </c>
      <c r="H810" t="s">
        <v>5279</v>
      </c>
      <c r="K810" s="417">
        <v>134.97999999999999</v>
      </c>
      <c r="M810">
        <v>81.92</v>
      </c>
      <c r="O810">
        <v>53.06</v>
      </c>
      <c r="Q810">
        <v>64.8</v>
      </c>
    </row>
    <row r="811" spans="3:17">
      <c r="C811">
        <v>5360</v>
      </c>
      <c r="E811" t="s">
        <v>5280</v>
      </c>
      <c r="H811" t="s">
        <v>5281</v>
      </c>
      <c r="K811" s="418">
        <v>27226.720000000001</v>
      </c>
      <c r="M811" s="31">
        <v>18178.82</v>
      </c>
      <c r="O811" s="31">
        <v>9047.9</v>
      </c>
      <c r="Q811">
        <v>49.8</v>
      </c>
    </row>
    <row r="812" spans="3:17">
      <c r="C812">
        <v>5360</v>
      </c>
      <c r="E812" t="s">
        <v>5282</v>
      </c>
      <c r="H812" t="s">
        <v>5283</v>
      </c>
      <c r="K812" s="417">
        <v>116.58</v>
      </c>
      <c r="M812">
        <v>70.989999999999995</v>
      </c>
      <c r="O812">
        <v>45.59</v>
      </c>
      <c r="Q812">
        <v>64.2</v>
      </c>
    </row>
    <row r="813" spans="3:17">
      <c r="C813">
        <v>5360</v>
      </c>
      <c r="E813" t="s">
        <v>5284</v>
      </c>
      <c r="H813" t="s">
        <v>5285</v>
      </c>
      <c r="K813" s="418">
        <v>-37582.49</v>
      </c>
      <c r="M813" s="31">
        <v>2811.48</v>
      </c>
      <c r="O813" s="31">
        <v>-40393.97</v>
      </c>
      <c r="Q813">
        <v>-1436.8</v>
      </c>
    </row>
    <row r="814" spans="3:17">
      <c r="C814">
        <v>5360</v>
      </c>
      <c r="E814" t="s">
        <v>5286</v>
      </c>
      <c r="H814" t="s">
        <v>5287</v>
      </c>
      <c r="K814" s="417">
        <v>19.989999999999998</v>
      </c>
      <c r="M814">
        <v>11.87</v>
      </c>
      <c r="O814">
        <v>8.1199999999999992</v>
      </c>
      <c r="Q814">
        <v>68.400000000000006</v>
      </c>
    </row>
    <row r="815" spans="3:17">
      <c r="C815">
        <v>5360</v>
      </c>
      <c r="E815" t="s">
        <v>5288</v>
      </c>
      <c r="H815" t="s">
        <v>5289</v>
      </c>
      <c r="K815" s="418">
        <v>1421</v>
      </c>
      <c r="M815" s="31">
        <v>-5191.09</v>
      </c>
      <c r="O815" s="31">
        <v>6612.09</v>
      </c>
      <c r="Q815">
        <v>127.4</v>
      </c>
    </row>
    <row r="816" spans="3:17">
      <c r="C816">
        <v>5360</v>
      </c>
      <c r="E816" t="s">
        <v>5290</v>
      </c>
      <c r="H816" t="s">
        <v>5291</v>
      </c>
      <c r="K816" s="417">
        <v>177.87</v>
      </c>
      <c r="M816">
        <v>108.31</v>
      </c>
      <c r="O816">
        <v>69.56</v>
      </c>
      <c r="Q816">
        <v>64.2</v>
      </c>
    </row>
    <row r="817" spans="3:17">
      <c r="C817">
        <v>5360</v>
      </c>
      <c r="E817" t="s">
        <v>5292</v>
      </c>
      <c r="H817" t="s">
        <v>5293</v>
      </c>
      <c r="K817" s="418">
        <v>62962.04</v>
      </c>
      <c r="M817" s="31">
        <v>20941.86</v>
      </c>
      <c r="O817" s="31">
        <v>42020.18</v>
      </c>
      <c r="Q817">
        <v>200.7</v>
      </c>
    </row>
    <row r="818" spans="3:17">
      <c r="C818">
        <v>5360</v>
      </c>
      <c r="E818" t="s">
        <v>5294</v>
      </c>
      <c r="H818" t="s">
        <v>5295</v>
      </c>
      <c r="K818" s="418">
        <v>23227.16</v>
      </c>
      <c r="M818">
        <v>0</v>
      </c>
      <c r="O818" s="31">
        <v>23227.16</v>
      </c>
    </row>
    <row r="819" spans="3:17">
      <c r="C819">
        <v>5360</v>
      </c>
      <c r="E819" t="s">
        <v>5296</v>
      </c>
      <c r="H819" t="s">
        <v>5297</v>
      </c>
      <c r="K819" s="417">
        <v>3.41</v>
      </c>
      <c r="M819">
        <v>0</v>
      </c>
      <c r="O819">
        <v>3.41</v>
      </c>
    </row>
    <row r="820" spans="3:17">
      <c r="C820">
        <v>5360</v>
      </c>
      <c r="E820" t="s">
        <v>5298</v>
      </c>
      <c r="H820" t="s">
        <v>5299</v>
      </c>
      <c r="K820" s="418">
        <v>31505.03</v>
      </c>
      <c r="M820" s="31">
        <v>27087.26</v>
      </c>
      <c r="O820" s="31">
        <v>4417.7700000000004</v>
      </c>
      <c r="Q820">
        <v>16.3</v>
      </c>
    </row>
    <row r="821" spans="3:17">
      <c r="C821">
        <v>5360</v>
      </c>
      <c r="E821" t="s">
        <v>5300</v>
      </c>
      <c r="H821" t="s">
        <v>5301</v>
      </c>
      <c r="K821" s="417">
        <v>920.03</v>
      </c>
      <c r="M821" s="31">
        <v>3443.33</v>
      </c>
      <c r="O821" s="31">
        <v>-2523.3000000000002</v>
      </c>
      <c r="Q821">
        <v>-73.3</v>
      </c>
    </row>
    <row r="822" spans="3:17">
      <c r="C822">
        <v>5360</v>
      </c>
      <c r="E822" t="s">
        <v>5302</v>
      </c>
      <c r="H822" t="s">
        <v>5303</v>
      </c>
      <c r="K822" s="418">
        <v>-88207.83</v>
      </c>
      <c r="M822">
        <v>0</v>
      </c>
      <c r="O822" s="31">
        <v>-88207.83</v>
      </c>
    </row>
    <row r="823" spans="3:17">
      <c r="C823">
        <v>5360</v>
      </c>
      <c r="E823" t="s">
        <v>5304</v>
      </c>
      <c r="H823" t="s">
        <v>5305</v>
      </c>
      <c r="K823" s="418">
        <v>-2035.92</v>
      </c>
      <c r="M823" s="31">
        <v>-1942.86</v>
      </c>
      <c r="O823">
        <v>-93.06</v>
      </c>
      <c r="Q823">
        <v>-4.8</v>
      </c>
    </row>
    <row r="824" spans="3:17">
      <c r="C824">
        <v>5360</v>
      </c>
      <c r="E824" t="s">
        <v>5306</v>
      </c>
      <c r="H824" t="s">
        <v>5307</v>
      </c>
      <c r="K824" s="418">
        <v>4927970.8600000003</v>
      </c>
      <c r="M824" s="31">
        <v>4686218.8099999996</v>
      </c>
      <c r="O824" s="31">
        <v>241752.05</v>
      </c>
      <c r="Q824">
        <v>5.2</v>
      </c>
    </row>
    <row r="825" spans="3:17">
      <c r="C825">
        <v>5360</v>
      </c>
      <c r="E825" t="s">
        <v>5308</v>
      </c>
      <c r="H825" t="s">
        <v>5309</v>
      </c>
      <c r="K825" s="417">
        <v>311.52999999999997</v>
      </c>
      <c r="M825">
        <v>311.52999999999997</v>
      </c>
      <c r="O825">
        <v>0</v>
      </c>
    </row>
    <row r="826" spans="3:17">
      <c r="C826">
        <v>5360</v>
      </c>
      <c r="E826" t="s">
        <v>5310</v>
      </c>
      <c r="H826" t="s">
        <v>5311</v>
      </c>
      <c r="K826" s="418">
        <v>-2901263.82</v>
      </c>
      <c r="M826" s="31">
        <v>-2590578.73</v>
      </c>
      <c r="O826" s="31">
        <v>-310685.09000000003</v>
      </c>
      <c r="Q826">
        <v>-12</v>
      </c>
    </row>
    <row r="827" spans="3:17">
      <c r="C827">
        <v>5360</v>
      </c>
      <c r="E827" t="s">
        <v>5312</v>
      </c>
      <c r="H827" t="s">
        <v>5313</v>
      </c>
      <c r="K827" s="418">
        <v>8625.9699999999993</v>
      </c>
      <c r="M827" s="31">
        <v>8240.85</v>
      </c>
      <c r="O827">
        <v>385.12</v>
      </c>
      <c r="Q827">
        <v>4.7</v>
      </c>
    </row>
    <row r="828" spans="3:17">
      <c r="C828">
        <v>5360</v>
      </c>
      <c r="E828" t="s">
        <v>5314</v>
      </c>
      <c r="H828" t="s">
        <v>5315</v>
      </c>
      <c r="K828" s="418">
        <v>-6566.69</v>
      </c>
      <c r="M828" s="31">
        <v>-6001.43</v>
      </c>
      <c r="O828">
        <v>-565.26</v>
      </c>
      <c r="Q828">
        <v>-9.4</v>
      </c>
    </row>
    <row r="829" spans="3:17">
      <c r="C829">
        <v>5360</v>
      </c>
      <c r="E829" t="s">
        <v>5316</v>
      </c>
      <c r="H829" t="s">
        <v>5317</v>
      </c>
      <c r="K829" s="418">
        <v>2817.9</v>
      </c>
      <c r="M829" s="31">
        <v>2140.56</v>
      </c>
      <c r="O829">
        <v>677.34</v>
      </c>
      <c r="Q829">
        <v>31.6</v>
      </c>
    </row>
    <row r="830" spans="3:17">
      <c r="C830">
        <v>5360</v>
      </c>
      <c r="E830" t="s">
        <v>5318</v>
      </c>
      <c r="H830" t="s">
        <v>5319</v>
      </c>
      <c r="K830" s="418">
        <v>-139712.87</v>
      </c>
      <c r="M830" s="31">
        <v>193803.62</v>
      </c>
      <c r="O830" s="31">
        <v>-333516.49</v>
      </c>
      <c r="Q830">
        <v>-172.1</v>
      </c>
    </row>
    <row r="831" spans="3:17">
      <c r="C831">
        <v>5360</v>
      </c>
      <c r="E831" t="s">
        <v>5320</v>
      </c>
      <c r="H831" t="s">
        <v>5321</v>
      </c>
      <c r="K831" s="418">
        <v>-221877.49</v>
      </c>
      <c r="M831" s="31">
        <v>-202013</v>
      </c>
      <c r="O831" s="31">
        <v>-19864.490000000002</v>
      </c>
      <c r="Q831">
        <v>-9.8000000000000007</v>
      </c>
    </row>
    <row r="832" spans="3:17">
      <c r="C832">
        <v>5360</v>
      </c>
      <c r="E832" t="s">
        <v>5322</v>
      </c>
      <c r="H832" t="s">
        <v>5323</v>
      </c>
      <c r="K832" s="418">
        <v>55043.57</v>
      </c>
      <c r="M832" s="31">
        <v>47377.47</v>
      </c>
      <c r="O832" s="31">
        <v>7666.1</v>
      </c>
      <c r="Q832">
        <v>16.2</v>
      </c>
    </row>
    <row r="833" spans="3:17">
      <c r="C833">
        <v>5360</v>
      </c>
      <c r="E833" t="s">
        <v>5324</v>
      </c>
      <c r="H833" t="s">
        <v>5325</v>
      </c>
      <c r="K833" s="418">
        <v>3168.23</v>
      </c>
      <c r="M833" s="31">
        <v>2976.29</v>
      </c>
      <c r="O833">
        <v>191.94</v>
      </c>
      <c r="Q833">
        <v>6.4</v>
      </c>
    </row>
    <row r="834" spans="3:17">
      <c r="C834">
        <v>5360</v>
      </c>
      <c r="E834" t="s">
        <v>5326</v>
      </c>
      <c r="H834" t="s">
        <v>5327</v>
      </c>
      <c r="K834" s="418">
        <v>-21149.53</v>
      </c>
      <c r="M834" s="31">
        <v>-17126.91</v>
      </c>
      <c r="O834" s="31">
        <v>-4022.62</v>
      </c>
      <c r="Q834">
        <v>-23.5</v>
      </c>
    </row>
    <row r="835" spans="3:17">
      <c r="C835">
        <v>5360</v>
      </c>
      <c r="E835" t="s">
        <v>5328</v>
      </c>
      <c r="H835" t="s">
        <v>5329</v>
      </c>
      <c r="K835" s="418">
        <v>-6061.67</v>
      </c>
      <c r="M835" s="31">
        <v>-5936.12</v>
      </c>
      <c r="O835">
        <v>-125.55</v>
      </c>
      <c r="Q835">
        <v>-2.1</v>
      </c>
    </row>
    <row r="836" spans="3:17">
      <c r="C836">
        <v>5360</v>
      </c>
      <c r="E836" t="s">
        <v>5330</v>
      </c>
      <c r="H836" t="s">
        <v>5331</v>
      </c>
      <c r="K836" s="418">
        <v>-1990.43</v>
      </c>
      <c r="M836" s="31">
        <v>-1742.97</v>
      </c>
      <c r="O836">
        <v>-247.46</v>
      </c>
      <c r="Q836">
        <v>-14.2</v>
      </c>
    </row>
    <row r="837" spans="3:17">
      <c r="C837">
        <v>5360</v>
      </c>
      <c r="E837" t="s">
        <v>5332</v>
      </c>
      <c r="H837" t="s">
        <v>5333</v>
      </c>
      <c r="K837" s="418">
        <v>111906.03</v>
      </c>
      <c r="M837">
        <v>0</v>
      </c>
      <c r="O837" s="31">
        <v>111906.03</v>
      </c>
    </row>
    <row r="838" spans="3:17">
      <c r="C838">
        <v>5360</v>
      </c>
      <c r="E838" t="s">
        <v>5334</v>
      </c>
      <c r="H838" t="s">
        <v>5335</v>
      </c>
      <c r="K838" s="418">
        <v>-3544235.71</v>
      </c>
      <c r="M838" s="31">
        <v>-2683770</v>
      </c>
      <c r="O838" s="31">
        <v>-860465.71</v>
      </c>
      <c r="Q838">
        <v>-32.1</v>
      </c>
    </row>
    <row r="839" spans="3:17">
      <c r="C839">
        <v>5360</v>
      </c>
      <c r="E839" t="s">
        <v>5336</v>
      </c>
      <c r="H839" t="s">
        <v>5337</v>
      </c>
      <c r="K839" s="418">
        <v>-776762.27</v>
      </c>
      <c r="M839" s="31">
        <v>-590872.55000000005</v>
      </c>
      <c r="O839" s="31">
        <v>-185889.72</v>
      </c>
      <c r="Q839">
        <v>-31.5</v>
      </c>
    </row>
    <row r="840" spans="3:17">
      <c r="C840">
        <v>5360</v>
      </c>
      <c r="E840" t="s">
        <v>5338</v>
      </c>
      <c r="H840" t="s">
        <v>5339</v>
      </c>
      <c r="K840" s="418">
        <v>-1311717.1599999999</v>
      </c>
      <c r="M840" s="31">
        <v>-1610168.95</v>
      </c>
      <c r="O840" s="31">
        <v>298451.78999999998</v>
      </c>
      <c r="Q840">
        <v>18.5</v>
      </c>
    </row>
    <row r="841" spans="3:17">
      <c r="C841">
        <v>5360</v>
      </c>
      <c r="E841" t="s">
        <v>5340</v>
      </c>
      <c r="H841" t="s">
        <v>5341</v>
      </c>
      <c r="K841" s="417">
        <v>-217.75</v>
      </c>
      <c r="M841">
        <v>-217.75</v>
      </c>
      <c r="O841">
        <v>0</v>
      </c>
    </row>
    <row r="842" spans="3:17">
      <c r="C842">
        <v>5360</v>
      </c>
      <c r="E842" t="s">
        <v>5342</v>
      </c>
      <c r="H842" t="s">
        <v>5343</v>
      </c>
      <c r="K842" s="418">
        <v>-2427.16</v>
      </c>
      <c r="M842">
        <v>0</v>
      </c>
      <c r="O842" s="31">
        <v>-2427.16</v>
      </c>
    </row>
    <row r="843" spans="3:17">
      <c r="C843">
        <v>5360</v>
      </c>
      <c r="E843" t="s">
        <v>5344</v>
      </c>
      <c r="H843" t="s">
        <v>5345</v>
      </c>
      <c r="K843" s="417">
        <v>-80.95</v>
      </c>
      <c r="M843">
        <v>0</v>
      </c>
      <c r="O843">
        <v>-80.95</v>
      </c>
    </row>
    <row r="844" spans="3:17">
      <c r="C844">
        <v>5360</v>
      </c>
      <c r="E844" t="s">
        <v>5346</v>
      </c>
      <c r="H844" t="s">
        <v>5347</v>
      </c>
      <c r="K844" s="418">
        <v>-10586.13</v>
      </c>
      <c r="M844" s="31">
        <v>-10586.13</v>
      </c>
      <c r="O844">
        <v>0</v>
      </c>
    </row>
    <row r="845" spans="3:17">
      <c r="C845">
        <v>5360</v>
      </c>
      <c r="E845" t="s">
        <v>5348</v>
      </c>
      <c r="H845" t="s">
        <v>5349</v>
      </c>
      <c r="K845" s="417">
        <v>-822.87</v>
      </c>
      <c r="M845">
        <v>-822.87</v>
      </c>
      <c r="O845">
        <v>0</v>
      </c>
    </row>
    <row r="846" spans="3:17">
      <c r="C846">
        <v>5360</v>
      </c>
      <c r="E846" t="s">
        <v>5350</v>
      </c>
      <c r="H846" t="s">
        <v>5351</v>
      </c>
      <c r="K846" s="418">
        <v>5464.92</v>
      </c>
      <c r="M846" s="31">
        <v>3739.03</v>
      </c>
      <c r="O846" s="31">
        <v>1725.89</v>
      </c>
      <c r="Q846">
        <v>46.2</v>
      </c>
    </row>
    <row r="847" spans="3:17">
      <c r="C847">
        <v>5360</v>
      </c>
      <c r="E847" t="s">
        <v>5352</v>
      </c>
      <c r="H847" t="s">
        <v>5353</v>
      </c>
      <c r="K847" s="417">
        <v>13.17</v>
      </c>
      <c r="M847">
        <v>3.22</v>
      </c>
      <c r="O847">
        <v>9.9499999999999993</v>
      </c>
      <c r="Q847">
        <v>309</v>
      </c>
    </row>
    <row r="848" spans="3:17">
      <c r="C848">
        <v>5360</v>
      </c>
      <c r="E848" t="s">
        <v>5354</v>
      </c>
      <c r="H848" t="s">
        <v>5355</v>
      </c>
      <c r="K848" s="418">
        <v>1621583.19</v>
      </c>
      <c r="M848" s="31">
        <v>271443.92</v>
      </c>
      <c r="O848" s="31">
        <v>1350139.27</v>
      </c>
      <c r="Q848">
        <v>497.4</v>
      </c>
    </row>
    <row r="849" spans="3:17">
      <c r="C849">
        <v>5360</v>
      </c>
      <c r="E849" t="s">
        <v>5356</v>
      </c>
      <c r="H849" t="s">
        <v>5357</v>
      </c>
      <c r="K849" s="417">
        <v>-654.36</v>
      </c>
      <c r="M849">
        <v>-654.36</v>
      </c>
      <c r="O849">
        <v>0</v>
      </c>
    </row>
    <row r="850" spans="3:17">
      <c r="C850">
        <v>5360</v>
      </c>
      <c r="E850" t="s">
        <v>5358</v>
      </c>
      <c r="H850" t="s">
        <v>5359</v>
      </c>
      <c r="K850" s="418">
        <v>126003.88</v>
      </c>
      <c r="M850" s="31">
        <v>75727.09</v>
      </c>
      <c r="O850" s="31">
        <v>50276.79</v>
      </c>
      <c r="Q850">
        <v>66.400000000000006</v>
      </c>
    </row>
    <row r="851" spans="3:17">
      <c r="C851">
        <v>5360</v>
      </c>
      <c r="E851" t="s">
        <v>5360</v>
      </c>
      <c r="H851" t="s">
        <v>5361</v>
      </c>
      <c r="K851" s="417">
        <v>5.69</v>
      </c>
      <c r="M851">
        <v>0</v>
      </c>
      <c r="O851">
        <v>5.69</v>
      </c>
    </row>
    <row r="852" spans="3:17">
      <c r="C852">
        <v>5360</v>
      </c>
      <c r="E852" t="s">
        <v>5362</v>
      </c>
      <c r="H852" t="s">
        <v>5363</v>
      </c>
      <c r="K852" s="417">
        <v>-401.49</v>
      </c>
      <c r="M852">
        <v>-204.46</v>
      </c>
      <c r="O852">
        <v>-197.03</v>
      </c>
      <c r="Q852">
        <v>-96.4</v>
      </c>
    </row>
    <row r="853" spans="3:17">
      <c r="C853">
        <v>5360</v>
      </c>
      <c r="E853" t="s">
        <v>5364</v>
      </c>
      <c r="H853" t="s">
        <v>5365</v>
      </c>
      <c r="K853" s="417">
        <v>0.68</v>
      </c>
      <c r="M853">
        <v>0</v>
      </c>
      <c r="O853">
        <v>0.68</v>
      </c>
    </row>
    <row r="854" spans="3:17">
      <c r="C854">
        <v>5360</v>
      </c>
      <c r="E854" t="s">
        <v>5366</v>
      </c>
      <c r="H854" t="s">
        <v>5367</v>
      </c>
      <c r="K854" s="418">
        <v>-6877281.0700000003</v>
      </c>
      <c r="M854" s="31">
        <v>-1703437.84</v>
      </c>
      <c r="O854" s="31">
        <v>-5173843.2300000004</v>
      </c>
      <c r="Q854">
        <v>-303.7</v>
      </c>
    </row>
    <row r="855" spans="3:17">
      <c r="C855">
        <v>5360</v>
      </c>
      <c r="E855" t="s">
        <v>5368</v>
      </c>
      <c r="H855" t="s">
        <v>5187</v>
      </c>
      <c r="K855" s="418">
        <v>898681.83</v>
      </c>
      <c r="M855" s="31">
        <v>668403.22</v>
      </c>
      <c r="O855" s="31">
        <v>230278.61</v>
      </c>
      <c r="Q855">
        <v>34.5</v>
      </c>
    </row>
    <row r="856" spans="3:17">
      <c r="C856">
        <v>5360</v>
      </c>
      <c r="E856" t="s">
        <v>5369</v>
      </c>
      <c r="H856" t="s">
        <v>5370</v>
      </c>
      <c r="K856" s="418">
        <v>79870.02</v>
      </c>
      <c r="M856" s="31">
        <v>56805.91</v>
      </c>
      <c r="O856" s="31">
        <v>23064.11</v>
      </c>
      <c r="Q856">
        <v>40.6</v>
      </c>
    </row>
    <row r="857" spans="3:17">
      <c r="C857">
        <v>5360</v>
      </c>
      <c r="E857" t="s">
        <v>5371</v>
      </c>
      <c r="H857" t="s">
        <v>5181</v>
      </c>
      <c r="K857" s="418">
        <v>44486439.960000001</v>
      </c>
      <c r="M857" s="31">
        <v>32821810.66</v>
      </c>
      <c r="O857" s="31">
        <v>11664629.300000001</v>
      </c>
      <c r="Q857">
        <v>35.5</v>
      </c>
    </row>
    <row r="858" spans="3:17">
      <c r="C858">
        <v>5360</v>
      </c>
      <c r="E858" t="s">
        <v>5372</v>
      </c>
      <c r="H858" t="s">
        <v>5190</v>
      </c>
      <c r="K858" s="418">
        <v>3693</v>
      </c>
      <c r="M858" s="31">
        <v>2769.75</v>
      </c>
      <c r="O858">
        <v>923.25</v>
      </c>
      <c r="Q858">
        <v>33.299999999999997</v>
      </c>
    </row>
    <row r="859" spans="3:17">
      <c r="C859">
        <v>5360</v>
      </c>
      <c r="E859" t="s">
        <v>5373</v>
      </c>
      <c r="H859" t="s">
        <v>5374</v>
      </c>
      <c r="K859" s="418">
        <v>-552450.61</v>
      </c>
      <c r="M859" s="31">
        <v>-390361.54</v>
      </c>
      <c r="O859" s="31">
        <v>-162089.07</v>
      </c>
      <c r="Q859">
        <v>-41.5</v>
      </c>
    </row>
    <row r="860" spans="3:17">
      <c r="C860">
        <v>5360</v>
      </c>
      <c r="E860" t="s">
        <v>5375</v>
      </c>
      <c r="H860" t="s">
        <v>5376</v>
      </c>
      <c r="K860" s="418">
        <v>668564.21</v>
      </c>
      <c r="M860" s="31">
        <v>476995.04</v>
      </c>
      <c r="O860" s="31">
        <v>191569.17</v>
      </c>
      <c r="Q860">
        <v>40.200000000000003</v>
      </c>
    </row>
    <row r="861" spans="3:17">
      <c r="C861">
        <v>5360</v>
      </c>
      <c r="E861" t="s">
        <v>5377</v>
      </c>
      <c r="H861" t="s">
        <v>5378</v>
      </c>
      <c r="K861" s="418">
        <v>67544.100000000006</v>
      </c>
      <c r="M861" s="31">
        <v>50918.07</v>
      </c>
      <c r="O861" s="31">
        <v>16626.03</v>
      </c>
      <c r="Q861">
        <v>32.700000000000003</v>
      </c>
    </row>
    <row r="862" spans="3:17">
      <c r="C862">
        <v>5360</v>
      </c>
      <c r="E862" t="s">
        <v>5379</v>
      </c>
      <c r="H862" t="s">
        <v>5380</v>
      </c>
      <c r="K862" s="418">
        <v>-7810962.2199999997</v>
      </c>
      <c r="M862" s="31">
        <v>-3820895.33</v>
      </c>
      <c r="O862" s="31">
        <v>-3990066.89</v>
      </c>
      <c r="Q862">
        <v>-104.4</v>
      </c>
    </row>
    <row r="863" spans="3:17">
      <c r="C863">
        <v>5360</v>
      </c>
      <c r="E863" t="s">
        <v>5381</v>
      </c>
      <c r="H863" t="s">
        <v>5382</v>
      </c>
      <c r="K863" s="418">
        <v>7810962.2199999997</v>
      </c>
      <c r="M863" s="31">
        <v>3820895.33</v>
      </c>
      <c r="O863" s="31">
        <v>3990066.89</v>
      </c>
      <c r="Q863">
        <v>104.4</v>
      </c>
    </row>
    <row r="864" spans="3:17">
      <c r="C864">
        <v>5360</v>
      </c>
      <c r="E864" t="s">
        <v>5383</v>
      </c>
      <c r="H864" t="s">
        <v>5384</v>
      </c>
      <c r="K864" s="418">
        <v>-1088.33</v>
      </c>
      <c r="M864">
        <v>0</v>
      </c>
      <c r="O864" s="31">
        <v>-1088.33</v>
      </c>
    </row>
    <row r="865" spans="3:17">
      <c r="C865">
        <v>5360</v>
      </c>
      <c r="E865" t="s">
        <v>5385</v>
      </c>
      <c r="H865" t="s">
        <v>5386</v>
      </c>
      <c r="K865" s="418">
        <v>368753.27</v>
      </c>
      <c r="M865" s="31">
        <v>-78953.850000000006</v>
      </c>
      <c r="O865" s="31">
        <v>447707.12</v>
      </c>
      <c r="Q865">
        <v>567</v>
      </c>
    </row>
    <row r="866" spans="3:17">
      <c r="C866">
        <v>5360</v>
      </c>
      <c r="E866" t="s">
        <v>5387</v>
      </c>
      <c r="H866" t="s">
        <v>5388</v>
      </c>
      <c r="K866" s="418">
        <v>-2838990.58</v>
      </c>
      <c r="M866" s="31">
        <v>-1804976.6</v>
      </c>
      <c r="O866" s="31">
        <v>-1034013.98</v>
      </c>
      <c r="Q866">
        <v>-57.3</v>
      </c>
    </row>
    <row r="867" spans="3:17">
      <c r="C867">
        <v>5360</v>
      </c>
      <c r="E867" t="s">
        <v>5389</v>
      </c>
      <c r="H867" t="s">
        <v>5390</v>
      </c>
      <c r="K867" s="418">
        <v>-76074.649999999994</v>
      </c>
      <c r="M867" s="31">
        <v>-58039.18</v>
      </c>
      <c r="O867" s="31">
        <v>-18035.47</v>
      </c>
      <c r="Q867">
        <v>-31.1</v>
      </c>
    </row>
    <row r="868" spans="3:17">
      <c r="C868">
        <v>5360</v>
      </c>
      <c r="E868" t="s">
        <v>5391</v>
      </c>
      <c r="H868" t="s">
        <v>5392</v>
      </c>
      <c r="K868" s="418">
        <v>2921265.7</v>
      </c>
      <c r="M868" s="31">
        <v>1971968.24</v>
      </c>
      <c r="O868" s="31">
        <v>949297.46</v>
      </c>
      <c r="Q868">
        <v>48.1</v>
      </c>
    </row>
    <row r="869" spans="3:17">
      <c r="C869">
        <v>5360</v>
      </c>
      <c r="E869" t="s">
        <v>5393</v>
      </c>
      <c r="H869" t="s">
        <v>5394</v>
      </c>
      <c r="K869" s="418">
        <v>1106.5</v>
      </c>
      <c r="M869">
        <v>931.76</v>
      </c>
      <c r="O869">
        <v>174.74</v>
      </c>
      <c r="Q869">
        <v>18.8</v>
      </c>
    </row>
    <row r="870" spans="3:17">
      <c r="C870">
        <v>5360</v>
      </c>
      <c r="E870" t="s">
        <v>5395</v>
      </c>
      <c r="H870" t="s">
        <v>5194</v>
      </c>
      <c r="K870" s="418">
        <v>28845982.129999999</v>
      </c>
      <c r="M870" s="31">
        <v>21814528.530000001</v>
      </c>
      <c r="O870" s="31">
        <v>7031453.5999999996</v>
      </c>
      <c r="Q870">
        <v>32.200000000000003</v>
      </c>
    </row>
    <row r="871" spans="3:17">
      <c r="C871">
        <v>5360</v>
      </c>
      <c r="E871" t="s">
        <v>5396</v>
      </c>
      <c r="H871" t="s">
        <v>5397</v>
      </c>
      <c r="K871" s="418">
        <v>3981.04</v>
      </c>
      <c r="M871" s="31">
        <v>3747.12</v>
      </c>
      <c r="O871">
        <v>233.92</v>
      </c>
      <c r="Q871">
        <v>6.2</v>
      </c>
    </row>
    <row r="872" spans="3:17">
      <c r="C872">
        <v>5360</v>
      </c>
      <c r="E872" t="s">
        <v>5398</v>
      </c>
      <c r="H872" t="s">
        <v>5399</v>
      </c>
      <c r="K872" s="417">
        <v>0</v>
      </c>
      <c r="M872">
        <v>-1.4</v>
      </c>
      <c r="O872">
        <v>1.4</v>
      </c>
      <c r="Q872">
        <v>100</v>
      </c>
    </row>
    <row r="873" spans="3:17">
      <c r="C873">
        <v>5360</v>
      </c>
      <c r="E873" t="s">
        <v>5400</v>
      </c>
      <c r="H873" t="s">
        <v>5401</v>
      </c>
      <c r="K873" s="418">
        <v>6933.36</v>
      </c>
      <c r="M873" s="31">
        <v>6911.85</v>
      </c>
      <c r="O873">
        <v>21.51</v>
      </c>
      <c r="Q873">
        <v>0.3</v>
      </c>
    </row>
    <row r="874" spans="3:17">
      <c r="C874">
        <v>5360</v>
      </c>
      <c r="E874" t="s">
        <v>5402</v>
      </c>
      <c r="H874" t="s">
        <v>5403</v>
      </c>
      <c r="K874" s="418">
        <v>13141844.48</v>
      </c>
      <c r="M874" s="31">
        <v>8089714.1799999997</v>
      </c>
      <c r="O874" s="31">
        <v>5052130.3</v>
      </c>
      <c r="Q874">
        <v>62.5</v>
      </c>
    </row>
    <row r="875" spans="3:17">
      <c r="C875">
        <v>5360</v>
      </c>
      <c r="E875" t="s">
        <v>5404</v>
      </c>
      <c r="H875" t="s">
        <v>5196</v>
      </c>
      <c r="K875" s="418">
        <v>351337.09</v>
      </c>
      <c r="M875" s="31">
        <v>264576.68</v>
      </c>
      <c r="O875" s="31">
        <v>86760.41</v>
      </c>
      <c r="Q875">
        <v>32.799999999999997</v>
      </c>
    </row>
    <row r="876" spans="3:17">
      <c r="C876">
        <v>5360</v>
      </c>
      <c r="E876" t="s">
        <v>5405</v>
      </c>
      <c r="H876" t="s">
        <v>5406</v>
      </c>
      <c r="K876" s="418">
        <v>-624006.30000000005</v>
      </c>
      <c r="M876">
        <v>0</v>
      </c>
      <c r="O876" s="31">
        <v>-624006.30000000005</v>
      </c>
    </row>
    <row r="877" spans="3:17">
      <c r="C877">
        <v>5360</v>
      </c>
      <c r="E877" t="s">
        <v>5407</v>
      </c>
      <c r="H877" t="s">
        <v>5200</v>
      </c>
      <c r="K877" s="418">
        <v>-2119165.42</v>
      </c>
      <c r="M877" s="31">
        <v>-1497565.67</v>
      </c>
      <c r="O877" s="31">
        <v>-621599.75</v>
      </c>
      <c r="Q877">
        <v>-41.5</v>
      </c>
    </row>
    <row r="878" spans="3:17">
      <c r="C878">
        <v>5360</v>
      </c>
      <c r="E878" t="s">
        <v>5408</v>
      </c>
      <c r="H878" t="s">
        <v>5409</v>
      </c>
      <c r="K878" s="418">
        <v>1982549.96</v>
      </c>
      <c r="M878" s="31">
        <v>1434397.13</v>
      </c>
      <c r="O878" s="31">
        <v>548152.82999999996</v>
      </c>
      <c r="Q878">
        <v>38.200000000000003</v>
      </c>
    </row>
    <row r="879" spans="3:17">
      <c r="C879">
        <v>5360</v>
      </c>
      <c r="E879" t="s">
        <v>5410</v>
      </c>
      <c r="H879" t="s">
        <v>5411</v>
      </c>
      <c r="K879" s="418">
        <v>442193.51</v>
      </c>
      <c r="M879" s="31">
        <v>230408.85</v>
      </c>
      <c r="O879" s="31">
        <v>211784.66</v>
      </c>
      <c r="Q879">
        <v>91.9</v>
      </c>
    </row>
    <row r="880" spans="3:17">
      <c r="C880">
        <v>5360</v>
      </c>
      <c r="E880" t="s">
        <v>5412</v>
      </c>
      <c r="H880" t="s">
        <v>5413</v>
      </c>
      <c r="K880" s="418">
        <v>-189038.15</v>
      </c>
      <c r="M880" s="31">
        <v>-154892.84</v>
      </c>
      <c r="O880" s="31">
        <v>-34145.31</v>
      </c>
      <c r="Q880">
        <v>-22</v>
      </c>
    </row>
    <row r="881" spans="3:17">
      <c r="C881">
        <v>5360</v>
      </c>
      <c r="E881" t="s">
        <v>5414</v>
      </c>
      <c r="H881" t="s">
        <v>5415</v>
      </c>
      <c r="K881" s="418">
        <v>3825.79</v>
      </c>
      <c r="M881" s="31">
        <v>3677.14</v>
      </c>
      <c r="O881">
        <v>148.65</v>
      </c>
      <c r="Q881">
        <v>4</v>
      </c>
    </row>
    <row r="882" spans="3:17">
      <c r="C882">
        <v>5360</v>
      </c>
      <c r="E882" t="s">
        <v>5416</v>
      </c>
      <c r="H882" t="s">
        <v>5204</v>
      </c>
      <c r="K882" s="418">
        <v>-199156.24</v>
      </c>
      <c r="M882" s="31">
        <v>-235845.58</v>
      </c>
      <c r="O882" s="31">
        <v>36689.339999999997</v>
      </c>
      <c r="Q882">
        <v>15.6</v>
      </c>
    </row>
    <row r="883" spans="3:17">
      <c r="C883">
        <v>5360</v>
      </c>
      <c r="E883" t="s">
        <v>5417</v>
      </c>
      <c r="H883" t="s">
        <v>5418</v>
      </c>
      <c r="K883" s="418">
        <v>68166.789999999994</v>
      </c>
      <c r="M883" s="31">
        <v>56388.32</v>
      </c>
      <c r="O883" s="31">
        <v>11778.47</v>
      </c>
      <c r="Q883">
        <v>20.9</v>
      </c>
    </row>
    <row r="884" spans="3:17">
      <c r="C884">
        <v>5360</v>
      </c>
      <c r="E884" t="s">
        <v>5419</v>
      </c>
      <c r="H884" t="s">
        <v>5420</v>
      </c>
      <c r="K884" s="418">
        <v>-42363.07</v>
      </c>
      <c r="M884" s="31">
        <v>-31124.85</v>
      </c>
      <c r="O884" s="31">
        <v>-11238.22</v>
      </c>
      <c r="Q884">
        <v>-36.1</v>
      </c>
    </row>
    <row r="885" spans="3:17">
      <c r="C885">
        <v>5360</v>
      </c>
      <c r="E885" t="s">
        <v>5421</v>
      </c>
      <c r="H885" t="s">
        <v>5422</v>
      </c>
      <c r="K885" s="418">
        <v>-115045.15</v>
      </c>
      <c r="M885" s="31">
        <v>-84134.9</v>
      </c>
      <c r="O885" s="31">
        <v>-30910.25</v>
      </c>
      <c r="Q885">
        <v>-36.700000000000003</v>
      </c>
    </row>
    <row r="886" spans="3:17">
      <c r="C886">
        <v>5360</v>
      </c>
      <c r="E886" t="s">
        <v>5423</v>
      </c>
      <c r="H886" t="s">
        <v>5206</v>
      </c>
      <c r="K886" s="418">
        <v>-2608.2199999999998</v>
      </c>
      <c r="M886" s="31">
        <v>-2091.6799999999998</v>
      </c>
      <c r="O886">
        <v>-516.54</v>
      </c>
      <c r="Q886">
        <v>-24.7</v>
      </c>
    </row>
    <row r="887" spans="3:17">
      <c r="C887">
        <v>5360</v>
      </c>
      <c r="E887" t="s">
        <v>5424</v>
      </c>
      <c r="H887" t="s">
        <v>5425</v>
      </c>
      <c r="K887" s="418">
        <v>-20078.12</v>
      </c>
      <c r="M887" s="31">
        <v>-11582.78</v>
      </c>
      <c r="O887" s="31">
        <v>-8495.34</v>
      </c>
      <c r="Q887">
        <v>-73.3</v>
      </c>
    </row>
    <row r="888" spans="3:17">
      <c r="C888">
        <v>5360</v>
      </c>
      <c r="E888" t="s">
        <v>5426</v>
      </c>
      <c r="H888" t="s">
        <v>5425</v>
      </c>
      <c r="K888" s="418">
        <v>-309023.64</v>
      </c>
      <c r="M888" s="31">
        <v>-105928.62</v>
      </c>
      <c r="O888" s="31">
        <v>-203095.02</v>
      </c>
      <c r="Q888">
        <v>-191.7</v>
      </c>
    </row>
    <row r="889" spans="3:17">
      <c r="C889">
        <v>5360</v>
      </c>
      <c r="E889" t="s">
        <v>5427</v>
      </c>
      <c r="H889" t="s">
        <v>5428</v>
      </c>
      <c r="K889" s="417">
        <v>-1.1000000000000001</v>
      </c>
      <c r="M889">
        <v>-1.1000000000000001</v>
      </c>
      <c r="O889">
        <v>0</v>
      </c>
    </row>
    <row r="890" spans="3:17">
      <c r="C890">
        <v>5360</v>
      </c>
      <c r="E890" t="s">
        <v>5429</v>
      </c>
      <c r="H890" t="s">
        <v>5430</v>
      </c>
      <c r="K890" s="417">
        <v>36.450000000000003</v>
      </c>
      <c r="M890">
        <v>2.14</v>
      </c>
      <c r="O890">
        <v>34.31</v>
      </c>
      <c r="Q890">
        <v>1603.3</v>
      </c>
    </row>
    <row r="891" spans="3:17">
      <c r="C891">
        <v>5360</v>
      </c>
      <c r="E891" t="s">
        <v>5431</v>
      </c>
      <c r="H891" t="s">
        <v>5432</v>
      </c>
      <c r="K891" s="418">
        <v>-33380.730000000003</v>
      </c>
      <c r="M891">
        <v>0</v>
      </c>
      <c r="O891" s="31">
        <v>-33380.730000000003</v>
      </c>
    </row>
    <row r="892" spans="3:17">
      <c r="C892">
        <v>5360</v>
      </c>
      <c r="E892" t="s">
        <v>5433</v>
      </c>
      <c r="H892" t="s">
        <v>5434</v>
      </c>
      <c r="K892" s="418">
        <v>33380.730000000003</v>
      </c>
      <c r="M892">
        <v>0</v>
      </c>
      <c r="O892" s="31">
        <v>33380.730000000003</v>
      </c>
    </row>
    <row r="893" spans="3:17">
      <c r="C893">
        <v>5360</v>
      </c>
      <c r="E893" t="s">
        <v>5435</v>
      </c>
      <c r="H893" t="s">
        <v>310</v>
      </c>
      <c r="K893" s="418">
        <v>20541.21</v>
      </c>
      <c r="M893">
        <v>0</v>
      </c>
      <c r="O893" s="31">
        <v>20541.21</v>
      </c>
    </row>
    <row r="894" spans="3:17">
      <c r="C894">
        <v>5360</v>
      </c>
      <c r="E894" t="s">
        <v>5436</v>
      </c>
      <c r="H894" t="s">
        <v>5437</v>
      </c>
      <c r="K894" s="418">
        <v>251650.54</v>
      </c>
      <c r="M894" s="31">
        <v>109914.23</v>
      </c>
      <c r="O894" s="31">
        <v>141736.31</v>
      </c>
      <c r="Q894">
        <v>129</v>
      </c>
    </row>
    <row r="895" spans="3:17">
      <c r="C895">
        <v>5360</v>
      </c>
      <c r="E895" t="s">
        <v>5438</v>
      </c>
      <c r="H895" t="s">
        <v>5439</v>
      </c>
      <c r="K895" s="417">
        <v>601.26</v>
      </c>
      <c r="M895">
        <v>448.05</v>
      </c>
      <c r="O895">
        <v>153.21</v>
      </c>
      <c r="Q895">
        <v>34.200000000000003</v>
      </c>
    </row>
    <row r="896" spans="3:17">
      <c r="C896">
        <v>5360</v>
      </c>
      <c r="E896" t="s">
        <v>5440</v>
      </c>
      <c r="H896" t="s">
        <v>312</v>
      </c>
      <c r="K896" s="418">
        <v>104765.25</v>
      </c>
      <c r="M896" s="31">
        <v>49250</v>
      </c>
      <c r="O896" s="31">
        <v>55515.25</v>
      </c>
      <c r="Q896">
        <v>112.7</v>
      </c>
    </row>
    <row r="897" spans="3:17">
      <c r="C897">
        <v>5360</v>
      </c>
      <c r="E897" t="s">
        <v>5441</v>
      </c>
      <c r="H897" t="s">
        <v>5442</v>
      </c>
      <c r="K897" s="418">
        <v>179368</v>
      </c>
      <c r="M897">
        <v>0</v>
      </c>
      <c r="O897" s="31">
        <v>179368</v>
      </c>
    </row>
    <row r="898" spans="3:17">
      <c r="C898">
        <v>5360</v>
      </c>
      <c r="E898" t="s">
        <v>5443</v>
      </c>
      <c r="H898" t="s">
        <v>5444</v>
      </c>
      <c r="K898" s="418">
        <v>8078.23</v>
      </c>
      <c r="M898" s="31">
        <v>5116.5</v>
      </c>
      <c r="O898" s="31">
        <v>2961.73</v>
      </c>
      <c r="Q898">
        <v>57.9</v>
      </c>
    </row>
    <row r="899" spans="3:17">
      <c r="C899">
        <v>5360</v>
      </c>
      <c r="E899" t="s">
        <v>5445</v>
      </c>
      <c r="H899" t="s">
        <v>322</v>
      </c>
      <c r="K899" s="418">
        <v>975683.79</v>
      </c>
      <c r="M899" s="31">
        <v>9513.76</v>
      </c>
      <c r="O899" s="31">
        <v>966170.03</v>
      </c>
      <c r="Q899">
        <v>10155.5</v>
      </c>
    </row>
    <row r="900" spans="3:17">
      <c r="C900">
        <v>5360</v>
      </c>
      <c r="E900" t="s">
        <v>5446</v>
      </c>
      <c r="H900" t="s">
        <v>5447</v>
      </c>
      <c r="K900" s="418">
        <v>-1820.97</v>
      </c>
      <c r="M900" s="31">
        <v>-1809.48</v>
      </c>
      <c r="O900">
        <v>-11.49</v>
      </c>
      <c r="Q900">
        <v>-0.6</v>
      </c>
    </row>
    <row r="901" spans="3:17">
      <c r="C901">
        <v>5360</v>
      </c>
      <c r="E901" t="s">
        <v>5448</v>
      </c>
      <c r="H901" t="s">
        <v>5449</v>
      </c>
      <c r="K901" s="418">
        <v>26732.03</v>
      </c>
      <c r="M901" s="31">
        <v>18740.060000000001</v>
      </c>
      <c r="O901" s="31">
        <v>7991.97</v>
      </c>
      <c r="Q901">
        <v>42.6</v>
      </c>
    </row>
    <row r="902" spans="3:17">
      <c r="C902">
        <v>5360</v>
      </c>
      <c r="E902" t="s">
        <v>5450</v>
      </c>
      <c r="H902" t="s">
        <v>5210</v>
      </c>
      <c r="K902" s="418">
        <v>-1129765.74</v>
      </c>
      <c r="M902" s="31">
        <v>-1149225.45</v>
      </c>
      <c r="O902" s="31">
        <v>19459.71</v>
      </c>
      <c r="Q902">
        <v>1.7</v>
      </c>
    </row>
    <row r="903" spans="3:17">
      <c r="C903">
        <v>5360</v>
      </c>
      <c r="E903" t="s">
        <v>5451</v>
      </c>
      <c r="H903" t="s">
        <v>5212</v>
      </c>
      <c r="K903" s="418">
        <v>-1092372.3899999999</v>
      </c>
      <c r="M903" s="31">
        <v>-1108685.67</v>
      </c>
      <c r="O903" s="31">
        <v>16313.28</v>
      </c>
      <c r="Q903">
        <v>1.5</v>
      </c>
    </row>
    <row r="904" spans="3:17">
      <c r="C904">
        <v>5360</v>
      </c>
      <c r="E904" t="s">
        <v>5452</v>
      </c>
      <c r="H904" t="s">
        <v>950</v>
      </c>
      <c r="K904" s="418">
        <v>1665343.75</v>
      </c>
      <c r="M904" s="31">
        <v>1305375</v>
      </c>
      <c r="O904" s="31">
        <v>359968.75</v>
      </c>
      <c r="Q904">
        <v>27.6</v>
      </c>
    </row>
    <row r="905" spans="3:17">
      <c r="C905">
        <v>5360</v>
      </c>
      <c r="E905" t="s">
        <v>5453</v>
      </c>
      <c r="H905" t="s">
        <v>5454</v>
      </c>
      <c r="K905" s="418">
        <v>12498.37</v>
      </c>
      <c r="M905" s="31">
        <v>9581.16</v>
      </c>
      <c r="O905" s="31">
        <v>2917.21</v>
      </c>
      <c r="Q905">
        <v>30.4</v>
      </c>
    </row>
    <row r="906" spans="3:17">
      <c r="C906">
        <v>5360</v>
      </c>
      <c r="E906" t="s">
        <v>5455</v>
      </c>
      <c r="H906" t="s">
        <v>120</v>
      </c>
      <c r="K906" s="418">
        <v>-23368.6</v>
      </c>
      <c r="M906" s="31">
        <v>-61843.58</v>
      </c>
      <c r="O906" s="31">
        <v>38474.980000000003</v>
      </c>
      <c r="Q906">
        <v>62.2</v>
      </c>
    </row>
    <row r="907" spans="3:17">
      <c r="C907">
        <v>5360</v>
      </c>
      <c r="E907" t="s">
        <v>5456</v>
      </c>
      <c r="H907" t="s">
        <v>5457</v>
      </c>
      <c r="K907" s="418">
        <v>88660</v>
      </c>
      <c r="M907" s="31">
        <v>6918.65</v>
      </c>
      <c r="O907" s="31">
        <v>81741.350000000006</v>
      </c>
      <c r="Q907">
        <v>1181.5</v>
      </c>
    </row>
    <row r="908" spans="3:17">
      <c r="C908">
        <v>5360</v>
      </c>
      <c r="E908" t="s">
        <v>5458</v>
      </c>
      <c r="H908" t="s">
        <v>5226</v>
      </c>
      <c r="K908" s="418">
        <v>101716.85</v>
      </c>
      <c r="M908" s="31">
        <v>83564.05</v>
      </c>
      <c r="O908" s="31">
        <v>18152.8</v>
      </c>
      <c r="Q908">
        <v>21.7</v>
      </c>
    </row>
    <row r="909" spans="3:17">
      <c r="C909">
        <v>5360</v>
      </c>
      <c r="E909" t="s">
        <v>5459</v>
      </c>
      <c r="H909" t="s">
        <v>5460</v>
      </c>
      <c r="K909" s="418">
        <v>14612.05</v>
      </c>
      <c r="M909" s="31">
        <v>12035.34</v>
      </c>
      <c r="O909" s="31">
        <v>2576.71</v>
      </c>
      <c r="Q909">
        <v>21.4</v>
      </c>
    </row>
    <row r="910" spans="3:17">
      <c r="C910">
        <v>5360</v>
      </c>
      <c r="E910" t="s">
        <v>5461</v>
      </c>
      <c r="H910" t="s">
        <v>5462</v>
      </c>
      <c r="K910" s="418">
        <v>-114516.6</v>
      </c>
      <c r="M910" s="31">
        <v>-128017.82</v>
      </c>
      <c r="O910" s="31">
        <v>13501.22</v>
      </c>
      <c r="Q910">
        <v>10.5</v>
      </c>
    </row>
    <row r="911" spans="3:17">
      <c r="C911">
        <v>5360</v>
      </c>
      <c r="E911" t="s">
        <v>5463</v>
      </c>
      <c r="H911" t="s">
        <v>5464</v>
      </c>
      <c r="K911" s="418">
        <v>58432.21</v>
      </c>
      <c r="M911" s="31">
        <v>58470.3</v>
      </c>
      <c r="O911">
        <v>-38.090000000000003</v>
      </c>
      <c r="Q911">
        <v>-0.1</v>
      </c>
    </row>
    <row r="912" spans="3:17">
      <c r="C912">
        <v>5360</v>
      </c>
      <c r="E912" t="s">
        <v>5465</v>
      </c>
      <c r="H912" t="s">
        <v>321</v>
      </c>
      <c r="K912" s="417">
        <v>0</v>
      </c>
      <c r="M912" s="31">
        <v>-201929.66</v>
      </c>
      <c r="O912" s="31">
        <v>201929.66</v>
      </c>
      <c r="Q912">
        <v>100</v>
      </c>
    </row>
    <row r="913" spans="3:17">
      <c r="C913">
        <v>5360</v>
      </c>
      <c r="E913" t="s">
        <v>5466</v>
      </c>
      <c r="H913" t="s">
        <v>5467</v>
      </c>
      <c r="K913" s="418">
        <v>27856.44</v>
      </c>
      <c r="M913">
        <v>0</v>
      </c>
      <c r="O913" s="31">
        <v>27856.44</v>
      </c>
    </row>
    <row r="914" spans="3:17">
      <c r="C914">
        <v>5360</v>
      </c>
      <c r="E914" t="s">
        <v>3670</v>
      </c>
      <c r="H914" t="s">
        <v>3604</v>
      </c>
      <c r="K914" s="418">
        <v>-185077165.22</v>
      </c>
      <c r="M914" s="31">
        <v>-112415432.91</v>
      </c>
      <c r="O914" s="31">
        <v>-72661732.310000002</v>
      </c>
      <c r="Q914">
        <v>-64.599999999999994</v>
      </c>
    </row>
    <row r="915" spans="3:17">
      <c r="C915">
        <v>5360</v>
      </c>
      <c r="E915" t="s">
        <v>5468</v>
      </c>
      <c r="H915" t="s">
        <v>5469</v>
      </c>
      <c r="K915" s="418">
        <v>-108873304</v>
      </c>
      <c r="M915" s="31">
        <v>-51989891.780000001</v>
      </c>
      <c r="O915" s="31">
        <v>-56883412.219999999</v>
      </c>
      <c r="Q915">
        <v>-109.4</v>
      </c>
    </row>
    <row r="916" spans="3:17">
      <c r="C916">
        <v>5360</v>
      </c>
      <c r="E916" t="s">
        <v>5470</v>
      </c>
      <c r="H916" t="s">
        <v>1084</v>
      </c>
      <c r="K916" s="418">
        <v>-9101814.4499999993</v>
      </c>
      <c r="M916" s="31">
        <v>-4663914.63</v>
      </c>
      <c r="O916" s="31">
        <v>-4437899.82</v>
      </c>
      <c r="Q916">
        <v>-95.2</v>
      </c>
    </row>
    <row r="917" spans="3:17">
      <c r="C917">
        <v>5360</v>
      </c>
      <c r="E917" t="s">
        <v>5471</v>
      </c>
      <c r="H917" t="s">
        <v>5472</v>
      </c>
      <c r="K917" s="418">
        <v>-79267652.879999995</v>
      </c>
      <c r="M917" s="31">
        <v>-40292535.409999996</v>
      </c>
      <c r="O917" s="31">
        <v>-38975117.469999999</v>
      </c>
      <c r="Q917">
        <v>-96.7</v>
      </c>
    </row>
    <row r="918" spans="3:17">
      <c r="C918">
        <v>5360</v>
      </c>
      <c r="E918" t="s">
        <v>5473</v>
      </c>
      <c r="H918" t="s">
        <v>5474</v>
      </c>
      <c r="K918" s="418">
        <v>-2367516.2999999998</v>
      </c>
      <c r="M918" s="31">
        <v>-1197053.46</v>
      </c>
      <c r="O918" s="31">
        <v>-1170462.8400000001</v>
      </c>
      <c r="Q918">
        <v>-97.8</v>
      </c>
    </row>
    <row r="919" spans="3:17">
      <c r="C919">
        <v>5360</v>
      </c>
      <c r="E919" t="s">
        <v>5475</v>
      </c>
      <c r="H919" t="s">
        <v>5476</v>
      </c>
      <c r="K919" s="418">
        <v>-13277785.810000001</v>
      </c>
      <c r="M919" s="31">
        <v>-6318092.2199999997</v>
      </c>
      <c r="O919" s="31">
        <v>-6959693.5899999999</v>
      </c>
      <c r="Q919">
        <v>-110.2</v>
      </c>
    </row>
    <row r="920" spans="3:17">
      <c r="C920">
        <v>5360</v>
      </c>
      <c r="E920" t="s">
        <v>5477</v>
      </c>
      <c r="H920" t="s">
        <v>5478</v>
      </c>
      <c r="K920" s="417">
        <v>172.2</v>
      </c>
      <c r="M920" s="31">
        <v>1190.2</v>
      </c>
      <c r="O920" s="31">
        <v>-1018</v>
      </c>
      <c r="Q920">
        <v>-85.5</v>
      </c>
    </row>
    <row r="921" spans="3:17">
      <c r="C921">
        <v>5360</v>
      </c>
      <c r="E921" t="s">
        <v>3664</v>
      </c>
      <c r="H921" t="s">
        <v>3605</v>
      </c>
      <c r="K921" s="418">
        <v>-48685430.960000001</v>
      </c>
      <c r="M921" s="31">
        <v>-32241016.390000001</v>
      </c>
      <c r="O921" s="31">
        <v>-16444414.57</v>
      </c>
      <c r="Q921">
        <v>-51</v>
      </c>
    </row>
    <row r="922" spans="3:17">
      <c r="C922">
        <v>5360</v>
      </c>
      <c r="E922" t="s">
        <v>5479</v>
      </c>
      <c r="H922" t="s">
        <v>5480</v>
      </c>
      <c r="K922" s="418">
        <v>-317498.21999999997</v>
      </c>
      <c r="M922" s="31">
        <v>-156855.09</v>
      </c>
      <c r="O922" s="31">
        <v>-160643.13</v>
      </c>
      <c r="Q922">
        <v>-102.4</v>
      </c>
    </row>
    <row r="923" spans="3:17">
      <c r="C923">
        <v>5360</v>
      </c>
      <c r="E923" t="s">
        <v>5481</v>
      </c>
      <c r="H923" t="s">
        <v>5482</v>
      </c>
      <c r="K923" s="418">
        <v>-1166132.9099999999</v>
      </c>
      <c r="M923" s="31">
        <v>-720077.36</v>
      </c>
      <c r="O923" s="31">
        <v>-446055.55</v>
      </c>
      <c r="Q923">
        <v>-61.9</v>
      </c>
    </row>
    <row r="924" spans="3:17">
      <c r="C924">
        <v>5360</v>
      </c>
      <c r="E924" t="s">
        <v>5483</v>
      </c>
      <c r="H924" t="s">
        <v>295</v>
      </c>
      <c r="K924" s="418">
        <v>-2060429.7</v>
      </c>
      <c r="M924" s="31">
        <v>-1523239.3</v>
      </c>
      <c r="O924" s="31">
        <v>-537190.40000000002</v>
      </c>
      <c r="Q924">
        <v>-35.299999999999997</v>
      </c>
    </row>
    <row r="925" spans="3:17">
      <c r="C925">
        <v>5360</v>
      </c>
      <c r="E925" t="s">
        <v>1763</v>
      </c>
      <c r="H925" t="s">
        <v>3532</v>
      </c>
      <c r="K925" s="418">
        <v>-9162991.8200000003</v>
      </c>
      <c r="M925" s="31">
        <v>-4511639.17</v>
      </c>
      <c r="O925" s="31">
        <v>-4651352.6500000004</v>
      </c>
      <c r="Q925">
        <v>-103.1</v>
      </c>
    </row>
    <row r="926" spans="3:17">
      <c r="C926">
        <v>5360</v>
      </c>
      <c r="E926" t="s">
        <v>1937</v>
      </c>
      <c r="H926" t="s">
        <v>5484</v>
      </c>
      <c r="K926" s="418">
        <v>134251.07</v>
      </c>
      <c r="M926" s="31">
        <v>5077.26</v>
      </c>
      <c r="O926" s="31">
        <v>129173.81</v>
      </c>
      <c r="Q926">
        <v>2544.1999999999998</v>
      </c>
    </row>
    <row r="927" spans="3:17">
      <c r="C927">
        <v>5360</v>
      </c>
      <c r="E927" t="s">
        <v>1770</v>
      </c>
      <c r="H927" t="s">
        <v>1365</v>
      </c>
      <c r="K927" s="418">
        <v>2157178.52</v>
      </c>
      <c r="M927" s="31">
        <v>355171.48</v>
      </c>
      <c r="O927" s="31">
        <v>1802007.04</v>
      </c>
      <c r="Q927">
        <v>507.4</v>
      </c>
    </row>
    <row r="928" spans="3:17">
      <c r="C928">
        <v>5360</v>
      </c>
      <c r="E928" t="s">
        <v>2062</v>
      </c>
      <c r="H928" t="s">
        <v>1369</v>
      </c>
      <c r="K928" s="418">
        <v>-743179.18</v>
      </c>
      <c r="M928" s="31">
        <v>-570209.72</v>
      </c>
      <c r="O928" s="31">
        <v>-172969.46</v>
      </c>
      <c r="Q928">
        <v>-30.3</v>
      </c>
    </row>
    <row r="929" spans="3:17">
      <c r="C929">
        <v>5360</v>
      </c>
      <c r="E929" t="s">
        <v>3535</v>
      </c>
      <c r="H929" t="s">
        <v>5485</v>
      </c>
      <c r="K929" s="418">
        <v>758562.45</v>
      </c>
      <c r="M929" s="31">
        <v>566436.64</v>
      </c>
      <c r="O929" s="31">
        <v>192125.81</v>
      </c>
      <c r="Q929">
        <v>33.9</v>
      </c>
    </row>
    <row r="930" spans="3:17">
      <c r="C930">
        <v>5360</v>
      </c>
      <c r="E930" t="s">
        <v>5486</v>
      </c>
      <c r="H930" t="s">
        <v>5237</v>
      </c>
      <c r="K930" s="418">
        <v>21974528.800000001</v>
      </c>
      <c r="M930" s="31">
        <v>16549311.52</v>
      </c>
      <c r="O930" s="31">
        <v>5425217.2800000003</v>
      </c>
      <c r="Q930">
        <v>32.799999999999997</v>
      </c>
    </row>
    <row r="931" spans="3:17">
      <c r="C931">
        <v>5360</v>
      </c>
      <c r="E931" t="s">
        <v>5487</v>
      </c>
      <c r="H931" t="s">
        <v>5488</v>
      </c>
      <c r="K931" s="418">
        <v>-12791733.220000001</v>
      </c>
      <c r="M931" s="31">
        <v>-9862724.3200000003</v>
      </c>
      <c r="O931" s="31">
        <v>-2929008.9</v>
      </c>
      <c r="Q931">
        <v>-29.7</v>
      </c>
    </row>
    <row r="932" spans="3:17">
      <c r="C932">
        <v>5360</v>
      </c>
      <c r="E932" t="s">
        <v>5489</v>
      </c>
      <c r="H932" t="s">
        <v>5490</v>
      </c>
      <c r="K932" s="418">
        <v>-1337297.05</v>
      </c>
      <c r="M932" s="31">
        <v>-972280.31</v>
      </c>
      <c r="O932" s="31">
        <v>-365016.74</v>
      </c>
      <c r="Q932">
        <v>-37.5</v>
      </c>
    </row>
    <row r="933" spans="3:17">
      <c r="C933">
        <v>5360</v>
      </c>
      <c r="E933" t="s">
        <v>5491</v>
      </c>
      <c r="H933" t="s">
        <v>5492</v>
      </c>
      <c r="K933" s="418">
        <v>3351728.91</v>
      </c>
      <c r="M933" s="31">
        <v>2616586.84</v>
      </c>
      <c r="O933" s="31">
        <v>735142.07</v>
      </c>
      <c r="Q933">
        <v>28.1</v>
      </c>
    </row>
    <row r="934" spans="3:17">
      <c r="C934">
        <v>5360</v>
      </c>
      <c r="E934" t="s">
        <v>5493</v>
      </c>
      <c r="H934" t="s">
        <v>5494</v>
      </c>
      <c r="K934" s="418">
        <v>21965.18</v>
      </c>
      <c r="M934" s="31">
        <v>-77299.070000000007</v>
      </c>
      <c r="O934" s="31">
        <v>99264.25</v>
      </c>
      <c r="Q934">
        <v>128.4</v>
      </c>
    </row>
    <row r="935" spans="3:17">
      <c r="C935">
        <v>5360</v>
      </c>
      <c r="E935" t="s">
        <v>5495</v>
      </c>
      <c r="H935" t="s">
        <v>5241</v>
      </c>
      <c r="K935" s="418">
        <v>1974437.71</v>
      </c>
      <c r="M935" s="31">
        <v>1558576.54</v>
      </c>
      <c r="O935" s="31">
        <v>415861.17</v>
      </c>
      <c r="Q935">
        <v>26.7</v>
      </c>
    </row>
    <row r="936" spans="3:17">
      <c r="C936">
        <v>5360</v>
      </c>
      <c r="E936" t="s">
        <v>5496</v>
      </c>
      <c r="H936" t="s">
        <v>5497</v>
      </c>
      <c r="K936" s="418">
        <v>-10584735.33</v>
      </c>
      <c r="M936" s="31">
        <v>-7668525.5199999996</v>
      </c>
      <c r="O936" s="31">
        <v>-2916209.81</v>
      </c>
      <c r="Q936">
        <v>-38</v>
      </c>
    </row>
    <row r="937" spans="3:17">
      <c r="C937">
        <v>5360</v>
      </c>
      <c r="E937" t="s">
        <v>5498</v>
      </c>
      <c r="H937" t="s">
        <v>5499</v>
      </c>
      <c r="K937" s="418">
        <v>-641707.12</v>
      </c>
      <c r="M937" s="31">
        <v>-492961.97</v>
      </c>
      <c r="O937" s="31">
        <v>-148745.15</v>
      </c>
      <c r="Q937">
        <v>-30.2</v>
      </c>
    </row>
    <row r="938" spans="3:17">
      <c r="C938">
        <v>5360</v>
      </c>
      <c r="E938" t="s">
        <v>5500</v>
      </c>
      <c r="H938" t="s">
        <v>5501</v>
      </c>
      <c r="K938" s="418">
        <v>24842384.16</v>
      </c>
      <c r="M938" s="31">
        <v>18321246.829999998</v>
      </c>
      <c r="O938" s="31">
        <v>6521137.3300000001</v>
      </c>
      <c r="Q938">
        <v>35.6</v>
      </c>
    </row>
    <row r="939" spans="3:17">
      <c r="C939">
        <v>5360</v>
      </c>
      <c r="E939" t="s">
        <v>5502</v>
      </c>
      <c r="H939" t="s">
        <v>5245</v>
      </c>
      <c r="K939" s="418">
        <v>9424508.6300000008</v>
      </c>
      <c r="M939" s="31">
        <v>6933455.9800000004</v>
      </c>
      <c r="O939" s="31">
        <v>2491052.65</v>
      </c>
      <c r="Q939">
        <v>35.9</v>
      </c>
    </row>
    <row r="940" spans="3:17">
      <c r="C940">
        <v>5360</v>
      </c>
      <c r="E940" t="s">
        <v>5503</v>
      </c>
      <c r="H940" t="s">
        <v>5504</v>
      </c>
      <c r="K940" s="418">
        <v>-5742487.04</v>
      </c>
      <c r="M940" s="31">
        <v>-4465152.9000000004</v>
      </c>
      <c r="O940" s="31">
        <v>-1277334.1399999999</v>
      </c>
      <c r="Q940">
        <v>-28.6</v>
      </c>
    </row>
    <row r="941" spans="3:17">
      <c r="C941">
        <v>5360</v>
      </c>
      <c r="E941" t="s">
        <v>5505</v>
      </c>
      <c r="H941" t="s">
        <v>5506</v>
      </c>
      <c r="K941" s="418">
        <v>-132715.88</v>
      </c>
      <c r="M941" s="31">
        <v>-98372.65</v>
      </c>
      <c r="O941" s="31">
        <v>-34343.230000000003</v>
      </c>
      <c r="Q941">
        <v>-34.9</v>
      </c>
    </row>
    <row r="942" spans="3:17">
      <c r="C942">
        <v>5360</v>
      </c>
      <c r="E942" t="s">
        <v>5507</v>
      </c>
      <c r="H942" t="s">
        <v>5508</v>
      </c>
      <c r="K942" s="418">
        <v>1019652.52</v>
      </c>
      <c r="M942" s="31">
        <v>746760.31</v>
      </c>
      <c r="O942" s="31">
        <v>272892.21000000002</v>
      </c>
      <c r="Q942">
        <v>36.5</v>
      </c>
    </row>
    <row r="943" spans="3:17">
      <c r="C943">
        <v>5360</v>
      </c>
      <c r="E943" t="s">
        <v>5509</v>
      </c>
      <c r="H943" t="s">
        <v>5249</v>
      </c>
      <c r="K943" s="418">
        <v>4243.87</v>
      </c>
      <c r="M943" s="31">
        <v>3176.76</v>
      </c>
      <c r="O943" s="31">
        <v>1067.1099999999999</v>
      </c>
      <c r="Q943">
        <v>33.6</v>
      </c>
    </row>
    <row r="944" spans="3:17">
      <c r="C944">
        <v>5360</v>
      </c>
      <c r="E944" t="s">
        <v>5510</v>
      </c>
      <c r="H944" t="s">
        <v>5511</v>
      </c>
      <c r="K944" s="418">
        <v>-1199.0899999999999</v>
      </c>
      <c r="M944">
        <v>-754.75</v>
      </c>
      <c r="O944">
        <v>-444.34</v>
      </c>
      <c r="Q944">
        <v>-58.9</v>
      </c>
    </row>
    <row r="945" spans="3:17">
      <c r="C945">
        <v>5360</v>
      </c>
      <c r="E945" t="s">
        <v>5512</v>
      </c>
      <c r="H945" t="s">
        <v>5513</v>
      </c>
      <c r="K945" s="418">
        <v>-2980.79</v>
      </c>
      <c r="M945" s="31">
        <v>-2346.8000000000002</v>
      </c>
      <c r="O945">
        <v>-633.99</v>
      </c>
      <c r="Q945">
        <v>-27</v>
      </c>
    </row>
    <row r="946" spans="3:17">
      <c r="C946">
        <v>5360</v>
      </c>
      <c r="E946" t="s">
        <v>5514</v>
      </c>
      <c r="H946" t="s">
        <v>5515</v>
      </c>
      <c r="K946" s="418">
        <v>328689.98</v>
      </c>
      <c r="M946" s="31">
        <v>278504.55</v>
      </c>
      <c r="O946" s="31">
        <v>50185.43</v>
      </c>
      <c r="Q946">
        <v>18</v>
      </c>
    </row>
    <row r="947" spans="3:17">
      <c r="C947">
        <v>5360</v>
      </c>
      <c r="E947" t="s">
        <v>5516</v>
      </c>
      <c r="H947" t="s">
        <v>5251</v>
      </c>
      <c r="K947" s="418">
        <v>241976.42</v>
      </c>
      <c r="M947" s="31">
        <v>125390.94</v>
      </c>
      <c r="O947" s="31">
        <v>116585.48</v>
      </c>
      <c r="Q947">
        <v>93</v>
      </c>
    </row>
    <row r="948" spans="3:17">
      <c r="C948">
        <v>5360</v>
      </c>
      <c r="E948" t="s">
        <v>5517</v>
      </c>
      <c r="H948" t="s">
        <v>5518</v>
      </c>
      <c r="K948" s="418">
        <v>-2415783.3199999998</v>
      </c>
      <c r="M948" s="31">
        <v>-1199538.67</v>
      </c>
      <c r="O948" s="31">
        <v>-1216244.6499999999</v>
      </c>
      <c r="Q948">
        <v>-101.4</v>
      </c>
    </row>
    <row r="949" spans="3:17">
      <c r="C949">
        <v>5360</v>
      </c>
      <c r="E949" t="s">
        <v>5519</v>
      </c>
      <c r="H949" t="s">
        <v>5520</v>
      </c>
      <c r="K949" s="418">
        <v>-3751.44</v>
      </c>
      <c r="M949" s="31">
        <v>-2985.51</v>
      </c>
      <c r="O949">
        <v>-765.93</v>
      </c>
      <c r="Q949">
        <v>-25.7</v>
      </c>
    </row>
    <row r="950" spans="3:17">
      <c r="C950">
        <v>5360</v>
      </c>
      <c r="E950" t="s">
        <v>5521</v>
      </c>
      <c r="H950" t="s">
        <v>5522</v>
      </c>
      <c r="K950" s="418">
        <v>5248167.8499999996</v>
      </c>
      <c r="M950" s="31">
        <v>2948207.53</v>
      </c>
      <c r="O950" s="31">
        <v>2299960.3199999998</v>
      </c>
      <c r="Q950">
        <v>78</v>
      </c>
    </row>
    <row r="951" spans="3:17">
      <c r="C951">
        <v>5360</v>
      </c>
      <c r="E951" t="s">
        <v>5523</v>
      </c>
      <c r="H951" t="s">
        <v>5524</v>
      </c>
      <c r="K951" s="418">
        <v>-15068.87</v>
      </c>
      <c r="M951">
        <v>0</v>
      </c>
      <c r="O951" s="31">
        <v>-15068.87</v>
      </c>
    </row>
    <row r="952" spans="3:17">
      <c r="C952">
        <v>5360</v>
      </c>
      <c r="E952" t="s">
        <v>5525</v>
      </c>
      <c r="H952" t="s">
        <v>5526</v>
      </c>
      <c r="K952" s="418">
        <v>5429.96</v>
      </c>
      <c r="M952" s="31">
        <v>30437.98</v>
      </c>
      <c r="O952" s="31">
        <v>-25008.02</v>
      </c>
      <c r="Q952">
        <v>-82.2</v>
      </c>
    </row>
    <row r="953" spans="3:17">
      <c r="C953">
        <v>5360</v>
      </c>
      <c r="E953" t="s">
        <v>5527</v>
      </c>
      <c r="H953" t="s">
        <v>5528</v>
      </c>
      <c r="K953" s="418">
        <v>-1250</v>
      </c>
      <c r="M953">
        <v>0</v>
      </c>
      <c r="O953" s="31">
        <v>-1250</v>
      </c>
    </row>
    <row r="954" spans="3:17">
      <c r="C954">
        <v>5360</v>
      </c>
      <c r="E954" t="s">
        <v>5529</v>
      </c>
      <c r="H954" t="s">
        <v>5530</v>
      </c>
      <c r="K954" s="418">
        <v>76736.83</v>
      </c>
      <c r="M954" s="31">
        <v>36099.32</v>
      </c>
      <c r="O954" s="31">
        <v>40637.51</v>
      </c>
      <c r="Q954">
        <v>112.6</v>
      </c>
    </row>
    <row r="955" spans="3:17">
      <c r="C955">
        <v>5360</v>
      </c>
      <c r="E955" t="s">
        <v>5531</v>
      </c>
      <c r="H955" t="s">
        <v>5532</v>
      </c>
      <c r="K955" s="418">
        <v>65264.32</v>
      </c>
      <c r="M955" s="31">
        <v>48276.5</v>
      </c>
      <c r="O955" s="31">
        <v>16987.82</v>
      </c>
      <c r="Q955">
        <v>35.200000000000003</v>
      </c>
    </row>
    <row r="956" spans="3:17">
      <c r="C956">
        <v>5360</v>
      </c>
      <c r="E956" t="s">
        <v>5533</v>
      </c>
      <c r="H956" t="s">
        <v>5255</v>
      </c>
      <c r="K956" s="418">
        <v>1329612.29</v>
      </c>
      <c r="M956" s="31">
        <v>759549.64</v>
      </c>
      <c r="O956" s="31">
        <v>570062.65</v>
      </c>
      <c r="Q956">
        <v>75.099999999999994</v>
      </c>
    </row>
    <row r="957" spans="3:17">
      <c r="C957">
        <v>5360</v>
      </c>
      <c r="E957" t="s">
        <v>5534</v>
      </c>
      <c r="H957" t="s">
        <v>5535</v>
      </c>
      <c r="K957" s="418">
        <v>-827788.64</v>
      </c>
      <c r="M957" s="31">
        <v>-470884.52</v>
      </c>
      <c r="O957" s="31">
        <v>-356904.12</v>
      </c>
      <c r="Q957">
        <v>-75.8</v>
      </c>
    </row>
    <row r="958" spans="3:17">
      <c r="C958">
        <v>5360</v>
      </c>
      <c r="E958" t="s">
        <v>5536</v>
      </c>
      <c r="H958" t="s">
        <v>5537</v>
      </c>
      <c r="K958" s="418">
        <v>-28076.27</v>
      </c>
      <c r="M958" s="31">
        <v>-22308.27</v>
      </c>
      <c r="O958" s="31">
        <v>-5768</v>
      </c>
      <c r="Q958">
        <v>-25.9</v>
      </c>
    </row>
    <row r="959" spans="3:17">
      <c r="C959">
        <v>5360</v>
      </c>
      <c r="E959" t="s">
        <v>5538</v>
      </c>
      <c r="H959" t="s">
        <v>5539</v>
      </c>
      <c r="K959" s="418">
        <v>210403.26</v>
      </c>
      <c r="M959" s="31">
        <v>103795.29</v>
      </c>
      <c r="O959" s="31">
        <v>106607.97</v>
      </c>
      <c r="Q959">
        <v>102.7</v>
      </c>
    </row>
    <row r="960" spans="3:17">
      <c r="C960">
        <v>5360</v>
      </c>
      <c r="E960" t="s">
        <v>5540</v>
      </c>
      <c r="H960" t="s">
        <v>5541</v>
      </c>
      <c r="K960" s="417">
        <v>-0.01</v>
      </c>
      <c r="M960">
        <v>-0.01</v>
      </c>
      <c r="O960">
        <v>0</v>
      </c>
    </row>
    <row r="961" spans="3:17">
      <c r="C961">
        <v>5360</v>
      </c>
      <c r="E961" t="s">
        <v>5542</v>
      </c>
      <c r="H961" t="s">
        <v>5257</v>
      </c>
      <c r="K961" s="418">
        <v>6358940.1600000001</v>
      </c>
      <c r="M961" s="31">
        <v>4711308.57</v>
      </c>
      <c r="O961" s="31">
        <v>1647631.59</v>
      </c>
      <c r="Q961">
        <v>35</v>
      </c>
    </row>
    <row r="962" spans="3:17">
      <c r="C962">
        <v>5360</v>
      </c>
      <c r="E962" t="s">
        <v>5543</v>
      </c>
      <c r="H962" t="s">
        <v>5544</v>
      </c>
      <c r="K962" s="418">
        <v>-5389800.5999999996</v>
      </c>
      <c r="M962" s="31">
        <v>-3964851.57</v>
      </c>
      <c r="O962" s="31">
        <v>-1424949.03</v>
      </c>
      <c r="Q962">
        <v>-35.9</v>
      </c>
    </row>
    <row r="963" spans="3:17">
      <c r="C963">
        <v>5360</v>
      </c>
      <c r="E963" t="s">
        <v>5545</v>
      </c>
      <c r="H963" t="s">
        <v>5546</v>
      </c>
      <c r="K963" s="418">
        <v>-192303.8</v>
      </c>
      <c r="M963" s="31">
        <v>-135877.15</v>
      </c>
      <c r="O963" s="31">
        <v>-56426.65</v>
      </c>
      <c r="Q963">
        <v>-41.5</v>
      </c>
    </row>
    <row r="964" spans="3:17">
      <c r="C964">
        <v>5360</v>
      </c>
      <c r="E964" t="s">
        <v>5547</v>
      </c>
      <c r="H964" t="s">
        <v>5548</v>
      </c>
      <c r="K964" s="418">
        <v>4847904.42</v>
      </c>
      <c r="M964" s="31">
        <v>3349532.16</v>
      </c>
      <c r="O964" s="31">
        <v>1498372.26</v>
      </c>
      <c r="Q964">
        <v>44.7</v>
      </c>
    </row>
    <row r="965" spans="3:17">
      <c r="C965">
        <v>5360</v>
      </c>
      <c r="E965" t="s">
        <v>5549</v>
      </c>
      <c r="H965" t="s">
        <v>5261</v>
      </c>
      <c r="K965" s="418">
        <v>1229323.1100000001</v>
      </c>
      <c r="M965" s="31">
        <v>919809.73</v>
      </c>
      <c r="O965" s="31">
        <v>309513.38</v>
      </c>
      <c r="Q965">
        <v>33.6</v>
      </c>
    </row>
    <row r="966" spans="3:17">
      <c r="C966">
        <v>5360</v>
      </c>
      <c r="E966" t="s">
        <v>5550</v>
      </c>
      <c r="H966" t="s">
        <v>5551</v>
      </c>
      <c r="K966" s="418">
        <v>-896109.61</v>
      </c>
      <c r="M966" s="31">
        <v>-676633.99</v>
      </c>
      <c r="O966" s="31">
        <v>-219475.62</v>
      </c>
      <c r="Q966">
        <v>-32.4</v>
      </c>
    </row>
    <row r="967" spans="3:17">
      <c r="C967">
        <v>5360</v>
      </c>
      <c r="E967" t="s">
        <v>5552</v>
      </c>
      <c r="H967" t="s">
        <v>5553</v>
      </c>
      <c r="K967" s="418">
        <v>-36246.28</v>
      </c>
      <c r="M967" s="31">
        <v>-27606.73</v>
      </c>
      <c r="O967" s="31">
        <v>-8639.5499999999993</v>
      </c>
      <c r="Q967">
        <v>-31.3</v>
      </c>
    </row>
    <row r="968" spans="3:17">
      <c r="C968">
        <v>5360</v>
      </c>
      <c r="E968" t="s">
        <v>5554</v>
      </c>
      <c r="H968" t="s">
        <v>5263</v>
      </c>
      <c r="K968" s="418">
        <v>622396.53</v>
      </c>
      <c r="M968" s="31">
        <v>480195.79</v>
      </c>
      <c r="O968" s="31">
        <v>142200.74</v>
      </c>
      <c r="Q968">
        <v>29.6</v>
      </c>
    </row>
    <row r="969" spans="3:17">
      <c r="C969">
        <v>5360</v>
      </c>
      <c r="E969" t="s">
        <v>5555</v>
      </c>
      <c r="H969" t="s">
        <v>5265</v>
      </c>
      <c r="K969" s="418">
        <v>363603.13</v>
      </c>
      <c r="M969" s="31">
        <v>147000.59</v>
      </c>
      <c r="O969" s="31">
        <v>216602.54</v>
      </c>
      <c r="Q969">
        <v>147.30000000000001</v>
      </c>
    </row>
    <row r="970" spans="3:17">
      <c r="C970">
        <v>5360</v>
      </c>
      <c r="E970" t="s">
        <v>5556</v>
      </c>
      <c r="H970" t="s">
        <v>5557</v>
      </c>
      <c r="K970" s="418">
        <v>-189849.74</v>
      </c>
      <c r="M970" s="31">
        <v>-171490.37</v>
      </c>
      <c r="O970" s="31">
        <v>-18359.37</v>
      </c>
      <c r="Q970">
        <v>-10.7</v>
      </c>
    </row>
    <row r="971" spans="3:17">
      <c r="C971">
        <v>5360</v>
      </c>
      <c r="E971" t="s">
        <v>5558</v>
      </c>
      <c r="H971" t="s">
        <v>5559</v>
      </c>
      <c r="K971" s="418">
        <v>-11704.62</v>
      </c>
      <c r="M971">
        <v>112.83</v>
      </c>
      <c r="O971" s="31">
        <v>-11817.45</v>
      </c>
      <c r="Q971" t="s">
        <v>5560</v>
      </c>
    </row>
    <row r="972" spans="3:17">
      <c r="C972">
        <v>5360</v>
      </c>
      <c r="E972" t="s">
        <v>5561</v>
      </c>
      <c r="H972" t="s">
        <v>5267</v>
      </c>
      <c r="K972" s="418">
        <v>-2127.48</v>
      </c>
      <c r="M972" s="31">
        <v>30368.49</v>
      </c>
      <c r="O972" s="31">
        <v>-32495.97</v>
      </c>
      <c r="Q972">
        <v>-107</v>
      </c>
    </row>
    <row r="973" spans="3:17">
      <c r="C973">
        <v>5360</v>
      </c>
      <c r="E973" t="s">
        <v>5562</v>
      </c>
      <c r="H973" t="s">
        <v>5269</v>
      </c>
      <c r="K973" s="418">
        <v>4329185.21</v>
      </c>
      <c r="M973" s="31">
        <v>3204733.77</v>
      </c>
      <c r="O973" s="31">
        <v>1124451.44</v>
      </c>
      <c r="Q973">
        <v>35.1</v>
      </c>
    </row>
    <row r="974" spans="3:17">
      <c r="C974">
        <v>5360</v>
      </c>
      <c r="E974" t="s">
        <v>5563</v>
      </c>
      <c r="H974" t="s">
        <v>5564</v>
      </c>
      <c r="K974" s="418">
        <v>-16195973.73</v>
      </c>
      <c r="M974" s="31">
        <v>-12428837.9</v>
      </c>
      <c r="O974" s="31">
        <v>-3767135.83</v>
      </c>
      <c r="Q974">
        <v>-30.3</v>
      </c>
    </row>
    <row r="975" spans="3:17">
      <c r="C975">
        <v>5360</v>
      </c>
      <c r="E975" t="s">
        <v>5565</v>
      </c>
      <c r="H975" t="s">
        <v>5566</v>
      </c>
      <c r="K975" s="418">
        <v>-146655.38</v>
      </c>
      <c r="M975" s="31">
        <v>-111276.85</v>
      </c>
      <c r="O975" s="31">
        <v>-35378.53</v>
      </c>
      <c r="Q975">
        <v>-31.8</v>
      </c>
    </row>
    <row r="976" spans="3:17">
      <c r="C976">
        <v>5360</v>
      </c>
      <c r="E976" t="s">
        <v>5567</v>
      </c>
      <c r="H976" t="s">
        <v>5271</v>
      </c>
      <c r="K976" s="418">
        <v>16205522.34</v>
      </c>
      <c r="M976" s="31">
        <v>12380167.460000001</v>
      </c>
      <c r="O976" s="31">
        <v>3825354.88</v>
      </c>
      <c r="Q976">
        <v>30.9</v>
      </c>
    </row>
    <row r="977" spans="3:17">
      <c r="C977">
        <v>5360</v>
      </c>
      <c r="E977" t="s">
        <v>5568</v>
      </c>
      <c r="H977" t="s">
        <v>5273</v>
      </c>
      <c r="K977" s="418">
        <v>656387.35</v>
      </c>
      <c r="M977" s="31">
        <v>481020.54</v>
      </c>
      <c r="O977" s="31">
        <v>175366.81</v>
      </c>
      <c r="Q977">
        <v>36.5</v>
      </c>
    </row>
    <row r="978" spans="3:17">
      <c r="C978">
        <v>5360</v>
      </c>
      <c r="E978" t="s">
        <v>5569</v>
      </c>
      <c r="H978" t="s">
        <v>5570</v>
      </c>
      <c r="K978" s="418">
        <v>-2090667.94</v>
      </c>
      <c r="M978" s="31">
        <v>-1556013.46</v>
      </c>
      <c r="O978" s="31">
        <v>-534654.48</v>
      </c>
      <c r="Q978">
        <v>-34.4</v>
      </c>
    </row>
    <row r="979" spans="3:17">
      <c r="C979">
        <v>5360</v>
      </c>
      <c r="E979" t="s">
        <v>5571</v>
      </c>
      <c r="H979" t="s">
        <v>5572</v>
      </c>
      <c r="K979" s="418">
        <v>-18686.009999999998</v>
      </c>
      <c r="M979" s="31">
        <v>-15918.87</v>
      </c>
      <c r="O979" s="31">
        <v>-2767.14</v>
      </c>
      <c r="Q979">
        <v>-17.399999999999999</v>
      </c>
    </row>
    <row r="980" spans="3:17">
      <c r="C980">
        <v>5360</v>
      </c>
      <c r="E980" t="s">
        <v>5573</v>
      </c>
      <c r="H980" t="s">
        <v>5574</v>
      </c>
      <c r="K980" s="418">
        <v>1888796.22</v>
      </c>
      <c r="M980" s="31">
        <v>1409294.2</v>
      </c>
      <c r="O980" s="31">
        <v>479502.02</v>
      </c>
      <c r="Q980">
        <v>34</v>
      </c>
    </row>
    <row r="981" spans="3:17">
      <c r="C981">
        <v>5360</v>
      </c>
      <c r="E981" t="s">
        <v>5575</v>
      </c>
      <c r="H981" t="s">
        <v>5576</v>
      </c>
      <c r="K981" s="418">
        <v>463197.79</v>
      </c>
      <c r="M981">
        <v>-380.69</v>
      </c>
      <c r="O981" s="31">
        <v>463578.48</v>
      </c>
      <c r="Q981" t="s">
        <v>5577</v>
      </c>
    </row>
    <row r="982" spans="3:17">
      <c r="C982">
        <v>5360</v>
      </c>
      <c r="E982" t="s">
        <v>5578</v>
      </c>
      <c r="H982" t="s">
        <v>5579</v>
      </c>
      <c r="K982" s="418">
        <v>-22217.67</v>
      </c>
      <c r="M982" s="31">
        <v>-3646.67</v>
      </c>
      <c r="O982" s="31">
        <v>-18571</v>
      </c>
      <c r="Q982">
        <v>-509.3</v>
      </c>
    </row>
    <row r="983" spans="3:17">
      <c r="C983">
        <v>5360</v>
      </c>
      <c r="E983" t="s">
        <v>5580</v>
      </c>
      <c r="H983" t="s">
        <v>5581</v>
      </c>
      <c r="K983" s="418">
        <v>157944.20000000001</v>
      </c>
      <c r="M983" s="31">
        <v>112568.24</v>
      </c>
      <c r="O983" s="31">
        <v>45375.96</v>
      </c>
      <c r="Q983">
        <v>40.299999999999997</v>
      </c>
    </row>
    <row r="984" spans="3:17">
      <c r="C984">
        <v>5360</v>
      </c>
      <c r="E984" t="s">
        <v>5582</v>
      </c>
      <c r="H984" t="s">
        <v>5277</v>
      </c>
      <c r="K984" s="418">
        <v>3789115.25</v>
      </c>
      <c r="M984" s="31">
        <v>2827021.39</v>
      </c>
      <c r="O984" s="31">
        <v>962093.86</v>
      </c>
      <c r="Q984">
        <v>34</v>
      </c>
    </row>
    <row r="985" spans="3:17">
      <c r="C985">
        <v>5360</v>
      </c>
      <c r="E985" t="s">
        <v>5583</v>
      </c>
      <c r="H985" t="s">
        <v>5584</v>
      </c>
      <c r="K985" s="418">
        <v>-2796682.65</v>
      </c>
      <c r="M985" s="31">
        <v>-2098468.5499999998</v>
      </c>
      <c r="O985" s="31">
        <v>-698214.1</v>
      </c>
      <c r="Q985">
        <v>-33.299999999999997</v>
      </c>
    </row>
    <row r="986" spans="3:17">
      <c r="C986">
        <v>5360</v>
      </c>
      <c r="E986" t="s">
        <v>5585</v>
      </c>
      <c r="H986" t="s">
        <v>5586</v>
      </c>
      <c r="K986" s="418">
        <v>-112095.11</v>
      </c>
      <c r="M986" s="31">
        <v>-84826.61</v>
      </c>
      <c r="O986" s="31">
        <v>-27268.5</v>
      </c>
      <c r="Q986">
        <v>-32.1</v>
      </c>
    </row>
    <row r="987" spans="3:17">
      <c r="C987">
        <v>5360</v>
      </c>
      <c r="E987" t="s">
        <v>5587</v>
      </c>
      <c r="H987" t="s">
        <v>5279</v>
      </c>
      <c r="K987" s="418">
        <v>1992325.84</v>
      </c>
      <c r="M987" s="31">
        <v>1483340.25</v>
      </c>
      <c r="O987" s="31">
        <v>508985.59</v>
      </c>
      <c r="Q987">
        <v>34.299999999999997</v>
      </c>
    </row>
    <row r="988" spans="3:17">
      <c r="C988">
        <v>5360</v>
      </c>
      <c r="E988" t="s">
        <v>5588</v>
      </c>
      <c r="H988" t="s">
        <v>5281</v>
      </c>
      <c r="K988" s="418">
        <v>6144528.2999999998</v>
      </c>
      <c r="M988" s="31">
        <v>4588241.71</v>
      </c>
      <c r="O988" s="31">
        <v>1556286.59</v>
      </c>
      <c r="Q988">
        <v>33.9</v>
      </c>
    </row>
    <row r="989" spans="3:17">
      <c r="C989">
        <v>5360</v>
      </c>
      <c r="E989" t="s">
        <v>5589</v>
      </c>
      <c r="H989" t="s">
        <v>5590</v>
      </c>
      <c r="K989" s="418">
        <v>-6133942.1299999999</v>
      </c>
      <c r="M989" s="31">
        <v>-4602516.04</v>
      </c>
      <c r="O989" s="31">
        <v>-1531426.09</v>
      </c>
      <c r="Q989">
        <v>-33.299999999999997</v>
      </c>
    </row>
    <row r="990" spans="3:17">
      <c r="C990">
        <v>5360</v>
      </c>
      <c r="E990" t="s">
        <v>5591</v>
      </c>
      <c r="H990" t="s">
        <v>5592</v>
      </c>
      <c r="K990" s="418">
        <v>-52050.45</v>
      </c>
      <c r="M990" s="31">
        <v>-39480.35</v>
      </c>
      <c r="O990" s="31">
        <v>-12570.1</v>
      </c>
      <c r="Q990">
        <v>-31.8</v>
      </c>
    </row>
    <row r="991" spans="3:17">
      <c r="C991">
        <v>5360</v>
      </c>
      <c r="E991" t="s">
        <v>5593</v>
      </c>
      <c r="H991" t="s">
        <v>5594</v>
      </c>
      <c r="K991" s="418">
        <v>2022734.4</v>
      </c>
      <c r="M991" s="31">
        <v>1525606.95</v>
      </c>
      <c r="O991" s="31">
        <v>497127.45</v>
      </c>
      <c r="Q991">
        <v>32.6</v>
      </c>
    </row>
    <row r="992" spans="3:17">
      <c r="C992">
        <v>5360</v>
      </c>
      <c r="E992" t="s">
        <v>5595</v>
      </c>
      <c r="H992" t="s">
        <v>5285</v>
      </c>
      <c r="K992" s="418">
        <v>822549.22</v>
      </c>
      <c r="M992" s="31">
        <v>909469.16</v>
      </c>
      <c r="O992" s="31">
        <v>-86919.94</v>
      </c>
      <c r="Q992">
        <v>-9.6</v>
      </c>
    </row>
    <row r="993" spans="3:17">
      <c r="C993">
        <v>5360</v>
      </c>
      <c r="E993" t="s">
        <v>5596</v>
      </c>
      <c r="H993" t="s">
        <v>5597</v>
      </c>
      <c r="K993" s="418">
        <v>-1498466.11</v>
      </c>
      <c r="M993" s="31">
        <v>-1213357.56</v>
      </c>
      <c r="O993" s="31">
        <v>-285108.55</v>
      </c>
      <c r="Q993">
        <v>-23.5</v>
      </c>
    </row>
    <row r="994" spans="3:17">
      <c r="C994">
        <v>5360</v>
      </c>
      <c r="E994" t="s">
        <v>5598</v>
      </c>
      <c r="H994" t="s">
        <v>5599</v>
      </c>
      <c r="K994" s="418">
        <v>2193.2800000000002</v>
      </c>
      <c r="M994" s="31">
        <v>-12972.42</v>
      </c>
      <c r="O994" s="31">
        <v>15165.7</v>
      </c>
      <c r="Q994">
        <v>116.9</v>
      </c>
    </row>
    <row r="995" spans="3:17">
      <c r="C995">
        <v>5360</v>
      </c>
      <c r="E995" t="s">
        <v>5600</v>
      </c>
      <c r="H995" t="s">
        <v>5287</v>
      </c>
      <c r="K995" s="418">
        <v>852617.54</v>
      </c>
      <c r="M995" s="31">
        <v>588574.78</v>
      </c>
      <c r="O995" s="31">
        <v>264042.76</v>
      </c>
      <c r="Q995">
        <v>44.9</v>
      </c>
    </row>
    <row r="996" spans="3:17">
      <c r="C996">
        <v>5360</v>
      </c>
      <c r="E996" t="s">
        <v>5601</v>
      </c>
      <c r="H996" t="s">
        <v>5289</v>
      </c>
      <c r="K996" s="418">
        <v>2633914.7000000002</v>
      </c>
      <c r="M996" s="31">
        <v>2022798.62</v>
      </c>
      <c r="O996" s="31">
        <v>611116.07999999996</v>
      </c>
      <c r="Q996">
        <v>30.2</v>
      </c>
    </row>
    <row r="997" spans="3:17">
      <c r="C997">
        <v>5360</v>
      </c>
      <c r="E997" t="s">
        <v>5602</v>
      </c>
      <c r="H997" t="s">
        <v>5603</v>
      </c>
      <c r="K997" s="418">
        <v>-16569.77</v>
      </c>
      <c r="M997">
        <v>-32.64</v>
      </c>
      <c r="O997" s="31">
        <v>-16537.13</v>
      </c>
      <c r="Q997" t="s">
        <v>5604</v>
      </c>
    </row>
    <row r="998" spans="3:17">
      <c r="C998">
        <v>5360</v>
      </c>
      <c r="E998" t="s">
        <v>5605</v>
      </c>
      <c r="H998" t="s">
        <v>5606</v>
      </c>
      <c r="K998" s="418">
        <v>7783.77</v>
      </c>
      <c r="M998" s="31">
        <v>-3483.03</v>
      </c>
      <c r="O998" s="31">
        <v>11266.8</v>
      </c>
      <c r="Q998">
        <v>323.5</v>
      </c>
    </row>
    <row r="999" spans="3:17">
      <c r="C999">
        <v>5360</v>
      </c>
      <c r="E999" t="s">
        <v>5607</v>
      </c>
      <c r="H999" t="s">
        <v>5608</v>
      </c>
      <c r="K999" s="418">
        <v>120917.75999999999</v>
      </c>
      <c r="M999" s="31">
        <v>157607.1</v>
      </c>
      <c r="O999" s="31">
        <v>-36689.339999999997</v>
      </c>
      <c r="Q999">
        <v>-23.3</v>
      </c>
    </row>
    <row r="1000" spans="3:17">
      <c r="C1000">
        <v>5360</v>
      </c>
      <c r="E1000" t="s">
        <v>5609</v>
      </c>
      <c r="H1000" t="s">
        <v>5610</v>
      </c>
      <c r="K1000" s="418">
        <v>-120917.75999999999</v>
      </c>
      <c r="M1000" s="31">
        <v>-157607.1</v>
      </c>
      <c r="O1000" s="31">
        <v>36689.339999999997</v>
      </c>
      <c r="Q1000">
        <v>23.3</v>
      </c>
    </row>
    <row r="1001" spans="3:17">
      <c r="C1001">
        <v>5360</v>
      </c>
      <c r="E1001" t="s">
        <v>5611</v>
      </c>
      <c r="H1001" t="s">
        <v>5612</v>
      </c>
      <c r="K1001" s="417">
        <v>0.27</v>
      </c>
      <c r="M1001">
        <v>0</v>
      </c>
      <c r="O1001">
        <v>0.27</v>
      </c>
    </row>
    <row r="1002" spans="3:17">
      <c r="C1002">
        <v>5360</v>
      </c>
      <c r="E1002" t="s">
        <v>5613</v>
      </c>
      <c r="H1002" t="s">
        <v>5608</v>
      </c>
      <c r="K1002" s="418">
        <v>56260.09</v>
      </c>
      <c r="M1002" s="31">
        <v>69761.31</v>
      </c>
      <c r="O1002" s="31">
        <v>-13501.22</v>
      </c>
      <c r="Q1002">
        <v>-19.399999999999999</v>
      </c>
    </row>
    <row r="1003" spans="3:17">
      <c r="C1003">
        <v>5360</v>
      </c>
      <c r="E1003" t="s">
        <v>5614</v>
      </c>
      <c r="H1003" t="s">
        <v>5615</v>
      </c>
      <c r="K1003" s="418">
        <v>-56257.36</v>
      </c>
      <c r="M1003" s="31">
        <v>-69758.58</v>
      </c>
      <c r="O1003" s="31">
        <v>13501.22</v>
      </c>
      <c r="Q1003">
        <v>19.399999999999999</v>
      </c>
    </row>
    <row r="1004" spans="3:17">
      <c r="C1004">
        <v>5360</v>
      </c>
      <c r="E1004" t="s">
        <v>5616</v>
      </c>
      <c r="H1004" t="s">
        <v>5617</v>
      </c>
      <c r="K1004" s="417">
        <v>0.05</v>
      </c>
      <c r="M1004">
        <v>0</v>
      </c>
      <c r="O1004">
        <v>0.05</v>
      </c>
    </row>
    <row r="1005" spans="3:17">
      <c r="C1005">
        <v>5360</v>
      </c>
      <c r="E1005" t="s">
        <v>5618</v>
      </c>
      <c r="H1005" t="s">
        <v>5619</v>
      </c>
      <c r="K1005" s="418">
        <v>961173.97</v>
      </c>
      <c r="M1005" s="31">
        <v>645281.53</v>
      </c>
      <c r="O1005" s="31">
        <v>315892.44</v>
      </c>
      <c r="Q1005">
        <v>49</v>
      </c>
    </row>
    <row r="1006" spans="3:17">
      <c r="C1006">
        <v>5360</v>
      </c>
      <c r="E1006" t="s">
        <v>5620</v>
      </c>
      <c r="H1006" t="s">
        <v>5621</v>
      </c>
      <c r="K1006" s="418">
        <v>-367179.27</v>
      </c>
      <c r="M1006" s="31">
        <v>-211537.13</v>
      </c>
      <c r="O1006" s="31">
        <v>-155642.14000000001</v>
      </c>
      <c r="Q1006">
        <v>-73.599999999999994</v>
      </c>
    </row>
    <row r="1007" spans="3:17">
      <c r="C1007">
        <v>5360</v>
      </c>
      <c r="E1007" t="s">
        <v>5622</v>
      </c>
      <c r="H1007" t="s">
        <v>5623</v>
      </c>
      <c r="K1007" s="418">
        <v>-464830.09</v>
      </c>
      <c r="M1007" s="31">
        <v>-327812.23</v>
      </c>
      <c r="O1007" s="31">
        <v>-137017.85999999999</v>
      </c>
      <c r="Q1007">
        <v>-41.8</v>
      </c>
    </row>
    <row r="1008" spans="3:17">
      <c r="C1008">
        <v>5360</v>
      </c>
      <c r="E1008" t="s">
        <v>5624</v>
      </c>
      <c r="H1008" t="s">
        <v>5625</v>
      </c>
      <c r="K1008" s="418">
        <v>-24622.22</v>
      </c>
      <c r="M1008" s="31">
        <v>-34827.03</v>
      </c>
      <c r="O1008" s="31">
        <v>10204.81</v>
      </c>
      <c r="Q1008">
        <v>29.3</v>
      </c>
    </row>
    <row r="1009" spans="3:17">
      <c r="C1009">
        <v>5360</v>
      </c>
      <c r="E1009" t="s">
        <v>5626</v>
      </c>
      <c r="H1009" t="s">
        <v>5295</v>
      </c>
      <c r="K1009" s="418">
        <v>13415855.99</v>
      </c>
      <c r="M1009" s="31">
        <v>10333163.93</v>
      </c>
      <c r="O1009" s="31">
        <v>3082692.06</v>
      </c>
      <c r="Q1009">
        <v>29.8</v>
      </c>
    </row>
    <row r="1010" spans="3:17">
      <c r="C1010">
        <v>5360</v>
      </c>
      <c r="E1010" t="s">
        <v>5627</v>
      </c>
      <c r="H1010" t="s">
        <v>5628</v>
      </c>
      <c r="K1010" s="418">
        <v>-12740298.74</v>
      </c>
      <c r="M1010" s="31">
        <v>-9893228.0800000001</v>
      </c>
      <c r="O1010" s="31">
        <v>-2847070.66</v>
      </c>
      <c r="Q1010">
        <v>-28.8</v>
      </c>
    </row>
    <row r="1011" spans="3:17">
      <c r="C1011">
        <v>5360</v>
      </c>
      <c r="E1011" t="s">
        <v>5629</v>
      </c>
      <c r="H1011" t="s">
        <v>5630</v>
      </c>
      <c r="K1011" s="418">
        <v>-7129.01</v>
      </c>
      <c r="M1011" s="31">
        <v>-6601.22</v>
      </c>
      <c r="O1011">
        <v>-527.79</v>
      </c>
      <c r="Q1011">
        <v>-8</v>
      </c>
    </row>
    <row r="1012" spans="3:17">
      <c r="C1012">
        <v>5360</v>
      </c>
      <c r="E1012" t="s">
        <v>5631</v>
      </c>
      <c r="H1012" t="s">
        <v>5297</v>
      </c>
      <c r="K1012" s="418">
        <v>270537.46000000002</v>
      </c>
      <c r="M1012" s="31">
        <v>179294.9</v>
      </c>
      <c r="O1012" s="31">
        <v>91242.559999999998</v>
      </c>
      <c r="Q1012">
        <v>50.9</v>
      </c>
    </row>
    <row r="1013" spans="3:17">
      <c r="C1013">
        <v>5360</v>
      </c>
      <c r="E1013" t="s">
        <v>5632</v>
      </c>
      <c r="H1013" t="s">
        <v>5633</v>
      </c>
      <c r="K1013" s="418">
        <v>241307.74</v>
      </c>
      <c r="M1013" s="31">
        <v>168550.86</v>
      </c>
      <c r="O1013" s="31">
        <v>72756.88</v>
      </c>
      <c r="Q1013">
        <v>43.2</v>
      </c>
    </row>
    <row r="1014" spans="3:17">
      <c r="C1014">
        <v>5360</v>
      </c>
      <c r="E1014" t="s">
        <v>5634</v>
      </c>
      <c r="H1014" t="s">
        <v>5635</v>
      </c>
      <c r="K1014" s="418">
        <v>-41832.17</v>
      </c>
      <c r="M1014" s="31">
        <v>-31955</v>
      </c>
      <c r="O1014" s="31">
        <v>-9877.17</v>
      </c>
      <c r="Q1014">
        <v>-30.9</v>
      </c>
    </row>
    <row r="1015" spans="3:17">
      <c r="C1015">
        <v>5360</v>
      </c>
      <c r="E1015" t="s">
        <v>5636</v>
      </c>
      <c r="H1015" t="s">
        <v>5637</v>
      </c>
      <c r="K1015" s="418">
        <v>-34261.07</v>
      </c>
      <c r="M1015" s="31">
        <v>-41536.589999999997</v>
      </c>
      <c r="O1015" s="31">
        <v>7275.52</v>
      </c>
      <c r="Q1015">
        <v>17.5</v>
      </c>
    </row>
    <row r="1016" spans="3:17">
      <c r="C1016">
        <v>5360</v>
      </c>
      <c r="E1016" t="s">
        <v>5638</v>
      </c>
      <c r="H1016" t="s">
        <v>5639</v>
      </c>
      <c r="K1016" s="418">
        <v>2907.34</v>
      </c>
      <c r="M1016" s="31">
        <v>1532.36</v>
      </c>
      <c r="O1016" s="31">
        <v>1374.98</v>
      </c>
      <c r="Q1016">
        <v>89.7</v>
      </c>
    </row>
    <row r="1017" spans="3:17">
      <c r="C1017">
        <v>5360</v>
      </c>
      <c r="E1017" t="s">
        <v>5640</v>
      </c>
      <c r="H1017" t="s">
        <v>5641</v>
      </c>
      <c r="K1017" s="417">
        <v>-867.34</v>
      </c>
      <c r="M1017">
        <v>-637.02</v>
      </c>
      <c r="O1017">
        <v>-230.32</v>
      </c>
      <c r="Q1017">
        <v>-36.200000000000003</v>
      </c>
    </row>
    <row r="1018" spans="3:17">
      <c r="C1018">
        <v>5360</v>
      </c>
      <c r="E1018" t="s">
        <v>5642</v>
      </c>
      <c r="H1018" t="s">
        <v>5643</v>
      </c>
      <c r="K1018" s="417">
        <v>867.34</v>
      </c>
      <c r="M1018">
        <v>637.02</v>
      </c>
      <c r="O1018">
        <v>230.32</v>
      </c>
      <c r="Q1018">
        <v>36.200000000000003</v>
      </c>
    </row>
    <row r="1019" spans="3:17">
      <c r="C1019">
        <v>5360</v>
      </c>
      <c r="E1019" t="s">
        <v>5644</v>
      </c>
      <c r="H1019" t="s">
        <v>5645</v>
      </c>
      <c r="K1019" s="418">
        <v>219330.82</v>
      </c>
      <c r="M1019" s="31">
        <v>165106.87</v>
      </c>
      <c r="O1019" s="31">
        <v>54223.95</v>
      </c>
      <c r="Q1019">
        <v>32.799999999999997</v>
      </c>
    </row>
    <row r="1020" spans="3:17">
      <c r="C1020">
        <v>5360</v>
      </c>
      <c r="E1020" t="s">
        <v>5646</v>
      </c>
      <c r="H1020" t="s">
        <v>5647</v>
      </c>
      <c r="K1020" s="417">
        <v>961.4</v>
      </c>
      <c r="M1020">
        <v>961.4</v>
      </c>
      <c r="O1020">
        <v>0</v>
      </c>
    </row>
    <row r="1021" spans="3:17">
      <c r="C1021">
        <v>5360</v>
      </c>
      <c r="E1021" t="s">
        <v>5648</v>
      </c>
      <c r="H1021" t="s">
        <v>5649</v>
      </c>
      <c r="K1021" s="418">
        <v>-94198.1</v>
      </c>
      <c r="M1021" s="31">
        <v>-71601.38</v>
      </c>
      <c r="O1021" s="31">
        <v>-22596.720000000001</v>
      </c>
      <c r="Q1021">
        <v>-31.6</v>
      </c>
    </row>
    <row r="1022" spans="3:17">
      <c r="C1022">
        <v>5360</v>
      </c>
      <c r="E1022" t="s">
        <v>5650</v>
      </c>
      <c r="H1022" t="s">
        <v>5651</v>
      </c>
      <c r="K1022" s="418">
        <v>-126209.39</v>
      </c>
      <c r="M1022" s="31">
        <v>-94478.96</v>
      </c>
      <c r="O1022" s="31">
        <v>-31730.43</v>
      </c>
      <c r="Q1022">
        <v>-33.6</v>
      </c>
    </row>
    <row r="1023" spans="3:17">
      <c r="C1023">
        <v>5360</v>
      </c>
      <c r="E1023" t="s">
        <v>5652</v>
      </c>
      <c r="H1023" t="s">
        <v>5653</v>
      </c>
      <c r="K1023" s="417">
        <v>117.65</v>
      </c>
      <c r="M1023">
        <v>12.07</v>
      </c>
      <c r="O1023">
        <v>105.58</v>
      </c>
      <c r="Q1023">
        <v>874.7</v>
      </c>
    </row>
    <row r="1024" spans="3:17">
      <c r="C1024">
        <v>5360</v>
      </c>
      <c r="E1024" t="s">
        <v>5654</v>
      </c>
      <c r="H1024" t="s">
        <v>5299</v>
      </c>
      <c r="K1024" s="418">
        <v>9002797.1899999995</v>
      </c>
      <c r="M1024" s="31">
        <v>7197398.0800000001</v>
      </c>
      <c r="O1024" s="31">
        <v>1805399.11</v>
      </c>
      <c r="Q1024">
        <v>25.1</v>
      </c>
    </row>
    <row r="1025" spans="3:17">
      <c r="C1025">
        <v>5360</v>
      </c>
      <c r="E1025" t="s">
        <v>5655</v>
      </c>
      <c r="H1025" t="s">
        <v>5656</v>
      </c>
      <c r="K1025" s="418">
        <v>-7859946.25</v>
      </c>
      <c r="M1025" s="31">
        <v>-6436741.7300000004</v>
      </c>
      <c r="O1025" s="31">
        <v>-1423204.52</v>
      </c>
      <c r="Q1025">
        <v>-22.1</v>
      </c>
    </row>
    <row r="1026" spans="3:17">
      <c r="C1026">
        <v>5360</v>
      </c>
      <c r="E1026" t="s">
        <v>5657</v>
      </c>
      <c r="H1026" t="s">
        <v>5658</v>
      </c>
      <c r="K1026" s="418">
        <v>20405.57</v>
      </c>
      <c r="M1026" s="31">
        <v>10553.82</v>
      </c>
      <c r="O1026" s="31">
        <v>9851.75</v>
      </c>
      <c r="Q1026">
        <v>93.3</v>
      </c>
    </row>
    <row r="1027" spans="3:17">
      <c r="C1027">
        <v>5360</v>
      </c>
      <c r="E1027" t="s">
        <v>5659</v>
      </c>
      <c r="H1027" t="s">
        <v>5660</v>
      </c>
      <c r="K1027" s="417">
        <v>323.73</v>
      </c>
      <c r="M1027">
        <v>323.73</v>
      </c>
      <c r="O1027">
        <v>0</v>
      </c>
    </row>
    <row r="1028" spans="3:17">
      <c r="C1028">
        <v>5360</v>
      </c>
      <c r="E1028" t="s">
        <v>5661</v>
      </c>
      <c r="H1028" t="s">
        <v>5662</v>
      </c>
      <c r="K1028" s="417">
        <v>-323.73</v>
      </c>
      <c r="M1028">
        <v>-323.73</v>
      </c>
      <c r="O1028">
        <v>0</v>
      </c>
    </row>
    <row r="1029" spans="3:17">
      <c r="C1029">
        <v>5360</v>
      </c>
      <c r="E1029" t="s">
        <v>5663</v>
      </c>
      <c r="H1029" t="s">
        <v>5301</v>
      </c>
      <c r="K1029" s="418">
        <v>1477151.69</v>
      </c>
      <c r="M1029" s="31">
        <v>1243638.31</v>
      </c>
      <c r="O1029" s="31">
        <v>233513.38</v>
      </c>
      <c r="Q1029">
        <v>18.8</v>
      </c>
    </row>
    <row r="1030" spans="3:17">
      <c r="C1030">
        <v>5360</v>
      </c>
      <c r="E1030" t="s">
        <v>5664</v>
      </c>
      <c r="H1030" t="s">
        <v>5665</v>
      </c>
      <c r="K1030" s="418">
        <v>-1234276</v>
      </c>
      <c r="M1030" s="31">
        <v>-1025813.19</v>
      </c>
      <c r="O1030" s="31">
        <v>-208462.81</v>
      </c>
      <c r="Q1030">
        <v>-20.3</v>
      </c>
    </row>
    <row r="1031" spans="3:17">
      <c r="C1031">
        <v>5360</v>
      </c>
      <c r="E1031" t="s">
        <v>5666</v>
      </c>
      <c r="H1031" t="s">
        <v>5667</v>
      </c>
      <c r="K1031" s="418">
        <v>1319.28</v>
      </c>
      <c r="M1031">
        <v>748.59</v>
      </c>
      <c r="O1031">
        <v>570.69000000000005</v>
      </c>
      <c r="Q1031">
        <v>76.2</v>
      </c>
    </row>
    <row r="1032" spans="3:17">
      <c r="C1032">
        <v>5360</v>
      </c>
      <c r="E1032" t="s">
        <v>5668</v>
      </c>
      <c r="H1032" t="s">
        <v>5303</v>
      </c>
      <c r="K1032" s="418">
        <v>-2743806.53</v>
      </c>
      <c r="M1032" s="31">
        <v>1719032.95</v>
      </c>
      <c r="O1032" s="31">
        <v>-4462839.4800000004</v>
      </c>
      <c r="Q1032">
        <v>-259.60000000000002</v>
      </c>
    </row>
    <row r="1033" spans="3:17">
      <c r="C1033">
        <v>5360</v>
      </c>
      <c r="E1033" t="s">
        <v>5669</v>
      </c>
      <c r="H1033" t="s">
        <v>5670</v>
      </c>
      <c r="K1033" s="418">
        <v>2744762.84</v>
      </c>
      <c r="M1033" s="31">
        <v>-1715068.2</v>
      </c>
      <c r="O1033" s="31">
        <v>4459831.04</v>
      </c>
      <c r="Q1033">
        <v>260</v>
      </c>
    </row>
    <row r="1034" spans="3:17">
      <c r="C1034">
        <v>5360</v>
      </c>
      <c r="E1034" t="s">
        <v>5671</v>
      </c>
      <c r="H1034" t="s">
        <v>5672</v>
      </c>
      <c r="K1034" s="418">
        <v>-40468</v>
      </c>
      <c r="M1034" s="31">
        <v>-40468</v>
      </c>
      <c r="O1034">
        <v>0</v>
      </c>
    </row>
    <row r="1035" spans="3:17">
      <c r="C1035">
        <v>5360</v>
      </c>
      <c r="E1035" t="s">
        <v>5673</v>
      </c>
      <c r="H1035" t="s">
        <v>5305</v>
      </c>
      <c r="K1035" s="418">
        <v>-3741.45</v>
      </c>
      <c r="M1035" s="31">
        <v>-3354.17</v>
      </c>
      <c r="O1035">
        <v>-387.28</v>
      </c>
      <c r="Q1035">
        <v>-11.5</v>
      </c>
    </row>
    <row r="1036" spans="3:17">
      <c r="C1036">
        <v>5360</v>
      </c>
      <c r="E1036" t="s">
        <v>5674</v>
      </c>
      <c r="H1036" t="s">
        <v>5675</v>
      </c>
      <c r="K1036" s="418">
        <v>1413.02</v>
      </c>
      <c r="M1036" s="31">
        <v>3834.51</v>
      </c>
      <c r="O1036" s="31">
        <v>-2421.4899999999998</v>
      </c>
      <c r="Q1036">
        <v>-63.1</v>
      </c>
    </row>
    <row r="1037" spans="3:17">
      <c r="C1037">
        <v>5360</v>
      </c>
      <c r="E1037" t="s">
        <v>5676</v>
      </c>
      <c r="H1037" t="s">
        <v>5677</v>
      </c>
      <c r="K1037" s="418">
        <v>393878.89</v>
      </c>
      <c r="M1037" s="31">
        <v>317902.19</v>
      </c>
      <c r="O1037" s="31">
        <v>75976.7</v>
      </c>
      <c r="Q1037">
        <v>23.9</v>
      </c>
    </row>
    <row r="1038" spans="3:17">
      <c r="C1038">
        <v>5360</v>
      </c>
      <c r="E1038" t="s">
        <v>5678</v>
      </c>
      <c r="H1038" t="s">
        <v>5679</v>
      </c>
      <c r="K1038" s="418">
        <v>62713940.810000002</v>
      </c>
      <c r="M1038" s="31">
        <v>52829167.210000001</v>
      </c>
      <c r="O1038" s="31">
        <v>9884773.5999999996</v>
      </c>
      <c r="Q1038">
        <v>18.7</v>
      </c>
    </row>
    <row r="1039" spans="3:17">
      <c r="C1039">
        <v>5360</v>
      </c>
      <c r="E1039" t="s">
        <v>5680</v>
      </c>
      <c r="H1039" t="s">
        <v>5681</v>
      </c>
      <c r="K1039" s="418">
        <v>-59184889.549999997</v>
      </c>
      <c r="M1039" s="31">
        <v>-50538496.899999999</v>
      </c>
      <c r="O1039" s="31">
        <v>-8646392.6500000004</v>
      </c>
      <c r="Q1039">
        <v>-17.100000000000001</v>
      </c>
    </row>
    <row r="1040" spans="3:17">
      <c r="C1040">
        <v>5360</v>
      </c>
      <c r="E1040" t="s">
        <v>5682</v>
      </c>
      <c r="H1040" t="s">
        <v>5683</v>
      </c>
      <c r="K1040" s="418">
        <v>-1793.85</v>
      </c>
      <c r="M1040" s="31">
        <v>-1559.69</v>
      </c>
      <c r="O1040">
        <v>-234.16</v>
      </c>
      <c r="Q1040">
        <v>-15</v>
      </c>
    </row>
    <row r="1041" spans="3:17">
      <c r="C1041">
        <v>5360</v>
      </c>
      <c r="E1041" t="s">
        <v>5684</v>
      </c>
      <c r="H1041" t="s">
        <v>5685</v>
      </c>
      <c r="K1041" s="418">
        <v>406268.08</v>
      </c>
      <c r="M1041" s="31">
        <v>229829.06</v>
      </c>
      <c r="O1041" s="31">
        <v>176439.02</v>
      </c>
      <c r="Q1041">
        <v>76.8</v>
      </c>
    </row>
    <row r="1042" spans="3:17">
      <c r="C1042">
        <v>5360</v>
      </c>
      <c r="E1042" t="s">
        <v>5686</v>
      </c>
      <c r="H1042" t="s">
        <v>5311</v>
      </c>
      <c r="K1042" s="418">
        <v>52144658.619999997</v>
      </c>
      <c r="M1042" s="31">
        <v>39011639.68</v>
      </c>
      <c r="O1042" s="31">
        <v>13133018.939999999</v>
      </c>
      <c r="Q1042">
        <v>33.700000000000003</v>
      </c>
    </row>
    <row r="1043" spans="3:17">
      <c r="C1043">
        <v>5360</v>
      </c>
      <c r="E1043" t="s">
        <v>5687</v>
      </c>
      <c r="H1043" t="s">
        <v>5688</v>
      </c>
      <c r="K1043" s="418">
        <v>-29868738.399999999</v>
      </c>
      <c r="M1043" s="31">
        <v>-23846388.609999999</v>
      </c>
      <c r="O1043" s="31">
        <v>-6022349.79</v>
      </c>
      <c r="Q1043">
        <v>-25.3</v>
      </c>
    </row>
    <row r="1044" spans="3:17">
      <c r="C1044">
        <v>5360</v>
      </c>
      <c r="E1044" t="s">
        <v>5689</v>
      </c>
      <c r="H1044" t="s">
        <v>5690</v>
      </c>
      <c r="K1044" s="418">
        <v>-3304567.65</v>
      </c>
      <c r="M1044" s="31">
        <v>-2237518.2599999998</v>
      </c>
      <c r="O1044" s="31">
        <v>-1067049.3899999999</v>
      </c>
      <c r="Q1044">
        <v>-47.7</v>
      </c>
    </row>
    <row r="1045" spans="3:17">
      <c r="C1045">
        <v>5360</v>
      </c>
      <c r="E1045" t="s">
        <v>5691</v>
      </c>
      <c r="H1045" t="s">
        <v>5692</v>
      </c>
      <c r="K1045" s="418">
        <v>7473660.4800000004</v>
      </c>
      <c r="M1045" s="31">
        <v>5663082.9500000002</v>
      </c>
      <c r="O1045" s="31">
        <v>1810577.53</v>
      </c>
      <c r="Q1045">
        <v>32</v>
      </c>
    </row>
    <row r="1046" spans="3:17">
      <c r="C1046">
        <v>5360</v>
      </c>
      <c r="E1046" t="s">
        <v>5693</v>
      </c>
      <c r="H1046" t="s">
        <v>5315</v>
      </c>
      <c r="K1046" s="418">
        <v>1296639.76</v>
      </c>
      <c r="M1046" s="31">
        <v>1109911.6100000001</v>
      </c>
      <c r="O1046" s="31">
        <v>186728.15</v>
      </c>
      <c r="Q1046">
        <v>16.8</v>
      </c>
    </row>
    <row r="1047" spans="3:17">
      <c r="C1047">
        <v>5360</v>
      </c>
      <c r="E1047" t="s">
        <v>5694</v>
      </c>
      <c r="H1047" t="s">
        <v>5695</v>
      </c>
      <c r="K1047" s="418">
        <v>-1831792.44</v>
      </c>
      <c r="M1047" s="31">
        <v>-1500563.32</v>
      </c>
      <c r="O1047" s="31">
        <v>-331229.12</v>
      </c>
      <c r="Q1047">
        <v>-22.1</v>
      </c>
    </row>
    <row r="1048" spans="3:17">
      <c r="C1048">
        <v>5360</v>
      </c>
      <c r="E1048" t="s">
        <v>5696</v>
      </c>
      <c r="H1048" t="s">
        <v>5317</v>
      </c>
      <c r="K1048" s="418">
        <v>1428479.25</v>
      </c>
      <c r="M1048" s="31">
        <v>1043890.62</v>
      </c>
      <c r="O1048" s="31">
        <v>384588.63</v>
      </c>
      <c r="Q1048">
        <v>36.799999999999997</v>
      </c>
    </row>
    <row r="1049" spans="3:17">
      <c r="C1049">
        <v>5360</v>
      </c>
      <c r="E1049" t="s">
        <v>5697</v>
      </c>
      <c r="H1049" t="s">
        <v>5319</v>
      </c>
      <c r="K1049" s="418">
        <v>16435905.26</v>
      </c>
      <c r="M1049" s="31">
        <v>14661524.699999999</v>
      </c>
      <c r="O1049" s="31">
        <v>1774380.56</v>
      </c>
      <c r="Q1049">
        <v>12.1</v>
      </c>
    </row>
    <row r="1050" spans="3:17">
      <c r="C1050">
        <v>5360</v>
      </c>
      <c r="E1050" t="s">
        <v>5698</v>
      </c>
      <c r="H1050" t="s">
        <v>5699</v>
      </c>
      <c r="K1050" s="418">
        <v>-15667109.109999999</v>
      </c>
      <c r="M1050" s="31">
        <v>-13982235.09</v>
      </c>
      <c r="O1050" s="31">
        <v>-1684874.02</v>
      </c>
      <c r="Q1050">
        <v>-12.1</v>
      </c>
    </row>
    <row r="1051" spans="3:17">
      <c r="C1051">
        <v>5360</v>
      </c>
      <c r="E1051" t="s">
        <v>5700</v>
      </c>
      <c r="H1051" t="s">
        <v>5701</v>
      </c>
      <c r="K1051" s="417">
        <v>209.92</v>
      </c>
      <c r="M1051">
        <v>195.8</v>
      </c>
      <c r="O1051">
        <v>14.12</v>
      </c>
      <c r="Q1051">
        <v>7.2</v>
      </c>
    </row>
    <row r="1052" spans="3:17">
      <c r="C1052">
        <v>5360</v>
      </c>
      <c r="E1052" t="s">
        <v>5702</v>
      </c>
      <c r="H1052" t="s">
        <v>5321</v>
      </c>
      <c r="K1052" s="418">
        <v>845784.7</v>
      </c>
      <c r="M1052" s="31">
        <v>555947.4</v>
      </c>
      <c r="O1052" s="31">
        <v>289837.3</v>
      </c>
      <c r="Q1052">
        <v>52.1</v>
      </c>
    </row>
    <row r="1053" spans="3:17">
      <c r="C1053">
        <v>5360</v>
      </c>
      <c r="E1053" t="s">
        <v>5703</v>
      </c>
      <c r="H1053" t="s">
        <v>5704</v>
      </c>
      <c r="K1053" s="418">
        <v>-696131.37</v>
      </c>
      <c r="M1053" s="31">
        <v>-483330.54</v>
      </c>
      <c r="O1053" s="31">
        <v>-212800.83</v>
      </c>
      <c r="Q1053">
        <v>-44</v>
      </c>
    </row>
    <row r="1054" spans="3:17">
      <c r="C1054">
        <v>5360</v>
      </c>
      <c r="E1054" t="s">
        <v>5705</v>
      </c>
      <c r="H1054" t="s">
        <v>5706</v>
      </c>
      <c r="K1054" s="417">
        <v>207.48</v>
      </c>
      <c r="M1054" s="31">
        <v>-1108.96</v>
      </c>
      <c r="O1054" s="31">
        <v>1316.44</v>
      </c>
      <c r="Q1054">
        <v>118.7</v>
      </c>
    </row>
    <row r="1055" spans="3:17">
      <c r="C1055">
        <v>5360</v>
      </c>
      <c r="E1055" t="s">
        <v>5707</v>
      </c>
      <c r="H1055" t="s">
        <v>5323</v>
      </c>
      <c r="K1055" s="418">
        <v>4874793.96</v>
      </c>
      <c r="M1055" s="31">
        <v>4034107.4</v>
      </c>
      <c r="O1055" s="31">
        <v>840686.56</v>
      </c>
      <c r="Q1055">
        <v>20.8</v>
      </c>
    </row>
    <row r="1056" spans="3:17">
      <c r="C1056">
        <v>5360</v>
      </c>
      <c r="E1056" t="s">
        <v>5708</v>
      </c>
      <c r="H1056" t="s">
        <v>5709</v>
      </c>
      <c r="K1056" s="418">
        <v>-5769435.0599999996</v>
      </c>
      <c r="M1056" s="31">
        <v>-4104370.16</v>
      </c>
      <c r="O1056" s="31">
        <v>-1665064.9</v>
      </c>
      <c r="Q1056">
        <v>-40.6</v>
      </c>
    </row>
    <row r="1057" spans="3:17">
      <c r="C1057">
        <v>5360</v>
      </c>
      <c r="E1057" t="s">
        <v>5710</v>
      </c>
      <c r="H1057" t="s">
        <v>5325</v>
      </c>
      <c r="K1057" s="418">
        <v>8388000.5199999996</v>
      </c>
      <c r="M1057" s="31">
        <v>6519718.7699999996</v>
      </c>
      <c r="O1057" s="31">
        <v>1868281.75</v>
      </c>
      <c r="Q1057">
        <v>28.7</v>
      </c>
    </row>
    <row r="1058" spans="3:17">
      <c r="C1058">
        <v>5360</v>
      </c>
      <c r="E1058" t="s">
        <v>5711</v>
      </c>
      <c r="H1058" t="s">
        <v>5327</v>
      </c>
      <c r="K1058" s="418">
        <v>219809.11</v>
      </c>
      <c r="M1058" s="31">
        <v>153727.97</v>
      </c>
      <c r="O1058" s="31">
        <v>66081.14</v>
      </c>
      <c r="Q1058">
        <v>43</v>
      </c>
    </row>
    <row r="1059" spans="3:17">
      <c r="C1059">
        <v>5360</v>
      </c>
      <c r="E1059" t="s">
        <v>5712</v>
      </c>
      <c r="H1059" t="s">
        <v>5713</v>
      </c>
      <c r="K1059" s="418">
        <v>-37009.32</v>
      </c>
      <c r="M1059" s="31">
        <v>-23796.400000000001</v>
      </c>
      <c r="O1059" s="31">
        <v>-13212.92</v>
      </c>
      <c r="Q1059">
        <v>-55.5</v>
      </c>
    </row>
    <row r="1060" spans="3:17">
      <c r="C1060">
        <v>5360</v>
      </c>
      <c r="E1060" t="s">
        <v>5714</v>
      </c>
      <c r="H1060" t="s">
        <v>5715</v>
      </c>
      <c r="K1060" s="418">
        <v>317705.25</v>
      </c>
      <c r="M1060" s="31">
        <v>214799.13</v>
      </c>
      <c r="O1060" s="31">
        <v>102906.12</v>
      </c>
      <c r="Q1060">
        <v>47.9</v>
      </c>
    </row>
    <row r="1061" spans="3:17">
      <c r="C1061">
        <v>5360</v>
      </c>
      <c r="E1061" t="s">
        <v>5716</v>
      </c>
      <c r="H1061" t="s">
        <v>5717</v>
      </c>
      <c r="K1061" s="418">
        <v>11763159.34</v>
      </c>
      <c r="M1061" s="31">
        <v>6101035.0599999996</v>
      </c>
      <c r="O1061" s="31">
        <v>5662124.2800000003</v>
      </c>
      <c r="Q1061">
        <v>92.8</v>
      </c>
    </row>
    <row r="1062" spans="3:17">
      <c r="C1062">
        <v>5360</v>
      </c>
      <c r="E1062" t="s">
        <v>5718</v>
      </c>
      <c r="H1062" t="s">
        <v>5719</v>
      </c>
      <c r="K1062" s="418">
        <v>-335162.67</v>
      </c>
      <c r="M1062" s="31">
        <v>-68078.97</v>
      </c>
      <c r="O1062" s="31">
        <v>-267083.7</v>
      </c>
      <c r="Q1062">
        <v>-392.3</v>
      </c>
    </row>
    <row r="1063" spans="3:17">
      <c r="C1063">
        <v>5360</v>
      </c>
      <c r="E1063" t="s">
        <v>5720</v>
      </c>
      <c r="H1063" t="s">
        <v>5721</v>
      </c>
      <c r="K1063" s="418">
        <v>58703.81</v>
      </c>
      <c r="M1063" s="31">
        <v>25927.5</v>
      </c>
      <c r="O1063" s="31">
        <v>32776.31</v>
      </c>
      <c r="Q1063">
        <v>126.4</v>
      </c>
    </row>
    <row r="1064" spans="3:17">
      <c r="C1064">
        <v>5360</v>
      </c>
      <c r="E1064" t="s">
        <v>5722</v>
      </c>
      <c r="H1064" t="s">
        <v>5723</v>
      </c>
      <c r="K1064" s="418">
        <v>331391.67</v>
      </c>
      <c r="M1064" s="31">
        <v>161381.28</v>
      </c>
      <c r="O1064" s="31">
        <v>170010.39</v>
      </c>
      <c r="Q1064">
        <v>105.3</v>
      </c>
    </row>
    <row r="1065" spans="3:17">
      <c r="C1065">
        <v>5360</v>
      </c>
      <c r="E1065" t="s">
        <v>5724</v>
      </c>
      <c r="H1065" t="s">
        <v>5335</v>
      </c>
      <c r="K1065" s="418">
        <v>3609420.45</v>
      </c>
      <c r="M1065" s="31">
        <v>2732212.93</v>
      </c>
      <c r="O1065" s="31">
        <v>877207.52</v>
      </c>
      <c r="Q1065">
        <v>32.1</v>
      </c>
    </row>
    <row r="1066" spans="3:17">
      <c r="C1066">
        <v>5360</v>
      </c>
      <c r="E1066" t="s">
        <v>5725</v>
      </c>
      <c r="H1066" t="s">
        <v>5726</v>
      </c>
      <c r="K1066" s="418">
        <v>-3628450.2</v>
      </c>
      <c r="M1066" s="31">
        <v>-2746542.66</v>
      </c>
      <c r="O1066" s="31">
        <v>-881907.54</v>
      </c>
      <c r="Q1066">
        <v>-32.1</v>
      </c>
    </row>
    <row r="1067" spans="3:17">
      <c r="C1067">
        <v>5360</v>
      </c>
      <c r="E1067" t="s">
        <v>5727</v>
      </c>
      <c r="H1067" t="s">
        <v>5337</v>
      </c>
      <c r="K1067" s="418">
        <v>842127</v>
      </c>
      <c r="M1067" s="31">
        <v>649009.52</v>
      </c>
      <c r="O1067" s="31">
        <v>193117.48</v>
      </c>
      <c r="Q1067">
        <v>29.8</v>
      </c>
    </row>
    <row r="1068" spans="3:17">
      <c r="C1068">
        <v>5360</v>
      </c>
      <c r="E1068" t="s">
        <v>5728</v>
      </c>
      <c r="H1068" t="s">
        <v>5729</v>
      </c>
      <c r="K1068" s="418">
        <v>205345.91</v>
      </c>
      <c r="M1068" s="31">
        <v>98344.88</v>
      </c>
      <c r="O1068" s="31">
        <v>107001.03</v>
      </c>
      <c r="Q1068">
        <v>108.8</v>
      </c>
    </row>
    <row r="1069" spans="3:17">
      <c r="C1069">
        <v>5360</v>
      </c>
      <c r="E1069" t="s">
        <v>5730</v>
      </c>
      <c r="H1069" t="s">
        <v>5731</v>
      </c>
      <c r="K1069" s="418">
        <v>556360.46</v>
      </c>
      <c r="M1069" s="31">
        <v>410144.22</v>
      </c>
      <c r="O1069" s="31">
        <v>146216.24</v>
      </c>
      <c r="Q1069">
        <v>35.6</v>
      </c>
    </row>
    <row r="1070" spans="3:17">
      <c r="C1070">
        <v>5360</v>
      </c>
      <c r="E1070" t="s">
        <v>5732</v>
      </c>
      <c r="H1070" t="s">
        <v>5733</v>
      </c>
      <c r="K1070" s="418">
        <v>37996.97</v>
      </c>
      <c r="M1070" s="31">
        <v>30576.01</v>
      </c>
      <c r="O1070" s="31">
        <v>7420.96</v>
      </c>
      <c r="Q1070">
        <v>24.3</v>
      </c>
    </row>
    <row r="1071" spans="3:17">
      <c r="C1071">
        <v>5360</v>
      </c>
      <c r="E1071" t="s">
        <v>5734</v>
      </c>
      <c r="H1071" t="s">
        <v>5735</v>
      </c>
      <c r="K1071" s="418">
        <v>-32143.15</v>
      </c>
      <c r="M1071" s="31">
        <v>-30167.57</v>
      </c>
      <c r="O1071" s="31">
        <v>-1975.58</v>
      </c>
      <c r="Q1071">
        <v>-6.5</v>
      </c>
    </row>
    <row r="1072" spans="3:17">
      <c r="C1072">
        <v>5360</v>
      </c>
      <c r="E1072" t="s">
        <v>5736</v>
      </c>
      <c r="H1072" t="s">
        <v>5737</v>
      </c>
      <c r="K1072" s="418">
        <v>38934.400000000001</v>
      </c>
      <c r="M1072" s="31">
        <v>23403.360000000001</v>
      </c>
      <c r="O1072" s="31">
        <v>15531.04</v>
      </c>
      <c r="Q1072">
        <v>66.400000000000006</v>
      </c>
    </row>
    <row r="1073" spans="3:17">
      <c r="C1073">
        <v>5360</v>
      </c>
      <c r="E1073" t="s">
        <v>5738</v>
      </c>
      <c r="H1073" t="s">
        <v>5739</v>
      </c>
      <c r="K1073" s="418">
        <v>13830.49</v>
      </c>
      <c r="M1073" s="31">
        <v>3334.9</v>
      </c>
      <c r="O1073" s="31">
        <v>10495.59</v>
      </c>
      <c r="Q1073">
        <v>314.7</v>
      </c>
    </row>
    <row r="1074" spans="3:17">
      <c r="C1074">
        <v>5360</v>
      </c>
      <c r="E1074" t="s">
        <v>5740</v>
      </c>
      <c r="H1074" t="s">
        <v>5741</v>
      </c>
      <c r="K1074" s="418">
        <v>180380.63</v>
      </c>
      <c r="M1074" s="31">
        <v>180380.63</v>
      </c>
      <c r="O1074">
        <v>0</v>
      </c>
    </row>
    <row r="1075" spans="3:17">
      <c r="C1075">
        <v>5360</v>
      </c>
      <c r="E1075" t="s">
        <v>5742</v>
      </c>
      <c r="H1075" t="s">
        <v>5743</v>
      </c>
      <c r="K1075" s="418">
        <v>202371.75</v>
      </c>
      <c r="M1075" s="31">
        <v>151503</v>
      </c>
      <c r="O1075" s="31">
        <v>50868.75</v>
      </c>
      <c r="Q1075">
        <v>33.6</v>
      </c>
    </row>
    <row r="1076" spans="3:17">
      <c r="C1076">
        <v>5360</v>
      </c>
      <c r="E1076" t="s">
        <v>5744</v>
      </c>
      <c r="H1076" t="s">
        <v>5745</v>
      </c>
      <c r="K1076" s="418">
        <v>-77301.47</v>
      </c>
      <c r="M1076" s="31">
        <v>-48661.48</v>
      </c>
      <c r="O1076" s="31">
        <v>-28639.99</v>
      </c>
      <c r="Q1076">
        <v>-58.9</v>
      </c>
    </row>
    <row r="1077" spans="3:17">
      <c r="C1077">
        <v>5360</v>
      </c>
      <c r="E1077" t="s">
        <v>5746</v>
      </c>
      <c r="H1077" t="s">
        <v>5747</v>
      </c>
      <c r="K1077" s="418">
        <v>-14745.49</v>
      </c>
      <c r="M1077" s="31">
        <v>-13339.44</v>
      </c>
      <c r="O1077" s="31">
        <v>-1406.05</v>
      </c>
      <c r="Q1077">
        <v>-10.5</v>
      </c>
    </row>
    <row r="1078" spans="3:17">
      <c r="C1078">
        <v>5360</v>
      </c>
      <c r="E1078" t="s">
        <v>5748</v>
      </c>
      <c r="H1078" t="s">
        <v>5749</v>
      </c>
      <c r="K1078" s="418">
        <v>4396269.4000000004</v>
      </c>
      <c r="M1078" s="31">
        <v>3325223.61</v>
      </c>
      <c r="O1078" s="31">
        <v>1071045.79</v>
      </c>
      <c r="Q1078">
        <v>32.200000000000003</v>
      </c>
    </row>
    <row r="1079" spans="3:17">
      <c r="C1079">
        <v>5360</v>
      </c>
      <c r="E1079" t="s">
        <v>5750</v>
      </c>
      <c r="H1079" t="s">
        <v>5751</v>
      </c>
      <c r="K1079" s="418">
        <v>-8096.65</v>
      </c>
      <c r="M1079">
        <v>0</v>
      </c>
      <c r="O1079" s="31">
        <v>-8096.65</v>
      </c>
    </row>
    <row r="1080" spans="3:17">
      <c r="C1080">
        <v>5360</v>
      </c>
      <c r="E1080" t="s">
        <v>5752</v>
      </c>
      <c r="H1080" t="s">
        <v>5753</v>
      </c>
      <c r="K1080" s="418">
        <v>13349.55</v>
      </c>
      <c r="M1080" s="31">
        <v>4334.3999999999996</v>
      </c>
      <c r="O1080" s="31">
        <v>9015.15</v>
      </c>
      <c r="Q1080">
        <v>208</v>
      </c>
    </row>
    <row r="1081" spans="3:17">
      <c r="C1081">
        <v>5360</v>
      </c>
      <c r="E1081" t="s">
        <v>1149</v>
      </c>
      <c r="H1081" t="s">
        <v>5339</v>
      </c>
      <c r="K1081" s="418">
        <v>723737.26</v>
      </c>
      <c r="M1081" s="31">
        <v>670465.68000000005</v>
      </c>
      <c r="O1081" s="31">
        <v>53271.58</v>
      </c>
      <c r="Q1081">
        <v>7.9</v>
      </c>
    </row>
    <row r="1082" spans="3:17">
      <c r="C1082">
        <v>5360</v>
      </c>
      <c r="E1082" t="s">
        <v>5754</v>
      </c>
      <c r="H1082" t="s">
        <v>5755</v>
      </c>
      <c r="K1082" s="418">
        <v>28577.59</v>
      </c>
      <c r="M1082" s="31">
        <v>-76314.880000000005</v>
      </c>
      <c r="O1082" s="31">
        <v>104892.47</v>
      </c>
      <c r="Q1082">
        <v>137.4</v>
      </c>
    </row>
    <row r="1083" spans="3:17">
      <c r="C1083">
        <v>5360</v>
      </c>
      <c r="E1083" t="s">
        <v>5756</v>
      </c>
      <c r="H1083" t="s">
        <v>5757</v>
      </c>
      <c r="K1083" s="418">
        <v>12315.44</v>
      </c>
      <c r="M1083" s="31">
        <v>4827.1099999999997</v>
      </c>
      <c r="O1083" s="31">
        <v>7488.33</v>
      </c>
      <c r="Q1083">
        <v>155.1</v>
      </c>
    </row>
    <row r="1084" spans="3:17">
      <c r="C1084">
        <v>5360</v>
      </c>
      <c r="E1084" t="s">
        <v>5758</v>
      </c>
      <c r="H1084" t="s">
        <v>5341</v>
      </c>
      <c r="K1084" s="418">
        <v>324404.82</v>
      </c>
      <c r="M1084" s="31">
        <v>381059.74</v>
      </c>
      <c r="O1084" s="31">
        <v>-56654.92</v>
      </c>
      <c r="Q1084">
        <v>-14.9</v>
      </c>
    </row>
    <row r="1085" spans="3:17">
      <c r="C1085">
        <v>5360</v>
      </c>
      <c r="E1085" t="s">
        <v>5759</v>
      </c>
      <c r="H1085" t="s">
        <v>5343</v>
      </c>
      <c r="K1085" s="418">
        <v>-209655.23</v>
      </c>
      <c r="M1085" s="31">
        <v>-162492.18</v>
      </c>
      <c r="O1085" s="31">
        <v>-47163.05</v>
      </c>
      <c r="Q1085">
        <v>-29</v>
      </c>
    </row>
    <row r="1086" spans="3:17">
      <c r="C1086">
        <v>5360</v>
      </c>
      <c r="E1086" t="s">
        <v>5760</v>
      </c>
      <c r="H1086" t="s">
        <v>5343</v>
      </c>
      <c r="K1086" s="418">
        <v>201876.28</v>
      </c>
      <c r="M1086" s="31">
        <v>153469.70000000001</v>
      </c>
      <c r="O1086" s="31">
        <v>48406.58</v>
      </c>
      <c r="Q1086">
        <v>31.5</v>
      </c>
    </row>
    <row r="1087" spans="3:17">
      <c r="C1087">
        <v>5360</v>
      </c>
      <c r="E1087" t="s">
        <v>5761</v>
      </c>
      <c r="H1087" t="s">
        <v>5343</v>
      </c>
      <c r="K1087" s="418">
        <v>1864.16</v>
      </c>
      <c r="M1087" s="31">
        <v>1275.43</v>
      </c>
      <c r="O1087">
        <v>588.73</v>
      </c>
      <c r="Q1087">
        <v>46.2</v>
      </c>
    </row>
    <row r="1088" spans="3:17">
      <c r="C1088">
        <v>5360</v>
      </c>
      <c r="E1088" t="s">
        <v>5762</v>
      </c>
      <c r="H1088" t="s">
        <v>5343</v>
      </c>
      <c r="K1088" s="418">
        <v>-25544.28</v>
      </c>
      <c r="M1088" s="31">
        <v>-11614.16</v>
      </c>
      <c r="O1088" s="31">
        <v>-13930.12</v>
      </c>
      <c r="Q1088">
        <v>-119.9</v>
      </c>
    </row>
    <row r="1089" spans="3:17">
      <c r="C1089">
        <v>5360</v>
      </c>
      <c r="E1089" t="s">
        <v>5763</v>
      </c>
      <c r="H1089" t="s">
        <v>5764</v>
      </c>
      <c r="K1089" s="418">
        <v>285174.77</v>
      </c>
      <c r="M1089" s="31">
        <v>200810.92</v>
      </c>
      <c r="O1089" s="31">
        <v>84363.85</v>
      </c>
      <c r="Q1089">
        <v>42</v>
      </c>
    </row>
    <row r="1090" spans="3:17">
      <c r="C1090">
        <v>5360</v>
      </c>
      <c r="E1090" t="s">
        <v>5765</v>
      </c>
      <c r="H1090" t="s">
        <v>5766</v>
      </c>
      <c r="K1090" s="418">
        <v>23349.48</v>
      </c>
      <c r="M1090" s="31">
        <v>18940.79</v>
      </c>
      <c r="O1090" s="31">
        <v>4408.6899999999996</v>
      </c>
      <c r="Q1090">
        <v>23.3</v>
      </c>
    </row>
    <row r="1091" spans="3:17">
      <c r="C1091">
        <v>5360</v>
      </c>
      <c r="E1091" t="s">
        <v>5767</v>
      </c>
      <c r="H1091" t="s">
        <v>5768</v>
      </c>
      <c r="K1091" s="418">
        <v>-18509.490000000002</v>
      </c>
      <c r="M1091" s="31">
        <v>-16208.53</v>
      </c>
      <c r="O1091" s="31">
        <v>-2300.96</v>
      </c>
      <c r="Q1091">
        <v>-14.2</v>
      </c>
    </row>
    <row r="1092" spans="3:17">
      <c r="C1092">
        <v>5360</v>
      </c>
      <c r="E1092" t="s">
        <v>5769</v>
      </c>
      <c r="H1092" t="s">
        <v>5770</v>
      </c>
      <c r="K1092" s="418">
        <v>266553.07</v>
      </c>
      <c r="M1092" s="31">
        <v>172098.43</v>
      </c>
      <c r="O1092" s="31">
        <v>94454.64</v>
      </c>
      <c r="Q1092">
        <v>54.9</v>
      </c>
    </row>
    <row r="1093" spans="3:17">
      <c r="C1093">
        <v>5360</v>
      </c>
      <c r="E1093" t="s">
        <v>5771</v>
      </c>
      <c r="H1093" t="s">
        <v>5772</v>
      </c>
      <c r="K1093" s="418">
        <v>54712.76</v>
      </c>
      <c r="M1093" s="31">
        <v>54712.76</v>
      </c>
      <c r="O1093">
        <v>0</v>
      </c>
    </row>
    <row r="1094" spans="3:17">
      <c r="C1094">
        <v>5360</v>
      </c>
      <c r="E1094" t="s">
        <v>5773</v>
      </c>
      <c r="H1094" t="s">
        <v>5774</v>
      </c>
      <c r="K1094" s="418">
        <v>-4745.32</v>
      </c>
      <c r="M1094" s="31">
        <v>-4743.76</v>
      </c>
      <c r="O1094">
        <v>-1.56</v>
      </c>
    </row>
    <row r="1095" spans="3:17">
      <c r="C1095">
        <v>5360</v>
      </c>
      <c r="E1095" t="s">
        <v>5775</v>
      </c>
      <c r="H1095" t="s">
        <v>5776</v>
      </c>
      <c r="K1095" s="418">
        <v>902129.22</v>
      </c>
      <c r="M1095" s="31">
        <v>680588.72</v>
      </c>
      <c r="O1095" s="31">
        <v>221540.5</v>
      </c>
      <c r="Q1095">
        <v>32.6</v>
      </c>
    </row>
    <row r="1096" spans="3:17">
      <c r="C1096">
        <v>5360</v>
      </c>
      <c r="E1096" t="s">
        <v>5777</v>
      </c>
      <c r="H1096" t="s">
        <v>5778</v>
      </c>
      <c r="K1096" s="418">
        <v>48823.93</v>
      </c>
      <c r="M1096" s="31">
        <v>41517.83</v>
      </c>
      <c r="O1096" s="31">
        <v>7306.1</v>
      </c>
      <c r="Q1096">
        <v>17.600000000000001</v>
      </c>
    </row>
    <row r="1097" spans="3:17">
      <c r="C1097">
        <v>5360</v>
      </c>
      <c r="E1097" t="s">
        <v>5779</v>
      </c>
      <c r="H1097" t="s">
        <v>5780</v>
      </c>
      <c r="K1097" s="418">
        <v>-44145.05</v>
      </c>
      <c r="M1097" s="31">
        <v>-43956.41</v>
      </c>
      <c r="O1097">
        <v>-188.64</v>
      </c>
      <c r="Q1097">
        <v>-0.4</v>
      </c>
    </row>
    <row r="1098" spans="3:17">
      <c r="C1098">
        <v>5360</v>
      </c>
      <c r="E1098" t="s">
        <v>5781</v>
      </c>
      <c r="H1098" t="s">
        <v>5782</v>
      </c>
      <c r="K1098" s="418">
        <v>46902.38</v>
      </c>
      <c r="M1098" s="31">
        <v>44982.39</v>
      </c>
      <c r="O1098" s="31">
        <v>1919.99</v>
      </c>
      <c r="Q1098">
        <v>4.3</v>
      </c>
    </row>
    <row r="1099" spans="3:17">
      <c r="C1099">
        <v>5360</v>
      </c>
      <c r="E1099" t="s">
        <v>5783</v>
      </c>
      <c r="H1099" t="s">
        <v>5784</v>
      </c>
      <c r="K1099" s="417">
        <v>513.4</v>
      </c>
      <c r="M1099">
        <v>0</v>
      </c>
      <c r="O1099">
        <v>513.4</v>
      </c>
    </row>
    <row r="1100" spans="3:17">
      <c r="C1100">
        <v>5360</v>
      </c>
      <c r="E1100" t="s">
        <v>5785</v>
      </c>
      <c r="H1100" t="s">
        <v>5786</v>
      </c>
      <c r="K1100" s="418">
        <v>-59382.6</v>
      </c>
      <c r="M1100">
        <v>0</v>
      </c>
      <c r="O1100" s="31">
        <v>-59382.6</v>
      </c>
    </row>
    <row r="1101" spans="3:17">
      <c r="C1101">
        <v>5360</v>
      </c>
      <c r="E1101" t="s">
        <v>5787</v>
      </c>
      <c r="H1101" t="s">
        <v>5788</v>
      </c>
      <c r="K1101" s="418">
        <v>90780.38</v>
      </c>
      <c r="M1101" s="31">
        <v>55060.22</v>
      </c>
      <c r="O1101" s="31">
        <v>35720.160000000003</v>
      </c>
      <c r="Q1101">
        <v>64.900000000000006</v>
      </c>
    </row>
    <row r="1102" spans="3:17">
      <c r="C1102">
        <v>5360</v>
      </c>
      <c r="E1102" t="s">
        <v>5789</v>
      </c>
      <c r="H1102" t="s">
        <v>5790</v>
      </c>
      <c r="K1102" s="418">
        <v>148075.82</v>
      </c>
      <c r="M1102" s="31">
        <v>96294.88</v>
      </c>
      <c r="O1102" s="31">
        <v>51780.94</v>
      </c>
      <c r="Q1102">
        <v>53.8</v>
      </c>
    </row>
    <row r="1103" spans="3:17">
      <c r="C1103">
        <v>5360</v>
      </c>
      <c r="E1103" t="s">
        <v>5791</v>
      </c>
      <c r="H1103" t="s">
        <v>5792</v>
      </c>
      <c r="K1103" s="418">
        <v>9853.75</v>
      </c>
      <c r="M1103">
        <v>200</v>
      </c>
      <c r="O1103" s="31">
        <v>9653.75</v>
      </c>
      <c r="Q1103">
        <v>4826.8999999999996</v>
      </c>
    </row>
    <row r="1104" spans="3:17">
      <c r="C1104">
        <v>5360</v>
      </c>
      <c r="E1104" t="s">
        <v>5793</v>
      </c>
      <c r="H1104" t="s">
        <v>5794</v>
      </c>
      <c r="K1104" s="418">
        <v>-1697.6</v>
      </c>
      <c r="M1104">
        <v>-200</v>
      </c>
      <c r="O1104" s="31">
        <v>-1497.6</v>
      </c>
      <c r="Q1104">
        <v>-748.8</v>
      </c>
    </row>
    <row r="1105" spans="3:17">
      <c r="C1105">
        <v>5360</v>
      </c>
      <c r="E1105" t="s">
        <v>5795</v>
      </c>
      <c r="H1105" t="s">
        <v>5796</v>
      </c>
      <c r="K1105" s="418">
        <v>698008.89</v>
      </c>
      <c r="M1105" s="31">
        <v>554294.89</v>
      </c>
      <c r="O1105" s="31">
        <v>143714</v>
      </c>
      <c r="Q1105">
        <v>25.9</v>
      </c>
    </row>
    <row r="1106" spans="3:17">
      <c r="C1106">
        <v>5360</v>
      </c>
      <c r="E1106" t="s">
        <v>5797</v>
      </c>
      <c r="H1106" t="s">
        <v>5345</v>
      </c>
      <c r="K1106" s="418">
        <v>550589.65</v>
      </c>
      <c r="M1106" s="31">
        <v>533894.07999999996</v>
      </c>
      <c r="O1106" s="31">
        <v>16695.57</v>
      </c>
      <c r="Q1106">
        <v>3.1</v>
      </c>
    </row>
    <row r="1107" spans="3:17">
      <c r="C1107">
        <v>5360</v>
      </c>
      <c r="E1107" t="s">
        <v>5798</v>
      </c>
      <c r="H1107" t="s">
        <v>5799</v>
      </c>
      <c r="K1107" s="418">
        <v>-471423.87</v>
      </c>
      <c r="M1107" s="31">
        <v>-468973.67</v>
      </c>
      <c r="O1107" s="31">
        <v>-2450.1999999999998</v>
      </c>
      <c r="Q1107">
        <v>-0.5</v>
      </c>
    </row>
    <row r="1108" spans="3:17">
      <c r="C1108">
        <v>5360</v>
      </c>
      <c r="E1108" t="s">
        <v>5800</v>
      </c>
      <c r="H1108" t="s">
        <v>5801</v>
      </c>
      <c r="K1108" s="417">
        <v>-390</v>
      </c>
      <c r="M1108">
        <v>-390</v>
      </c>
      <c r="O1108">
        <v>0</v>
      </c>
    </row>
    <row r="1109" spans="3:17">
      <c r="C1109">
        <v>5360</v>
      </c>
      <c r="E1109" t="s">
        <v>5802</v>
      </c>
      <c r="H1109" t="s">
        <v>5803</v>
      </c>
      <c r="K1109" s="418">
        <v>2417.33</v>
      </c>
      <c r="M1109">
        <v>516.12</v>
      </c>
      <c r="O1109" s="31">
        <v>1901.21</v>
      </c>
      <c r="Q1109">
        <v>368.4</v>
      </c>
    </row>
    <row r="1110" spans="3:17">
      <c r="C1110">
        <v>5360</v>
      </c>
      <c r="E1110" t="s">
        <v>5804</v>
      </c>
      <c r="H1110" t="s">
        <v>5805</v>
      </c>
      <c r="K1110" s="418">
        <v>274793.55</v>
      </c>
      <c r="M1110" s="31">
        <v>256772.89</v>
      </c>
      <c r="O1110" s="31">
        <v>18020.66</v>
      </c>
      <c r="Q1110">
        <v>7</v>
      </c>
    </row>
    <row r="1111" spans="3:17">
      <c r="C1111">
        <v>5360</v>
      </c>
      <c r="E1111" t="s">
        <v>5806</v>
      </c>
      <c r="H1111" t="s">
        <v>5807</v>
      </c>
      <c r="K1111" s="418">
        <v>1690.14</v>
      </c>
      <c r="M1111">
        <v>69</v>
      </c>
      <c r="O1111" s="31">
        <v>1621.14</v>
      </c>
      <c r="Q1111">
        <v>2349.5</v>
      </c>
    </row>
    <row r="1112" spans="3:17">
      <c r="C1112">
        <v>5360</v>
      </c>
      <c r="E1112" t="s">
        <v>5808</v>
      </c>
      <c r="H1112" t="s">
        <v>5809</v>
      </c>
      <c r="K1112" s="418">
        <v>35922.43</v>
      </c>
      <c r="M1112">
        <v>-746.55</v>
      </c>
      <c r="O1112" s="31">
        <v>36668.980000000003</v>
      </c>
      <c r="Q1112">
        <v>4911.8</v>
      </c>
    </row>
    <row r="1113" spans="3:17">
      <c r="C1113">
        <v>5360</v>
      </c>
      <c r="E1113" t="s">
        <v>5810</v>
      </c>
      <c r="H1113" t="s">
        <v>5811</v>
      </c>
      <c r="K1113" s="418">
        <v>-44877.77</v>
      </c>
      <c r="M1113" s="31">
        <v>-5617.07</v>
      </c>
      <c r="O1113" s="31">
        <v>-39260.699999999997</v>
      </c>
      <c r="Q1113">
        <v>-699</v>
      </c>
    </row>
    <row r="1114" spans="3:17">
      <c r="C1114">
        <v>5360</v>
      </c>
      <c r="E1114" t="s">
        <v>5812</v>
      </c>
      <c r="H1114" t="s">
        <v>5813</v>
      </c>
      <c r="K1114" s="418">
        <v>-3050</v>
      </c>
      <c r="M1114">
        <v>0</v>
      </c>
      <c r="O1114" s="31">
        <v>-3050</v>
      </c>
    </row>
    <row r="1115" spans="3:17">
      <c r="C1115">
        <v>5360</v>
      </c>
      <c r="E1115" t="s">
        <v>5814</v>
      </c>
      <c r="H1115" t="s">
        <v>5815</v>
      </c>
      <c r="K1115" s="418">
        <v>9372.66</v>
      </c>
      <c r="M1115">
        <v>727.42</v>
      </c>
      <c r="O1115" s="31">
        <v>8645.24</v>
      </c>
      <c r="Q1115">
        <v>1188.5</v>
      </c>
    </row>
    <row r="1116" spans="3:17">
      <c r="C1116">
        <v>5360</v>
      </c>
      <c r="E1116" t="s">
        <v>5816</v>
      </c>
      <c r="H1116" t="s">
        <v>5817</v>
      </c>
      <c r="K1116" s="418">
        <v>-6322.66</v>
      </c>
      <c r="M1116">
        <v>-727.42</v>
      </c>
      <c r="O1116" s="31">
        <v>-5595.24</v>
      </c>
      <c r="Q1116">
        <v>-769.2</v>
      </c>
    </row>
    <row r="1117" spans="3:17">
      <c r="C1117">
        <v>5360</v>
      </c>
      <c r="E1117" t="s">
        <v>5818</v>
      </c>
      <c r="H1117" t="s">
        <v>5819</v>
      </c>
      <c r="K1117" s="418">
        <v>274914.44</v>
      </c>
      <c r="M1117" s="31">
        <v>274914.44</v>
      </c>
      <c r="O1117">
        <v>0</v>
      </c>
    </row>
    <row r="1118" spans="3:17">
      <c r="C1118">
        <v>5360</v>
      </c>
      <c r="E1118" t="s">
        <v>5820</v>
      </c>
      <c r="H1118" t="s">
        <v>5821</v>
      </c>
      <c r="K1118" s="418">
        <v>14135.86</v>
      </c>
      <c r="M1118" s="31">
        <v>14135.86</v>
      </c>
      <c r="O1118">
        <v>0</v>
      </c>
    </row>
    <row r="1119" spans="3:17">
      <c r="C1119">
        <v>5360</v>
      </c>
      <c r="E1119" t="s">
        <v>5822</v>
      </c>
      <c r="H1119" t="s">
        <v>5823</v>
      </c>
      <c r="K1119" s="418">
        <v>40505.67</v>
      </c>
      <c r="M1119" s="31">
        <v>24067.4</v>
      </c>
      <c r="O1119" s="31">
        <v>16438.27</v>
      </c>
      <c r="Q1119">
        <v>68.3</v>
      </c>
    </row>
    <row r="1120" spans="3:17">
      <c r="C1120">
        <v>5360</v>
      </c>
      <c r="E1120" t="s">
        <v>5824</v>
      </c>
      <c r="H1120" t="s">
        <v>5825</v>
      </c>
      <c r="K1120" s="418">
        <v>-25965.11</v>
      </c>
      <c r="M1120" s="31">
        <v>-15761.49</v>
      </c>
      <c r="O1120" s="31">
        <v>-10203.620000000001</v>
      </c>
      <c r="Q1120">
        <v>-64.7</v>
      </c>
    </row>
    <row r="1121" spans="3:17">
      <c r="C1121">
        <v>5360</v>
      </c>
      <c r="E1121" t="s">
        <v>5826</v>
      </c>
      <c r="H1121" t="s">
        <v>5827</v>
      </c>
      <c r="K1121" s="418">
        <v>271305.78000000003</v>
      </c>
      <c r="M1121" s="31">
        <v>102676.56</v>
      </c>
      <c r="O1121" s="31">
        <v>168629.22</v>
      </c>
      <c r="Q1121">
        <v>164.2</v>
      </c>
    </row>
    <row r="1122" spans="3:17">
      <c r="C1122">
        <v>5360</v>
      </c>
      <c r="E1122" t="s">
        <v>5828</v>
      </c>
      <c r="H1122" t="s">
        <v>5829</v>
      </c>
      <c r="K1122" s="418">
        <v>4406583.0599999996</v>
      </c>
      <c r="M1122" s="31">
        <v>3911085.58</v>
      </c>
      <c r="O1122" s="31">
        <v>495497.48</v>
      </c>
      <c r="Q1122">
        <v>12.7</v>
      </c>
    </row>
    <row r="1123" spans="3:17">
      <c r="C1123">
        <v>5360</v>
      </c>
      <c r="E1123" t="s">
        <v>5830</v>
      </c>
      <c r="H1123" t="s">
        <v>5831</v>
      </c>
      <c r="K1123" s="417">
        <v>156.47999999999999</v>
      </c>
      <c r="M1123">
        <v>0</v>
      </c>
      <c r="O1123">
        <v>156.47999999999999</v>
      </c>
    </row>
    <row r="1124" spans="3:17">
      <c r="C1124">
        <v>5360</v>
      </c>
      <c r="E1124" t="s">
        <v>5832</v>
      </c>
      <c r="H1124" t="s">
        <v>5347</v>
      </c>
      <c r="K1124" s="418">
        <v>1804.9</v>
      </c>
      <c r="M1124" s="31">
        <v>1804.9</v>
      </c>
      <c r="O1124">
        <v>0</v>
      </c>
    </row>
    <row r="1125" spans="3:17">
      <c r="C1125">
        <v>5360</v>
      </c>
      <c r="E1125" t="s">
        <v>5833</v>
      </c>
      <c r="H1125" t="s">
        <v>5834</v>
      </c>
      <c r="K1125" s="418">
        <v>-2206.6799999999998</v>
      </c>
      <c r="M1125" s="31">
        <v>-1804.9</v>
      </c>
      <c r="O1125">
        <v>-401.78</v>
      </c>
      <c r="Q1125">
        <v>-22.3</v>
      </c>
    </row>
    <row r="1126" spans="3:17">
      <c r="C1126">
        <v>5360</v>
      </c>
      <c r="E1126" t="s">
        <v>5835</v>
      </c>
      <c r="H1126" t="s">
        <v>5836</v>
      </c>
      <c r="K1126" s="417">
        <v>401.78</v>
      </c>
      <c r="M1126">
        <v>0</v>
      </c>
      <c r="O1126">
        <v>401.78</v>
      </c>
    </row>
    <row r="1127" spans="3:17">
      <c r="C1127">
        <v>5360</v>
      </c>
      <c r="E1127" t="s">
        <v>5837</v>
      </c>
      <c r="H1127" t="s">
        <v>5838</v>
      </c>
      <c r="K1127" s="418">
        <v>-2351882.73</v>
      </c>
      <c r="M1127" s="31">
        <v>-1788208.41</v>
      </c>
      <c r="O1127" s="31">
        <v>-563674.31999999995</v>
      </c>
      <c r="Q1127">
        <v>-31.5</v>
      </c>
    </row>
    <row r="1128" spans="3:17">
      <c r="C1128">
        <v>5360</v>
      </c>
      <c r="E1128" t="s">
        <v>1786</v>
      </c>
      <c r="H1128" t="s">
        <v>5351</v>
      </c>
      <c r="K1128" s="418">
        <v>349941.43</v>
      </c>
      <c r="M1128" s="31">
        <v>362420.49</v>
      </c>
      <c r="O1128" s="31">
        <v>-12479.06</v>
      </c>
      <c r="Q1128">
        <v>-3.4</v>
      </c>
    </row>
    <row r="1129" spans="3:17">
      <c r="C1129">
        <v>5360</v>
      </c>
      <c r="E1129" t="s">
        <v>5839</v>
      </c>
      <c r="H1129" t="s">
        <v>5840</v>
      </c>
      <c r="K1129" s="418">
        <v>-193979</v>
      </c>
      <c r="M1129" s="31">
        <v>-144350.34</v>
      </c>
      <c r="O1129" s="31">
        <v>-49628.66</v>
      </c>
      <c r="Q1129">
        <v>-34.4</v>
      </c>
    </row>
    <row r="1130" spans="3:17">
      <c r="C1130">
        <v>5360</v>
      </c>
      <c r="E1130" t="s">
        <v>5841</v>
      </c>
      <c r="H1130" t="s">
        <v>5842</v>
      </c>
      <c r="K1130" s="418">
        <v>-72357.55</v>
      </c>
      <c r="M1130" s="31">
        <v>-53257.760000000002</v>
      </c>
      <c r="O1130" s="31">
        <v>-19099.79</v>
      </c>
      <c r="Q1130">
        <v>-35.9</v>
      </c>
    </row>
    <row r="1131" spans="3:17">
      <c r="C1131">
        <v>5360</v>
      </c>
      <c r="E1131" t="s">
        <v>5843</v>
      </c>
      <c r="H1131" t="s">
        <v>5844</v>
      </c>
      <c r="K1131" s="418">
        <v>295142.59000000003</v>
      </c>
      <c r="M1131" s="31">
        <v>229813.14</v>
      </c>
      <c r="O1131" s="31">
        <v>65329.45</v>
      </c>
      <c r="Q1131">
        <v>28.4</v>
      </c>
    </row>
    <row r="1132" spans="3:17">
      <c r="C1132">
        <v>5360</v>
      </c>
      <c r="E1132" t="s">
        <v>5845</v>
      </c>
      <c r="H1132" t="s">
        <v>5846</v>
      </c>
      <c r="K1132" s="417">
        <v>0</v>
      </c>
      <c r="M1132" s="31">
        <v>15000</v>
      </c>
      <c r="O1132" s="31">
        <v>-15000</v>
      </c>
      <c r="Q1132">
        <v>-100</v>
      </c>
    </row>
    <row r="1133" spans="3:17">
      <c r="C1133">
        <v>5360</v>
      </c>
      <c r="E1133" t="s">
        <v>5847</v>
      </c>
      <c r="H1133" t="s">
        <v>5355</v>
      </c>
      <c r="K1133" s="418">
        <v>9341968.3100000005</v>
      </c>
      <c r="M1133" s="31">
        <v>9905297.9800000004</v>
      </c>
      <c r="O1133" s="31">
        <v>-563329.67000000004</v>
      </c>
      <c r="Q1133">
        <v>-5.7</v>
      </c>
    </row>
    <row r="1134" spans="3:17">
      <c r="C1134">
        <v>5360</v>
      </c>
      <c r="E1134" t="s">
        <v>5848</v>
      </c>
      <c r="H1134" t="s">
        <v>5849</v>
      </c>
      <c r="K1134" s="417">
        <v>292.55</v>
      </c>
      <c r="M1134" s="31">
        <v>29238.17</v>
      </c>
      <c r="O1134" s="31">
        <v>-28945.62</v>
      </c>
      <c r="Q1134">
        <v>-99</v>
      </c>
    </row>
    <row r="1135" spans="3:17">
      <c r="C1135">
        <v>5360</v>
      </c>
      <c r="E1135" t="s">
        <v>5850</v>
      </c>
      <c r="H1135" t="s">
        <v>5851</v>
      </c>
      <c r="K1135" s="418">
        <v>1000533.45</v>
      </c>
      <c r="M1135" s="31">
        <v>610387.19999999995</v>
      </c>
      <c r="O1135" s="31">
        <v>390146.25</v>
      </c>
      <c r="Q1135">
        <v>63.9</v>
      </c>
    </row>
    <row r="1136" spans="3:17">
      <c r="C1136">
        <v>5360</v>
      </c>
      <c r="E1136" t="s">
        <v>5852</v>
      </c>
      <c r="H1136" t="s">
        <v>5853</v>
      </c>
      <c r="K1136" s="418">
        <v>-1119029.25</v>
      </c>
      <c r="M1136" s="31">
        <v>-670907.68000000005</v>
      </c>
      <c r="O1136" s="31">
        <v>-448121.57</v>
      </c>
      <c r="Q1136">
        <v>-66.8</v>
      </c>
    </row>
    <row r="1137" spans="3:17">
      <c r="C1137">
        <v>5360</v>
      </c>
      <c r="E1137" t="s">
        <v>5854</v>
      </c>
      <c r="H1137" t="s">
        <v>5855</v>
      </c>
      <c r="K1137" s="418">
        <v>-2759.5</v>
      </c>
      <c r="M1137" s="31">
        <v>-2284.5</v>
      </c>
      <c r="O1137">
        <v>-475</v>
      </c>
      <c r="Q1137">
        <v>-20.8</v>
      </c>
    </row>
    <row r="1138" spans="3:17">
      <c r="C1138">
        <v>5360</v>
      </c>
      <c r="E1138" t="s">
        <v>5856</v>
      </c>
      <c r="H1138" t="s">
        <v>5857</v>
      </c>
      <c r="K1138" s="418">
        <v>352773.79</v>
      </c>
      <c r="M1138" s="31">
        <v>162217.53</v>
      </c>
      <c r="O1138" s="31">
        <v>190556.26</v>
      </c>
      <c r="Q1138">
        <v>117.5</v>
      </c>
    </row>
    <row r="1139" spans="3:17">
      <c r="C1139">
        <v>5360</v>
      </c>
      <c r="E1139" t="s">
        <v>5858</v>
      </c>
      <c r="H1139" t="s">
        <v>5357</v>
      </c>
      <c r="K1139" s="418">
        <v>416657.27</v>
      </c>
      <c r="M1139" s="31">
        <v>193686.13</v>
      </c>
      <c r="O1139" s="31">
        <v>222971.14</v>
      </c>
      <c r="Q1139">
        <v>115.1</v>
      </c>
    </row>
    <row r="1140" spans="3:17">
      <c r="C1140">
        <v>5360</v>
      </c>
      <c r="E1140" t="s">
        <v>5859</v>
      </c>
      <c r="H1140" t="s">
        <v>5860</v>
      </c>
      <c r="K1140" s="418">
        <v>-462078.25</v>
      </c>
      <c r="M1140" s="31">
        <v>-223990.78</v>
      </c>
      <c r="O1140" s="31">
        <v>-238087.47</v>
      </c>
      <c r="Q1140">
        <v>-106.3</v>
      </c>
    </row>
    <row r="1141" spans="3:17">
      <c r="C1141">
        <v>5360</v>
      </c>
      <c r="E1141" t="s">
        <v>5861</v>
      </c>
      <c r="H1141" t="s">
        <v>5862</v>
      </c>
      <c r="K1141" s="418">
        <v>45420.98</v>
      </c>
      <c r="M1141" s="31">
        <v>30304.65</v>
      </c>
      <c r="O1141" s="31">
        <v>15116.33</v>
      </c>
      <c r="Q1141">
        <v>49.9</v>
      </c>
    </row>
    <row r="1142" spans="3:17">
      <c r="C1142">
        <v>5360</v>
      </c>
      <c r="E1142" t="s">
        <v>5863</v>
      </c>
      <c r="H1142" t="s">
        <v>5359</v>
      </c>
      <c r="K1142" s="418">
        <v>936195.86</v>
      </c>
      <c r="M1142" s="31">
        <v>441642.26</v>
      </c>
      <c r="O1142" s="31">
        <v>494553.59999999998</v>
      </c>
      <c r="Q1142">
        <v>112</v>
      </c>
    </row>
    <row r="1143" spans="3:17">
      <c r="C1143">
        <v>5360</v>
      </c>
      <c r="E1143" t="s">
        <v>5864</v>
      </c>
      <c r="H1143" t="s">
        <v>5865</v>
      </c>
      <c r="K1143" s="418">
        <v>2490016.33</v>
      </c>
      <c r="M1143" s="31">
        <v>1993715.98</v>
      </c>
      <c r="O1143" s="31">
        <v>496300.35</v>
      </c>
      <c r="Q1143">
        <v>24.9</v>
      </c>
    </row>
    <row r="1144" spans="3:17">
      <c r="C1144">
        <v>5360</v>
      </c>
      <c r="E1144" t="s">
        <v>5866</v>
      </c>
      <c r="H1144" t="s">
        <v>5867</v>
      </c>
      <c r="K1144" s="418">
        <v>-872834.67</v>
      </c>
      <c r="M1144" s="31">
        <v>-653350.87</v>
      </c>
      <c r="O1144" s="31">
        <v>-219483.8</v>
      </c>
      <c r="Q1144">
        <v>-33.6</v>
      </c>
    </row>
    <row r="1145" spans="3:17">
      <c r="C1145">
        <v>5360</v>
      </c>
      <c r="E1145" t="s">
        <v>5868</v>
      </c>
      <c r="H1145" t="s">
        <v>5869</v>
      </c>
      <c r="K1145" s="418">
        <v>717720.28</v>
      </c>
      <c r="M1145" s="31">
        <v>544813.23</v>
      </c>
      <c r="O1145" s="31">
        <v>172907.05</v>
      </c>
      <c r="Q1145">
        <v>31.7</v>
      </c>
    </row>
    <row r="1146" spans="3:17">
      <c r="C1146">
        <v>5360</v>
      </c>
      <c r="E1146" t="s">
        <v>5870</v>
      </c>
      <c r="H1146" t="s">
        <v>5871</v>
      </c>
      <c r="K1146" s="418">
        <v>2231267.36</v>
      </c>
      <c r="M1146" s="31">
        <v>1665849.36</v>
      </c>
      <c r="O1146" s="31">
        <v>565418</v>
      </c>
      <c r="Q1146">
        <v>33.9</v>
      </c>
    </row>
    <row r="1147" spans="3:17">
      <c r="C1147">
        <v>5360</v>
      </c>
      <c r="E1147" t="s">
        <v>5872</v>
      </c>
      <c r="H1147" t="s">
        <v>5873</v>
      </c>
      <c r="K1147" s="417">
        <v>892.24</v>
      </c>
      <c r="M1147">
        <v>-209.25</v>
      </c>
      <c r="O1147" s="31">
        <v>1101.49</v>
      </c>
      <c r="Q1147">
        <v>526.4</v>
      </c>
    </row>
    <row r="1148" spans="3:17">
      <c r="C1148">
        <v>5360</v>
      </c>
      <c r="E1148" t="s">
        <v>5874</v>
      </c>
      <c r="H1148" t="s">
        <v>5875</v>
      </c>
      <c r="K1148" s="418">
        <v>231509.92</v>
      </c>
      <c r="M1148" s="31">
        <v>170455.51</v>
      </c>
      <c r="O1148" s="31">
        <v>61054.41</v>
      </c>
      <c r="Q1148">
        <v>35.799999999999997</v>
      </c>
    </row>
    <row r="1149" spans="3:17">
      <c r="C1149">
        <v>5360</v>
      </c>
      <c r="E1149" t="s">
        <v>5876</v>
      </c>
      <c r="H1149" t="s">
        <v>5877</v>
      </c>
      <c r="K1149" s="418">
        <v>-120112.61</v>
      </c>
      <c r="M1149" s="31">
        <v>-83963.66</v>
      </c>
      <c r="O1149" s="31">
        <v>-36148.949999999997</v>
      </c>
      <c r="Q1149">
        <v>-43.1</v>
      </c>
    </row>
    <row r="1150" spans="3:17">
      <c r="C1150">
        <v>5360</v>
      </c>
      <c r="E1150" t="s">
        <v>5878</v>
      </c>
      <c r="H1150" t="s">
        <v>5879</v>
      </c>
      <c r="K1150" s="418">
        <v>134391.35</v>
      </c>
      <c r="M1150" s="31">
        <v>139030.51</v>
      </c>
      <c r="O1150" s="31">
        <v>-4639.16</v>
      </c>
      <c r="Q1150">
        <v>-3.3</v>
      </c>
    </row>
    <row r="1151" spans="3:17">
      <c r="C1151">
        <v>5360</v>
      </c>
      <c r="E1151" t="s">
        <v>5880</v>
      </c>
      <c r="H1151" t="s">
        <v>5881</v>
      </c>
      <c r="K1151" s="418">
        <v>1932.34</v>
      </c>
      <c r="M1151" s="31">
        <v>1519.22</v>
      </c>
      <c r="O1151">
        <v>413.12</v>
      </c>
      <c r="Q1151">
        <v>27.2</v>
      </c>
    </row>
    <row r="1152" spans="3:17">
      <c r="C1152">
        <v>5360</v>
      </c>
      <c r="E1152" t="s">
        <v>5882</v>
      </c>
      <c r="H1152" t="s">
        <v>5883</v>
      </c>
      <c r="K1152" s="417">
        <v>-674.09</v>
      </c>
      <c r="M1152">
        <v>-429.21</v>
      </c>
      <c r="O1152">
        <v>-244.88</v>
      </c>
      <c r="Q1152">
        <v>-57.1</v>
      </c>
    </row>
    <row r="1153" spans="3:17">
      <c r="C1153">
        <v>5360</v>
      </c>
      <c r="E1153" t="s">
        <v>5884</v>
      </c>
      <c r="H1153" t="s">
        <v>5885</v>
      </c>
      <c r="K1153" s="418">
        <v>513725.36</v>
      </c>
      <c r="M1153" s="31">
        <v>206003.47</v>
      </c>
      <c r="O1153" s="31">
        <v>307721.89</v>
      </c>
      <c r="Q1153">
        <v>149.4</v>
      </c>
    </row>
    <row r="1154" spans="3:17">
      <c r="C1154">
        <v>5360</v>
      </c>
      <c r="E1154" t="s">
        <v>5886</v>
      </c>
      <c r="H1154" t="s">
        <v>5363</v>
      </c>
      <c r="K1154" s="418">
        <v>60794.37</v>
      </c>
      <c r="M1154" s="31">
        <v>51926.53</v>
      </c>
      <c r="O1154" s="31">
        <v>8867.84</v>
      </c>
      <c r="Q1154">
        <v>17.100000000000001</v>
      </c>
    </row>
    <row r="1155" spans="3:17">
      <c r="C1155">
        <v>5360</v>
      </c>
      <c r="E1155" t="s">
        <v>5887</v>
      </c>
      <c r="H1155" t="s">
        <v>5888</v>
      </c>
      <c r="K1155" s="418">
        <v>-477520.33</v>
      </c>
      <c r="M1155" s="31">
        <v>-369947.35</v>
      </c>
      <c r="O1155" s="31">
        <v>-107572.98</v>
      </c>
      <c r="Q1155">
        <v>-29.1</v>
      </c>
    </row>
    <row r="1156" spans="3:17">
      <c r="C1156">
        <v>5360</v>
      </c>
      <c r="E1156" t="s">
        <v>5889</v>
      </c>
      <c r="H1156" t="s">
        <v>5890</v>
      </c>
      <c r="K1156" s="418">
        <v>24685.64</v>
      </c>
      <c r="M1156" s="31">
        <v>15945.06</v>
      </c>
      <c r="O1156" s="31">
        <v>8740.58</v>
      </c>
      <c r="Q1156">
        <v>54.8</v>
      </c>
    </row>
    <row r="1157" spans="3:17">
      <c r="C1157">
        <v>5360</v>
      </c>
      <c r="E1157" t="s">
        <v>5891</v>
      </c>
      <c r="H1157" t="s">
        <v>5892</v>
      </c>
      <c r="K1157" s="418">
        <v>533024.11</v>
      </c>
      <c r="M1157" s="31">
        <v>395507.22</v>
      </c>
      <c r="O1157" s="31">
        <v>137516.89000000001</v>
      </c>
      <c r="Q1157">
        <v>34.799999999999997</v>
      </c>
    </row>
    <row r="1158" spans="3:17">
      <c r="C1158">
        <v>5360</v>
      </c>
      <c r="E1158" t="s">
        <v>5893</v>
      </c>
      <c r="H1158" t="s">
        <v>5894</v>
      </c>
      <c r="K1158" s="417">
        <v>263.17</v>
      </c>
      <c r="M1158">
        <v>263.17</v>
      </c>
      <c r="O1158">
        <v>0</v>
      </c>
    </row>
    <row r="1159" spans="3:17">
      <c r="C1159">
        <v>5360</v>
      </c>
      <c r="E1159" t="s">
        <v>5895</v>
      </c>
      <c r="H1159" t="s">
        <v>5896</v>
      </c>
      <c r="K1159" s="418">
        <v>78384063.040000007</v>
      </c>
      <c r="M1159" s="31">
        <v>51290817.630000003</v>
      </c>
      <c r="O1159" s="31">
        <v>27093245.41</v>
      </c>
      <c r="Q1159">
        <v>52.8</v>
      </c>
    </row>
    <row r="1160" spans="3:17">
      <c r="C1160">
        <v>5360</v>
      </c>
      <c r="E1160" t="s">
        <v>5897</v>
      </c>
      <c r="H1160" t="s">
        <v>5898</v>
      </c>
      <c r="K1160" s="418">
        <v>90393135.269999996</v>
      </c>
      <c r="M1160" s="31">
        <v>46819631.450000003</v>
      </c>
      <c r="O1160" s="31">
        <v>43573503.82</v>
      </c>
      <c r="Q1160">
        <v>93.1</v>
      </c>
    </row>
    <row r="1161" spans="3:17">
      <c r="C1161">
        <v>5360</v>
      </c>
      <c r="E1161" t="s">
        <v>5899</v>
      </c>
      <c r="H1161" t="s">
        <v>5900</v>
      </c>
      <c r="K1161" s="418">
        <v>6590282.04</v>
      </c>
      <c r="M1161" s="31">
        <v>3304857.64</v>
      </c>
      <c r="O1161" s="31">
        <v>3285424.4</v>
      </c>
      <c r="Q1161">
        <v>99.4</v>
      </c>
    </row>
    <row r="1162" spans="3:17">
      <c r="C1162">
        <v>5360</v>
      </c>
      <c r="E1162" t="s">
        <v>5901</v>
      </c>
      <c r="H1162" t="s">
        <v>5902</v>
      </c>
      <c r="K1162" s="418">
        <v>-4966165.97</v>
      </c>
      <c r="M1162" s="31">
        <v>-3597245.01</v>
      </c>
      <c r="O1162" s="31">
        <v>-1368920.96</v>
      </c>
      <c r="Q1162">
        <v>-38.1</v>
      </c>
    </row>
    <row r="1163" spans="3:17">
      <c r="C1163">
        <v>5360</v>
      </c>
      <c r="E1163" t="s">
        <v>5903</v>
      </c>
      <c r="H1163" t="s">
        <v>5904</v>
      </c>
      <c r="K1163" s="418">
        <v>1156081.42</v>
      </c>
      <c r="M1163" s="31">
        <v>666915.06000000006</v>
      </c>
      <c r="O1163" s="31">
        <v>489166.36</v>
      </c>
      <c r="Q1163">
        <v>73.3</v>
      </c>
    </row>
    <row r="1164" spans="3:17">
      <c r="C1164">
        <v>5360</v>
      </c>
      <c r="E1164" t="s">
        <v>5905</v>
      </c>
      <c r="H1164" t="s">
        <v>5906</v>
      </c>
      <c r="K1164" s="418">
        <v>-943009.01</v>
      </c>
      <c r="M1164" s="31">
        <v>-485246.58</v>
      </c>
      <c r="O1164" s="31">
        <v>-457762.43</v>
      </c>
      <c r="Q1164">
        <v>-94.3</v>
      </c>
    </row>
    <row r="1165" spans="3:17">
      <c r="C1165">
        <v>5360</v>
      </c>
      <c r="E1165" t="s">
        <v>5907</v>
      </c>
      <c r="H1165" t="s">
        <v>5908</v>
      </c>
      <c r="K1165" s="418">
        <v>-86954.75</v>
      </c>
      <c r="M1165" s="31">
        <v>-37116.58</v>
      </c>
      <c r="O1165" s="31">
        <v>-49838.17</v>
      </c>
      <c r="Q1165">
        <v>-134.30000000000001</v>
      </c>
    </row>
    <row r="1166" spans="3:17">
      <c r="C1166">
        <v>5360</v>
      </c>
      <c r="E1166" t="s">
        <v>5909</v>
      </c>
      <c r="H1166" t="s">
        <v>5378</v>
      </c>
      <c r="K1166" s="418">
        <v>-67544.100000000006</v>
      </c>
      <c r="M1166" s="31">
        <v>-50918.07</v>
      </c>
      <c r="O1166" s="31">
        <v>-16626.03</v>
      </c>
      <c r="Q1166">
        <v>-32.700000000000003</v>
      </c>
    </row>
    <row r="1167" spans="3:17">
      <c r="C1167">
        <v>5360</v>
      </c>
      <c r="E1167" t="s">
        <v>5910</v>
      </c>
      <c r="H1167" t="s">
        <v>5911</v>
      </c>
      <c r="K1167" s="418">
        <v>426180</v>
      </c>
      <c r="M1167" s="31">
        <v>319635</v>
      </c>
      <c r="O1167" s="31">
        <v>106545</v>
      </c>
      <c r="Q1167">
        <v>33.299999999999997</v>
      </c>
    </row>
    <row r="1168" spans="3:17">
      <c r="C1168">
        <v>5360</v>
      </c>
      <c r="E1168" t="s">
        <v>5912</v>
      </c>
      <c r="H1168" t="s">
        <v>5196</v>
      </c>
      <c r="K1168" s="418">
        <v>-351337.09</v>
      </c>
      <c r="M1168" s="31">
        <v>-264576.68</v>
      </c>
      <c r="O1168" s="31">
        <v>-86760.41</v>
      </c>
      <c r="Q1168">
        <v>-32.799999999999997</v>
      </c>
    </row>
    <row r="1169" spans="3:17">
      <c r="C1169">
        <v>5360</v>
      </c>
      <c r="E1169" t="s">
        <v>5913</v>
      </c>
      <c r="H1169" t="s">
        <v>5413</v>
      </c>
      <c r="K1169" s="418">
        <v>189038.15</v>
      </c>
      <c r="M1169" s="31">
        <v>154892.84</v>
      </c>
      <c r="O1169" s="31">
        <v>34145.31</v>
      </c>
      <c r="Q1169">
        <v>22</v>
      </c>
    </row>
    <row r="1170" spans="3:17">
      <c r="C1170">
        <v>5360</v>
      </c>
      <c r="E1170" t="s">
        <v>5914</v>
      </c>
      <c r="H1170" t="s">
        <v>5415</v>
      </c>
      <c r="K1170" s="418">
        <v>-801063.73</v>
      </c>
      <c r="M1170" s="31">
        <v>-163530.12</v>
      </c>
      <c r="O1170" s="31">
        <v>-637533.61</v>
      </c>
      <c r="Q1170">
        <v>-389.9</v>
      </c>
    </row>
    <row r="1171" spans="3:17">
      <c r="C1171">
        <v>5360</v>
      </c>
      <c r="E1171" t="s">
        <v>5915</v>
      </c>
      <c r="H1171" t="s">
        <v>5916</v>
      </c>
      <c r="K1171" s="418">
        <v>6718.34</v>
      </c>
      <c r="M1171" s="31">
        <v>18916.02</v>
      </c>
      <c r="O1171" s="31">
        <v>-12197.68</v>
      </c>
      <c r="Q1171">
        <v>-64.5</v>
      </c>
    </row>
    <row r="1172" spans="3:17">
      <c r="C1172">
        <v>5360</v>
      </c>
      <c r="E1172" t="s">
        <v>5917</v>
      </c>
      <c r="H1172" t="s">
        <v>5918</v>
      </c>
      <c r="K1172" s="418">
        <v>81756.960000000006</v>
      </c>
      <c r="M1172" s="31">
        <v>61523.46</v>
      </c>
      <c r="O1172" s="31">
        <v>20233.5</v>
      </c>
      <c r="Q1172">
        <v>32.9</v>
      </c>
    </row>
    <row r="1173" spans="3:17">
      <c r="C1173">
        <v>5360</v>
      </c>
      <c r="E1173" t="s">
        <v>5919</v>
      </c>
      <c r="H1173" t="s">
        <v>312</v>
      </c>
      <c r="K1173" s="418">
        <v>167794.19</v>
      </c>
      <c r="M1173" s="31">
        <v>396421.72</v>
      </c>
      <c r="O1173" s="31">
        <v>-228627.53</v>
      </c>
      <c r="Q1173">
        <v>-57.7</v>
      </c>
    </row>
    <row r="1174" spans="3:17">
      <c r="C1174">
        <v>5360</v>
      </c>
      <c r="E1174" t="s">
        <v>5920</v>
      </c>
      <c r="H1174" t="s">
        <v>322</v>
      </c>
      <c r="K1174" s="418">
        <v>266973.69</v>
      </c>
      <c r="M1174" s="31">
        <v>201676.34</v>
      </c>
      <c r="O1174" s="31">
        <v>65297.35</v>
      </c>
      <c r="Q1174">
        <v>32.4</v>
      </c>
    </row>
    <row r="1175" spans="3:17">
      <c r="C1175">
        <v>5360</v>
      </c>
      <c r="E1175" t="s">
        <v>5921</v>
      </c>
      <c r="H1175" t="s">
        <v>5922</v>
      </c>
      <c r="K1175" s="418">
        <v>1070321</v>
      </c>
      <c r="M1175" s="31">
        <v>802740.74</v>
      </c>
      <c r="O1175" s="31">
        <v>267580.26</v>
      </c>
      <c r="Q1175">
        <v>33.299999999999997</v>
      </c>
    </row>
    <row r="1176" spans="3:17">
      <c r="C1176">
        <v>5360</v>
      </c>
      <c r="E1176" t="s">
        <v>5923</v>
      </c>
      <c r="H1176" t="s">
        <v>5924</v>
      </c>
      <c r="K1176" s="418">
        <v>1850552.97</v>
      </c>
      <c r="M1176" s="31">
        <v>1485026.47</v>
      </c>
      <c r="O1176" s="31">
        <v>365526.5</v>
      </c>
      <c r="Q1176">
        <v>24.6</v>
      </c>
    </row>
    <row r="1177" spans="3:17">
      <c r="C1177">
        <v>5360</v>
      </c>
      <c r="E1177" t="s">
        <v>5925</v>
      </c>
      <c r="H1177" t="s">
        <v>5926</v>
      </c>
      <c r="K1177" s="418">
        <v>-1325282.99</v>
      </c>
      <c r="M1177" s="31">
        <v>-993962.24</v>
      </c>
      <c r="O1177" s="31">
        <v>-331320.75</v>
      </c>
      <c r="Q1177">
        <v>-33.299999999999997</v>
      </c>
    </row>
    <row r="1178" spans="3:17">
      <c r="C1178">
        <v>5360</v>
      </c>
      <c r="E1178" t="s">
        <v>5927</v>
      </c>
      <c r="H1178" t="s">
        <v>5928</v>
      </c>
      <c r="K1178" s="418">
        <v>181840.49</v>
      </c>
      <c r="M1178" s="31">
        <v>137359.79</v>
      </c>
      <c r="O1178" s="31">
        <v>44480.7</v>
      </c>
      <c r="Q1178">
        <v>32.4</v>
      </c>
    </row>
    <row r="1179" spans="3:17">
      <c r="C1179">
        <v>5360</v>
      </c>
      <c r="E1179" t="s">
        <v>5929</v>
      </c>
      <c r="H1179" t="s">
        <v>5930</v>
      </c>
      <c r="K1179" s="418">
        <v>-801857.07</v>
      </c>
      <c r="M1179" s="31">
        <v>-801857.07</v>
      </c>
      <c r="O1179">
        <v>0</v>
      </c>
    </row>
    <row r="1180" spans="3:17">
      <c r="C1180">
        <v>5360</v>
      </c>
      <c r="E1180" t="s">
        <v>5931</v>
      </c>
      <c r="H1180" t="s">
        <v>120</v>
      </c>
      <c r="K1180" s="418">
        <v>115065.57</v>
      </c>
      <c r="M1180" s="31">
        <v>68608.61</v>
      </c>
      <c r="O1180" s="31">
        <v>46456.959999999999</v>
      </c>
      <c r="Q1180">
        <v>67.7</v>
      </c>
    </row>
    <row r="1181" spans="3:17">
      <c r="C1181">
        <v>5360</v>
      </c>
      <c r="E1181" t="s">
        <v>5932</v>
      </c>
      <c r="H1181" t="s">
        <v>5933</v>
      </c>
      <c r="K1181" s="418">
        <v>-14900.82</v>
      </c>
      <c r="M1181" s="31">
        <v>-2582.85</v>
      </c>
      <c r="O1181" s="31">
        <v>-12317.97</v>
      </c>
      <c r="Q1181">
        <v>-476.9</v>
      </c>
    </row>
    <row r="1182" spans="3:17">
      <c r="C1182">
        <v>5360</v>
      </c>
      <c r="E1182" t="s">
        <v>5934</v>
      </c>
      <c r="H1182" t="s">
        <v>1089</v>
      </c>
      <c r="K1182" s="418">
        <v>9783098.4000000004</v>
      </c>
      <c r="M1182" s="31">
        <v>-15297994.369999999</v>
      </c>
      <c r="O1182" s="31">
        <v>25081092.77</v>
      </c>
      <c r="Q1182">
        <v>164</v>
      </c>
    </row>
    <row r="1183" spans="3:17">
      <c r="C1183">
        <v>5360</v>
      </c>
      <c r="E1183" t="s">
        <v>1792</v>
      </c>
      <c r="H1183" t="s">
        <v>3534</v>
      </c>
      <c r="K1183" s="418">
        <v>8025866.6799999997</v>
      </c>
      <c r="M1183" s="31">
        <v>4003883.02</v>
      </c>
      <c r="O1183" s="31">
        <v>4021983.66</v>
      </c>
      <c r="Q1183">
        <v>100.5</v>
      </c>
    </row>
    <row r="1184" spans="3:17">
      <c r="C1184">
        <v>5360</v>
      </c>
      <c r="E1184" t="s">
        <v>1841</v>
      </c>
      <c r="H1184" t="s">
        <v>5935</v>
      </c>
      <c r="K1184" s="418">
        <v>1102779.68</v>
      </c>
      <c r="M1184" s="31">
        <v>3419846.22</v>
      </c>
      <c r="O1184" s="31">
        <v>-2317066.54</v>
      </c>
      <c r="Q1184">
        <v>-67.8</v>
      </c>
    </row>
    <row r="1185" spans="3:17">
      <c r="C1185">
        <v>5360</v>
      </c>
      <c r="E1185" t="s">
        <v>1837</v>
      </c>
      <c r="H1185" t="s">
        <v>1704</v>
      </c>
      <c r="K1185" s="418">
        <v>1618436.17</v>
      </c>
      <c r="M1185" s="31">
        <v>2504328.91</v>
      </c>
      <c r="O1185" s="31">
        <v>-885892.74</v>
      </c>
      <c r="Q1185">
        <v>-35.4</v>
      </c>
    </row>
    <row r="1186" spans="3:17">
      <c r="C1186">
        <v>5360</v>
      </c>
      <c r="E1186" t="s">
        <v>1846</v>
      </c>
      <c r="H1186" t="s">
        <v>1727</v>
      </c>
      <c r="K1186" s="418">
        <v>-2865060.16</v>
      </c>
      <c r="M1186" s="31">
        <v>-3824556.19</v>
      </c>
      <c r="O1186" s="31">
        <v>959496.03</v>
      </c>
      <c r="Q1186">
        <v>25.1</v>
      </c>
    </row>
    <row r="1187" spans="3:17">
      <c r="C1187">
        <v>5360</v>
      </c>
      <c r="E1187" t="s">
        <v>1778</v>
      </c>
      <c r="H1187" t="s">
        <v>3536</v>
      </c>
      <c r="K1187" s="418">
        <v>-9931074.5</v>
      </c>
      <c r="M1187" s="31">
        <v>-7585611.4199999999</v>
      </c>
      <c r="O1187" s="31">
        <v>-2345463.08</v>
      </c>
      <c r="Q1187">
        <v>-30.9</v>
      </c>
    </row>
    <row r="1188" spans="3:17">
      <c r="C1188">
        <v>5360</v>
      </c>
      <c r="E1188" t="s">
        <v>5936</v>
      </c>
      <c r="H1188" t="s">
        <v>5241</v>
      </c>
      <c r="K1188" s="418">
        <v>-41900.269999999997</v>
      </c>
      <c r="M1188" s="31">
        <v>-29634.51</v>
      </c>
      <c r="O1188" s="31">
        <v>-12265.76</v>
      </c>
      <c r="Q1188">
        <v>-41.4</v>
      </c>
    </row>
    <row r="1189" spans="3:17">
      <c r="C1189">
        <v>5360</v>
      </c>
      <c r="E1189" t="s">
        <v>5937</v>
      </c>
      <c r="H1189" t="s">
        <v>5251</v>
      </c>
      <c r="K1189" s="418">
        <v>-6077.81</v>
      </c>
      <c r="M1189" s="31">
        <v>-4528.2700000000004</v>
      </c>
      <c r="O1189" s="31">
        <v>-1549.54</v>
      </c>
      <c r="Q1189">
        <v>-34.200000000000003</v>
      </c>
    </row>
    <row r="1190" spans="3:17">
      <c r="C1190">
        <v>5360</v>
      </c>
      <c r="E1190" t="s">
        <v>5938</v>
      </c>
      <c r="H1190" t="s">
        <v>5257</v>
      </c>
      <c r="K1190" s="418">
        <v>-6644.48</v>
      </c>
      <c r="M1190" s="31">
        <v>-4346.83</v>
      </c>
      <c r="O1190" s="31">
        <v>-2297.65</v>
      </c>
      <c r="Q1190">
        <v>-52.9</v>
      </c>
    </row>
    <row r="1191" spans="3:17">
      <c r="C1191">
        <v>5360</v>
      </c>
      <c r="E1191" t="s">
        <v>5939</v>
      </c>
      <c r="H1191" t="s">
        <v>5261</v>
      </c>
      <c r="K1191" s="418">
        <v>443687.38</v>
      </c>
      <c r="M1191" s="31">
        <v>-59922.8</v>
      </c>
      <c r="O1191" s="31">
        <v>503610.18</v>
      </c>
      <c r="Q1191">
        <v>840.4</v>
      </c>
    </row>
    <row r="1192" spans="3:17">
      <c r="C1192">
        <v>5360</v>
      </c>
      <c r="E1192" t="s">
        <v>5940</v>
      </c>
      <c r="H1192" t="s">
        <v>5551</v>
      </c>
      <c r="K1192" s="418">
        <v>-1359881.05</v>
      </c>
      <c r="M1192" s="31">
        <v>-1019910.81</v>
      </c>
      <c r="O1192" s="31">
        <v>-339970.24</v>
      </c>
      <c r="Q1192">
        <v>-33.299999999999997</v>
      </c>
    </row>
    <row r="1193" spans="3:17">
      <c r="C1193">
        <v>5360</v>
      </c>
      <c r="E1193" t="s">
        <v>5941</v>
      </c>
      <c r="H1193" t="s">
        <v>5263</v>
      </c>
      <c r="K1193" s="418">
        <v>-2938.58</v>
      </c>
      <c r="M1193" s="31">
        <v>-2714.74</v>
      </c>
      <c r="O1193">
        <v>-223.84</v>
      </c>
      <c r="Q1193">
        <v>-8.1999999999999993</v>
      </c>
    </row>
    <row r="1194" spans="3:17">
      <c r="C1194">
        <v>5360</v>
      </c>
      <c r="E1194" t="s">
        <v>5942</v>
      </c>
      <c r="H1194" t="s">
        <v>5265</v>
      </c>
      <c r="K1194" s="417">
        <v>12.93</v>
      </c>
      <c r="M1194">
        <v>-31.93</v>
      </c>
      <c r="O1194">
        <v>44.86</v>
      </c>
      <c r="Q1194">
        <v>140.5</v>
      </c>
    </row>
    <row r="1195" spans="3:17">
      <c r="C1195">
        <v>5360</v>
      </c>
      <c r="E1195" t="s">
        <v>5943</v>
      </c>
      <c r="H1195" t="s">
        <v>5269</v>
      </c>
      <c r="K1195" s="418">
        <v>-5534.16</v>
      </c>
      <c r="M1195" s="31">
        <v>-3848.9</v>
      </c>
      <c r="O1195" s="31">
        <v>-1685.26</v>
      </c>
      <c r="Q1195">
        <v>-43.8</v>
      </c>
    </row>
    <row r="1196" spans="3:17">
      <c r="C1196">
        <v>5360</v>
      </c>
      <c r="E1196" t="s">
        <v>5944</v>
      </c>
      <c r="H1196" t="s">
        <v>5273</v>
      </c>
      <c r="K1196" s="417">
        <v>-325.77</v>
      </c>
      <c r="M1196">
        <v>-250.79</v>
      </c>
      <c r="O1196">
        <v>-74.98</v>
      </c>
      <c r="Q1196">
        <v>-29.9</v>
      </c>
    </row>
    <row r="1197" spans="3:17">
      <c r="C1197">
        <v>5360</v>
      </c>
      <c r="E1197" t="s">
        <v>5945</v>
      </c>
      <c r="H1197" t="s">
        <v>5277</v>
      </c>
      <c r="K1197" s="418">
        <v>567865.53</v>
      </c>
      <c r="M1197" s="31">
        <v>442403.5</v>
      </c>
      <c r="O1197" s="31">
        <v>125462.03</v>
      </c>
      <c r="Q1197">
        <v>28.4</v>
      </c>
    </row>
    <row r="1198" spans="3:17">
      <c r="C1198">
        <v>5360</v>
      </c>
      <c r="E1198" t="s">
        <v>5946</v>
      </c>
      <c r="H1198" t="s">
        <v>5584</v>
      </c>
      <c r="K1198" s="418">
        <v>-4208757.43</v>
      </c>
      <c r="M1198" s="31">
        <v>-3156568.11</v>
      </c>
      <c r="O1198" s="31">
        <v>-1052189.32</v>
      </c>
      <c r="Q1198">
        <v>-33.299999999999997</v>
      </c>
    </row>
    <row r="1199" spans="3:17">
      <c r="C1199">
        <v>5360</v>
      </c>
      <c r="E1199" t="s">
        <v>5947</v>
      </c>
      <c r="H1199" t="s">
        <v>5279</v>
      </c>
      <c r="K1199" s="418">
        <v>-9393.48</v>
      </c>
      <c r="M1199" s="31">
        <v>-1140.1600000000001</v>
      </c>
      <c r="O1199" s="31">
        <v>-8253.32</v>
      </c>
      <c r="Q1199">
        <v>-723.9</v>
      </c>
    </row>
    <row r="1200" spans="3:17">
      <c r="C1200">
        <v>5360</v>
      </c>
      <c r="E1200" t="s">
        <v>5948</v>
      </c>
      <c r="H1200" t="s">
        <v>5281</v>
      </c>
      <c r="K1200" s="418">
        <v>-2765.01</v>
      </c>
      <c r="M1200" s="31">
        <v>-2000.65</v>
      </c>
      <c r="O1200">
        <v>-764.36</v>
      </c>
      <c r="Q1200">
        <v>-38.200000000000003</v>
      </c>
    </row>
    <row r="1201" spans="3:18">
      <c r="C1201">
        <v>5360</v>
      </c>
      <c r="E1201" t="s">
        <v>5949</v>
      </c>
      <c r="H1201" t="s">
        <v>5285</v>
      </c>
      <c r="K1201" s="417">
        <v>-375.4</v>
      </c>
      <c r="M1201">
        <v>-267.02</v>
      </c>
      <c r="O1201">
        <v>-108.38</v>
      </c>
      <c r="Q1201">
        <v>-40.6</v>
      </c>
    </row>
    <row r="1202" spans="3:18">
      <c r="C1202">
        <v>5360</v>
      </c>
      <c r="E1202" t="s">
        <v>5950</v>
      </c>
      <c r="H1202" t="s">
        <v>5307</v>
      </c>
      <c r="K1202" s="418">
        <v>-297068.38</v>
      </c>
      <c r="M1202" s="31">
        <v>-169421.74</v>
      </c>
      <c r="O1202" s="31">
        <v>-127646.64</v>
      </c>
      <c r="Q1202">
        <v>-75.3</v>
      </c>
    </row>
    <row r="1203" spans="3:18">
      <c r="C1203">
        <v>5360</v>
      </c>
      <c r="E1203" t="s">
        <v>5951</v>
      </c>
      <c r="H1203" t="s">
        <v>5323</v>
      </c>
      <c r="K1203" s="418">
        <v>-67778.95</v>
      </c>
      <c r="M1203" s="31">
        <v>-39568.239999999998</v>
      </c>
      <c r="O1203" s="31">
        <v>-28210.71</v>
      </c>
      <c r="Q1203">
        <v>-71.3</v>
      </c>
    </row>
    <row r="1204" spans="3:18">
      <c r="C1204">
        <v>5360</v>
      </c>
      <c r="E1204" t="s">
        <v>5952</v>
      </c>
      <c r="H1204" t="s">
        <v>5327</v>
      </c>
      <c r="K1204" s="418">
        <v>-6920.89</v>
      </c>
      <c r="M1204" s="31">
        <v>-1427.62</v>
      </c>
      <c r="O1204" s="31">
        <v>-5493.27</v>
      </c>
      <c r="Q1204">
        <v>-384.8</v>
      </c>
    </row>
    <row r="1205" spans="3:18">
      <c r="C1205">
        <v>5360</v>
      </c>
      <c r="E1205" t="s">
        <v>5953</v>
      </c>
      <c r="H1205" t="s">
        <v>5333</v>
      </c>
      <c r="K1205" s="418">
        <v>111906.03</v>
      </c>
      <c r="M1205">
        <v>0</v>
      </c>
      <c r="O1205" s="31">
        <v>111906.03</v>
      </c>
    </row>
    <row r="1206" spans="3:18">
      <c r="C1206">
        <v>5360</v>
      </c>
      <c r="E1206" t="s">
        <v>5954</v>
      </c>
      <c r="H1206" t="s">
        <v>5337</v>
      </c>
      <c r="K1206" s="418">
        <v>70329.62</v>
      </c>
      <c r="M1206" s="31">
        <v>45496.24</v>
      </c>
      <c r="O1206" s="31">
        <v>24833.38</v>
      </c>
      <c r="Q1206">
        <v>54.6</v>
      </c>
    </row>
    <row r="1207" spans="3:18">
      <c r="C1207">
        <v>5360</v>
      </c>
      <c r="E1207" t="s">
        <v>5955</v>
      </c>
      <c r="H1207" t="s">
        <v>5339</v>
      </c>
      <c r="K1207" s="418">
        <v>-4700992.25</v>
      </c>
      <c r="M1207" s="31">
        <v>200511.93</v>
      </c>
      <c r="O1207" s="31">
        <v>-4901504.18</v>
      </c>
      <c r="Q1207">
        <v>-2444.5</v>
      </c>
    </row>
    <row r="1208" spans="3:18">
      <c r="C1208">
        <v>5360</v>
      </c>
      <c r="E1208" t="s">
        <v>5956</v>
      </c>
      <c r="H1208" t="s">
        <v>5363</v>
      </c>
      <c r="K1208" s="417">
        <v>-29.75</v>
      </c>
      <c r="M1208">
        <v>-29.75</v>
      </c>
      <c r="O1208">
        <v>0</v>
      </c>
    </row>
    <row r="1209" spans="3:18">
      <c r="C1209">
        <v>5360</v>
      </c>
      <c r="E1209" t="s">
        <v>5957</v>
      </c>
      <c r="H1209" t="s">
        <v>5958</v>
      </c>
      <c r="K1209" s="418">
        <v>-8025866.6799999997</v>
      </c>
      <c r="M1209" s="31">
        <v>12298.61</v>
      </c>
      <c r="O1209" s="31">
        <v>-8038165.29</v>
      </c>
      <c r="Q1209" t="s">
        <v>5959</v>
      </c>
    </row>
    <row r="1210" spans="3:18">
      <c r="C1210">
        <v>5360</v>
      </c>
      <c r="E1210" t="s">
        <v>5960</v>
      </c>
      <c r="H1210" t="s">
        <v>5961</v>
      </c>
      <c r="K1210" s="417">
        <v>0</v>
      </c>
      <c r="M1210" s="31">
        <v>-1689750.51</v>
      </c>
      <c r="O1210" s="31">
        <v>1689750.51</v>
      </c>
      <c r="Q1210">
        <v>100</v>
      </c>
    </row>
    <row r="1211" spans="3:18">
      <c r="K1211" s="418">
        <v>1599951949.6500001</v>
      </c>
      <c r="M1211" s="31">
        <v>1655687164.96</v>
      </c>
      <c r="O1211" s="31">
        <v>-55735215.310000002</v>
      </c>
      <c r="Q1211">
        <v>-3.4</v>
      </c>
      <c r="R1211" t="s">
        <v>970</v>
      </c>
    </row>
  </sheetData>
  <pageMargins left="0.7" right="0.7" top="0.75" bottom="0.75" header="0.3" footer="0.3"/>
  <pageSetup orientation="portrait" horizontalDpi="1200" verticalDpi="1200"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BF2F9D-511D-4C43-A27A-DE10C965A302}">
  <sheetPr>
    <tabColor rgb="FFFF0000"/>
  </sheetPr>
  <dimension ref="A1:R1150"/>
  <sheetViews>
    <sheetView workbookViewId="0"/>
  </sheetViews>
  <sheetFormatPr defaultRowHeight="15"/>
  <cols>
    <col min="8" max="8" width="43.7109375" bestFit="1" customWidth="1"/>
    <col min="11" max="11" width="16.140625" bestFit="1" customWidth="1"/>
    <col min="13" max="13" width="16.140625" bestFit="1" customWidth="1"/>
    <col min="15" max="15" width="13.5703125" bestFit="1" customWidth="1"/>
  </cols>
  <sheetData>
    <row r="1" spans="1:18">
      <c r="A1" t="s">
        <v>5962</v>
      </c>
    </row>
    <row r="2" spans="1:18">
      <c r="A2" t="s">
        <v>4917</v>
      </c>
    </row>
    <row r="4" spans="1:18">
      <c r="A4" t="s">
        <v>535</v>
      </c>
      <c r="F4">
        <v>5360</v>
      </c>
      <c r="G4" t="s">
        <v>536</v>
      </c>
      <c r="I4" t="s">
        <v>537</v>
      </c>
      <c r="N4" t="s">
        <v>538</v>
      </c>
      <c r="P4" t="s">
        <v>539</v>
      </c>
    </row>
    <row r="5" spans="1:18">
      <c r="K5" s="6" t="s">
        <v>5963</v>
      </c>
      <c r="M5" s="6" t="s">
        <v>5964</v>
      </c>
    </row>
    <row r="6" spans="1:18">
      <c r="B6" t="s">
        <v>313</v>
      </c>
      <c r="C6" t="s">
        <v>540</v>
      </c>
      <c r="D6" t="s">
        <v>541</v>
      </c>
      <c r="E6" t="s">
        <v>542</v>
      </c>
      <c r="J6" t="s">
        <v>543</v>
      </c>
      <c r="L6" t="s">
        <v>544</v>
      </c>
      <c r="O6" t="s">
        <v>545</v>
      </c>
      <c r="Q6" t="s">
        <v>546</v>
      </c>
      <c r="R6" t="s">
        <v>4054</v>
      </c>
    </row>
    <row r="7" spans="1:18">
      <c r="B7" t="s">
        <v>201</v>
      </c>
      <c r="C7" t="s">
        <v>548</v>
      </c>
      <c r="D7" t="s">
        <v>549</v>
      </c>
      <c r="J7" t="s">
        <v>5965</v>
      </c>
      <c r="L7" t="s">
        <v>5966</v>
      </c>
      <c r="O7" t="s">
        <v>551</v>
      </c>
      <c r="Q7" t="s">
        <v>552</v>
      </c>
      <c r="R7" t="s">
        <v>4057</v>
      </c>
    </row>
    <row r="9" spans="1:18">
      <c r="E9" t="s">
        <v>4058</v>
      </c>
    </row>
    <row r="10" spans="1:18">
      <c r="C10">
        <v>5360</v>
      </c>
      <c r="E10" t="s">
        <v>4059</v>
      </c>
      <c r="H10" t="s">
        <v>4060</v>
      </c>
      <c r="K10" s="31">
        <v>1430207171.48</v>
      </c>
      <c r="M10" s="31">
        <v>1430207171.48</v>
      </c>
      <c r="O10">
        <v>0</v>
      </c>
    </row>
    <row r="11" spans="1:18" s="326" customFormat="1">
      <c r="C11" s="326">
        <v>5360</v>
      </c>
      <c r="E11" s="326" t="s">
        <v>4061</v>
      </c>
      <c r="H11" s="326" t="s">
        <v>4062</v>
      </c>
      <c r="K11" s="419">
        <v>6241183.9400000004</v>
      </c>
      <c r="M11" s="419">
        <v>6241183.9400000004</v>
      </c>
      <c r="O11" s="326">
        <v>0</v>
      </c>
    </row>
    <row r="12" spans="1:18">
      <c r="C12">
        <v>5360</v>
      </c>
      <c r="E12" t="s">
        <v>4063</v>
      </c>
      <c r="H12" t="s">
        <v>4064</v>
      </c>
      <c r="K12" s="31">
        <v>27165912.109999999</v>
      </c>
      <c r="M12" s="31">
        <v>27165912.109999999</v>
      </c>
      <c r="O12">
        <v>0</v>
      </c>
    </row>
    <row r="13" spans="1:18" s="326" customFormat="1">
      <c r="C13" s="326">
        <v>5360</v>
      </c>
      <c r="E13" s="326" t="s">
        <v>4065</v>
      </c>
      <c r="H13" s="326" t="s">
        <v>4066</v>
      </c>
      <c r="K13" s="419">
        <v>-165837.76999999999</v>
      </c>
      <c r="M13" s="419">
        <v>-165837.76999999999</v>
      </c>
      <c r="O13" s="326">
        <v>0</v>
      </c>
    </row>
    <row r="14" spans="1:18">
      <c r="C14">
        <v>5360</v>
      </c>
      <c r="E14" t="s">
        <v>4067</v>
      </c>
      <c r="H14" t="s">
        <v>4068</v>
      </c>
      <c r="K14" s="31">
        <v>1767921.56</v>
      </c>
      <c r="M14" s="31">
        <v>1767921.56</v>
      </c>
      <c r="O14">
        <v>0</v>
      </c>
    </row>
    <row r="15" spans="1:18">
      <c r="C15">
        <v>5360</v>
      </c>
      <c r="E15" t="s">
        <v>4069</v>
      </c>
      <c r="H15" t="s">
        <v>4070</v>
      </c>
      <c r="K15" s="31">
        <v>20072495.530000001</v>
      </c>
      <c r="M15" s="31">
        <v>20072495.530000001</v>
      </c>
      <c r="O15">
        <v>0</v>
      </c>
    </row>
    <row r="16" spans="1:18">
      <c r="C16">
        <v>5360</v>
      </c>
      <c r="E16" t="s">
        <v>4071</v>
      </c>
      <c r="H16" t="s">
        <v>4072</v>
      </c>
      <c r="K16" s="31">
        <v>-1192809.8700000001</v>
      </c>
      <c r="M16" s="31">
        <v>-2000718.39</v>
      </c>
      <c r="O16" s="31">
        <v>807908.52</v>
      </c>
      <c r="Q16">
        <v>40.4</v>
      </c>
    </row>
    <row r="17" spans="3:18" s="326" customFormat="1">
      <c r="C17" s="326">
        <v>5360</v>
      </c>
      <c r="E17" s="326" t="s">
        <v>4073</v>
      </c>
      <c r="H17" s="326" t="s">
        <v>4074</v>
      </c>
      <c r="K17" s="419">
        <v>-46962.01</v>
      </c>
      <c r="M17" s="419">
        <v>-47730.61</v>
      </c>
      <c r="O17" s="326">
        <v>768.6</v>
      </c>
      <c r="Q17" s="326">
        <v>1.6</v>
      </c>
    </row>
    <row r="18" spans="3:18">
      <c r="C18">
        <v>5360</v>
      </c>
      <c r="E18" t="s">
        <v>4077</v>
      </c>
      <c r="H18" t="s">
        <v>4078</v>
      </c>
      <c r="K18">
        <v>0</v>
      </c>
      <c r="M18" s="31">
        <v>-2032.81</v>
      </c>
      <c r="O18" s="31">
        <v>2032.81</v>
      </c>
      <c r="Q18">
        <v>100</v>
      </c>
    </row>
    <row r="19" spans="3:18">
      <c r="C19">
        <v>5360</v>
      </c>
      <c r="E19" t="s">
        <v>4079</v>
      </c>
      <c r="H19" t="s">
        <v>4080</v>
      </c>
      <c r="K19" s="31">
        <v>24590136.960000001</v>
      </c>
      <c r="M19" s="31">
        <v>52288785.229999997</v>
      </c>
      <c r="O19" s="31">
        <v>-27698648.27</v>
      </c>
      <c r="Q19">
        <v>-53</v>
      </c>
    </row>
    <row r="20" spans="3:18">
      <c r="C20">
        <v>5360</v>
      </c>
      <c r="E20" t="s">
        <v>4081</v>
      </c>
      <c r="H20" t="s">
        <v>4082</v>
      </c>
      <c r="K20" s="31">
        <v>42003.32</v>
      </c>
      <c r="M20" s="31">
        <v>42003.32</v>
      </c>
      <c r="O20">
        <v>0</v>
      </c>
    </row>
    <row r="21" spans="3:18">
      <c r="C21">
        <v>5360</v>
      </c>
      <c r="E21" t="s">
        <v>4922</v>
      </c>
      <c r="H21" t="s">
        <v>4923</v>
      </c>
      <c r="K21" s="31">
        <v>256672.05</v>
      </c>
      <c r="M21" s="31">
        <v>256672.05</v>
      </c>
      <c r="O21">
        <v>0</v>
      </c>
    </row>
    <row r="22" spans="3:18">
      <c r="C22">
        <v>5360</v>
      </c>
      <c r="E22" t="s">
        <v>5967</v>
      </c>
      <c r="H22" t="s">
        <v>5968</v>
      </c>
      <c r="K22" s="31">
        <v>138584.16</v>
      </c>
      <c r="M22" s="31">
        <v>138584.16</v>
      </c>
      <c r="O22">
        <v>0</v>
      </c>
    </row>
    <row r="23" spans="3:18">
      <c r="C23">
        <v>5360</v>
      </c>
      <c r="E23" t="s">
        <v>4083</v>
      </c>
      <c r="H23" t="s">
        <v>4084</v>
      </c>
      <c r="K23" s="31">
        <v>1967388.61</v>
      </c>
      <c r="M23" s="31">
        <v>1967388.61</v>
      </c>
      <c r="O23">
        <v>0</v>
      </c>
    </row>
    <row r="24" spans="3:18">
      <c r="C24">
        <v>5360</v>
      </c>
      <c r="E24" t="s">
        <v>4085</v>
      </c>
      <c r="H24" t="s">
        <v>4086</v>
      </c>
      <c r="K24" s="31">
        <v>11476847.699999999</v>
      </c>
      <c r="M24" s="31">
        <v>11476847.699999999</v>
      </c>
      <c r="O24">
        <v>0</v>
      </c>
    </row>
    <row r="25" spans="3:18">
      <c r="C25">
        <v>5360</v>
      </c>
      <c r="E25" t="s">
        <v>4089</v>
      </c>
      <c r="H25" t="s">
        <v>4090</v>
      </c>
      <c r="K25" s="31">
        <v>306570.11</v>
      </c>
      <c r="M25" s="31">
        <v>1006669.84</v>
      </c>
      <c r="O25" s="31">
        <v>-700099.73</v>
      </c>
      <c r="Q25">
        <v>-69.5</v>
      </c>
    </row>
    <row r="26" spans="3:18">
      <c r="C26">
        <v>5360</v>
      </c>
      <c r="E26" t="s">
        <v>4091</v>
      </c>
      <c r="H26" t="s">
        <v>4092</v>
      </c>
      <c r="K26" s="31">
        <v>-16852.900000000001</v>
      </c>
      <c r="M26" s="31">
        <v>-127829.64</v>
      </c>
      <c r="O26" s="31">
        <v>110976.74</v>
      </c>
      <c r="Q26">
        <v>86.8</v>
      </c>
    </row>
    <row r="27" spans="3:18">
      <c r="E27" t="s">
        <v>4093</v>
      </c>
      <c r="K27" s="31">
        <v>1522810424.98</v>
      </c>
      <c r="M27" s="31">
        <v>1550287486.3099999</v>
      </c>
      <c r="O27" s="31">
        <v>-27477061.329999998</v>
      </c>
      <c r="Q27">
        <v>-1.8</v>
      </c>
      <c r="R27" t="s">
        <v>658</v>
      </c>
    </row>
    <row r="28" spans="3:18">
      <c r="C28">
        <v>5360</v>
      </c>
      <c r="E28" t="s">
        <v>4094</v>
      </c>
      <c r="H28" t="s">
        <v>4095</v>
      </c>
      <c r="K28" s="31">
        <v>149908736.00999999</v>
      </c>
      <c r="M28" s="31">
        <v>149908736.00999999</v>
      </c>
      <c r="O28">
        <v>0</v>
      </c>
    </row>
    <row r="29" spans="3:18">
      <c r="C29">
        <v>5360</v>
      </c>
      <c r="E29" t="s">
        <v>4096</v>
      </c>
      <c r="H29" t="s">
        <v>4097</v>
      </c>
      <c r="K29" s="31">
        <v>4090026.63</v>
      </c>
      <c r="M29" s="31">
        <v>4090026.63</v>
      </c>
      <c r="O29">
        <v>0</v>
      </c>
    </row>
    <row r="30" spans="3:18">
      <c r="C30">
        <v>5360</v>
      </c>
      <c r="E30" t="s">
        <v>4098</v>
      </c>
      <c r="H30" t="s">
        <v>4099</v>
      </c>
      <c r="K30" s="31">
        <v>18040937.52</v>
      </c>
      <c r="M30" s="31">
        <v>47839736.969999999</v>
      </c>
      <c r="O30" s="31">
        <v>-29798799.449999999</v>
      </c>
      <c r="Q30">
        <v>-62.3</v>
      </c>
    </row>
    <row r="31" spans="3:18">
      <c r="C31">
        <v>5360</v>
      </c>
      <c r="E31" t="s">
        <v>4100</v>
      </c>
      <c r="H31" t="s">
        <v>4101</v>
      </c>
      <c r="K31" s="31">
        <v>-20702.810000000001</v>
      </c>
      <c r="M31" s="31">
        <v>473887.82</v>
      </c>
      <c r="O31" s="31">
        <v>-494590.63</v>
      </c>
      <c r="Q31">
        <v>-104.4</v>
      </c>
    </row>
    <row r="32" spans="3:18">
      <c r="E32" t="s">
        <v>4102</v>
      </c>
      <c r="K32" s="31">
        <v>172018997.34999999</v>
      </c>
      <c r="M32" s="31">
        <v>202312387.43000001</v>
      </c>
      <c r="O32" s="31">
        <v>-30293390.079999998</v>
      </c>
      <c r="Q32">
        <v>-15</v>
      </c>
      <c r="R32" t="s">
        <v>658</v>
      </c>
    </row>
    <row r="33" spans="3:18">
      <c r="E33" t="s">
        <v>4103</v>
      </c>
      <c r="K33" s="31">
        <v>1694829422.3299999</v>
      </c>
      <c r="M33" s="31">
        <v>1752599873.74</v>
      </c>
      <c r="O33" s="31">
        <v>-57770451.409999996</v>
      </c>
      <c r="Q33">
        <v>-3.3</v>
      </c>
      <c r="R33" t="s">
        <v>569</v>
      </c>
    </row>
    <row r="34" spans="3:18">
      <c r="C34">
        <v>5360</v>
      </c>
      <c r="E34" t="s">
        <v>4104</v>
      </c>
      <c r="H34" t="s">
        <v>4105</v>
      </c>
      <c r="K34" s="31">
        <v>-441527589.74000001</v>
      </c>
      <c r="M34" s="31">
        <v>-441527589.74000001</v>
      </c>
      <c r="O34">
        <v>0</v>
      </c>
    </row>
    <row r="35" spans="3:18">
      <c r="C35">
        <v>5360</v>
      </c>
      <c r="E35" t="s">
        <v>4106</v>
      </c>
      <c r="H35" t="s">
        <v>4107</v>
      </c>
      <c r="K35" s="31">
        <v>18321.61</v>
      </c>
      <c r="M35" s="31">
        <v>18321.61</v>
      </c>
      <c r="O35">
        <v>0</v>
      </c>
    </row>
    <row r="36" spans="3:18" s="326" customFormat="1">
      <c r="C36" s="326">
        <v>5360</v>
      </c>
      <c r="E36" s="326" t="s">
        <v>4108</v>
      </c>
      <c r="H36" s="326" t="s">
        <v>4109</v>
      </c>
      <c r="K36" s="419">
        <v>-5037153.3899999997</v>
      </c>
      <c r="M36" s="419">
        <v>-5037153.3899999997</v>
      </c>
      <c r="O36" s="326">
        <v>0</v>
      </c>
    </row>
    <row r="37" spans="3:18">
      <c r="C37">
        <v>5360</v>
      </c>
      <c r="E37" t="s">
        <v>4110</v>
      </c>
      <c r="H37" t="s">
        <v>4111</v>
      </c>
      <c r="K37" s="31">
        <v>-13950982.02</v>
      </c>
      <c r="M37" s="31">
        <v>-13950982.02</v>
      </c>
      <c r="O37">
        <v>0</v>
      </c>
    </row>
    <row r="38" spans="3:18" s="326" customFormat="1">
      <c r="C38" s="326">
        <v>5360</v>
      </c>
      <c r="E38" s="326" t="s">
        <v>4112</v>
      </c>
      <c r="H38" s="326" t="s">
        <v>4113</v>
      </c>
      <c r="K38" s="419">
        <v>103096.24</v>
      </c>
      <c r="M38" s="419">
        <v>103096.24</v>
      </c>
      <c r="O38" s="326">
        <v>0</v>
      </c>
    </row>
    <row r="39" spans="3:18">
      <c r="C39">
        <v>5360</v>
      </c>
      <c r="E39" t="s">
        <v>4114</v>
      </c>
      <c r="H39" t="s">
        <v>4115</v>
      </c>
      <c r="K39" s="31">
        <v>995251.8</v>
      </c>
      <c r="M39" s="31">
        <v>995251.8</v>
      </c>
      <c r="O39">
        <v>0</v>
      </c>
    </row>
    <row r="40" spans="3:18">
      <c r="C40">
        <v>5360</v>
      </c>
      <c r="E40" t="s">
        <v>4116</v>
      </c>
      <c r="H40" t="s">
        <v>4117</v>
      </c>
      <c r="K40" s="31">
        <v>17044187.870000001</v>
      </c>
      <c r="M40" s="31">
        <v>17044187.870000001</v>
      </c>
      <c r="O40">
        <v>0</v>
      </c>
    </row>
    <row r="41" spans="3:18">
      <c r="C41">
        <v>5360</v>
      </c>
      <c r="E41" t="s">
        <v>4118</v>
      </c>
      <c r="H41" t="s">
        <v>4119</v>
      </c>
      <c r="K41" s="31">
        <v>-82085.81</v>
      </c>
      <c r="M41" s="31">
        <v>-82085.81</v>
      </c>
      <c r="O41">
        <v>0</v>
      </c>
    </row>
    <row r="42" spans="3:18">
      <c r="C42">
        <v>5360</v>
      </c>
      <c r="E42" t="s">
        <v>4120</v>
      </c>
      <c r="H42" t="s">
        <v>4121</v>
      </c>
      <c r="K42" s="31">
        <v>-11993084.98</v>
      </c>
      <c r="M42" s="31">
        <v>-24387384.719999999</v>
      </c>
      <c r="O42" s="31">
        <v>12394299.74</v>
      </c>
      <c r="Q42">
        <v>50.8</v>
      </c>
    </row>
    <row r="43" spans="3:18" s="326" customFormat="1">
      <c r="C43" s="326">
        <v>5360</v>
      </c>
      <c r="E43" s="326" t="s">
        <v>4122</v>
      </c>
      <c r="H43" s="326" t="s">
        <v>4109</v>
      </c>
      <c r="K43" s="419">
        <v>-18646.11</v>
      </c>
      <c r="M43" s="419">
        <v>-30511.8</v>
      </c>
      <c r="O43" s="419">
        <v>11865.69</v>
      </c>
      <c r="Q43" s="326">
        <v>38.9</v>
      </c>
    </row>
    <row r="44" spans="3:18">
      <c r="C44">
        <v>5360</v>
      </c>
      <c r="E44" t="s">
        <v>4123</v>
      </c>
      <c r="H44" t="s">
        <v>4124</v>
      </c>
      <c r="K44" s="31">
        <v>-258829.5</v>
      </c>
      <c r="M44" s="31">
        <v>-520429.29</v>
      </c>
      <c r="O44" s="31">
        <v>261599.79</v>
      </c>
      <c r="Q44">
        <v>50.3</v>
      </c>
    </row>
    <row r="45" spans="3:18">
      <c r="C45">
        <v>5360</v>
      </c>
      <c r="E45" t="s">
        <v>4125</v>
      </c>
      <c r="H45" t="s">
        <v>4126</v>
      </c>
      <c r="K45" s="31">
        <v>-33760.11</v>
      </c>
      <c r="M45" s="31">
        <v>-67497.62</v>
      </c>
      <c r="O45" s="31">
        <v>33737.51</v>
      </c>
      <c r="Q45">
        <v>50</v>
      </c>
    </row>
    <row r="46" spans="3:18">
      <c r="C46">
        <v>5360</v>
      </c>
      <c r="E46" t="s">
        <v>4127</v>
      </c>
      <c r="H46" t="s">
        <v>4128</v>
      </c>
      <c r="K46" s="31">
        <v>-18321.599999999999</v>
      </c>
      <c r="M46" s="31">
        <v>-18321.599999999999</v>
      </c>
      <c r="O46">
        <v>0</v>
      </c>
    </row>
    <row r="47" spans="3:18">
      <c r="C47">
        <v>5360</v>
      </c>
      <c r="E47" t="s">
        <v>4129</v>
      </c>
      <c r="H47" t="s">
        <v>4130</v>
      </c>
      <c r="K47">
        <v>0</v>
      </c>
      <c r="M47" s="31">
        <v>-268213.28000000003</v>
      </c>
      <c r="O47" s="31">
        <v>268213.28000000003</v>
      </c>
      <c r="Q47">
        <v>100</v>
      </c>
    </row>
    <row r="48" spans="3:18">
      <c r="C48">
        <v>5360</v>
      </c>
      <c r="E48" t="s">
        <v>4131</v>
      </c>
      <c r="H48" t="s">
        <v>4130</v>
      </c>
      <c r="K48" s="31">
        <v>3590493.3</v>
      </c>
      <c r="M48" s="31">
        <v>7415376.25</v>
      </c>
      <c r="O48" s="31">
        <v>-3824882.95</v>
      </c>
      <c r="Q48">
        <v>-51.6</v>
      </c>
    </row>
    <row r="49" spans="3:18">
      <c r="C49">
        <v>5360</v>
      </c>
      <c r="E49" t="s">
        <v>4132</v>
      </c>
      <c r="H49" t="s">
        <v>4133</v>
      </c>
      <c r="K49" s="31">
        <v>1192809.8700000001</v>
      </c>
      <c r="M49" s="31">
        <v>2000718.39</v>
      </c>
      <c r="O49" s="31">
        <v>-807908.52</v>
      </c>
      <c r="Q49">
        <v>-40.4</v>
      </c>
    </row>
    <row r="50" spans="3:18" s="326" customFormat="1">
      <c r="C50" s="326">
        <v>5360</v>
      </c>
      <c r="E50" s="326" t="s">
        <v>4134</v>
      </c>
      <c r="H50" s="326" t="s">
        <v>4109</v>
      </c>
      <c r="K50" s="419">
        <v>46962.01</v>
      </c>
      <c r="M50" s="419">
        <v>57303.87</v>
      </c>
      <c r="O50" s="419">
        <v>-10341.86</v>
      </c>
      <c r="Q50" s="326">
        <v>-18</v>
      </c>
    </row>
    <row r="51" spans="3:18">
      <c r="C51">
        <v>5360</v>
      </c>
      <c r="E51" t="s">
        <v>4136</v>
      </c>
      <c r="H51" t="s">
        <v>4137</v>
      </c>
      <c r="K51">
        <v>0</v>
      </c>
      <c r="M51" s="31">
        <v>2032.81</v>
      </c>
      <c r="O51" s="31">
        <v>-2032.81</v>
      </c>
      <c r="Q51">
        <v>-100</v>
      </c>
    </row>
    <row r="52" spans="3:18">
      <c r="C52">
        <v>5360</v>
      </c>
      <c r="E52" t="s">
        <v>4138</v>
      </c>
      <c r="H52" t="s">
        <v>4139</v>
      </c>
      <c r="K52" s="31">
        <v>3372559.91</v>
      </c>
      <c r="M52" s="31">
        <v>5423629.8600000003</v>
      </c>
      <c r="O52" s="31">
        <v>-2051069.95</v>
      </c>
      <c r="Q52">
        <v>-37.799999999999997</v>
      </c>
    </row>
    <row r="53" spans="3:18">
      <c r="C53">
        <v>5360</v>
      </c>
      <c r="E53" t="s">
        <v>4140</v>
      </c>
      <c r="H53" t="s">
        <v>4141</v>
      </c>
      <c r="K53" s="31">
        <v>-3376149.95</v>
      </c>
      <c r="M53" s="31">
        <v>-5427219.9000000004</v>
      </c>
      <c r="O53" s="31">
        <v>2051069.95</v>
      </c>
      <c r="Q53">
        <v>37.799999999999997</v>
      </c>
    </row>
    <row r="54" spans="3:18">
      <c r="C54">
        <v>5360</v>
      </c>
      <c r="E54" t="s">
        <v>4142</v>
      </c>
      <c r="H54" t="s">
        <v>4143</v>
      </c>
      <c r="K54" s="31">
        <v>3590.04</v>
      </c>
      <c r="M54" s="31">
        <v>3590.04</v>
      </c>
      <c r="O54">
        <v>0</v>
      </c>
    </row>
    <row r="55" spans="3:18">
      <c r="C55">
        <v>5360</v>
      </c>
      <c r="E55" t="s">
        <v>4144</v>
      </c>
      <c r="H55" t="s">
        <v>4145</v>
      </c>
      <c r="K55" s="31">
        <v>156590033.78</v>
      </c>
      <c r="M55" s="31">
        <v>157038625.91999999</v>
      </c>
      <c r="O55" s="31">
        <v>-448592.14</v>
      </c>
      <c r="Q55">
        <v>-0.3</v>
      </c>
    </row>
    <row r="56" spans="3:18">
      <c r="C56">
        <v>5360</v>
      </c>
      <c r="E56" t="s">
        <v>4146</v>
      </c>
      <c r="H56" t="s">
        <v>4117</v>
      </c>
      <c r="K56" s="31">
        <v>1085656.3</v>
      </c>
      <c r="M56" s="31">
        <v>1085656.3</v>
      </c>
      <c r="O56">
        <v>0</v>
      </c>
    </row>
    <row r="57" spans="3:18">
      <c r="C57">
        <v>5360</v>
      </c>
      <c r="E57" t="s">
        <v>4147</v>
      </c>
      <c r="H57" t="s">
        <v>4148</v>
      </c>
      <c r="K57" s="31">
        <v>9463.18</v>
      </c>
      <c r="M57" s="31">
        <v>9463.18</v>
      </c>
      <c r="O57">
        <v>0</v>
      </c>
    </row>
    <row r="58" spans="3:18">
      <c r="C58">
        <v>5360</v>
      </c>
      <c r="E58" t="s">
        <v>4149</v>
      </c>
      <c r="H58" t="s">
        <v>4150</v>
      </c>
      <c r="K58" s="31">
        <v>-6658653.0899999999</v>
      </c>
      <c r="M58" s="31">
        <v>-6658653.0899999999</v>
      </c>
      <c r="O58">
        <v>0</v>
      </c>
    </row>
    <row r="59" spans="3:18">
      <c r="C59">
        <v>5360</v>
      </c>
      <c r="E59" t="s">
        <v>4151</v>
      </c>
      <c r="H59" t="s">
        <v>4119</v>
      </c>
      <c r="K59" s="31">
        <v>-156590033.78</v>
      </c>
      <c r="M59" s="31">
        <v>-157038625.91999999</v>
      </c>
      <c r="O59" s="31">
        <v>448592.14</v>
      </c>
      <c r="Q59">
        <v>0.3</v>
      </c>
    </row>
    <row r="60" spans="3:18">
      <c r="C60">
        <v>5360</v>
      </c>
      <c r="E60" t="s">
        <v>4152</v>
      </c>
      <c r="H60" t="s">
        <v>4153</v>
      </c>
      <c r="K60" s="31">
        <v>1214.0999999999999</v>
      </c>
      <c r="M60" s="31">
        <v>2441.67</v>
      </c>
      <c r="O60" s="31">
        <v>-1227.57</v>
      </c>
      <c r="Q60">
        <v>-50.3</v>
      </c>
    </row>
    <row r="61" spans="3:18">
      <c r="C61">
        <v>5360</v>
      </c>
      <c r="E61" t="s">
        <v>4154</v>
      </c>
      <c r="H61" t="s">
        <v>4155</v>
      </c>
      <c r="K61" s="31">
        <v>-779305.74</v>
      </c>
      <c r="M61" s="31">
        <v>-1511091.4</v>
      </c>
      <c r="O61" s="31">
        <v>731785.66</v>
      </c>
      <c r="Q61">
        <v>48.4</v>
      </c>
    </row>
    <row r="62" spans="3:18">
      <c r="C62">
        <v>5360</v>
      </c>
      <c r="E62" t="s">
        <v>4156</v>
      </c>
      <c r="H62" t="s">
        <v>4130</v>
      </c>
      <c r="K62" s="31">
        <v>32409.7</v>
      </c>
      <c r="M62" s="31">
        <v>33940.080000000002</v>
      </c>
      <c r="O62" s="31">
        <v>-1530.38</v>
      </c>
      <c r="Q62">
        <v>-4.5</v>
      </c>
    </row>
    <row r="63" spans="3:18">
      <c r="C63">
        <v>5360</v>
      </c>
      <c r="E63" t="s">
        <v>4157</v>
      </c>
      <c r="H63" t="s">
        <v>4158</v>
      </c>
      <c r="K63" s="31">
        <v>13085.6</v>
      </c>
      <c r="M63" s="31">
        <v>89848.37</v>
      </c>
      <c r="O63" s="31">
        <v>-76762.77</v>
      </c>
      <c r="Q63">
        <v>-85.4</v>
      </c>
    </row>
    <row r="64" spans="3:18">
      <c r="E64" t="s">
        <v>4159</v>
      </c>
      <c r="K64" s="31">
        <v>-456225460.50999999</v>
      </c>
      <c r="M64" s="31">
        <v>-465202275.31999999</v>
      </c>
      <c r="O64" s="31">
        <v>8976814.8100000005</v>
      </c>
      <c r="Q64">
        <v>1.9</v>
      </c>
      <c r="R64" t="s">
        <v>658</v>
      </c>
    </row>
    <row r="65" spans="3:18">
      <c r="C65">
        <v>5360</v>
      </c>
      <c r="E65" t="s">
        <v>4160</v>
      </c>
      <c r="H65" t="s">
        <v>4161</v>
      </c>
      <c r="K65" s="31">
        <v>-19833570.02</v>
      </c>
      <c r="M65" s="31">
        <v>-19833570.02</v>
      </c>
      <c r="O65">
        <v>0</v>
      </c>
    </row>
    <row r="66" spans="3:18">
      <c r="E66" t="s">
        <v>4162</v>
      </c>
      <c r="K66" s="31">
        <v>-19833570.02</v>
      </c>
      <c r="M66" s="31">
        <v>-19833570.02</v>
      </c>
      <c r="O66">
        <v>0</v>
      </c>
      <c r="R66" t="s">
        <v>658</v>
      </c>
    </row>
    <row r="67" spans="3:18">
      <c r="E67" t="s">
        <v>4163</v>
      </c>
      <c r="K67" s="31">
        <v>-476059030.52999997</v>
      </c>
      <c r="M67" s="31">
        <v>-485035845.33999997</v>
      </c>
      <c r="O67" s="31">
        <v>8976814.8100000005</v>
      </c>
      <c r="Q67">
        <v>1.9</v>
      </c>
      <c r="R67" t="s">
        <v>569</v>
      </c>
    </row>
    <row r="68" spans="3:18">
      <c r="E68" t="s">
        <v>4164</v>
      </c>
      <c r="K68" s="31">
        <v>1218770391.8</v>
      </c>
      <c r="M68" s="31">
        <v>1267564028.4000001</v>
      </c>
      <c r="O68" s="31">
        <v>-48793636.600000001</v>
      </c>
      <c r="Q68">
        <v>-3.8</v>
      </c>
      <c r="R68" t="s">
        <v>611</v>
      </c>
    </row>
    <row r="70" spans="3:18">
      <c r="C70">
        <v>5360</v>
      </c>
      <c r="E70" t="s">
        <v>4165</v>
      </c>
      <c r="H70" t="s">
        <v>4166</v>
      </c>
      <c r="K70" s="31">
        <v>354598.6</v>
      </c>
      <c r="M70" s="31">
        <v>354598.6</v>
      </c>
      <c r="O70">
        <v>0</v>
      </c>
    </row>
    <row r="71" spans="3:18">
      <c r="C71">
        <v>5360</v>
      </c>
      <c r="E71" t="s">
        <v>4167</v>
      </c>
      <c r="H71" t="s">
        <v>4168</v>
      </c>
      <c r="K71" s="31">
        <v>-25307613.530000001</v>
      </c>
      <c r="M71" s="31">
        <v>-25307613.530000001</v>
      </c>
      <c r="O71">
        <v>0</v>
      </c>
    </row>
    <row r="72" spans="3:18">
      <c r="C72">
        <v>5360</v>
      </c>
      <c r="E72" t="s">
        <v>4169</v>
      </c>
      <c r="H72" t="s">
        <v>4170</v>
      </c>
      <c r="K72" s="31">
        <v>85846541.260000005</v>
      </c>
      <c r="M72" s="31">
        <v>85846541.260000005</v>
      </c>
      <c r="O72">
        <v>0</v>
      </c>
    </row>
    <row r="73" spans="3:18">
      <c r="C73">
        <v>5360</v>
      </c>
      <c r="E73" t="s">
        <v>4171</v>
      </c>
      <c r="H73" t="s">
        <v>4172</v>
      </c>
      <c r="K73" s="31">
        <v>-131934.84</v>
      </c>
      <c r="M73" s="31">
        <v>-131934.84</v>
      </c>
      <c r="O73">
        <v>0</v>
      </c>
    </row>
    <row r="74" spans="3:18">
      <c r="C74">
        <v>5360</v>
      </c>
      <c r="E74" t="s">
        <v>4173</v>
      </c>
      <c r="H74" t="s">
        <v>4174</v>
      </c>
      <c r="K74" s="31">
        <v>40396954.039999999</v>
      </c>
      <c r="M74" s="31">
        <v>87621570.590000004</v>
      </c>
      <c r="O74" s="31">
        <v>-47224616.549999997</v>
      </c>
      <c r="Q74">
        <v>-53.9</v>
      </c>
    </row>
    <row r="75" spans="3:18">
      <c r="C75">
        <v>5360</v>
      </c>
      <c r="E75" t="s">
        <v>4175</v>
      </c>
      <c r="H75" t="s">
        <v>4176</v>
      </c>
      <c r="K75" s="31">
        <v>-1150172.68</v>
      </c>
      <c r="M75" s="31">
        <v>-976605.26</v>
      </c>
      <c r="O75" s="31">
        <v>-173567.42</v>
      </c>
      <c r="Q75">
        <v>-17.8</v>
      </c>
    </row>
    <row r="76" spans="3:18">
      <c r="C76">
        <v>5360</v>
      </c>
      <c r="E76" t="s">
        <v>4177</v>
      </c>
      <c r="H76" t="s">
        <v>4178</v>
      </c>
      <c r="K76" s="31">
        <v>3773770.06</v>
      </c>
      <c r="M76" s="31">
        <v>2671881.9</v>
      </c>
      <c r="O76" s="31">
        <v>1101888.1599999999</v>
      </c>
      <c r="Q76">
        <v>41.2</v>
      </c>
    </row>
    <row r="77" spans="3:18">
      <c r="C77">
        <v>5360</v>
      </c>
      <c r="E77" t="s">
        <v>4179</v>
      </c>
      <c r="H77" t="s">
        <v>4180</v>
      </c>
      <c r="K77" s="31">
        <v>24517.67</v>
      </c>
      <c r="M77" s="31">
        <v>51834.16</v>
      </c>
      <c r="O77" s="31">
        <v>-27316.49</v>
      </c>
      <c r="Q77">
        <v>-52.7</v>
      </c>
    </row>
    <row r="78" spans="3:18">
      <c r="C78">
        <v>5360</v>
      </c>
      <c r="E78" t="s">
        <v>4181</v>
      </c>
      <c r="H78" t="s">
        <v>4182</v>
      </c>
      <c r="K78" s="31">
        <v>-42909047.039999999</v>
      </c>
      <c r="M78" s="31">
        <v>-100901085.39</v>
      </c>
      <c r="O78" s="31">
        <v>57992038.350000001</v>
      </c>
      <c r="Q78">
        <v>57.5</v>
      </c>
    </row>
    <row r="79" spans="3:18">
      <c r="E79" t="s">
        <v>4183</v>
      </c>
      <c r="K79" s="31">
        <v>60897613.539999999</v>
      </c>
      <c r="M79" s="31">
        <v>49229187.490000002</v>
      </c>
      <c r="O79" s="31">
        <v>11668426.050000001</v>
      </c>
      <c r="Q79">
        <v>23.7</v>
      </c>
      <c r="R79" t="s">
        <v>569</v>
      </c>
    </row>
    <row r="80" spans="3:18">
      <c r="E80" t="s">
        <v>4183</v>
      </c>
      <c r="K80" s="31">
        <v>60897613.539999999</v>
      </c>
      <c r="M80" s="31">
        <v>49229187.490000002</v>
      </c>
      <c r="O80" s="31">
        <v>11668426.050000001</v>
      </c>
      <c r="Q80">
        <v>23.7</v>
      </c>
      <c r="R80" t="s">
        <v>611</v>
      </c>
    </row>
    <row r="82" spans="3:18">
      <c r="E82" t="s">
        <v>4184</v>
      </c>
      <c r="K82" s="31">
        <v>1279668005.3399999</v>
      </c>
      <c r="M82" s="31">
        <v>1316793215.8900001</v>
      </c>
      <c r="O82" s="31">
        <v>-37125210.549999997</v>
      </c>
      <c r="Q82">
        <v>-2.8</v>
      </c>
      <c r="R82" t="s">
        <v>930</v>
      </c>
    </row>
    <row r="84" spans="3:18">
      <c r="C84">
        <v>5360</v>
      </c>
      <c r="E84" t="s">
        <v>4185</v>
      </c>
      <c r="H84" t="s">
        <v>4186</v>
      </c>
      <c r="K84" s="31">
        <v>235058056.38999999</v>
      </c>
      <c r="M84" s="31">
        <v>235058056.38999999</v>
      </c>
      <c r="O84">
        <v>0</v>
      </c>
    </row>
    <row r="85" spans="3:18">
      <c r="E85" t="s">
        <v>4187</v>
      </c>
      <c r="K85" s="31">
        <v>235058056.38999999</v>
      </c>
      <c r="M85" s="31">
        <v>235058056.38999999</v>
      </c>
      <c r="O85">
        <v>0</v>
      </c>
      <c r="R85" t="s">
        <v>611</v>
      </c>
    </row>
    <row r="87" spans="3:18">
      <c r="E87" t="s">
        <v>4188</v>
      </c>
      <c r="K87" s="31">
        <v>235058056.38999999</v>
      </c>
      <c r="M87" s="31">
        <v>235058056.38999999</v>
      </c>
      <c r="O87">
        <v>0</v>
      </c>
      <c r="R87" t="s">
        <v>930</v>
      </c>
    </row>
    <row r="89" spans="3:18">
      <c r="C89">
        <v>5360</v>
      </c>
      <c r="E89" t="s">
        <v>4189</v>
      </c>
      <c r="H89" t="s">
        <v>4190</v>
      </c>
      <c r="K89" s="31">
        <v>4041036.52</v>
      </c>
      <c r="M89" s="31">
        <v>4041036.52</v>
      </c>
      <c r="O89">
        <v>0</v>
      </c>
    </row>
    <row r="90" spans="3:18">
      <c r="E90" t="s">
        <v>4191</v>
      </c>
      <c r="K90" s="31">
        <v>4041036.52</v>
      </c>
      <c r="M90" s="31">
        <v>4041036.52</v>
      </c>
      <c r="O90">
        <v>0</v>
      </c>
      <c r="R90" t="s">
        <v>658</v>
      </c>
    </row>
    <row r="91" spans="3:18">
      <c r="E91" t="s">
        <v>4192</v>
      </c>
      <c r="K91" s="31">
        <v>4041036.52</v>
      </c>
      <c r="M91" s="31">
        <v>4041036.52</v>
      </c>
      <c r="O91">
        <v>0</v>
      </c>
      <c r="R91" t="s">
        <v>569</v>
      </c>
    </row>
    <row r="92" spans="3:18">
      <c r="E92" t="s">
        <v>4193</v>
      </c>
      <c r="K92" s="31">
        <v>4041036.52</v>
      </c>
      <c r="M92" s="31">
        <v>4041036.52</v>
      </c>
      <c r="O92">
        <v>0</v>
      </c>
      <c r="R92" t="s">
        <v>611</v>
      </c>
    </row>
    <row r="94" spans="3:18">
      <c r="C94">
        <v>5360</v>
      </c>
      <c r="E94" t="s">
        <v>4194</v>
      </c>
      <c r="H94" t="s">
        <v>4195</v>
      </c>
      <c r="K94" s="31">
        <v>57495</v>
      </c>
      <c r="M94" s="31">
        <v>57495</v>
      </c>
      <c r="O94">
        <v>0</v>
      </c>
    </row>
    <row r="95" spans="3:18">
      <c r="E95" t="s">
        <v>4196</v>
      </c>
      <c r="K95" s="31">
        <v>57495</v>
      </c>
      <c r="M95" s="31">
        <v>57495</v>
      </c>
      <c r="O95">
        <v>0</v>
      </c>
      <c r="R95" t="s">
        <v>611</v>
      </c>
    </row>
    <row r="97" spans="3:18">
      <c r="C97">
        <v>5360</v>
      </c>
      <c r="E97" t="s">
        <v>4197</v>
      </c>
      <c r="H97" t="s">
        <v>4198</v>
      </c>
      <c r="K97" s="31">
        <v>-50039.18</v>
      </c>
      <c r="M97" s="31">
        <v>-50039.18</v>
      </c>
      <c r="O97">
        <v>0</v>
      </c>
    </row>
    <row r="98" spans="3:18">
      <c r="C98">
        <v>5360</v>
      </c>
      <c r="E98" t="s">
        <v>5969</v>
      </c>
      <c r="H98" t="s">
        <v>5970</v>
      </c>
      <c r="K98" s="31">
        <v>452657.94</v>
      </c>
      <c r="M98" s="31">
        <v>452657.94</v>
      </c>
      <c r="O98">
        <v>0</v>
      </c>
    </row>
    <row r="99" spans="3:18">
      <c r="C99">
        <v>5360</v>
      </c>
      <c r="E99" t="s">
        <v>5971</v>
      </c>
      <c r="H99" t="s">
        <v>5972</v>
      </c>
      <c r="K99" s="31">
        <v>-90417.46</v>
      </c>
      <c r="M99" s="31">
        <v>-90417.46</v>
      </c>
      <c r="O99">
        <v>0</v>
      </c>
    </row>
    <row r="100" spans="3:18">
      <c r="E100" t="s">
        <v>909</v>
      </c>
      <c r="K100" s="31">
        <v>312201.3</v>
      </c>
      <c r="M100" s="31">
        <v>312201.3</v>
      </c>
      <c r="O100">
        <v>0</v>
      </c>
      <c r="R100" t="s">
        <v>611</v>
      </c>
    </row>
    <row r="102" spans="3:18">
      <c r="C102">
        <v>5360</v>
      </c>
      <c r="E102" t="s">
        <v>4215</v>
      </c>
      <c r="H102" t="s">
        <v>4216</v>
      </c>
      <c r="K102" s="31">
        <v>5291459.32</v>
      </c>
      <c r="M102" s="31">
        <v>15650730.789999999</v>
      </c>
      <c r="O102" s="31">
        <v>-10359271.470000001</v>
      </c>
      <c r="Q102">
        <v>-66.2</v>
      </c>
    </row>
    <row r="103" spans="3:18">
      <c r="E103" t="s">
        <v>4217</v>
      </c>
      <c r="K103" s="31">
        <v>5291459.32</v>
      </c>
      <c r="M103" s="31">
        <v>15650730.789999999</v>
      </c>
      <c r="O103" s="31">
        <v>-10359271.470000001</v>
      </c>
      <c r="Q103">
        <v>-66.2</v>
      </c>
      <c r="R103" t="s">
        <v>611</v>
      </c>
    </row>
    <row r="105" spans="3:18">
      <c r="E105" t="s">
        <v>4218</v>
      </c>
      <c r="K105" s="31">
        <v>9702192.1400000006</v>
      </c>
      <c r="M105" s="31">
        <v>20061463.609999999</v>
      </c>
      <c r="O105" s="31">
        <v>-10359271.470000001</v>
      </c>
      <c r="Q105">
        <v>-51.6</v>
      </c>
      <c r="R105" t="s">
        <v>930</v>
      </c>
    </row>
    <row r="107" spans="3:18">
      <c r="C107">
        <v>5360</v>
      </c>
      <c r="E107" t="s">
        <v>4219</v>
      </c>
      <c r="H107" t="s">
        <v>4220</v>
      </c>
      <c r="K107" s="31">
        <v>-8914735.4100000001</v>
      </c>
      <c r="M107" s="31">
        <v>-47957212.350000001</v>
      </c>
      <c r="O107" s="31">
        <v>39042476.939999998</v>
      </c>
      <c r="Q107">
        <v>81.400000000000006</v>
      </c>
    </row>
    <row r="108" spans="3:18">
      <c r="E108" t="s">
        <v>4221</v>
      </c>
      <c r="K108" s="31">
        <v>-8914735.4100000001</v>
      </c>
      <c r="M108" s="31">
        <v>-47957212.350000001</v>
      </c>
      <c r="O108" s="31">
        <v>39042476.939999998</v>
      </c>
      <c r="Q108">
        <v>81.400000000000006</v>
      </c>
      <c r="R108" t="s">
        <v>569</v>
      </c>
    </row>
    <row r="109" spans="3:18">
      <c r="E109" t="s">
        <v>4222</v>
      </c>
      <c r="K109" s="31">
        <v>-8914735.4100000001</v>
      </c>
      <c r="M109" s="31">
        <v>-47957212.350000001</v>
      </c>
      <c r="O109" s="31">
        <v>39042476.939999998</v>
      </c>
      <c r="Q109">
        <v>81.400000000000006</v>
      </c>
      <c r="R109" t="s">
        <v>611</v>
      </c>
    </row>
    <row r="111" spans="3:18">
      <c r="C111">
        <v>5360</v>
      </c>
      <c r="E111" t="s">
        <v>3668</v>
      </c>
      <c r="H111" t="s">
        <v>3603</v>
      </c>
      <c r="K111" s="31">
        <v>73581068.379999995</v>
      </c>
      <c r="M111" s="31">
        <v>64518514.030000001</v>
      </c>
      <c r="O111" s="31">
        <v>9062554.3499999996</v>
      </c>
      <c r="Q111">
        <v>14</v>
      </c>
    </row>
    <row r="112" spans="3:18">
      <c r="C112">
        <v>5360</v>
      </c>
      <c r="E112" t="s">
        <v>4223</v>
      </c>
      <c r="H112" t="s">
        <v>4224</v>
      </c>
      <c r="K112" s="31">
        <v>-70487.23</v>
      </c>
      <c r="M112" s="31">
        <v>-70487.23</v>
      </c>
      <c r="O112">
        <v>0</v>
      </c>
    </row>
    <row r="113" spans="3:18">
      <c r="C113">
        <v>5360</v>
      </c>
      <c r="E113" t="s">
        <v>4225</v>
      </c>
      <c r="H113" t="s">
        <v>4226</v>
      </c>
      <c r="K113" s="31">
        <v>502045.47</v>
      </c>
      <c r="M113" s="31">
        <v>37211.279999999999</v>
      </c>
      <c r="O113" s="31">
        <v>464834.19</v>
      </c>
      <c r="Q113">
        <v>1249.2</v>
      </c>
    </row>
    <row r="114" spans="3:18">
      <c r="C114">
        <v>5360</v>
      </c>
      <c r="E114" t="s">
        <v>4227</v>
      </c>
      <c r="H114" t="s">
        <v>4228</v>
      </c>
      <c r="K114">
        <v>-0.06</v>
      </c>
      <c r="M114">
        <v>-0.06</v>
      </c>
      <c r="O114">
        <v>0</v>
      </c>
    </row>
    <row r="115" spans="3:18">
      <c r="C115">
        <v>5360</v>
      </c>
      <c r="E115" t="s">
        <v>4229</v>
      </c>
      <c r="H115" t="s">
        <v>4230</v>
      </c>
      <c r="K115">
        <v>190</v>
      </c>
      <c r="M115" s="31">
        <v>-4303.6499999999996</v>
      </c>
      <c r="O115" s="31">
        <v>4493.6499999999996</v>
      </c>
      <c r="Q115">
        <v>104.4</v>
      </c>
    </row>
    <row r="116" spans="3:18">
      <c r="C116">
        <v>5360</v>
      </c>
      <c r="E116" t="s">
        <v>5973</v>
      </c>
      <c r="H116" t="s">
        <v>5974</v>
      </c>
      <c r="K116" s="31">
        <v>-20863.79</v>
      </c>
      <c r="M116" s="31">
        <v>-20863.79</v>
      </c>
      <c r="O116">
        <v>0</v>
      </c>
    </row>
    <row r="117" spans="3:18">
      <c r="C117">
        <v>5360</v>
      </c>
      <c r="E117" t="s">
        <v>4232</v>
      </c>
      <c r="H117" t="s">
        <v>4233</v>
      </c>
      <c r="K117">
        <v>-0.23</v>
      </c>
      <c r="M117">
        <v>-0.23</v>
      </c>
      <c r="O117">
        <v>0</v>
      </c>
    </row>
    <row r="118" spans="3:18">
      <c r="C118">
        <v>5360</v>
      </c>
      <c r="E118" t="s">
        <v>4234</v>
      </c>
      <c r="H118" t="s">
        <v>4235</v>
      </c>
      <c r="K118" s="31">
        <v>-902693.97</v>
      </c>
      <c r="M118" s="31">
        <v>-902693.97</v>
      </c>
      <c r="O118">
        <v>0</v>
      </c>
    </row>
    <row r="119" spans="3:18">
      <c r="E119" t="s">
        <v>4236</v>
      </c>
      <c r="K119" s="31">
        <v>73089258.569999993</v>
      </c>
      <c r="M119" s="31">
        <v>63557376.380000003</v>
      </c>
      <c r="O119" s="31">
        <v>9531882.1899999995</v>
      </c>
      <c r="Q119">
        <v>15</v>
      </c>
      <c r="R119" t="s">
        <v>611</v>
      </c>
    </row>
    <row r="121" spans="3:18">
      <c r="C121">
        <v>5360</v>
      </c>
      <c r="E121" t="s">
        <v>4237</v>
      </c>
      <c r="H121" t="s">
        <v>4238</v>
      </c>
      <c r="K121" s="31">
        <v>2438.33</v>
      </c>
      <c r="M121" s="31">
        <v>2462.56</v>
      </c>
      <c r="O121">
        <v>-24.23</v>
      </c>
      <c r="Q121">
        <v>-1</v>
      </c>
    </row>
    <row r="122" spans="3:18">
      <c r="C122">
        <v>5360</v>
      </c>
      <c r="E122" t="s">
        <v>4239</v>
      </c>
      <c r="H122" t="s">
        <v>4240</v>
      </c>
      <c r="K122" s="31">
        <v>815937.56</v>
      </c>
      <c r="M122" s="31">
        <v>2735089.31</v>
      </c>
      <c r="O122" s="31">
        <v>-1919151.75</v>
      </c>
      <c r="Q122">
        <v>-70.2</v>
      </c>
    </row>
    <row r="123" spans="3:18">
      <c r="C123">
        <v>5360</v>
      </c>
      <c r="E123" t="s">
        <v>4241</v>
      </c>
      <c r="H123" t="s">
        <v>4242</v>
      </c>
      <c r="K123" s="31">
        <v>3238942.03</v>
      </c>
      <c r="M123" s="31">
        <v>3238942.03</v>
      </c>
      <c r="O123">
        <v>0</v>
      </c>
    </row>
    <row r="124" spans="3:18">
      <c r="C124">
        <v>5360</v>
      </c>
      <c r="E124" t="s">
        <v>4243</v>
      </c>
      <c r="H124" t="s">
        <v>4244</v>
      </c>
      <c r="K124" s="31">
        <v>238955.46</v>
      </c>
      <c r="M124" s="31">
        <v>250961.69</v>
      </c>
      <c r="O124" s="31">
        <v>-12006.23</v>
      </c>
      <c r="Q124">
        <v>-4.8</v>
      </c>
    </row>
    <row r="125" spans="3:18">
      <c r="C125">
        <v>5360</v>
      </c>
      <c r="E125" t="s">
        <v>4245</v>
      </c>
      <c r="H125" t="s">
        <v>4246</v>
      </c>
      <c r="K125" s="31">
        <v>-37247.449999999997</v>
      </c>
      <c r="M125" s="31">
        <v>-33077.71</v>
      </c>
      <c r="O125" s="31">
        <v>-4169.74</v>
      </c>
      <c r="Q125">
        <v>-12.6</v>
      </c>
    </row>
    <row r="126" spans="3:18">
      <c r="C126">
        <v>5360</v>
      </c>
      <c r="E126" t="s">
        <v>4247</v>
      </c>
      <c r="H126" t="s">
        <v>4248</v>
      </c>
      <c r="K126" s="31">
        <v>-1734</v>
      </c>
      <c r="M126" s="31">
        <v>-1734</v>
      </c>
      <c r="O126">
        <v>0</v>
      </c>
    </row>
    <row r="127" spans="3:18">
      <c r="C127">
        <v>5360</v>
      </c>
      <c r="E127" t="s">
        <v>4249</v>
      </c>
      <c r="H127" t="s">
        <v>4250</v>
      </c>
      <c r="K127" s="31">
        <v>-67697.98</v>
      </c>
      <c r="M127" s="31">
        <v>-71916.59</v>
      </c>
      <c r="O127" s="31">
        <v>4218.6099999999997</v>
      </c>
      <c r="Q127">
        <v>5.9</v>
      </c>
    </row>
    <row r="128" spans="3:18">
      <c r="C128">
        <v>5360</v>
      </c>
      <c r="E128" t="s">
        <v>4251</v>
      </c>
      <c r="H128" t="s">
        <v>4252</v>
      </c>
      <c r="K128" s="31">
        <v>1240</v>
      </c>
      <c r="M128" s="31">
        <v>1240</v>
      </c>
      <c r="O128">
        <v>0</v>
      </c>
    </row>
    <row r="129" spans="3:18">
      <c r="C129">
        <v>5360</v>
      </c>
      <c r="E129" t="s">
        <v>4253</v>
      </c>
      <c r="H129" t="s">
        <v>4254</v>
      </c>
      <c r="K129" s="31">
        <v>770801.28</v>
      </c>
      <c r="M129" s="31">
        <v>800586.25</v>
      </c>
      <c r="O129" s="31">
        <v>-29784.97</v>
      </c>
      <c r="Q129">
        <v>-3.7</v>
      </c>
    </row>
    <row r="130" spans="3:18">
      <c r="C130">
        <v>5360</v>
      </c>
      <c r="E130" t="s">
        <v>4255</v>
      </c>
      <c r="H130" t="s">
        <v>4256</v>
      </c>
      <c r="K130" s="31">
        <v>126373.14</v>
      </c>
      <c r="M130" s="31">
        <v>127057.28</v>
      </c>
      <c r="O130">
        <v>-684.14</v>
      </c>
      <c r="Q130">
        <v>-0.5</v>
      </c>
    </row>
    <row r="131" spans="3:18">
      <c r="C131">
        <v>5360</v>
      </c>
      <c r="E131" t="s">
        <v>4257</v>
      </c>
      <c r="H131" t="s">
        <v>4258</v>
      </c>
      <c r="K131" s="31">
        <v>42049.599999999999</v>
      </c>
      <c r="M131" s="31">
        <v>47233.43</v>
      </c>
      <c r="O131" s="31">
        <v>-5183.83</v>
      </c>
      <c r="Q131">
        <v>-11</v>
      </c>
    </row>
    <row r="132" spans="3:18">
      <c r="E132" t="s">
        <v>4259</v>
      </c>
      <c r="K132" s="31">
        <v>5130057.97</v>
      </c>
      <c r="M132" s="31">
        <v>7096844.25</v>
      </c>
      <c r="O132" s="31">
        <v>-1966786.28</v>
      </c>
      <c r="Q132">
        <v>-27.7</v>
      </c>
      <c r="R132" t="s">
        <v>611</v>
      </c>
    </row>
    <row r="134" spans="3:18">
      <c r="C134">
        <v>5360</v>
      </c>
      <c r="E134" t="s">
        <v>4260</v>
      </c>
      <c r="H134" t="s">
        <v>4261</v>
      </c>
      <c r="K134" s="31">
        <v>-26765648.32</v>
      </c>
      <c r="M134" s="31">
        <v>-19810459.539999999</v>
      </c>
      <c r="O134" s="31">
        <v>-6955188.7800000003</v>
      </c>
      <c r="Q134">
        <v>-35.1</v>
      </c>
    </row>
    <row r="135" spans="3:18">
      <c r="C135">
        <v>5360</v>
      </c>
      <c r="E135" t="s">
        <v>4262</v>
      </c>
      <c r="H135" t="s">
        <v>4263</v>
      </c>
      <c r="K135">
        <v>-649.99</v>
      </c>
      <c r="M135">
        <v>-651.1</v>
      </c>
      <c r="O135">
        <v>1.1100000000000001</v>
      </c>
      <c r="Q135">
        <v>0.2</v>
      </c>
    </row>
    <row r="136" spans="3:18">
      <c r="C136">
        <v>5360</v>
      </c>
      <c r="E136" t="s">
        <v>4264</v>
      </c>
      <c r="H136" t="s">
        <v>4265</v>
      </c>
      <c r="K136" s="31">
        <v>-2016.38</v>
      </c>
      <c r="M136" s="31">
        <v>-2016.38</v>
      </c>
      <c r="O136">
        <v>0</v>
      </c>
    </row>
    <row r="137" spans="3:18">
      <c r="C137">
        <v>5360</v>
      </c>
      <c r="E137" t="s">
        <v>4266</v>
      </c>
      <c r="H137" t="s">
        <v>4267</v>
      </c>
      <c r="K137" s="31">
        <v>-5053804</v>
      </c>
      <c r="M137" s="31">
        <v>-4740397.2</v>
      </c>
      <c r="O137" s="31">
        <v>-313406.8</v>
      </c>
      <c r="Q137">
        <v>-6.6</v>
      </c>
    </row>
    <row r="138" spans="3:18">
      <c r="E138" t="s">
        <v>4261</v>
      </c>
      <c r="K138" s="31">
        <v>-31822118.690000001</v>
      </c>
      <c r="M138" s="31">
        <v>-24553524.219999999</v>
      </c>
      <c r="O138" s="31">
        <v>-7268594.4699999997</v>
      </c>
      <c r="Q138">
        <v>-29.6</v>
      </c>
      <c r="R138" t="s">
        <v>569</v>
      </c>
    </row>
    <row r="139" spans="3:18">
      <c r="E139" t="s">
        <v>4268</v>
      </c>
      <c r="K139" s="31">
        <v>-31822118.690000001</v>
      </c>
      <c r="M139" s="31">
        <v>-24553524.219999999</v>
      </c>
      <c r="O139" s="31">
        <v>-7268594.4699999997</v>
      </c>
      <c r="Q139">
        <v>-29.6</v>
      </c>
      <c r="R139" t="s">
        <v>611</v>
      </c>
    </row>
    <row r="141" spans="3:18">
      <c r="C141">
        <v>5360</v>
      </c>
      <c r="E141" t="s">
        <v>4269</v>
      </c>
      <c r="H141" t="s">
        <v>4270</v>
      </c>
      <c r="K141" s="31">
        <v>2899087867.8600001</v>
      </c>
      <c r="M141" s="31">
        <v>2951646422.3899999</v>
      </c>
      <c r="O141" s="31">
        <v>-52558554.530000001</v>
      </c>
      <c r="Q141">
        <v>-1.8</v>
      </c>
    </row>
    <row r="142" spans="3:18">
      <c r="C142">
        <v>5360</v>
      </c>
      <c r="E142" t="s">
        <v>4271</v>
      </c>
      <c r="H142" t="s">
        <v>4272</v>
      </c>
      <c r="K142" s="31">
        <v>-2231337897.7399998</v>
      </c>
      <c r="M142" s="31">
        <v>-2231337897.7399998</v>
      </c>
      <c r="O142">
        <v>0</v>
      </c>
    </row>
    <row r="143" spans="3:18">
      <c r="C143">
        <v>5360</v>
      </c>
      <c r="E143" t="s">
        <v>4275</v>
      </c>
      <c r="H143" t="s">
        <v>4276</v>
      </c>
      <c r="K143" s="31">
        <v>124416.38</v>
      </c>
      <c r="M143" s="31">
        <v>124416.38</v>
      </c>
      <c r="O143">
        <v>0</v>
      </c>
    </row>
    <row r="144" spans="3:18">
      <c r="C144">
        <v>5360</v>
      </c>
      <c r="E144" t="s">
        <v>4277</v>
      </c>
      <c r="H144" t="s">
        <v>4270</v>
      </c>
      <c r="K144" s="31">
        <v>2746766.42</v>
      </c>
      <c r="M144" s="31">
        <v>2746766.42</v>
      </c>
      <c r="O144">
        <v>0</v>
      </c>
    </row>
    <row r="145" spans="3:18">
      <c r="C145">
        <v>5360</v>
      </c>
      <c r="E145" t="s">
        <v>4278</v>
      </c>
      <c r="H145" t="s">
        <v>4272</v>
      </c>
      <c r="K145" s="31">
        <v>-4675.92</v>
      </c>
      <c r="M145" s="31">
        <v>-4675.92</v>
      </c>
      <c r="O145">
        <v>0</v>
      </c>
    </row>
    <row r="146" spans="3:18">
      <c r="E146" t="s">
        <v>4281</v>
      </c>
      <c r="K146" s="31">
        <v>670616477</v>
      </c>
      <c r="M146" s="31">
        <v>723175031.52999997</v>
      </c>
      <c r="O146" s="31">
        <v>-52558554.530000001</v>
      </c>
      <c r="Q146">
        <v>-7.3</v>
      </c>
      <c r="R146" t="s">
        <v>611</v>
      </c>
    </row>
    <row r="148" spans="3:18">
      <c r="C148">
        <v>5360</v>
      </c>
      <c r="E148" t="s">
        <v>4282</v>
      </c>
      <c r="H148" t="s">
        <v>4283</v>
      </c>
      <c r="K148" s="31">
        <v>6919385.8899999997</v>
      </c>
      <c r="M148" s="31">
        <v>10726463.35</v>
      </c>
      <c r="O148" s="31">
        <v>-3807077.46</v>
      </c>
      <c r="Q148">
        <v>-35.5</v>
      </c>
    </row>
    <row r="149" spans="3:18">
      <c r="C149">
        <v>5360</v>
      </c>
      <c r="E149" t="s">
        <v>4284</v>
      </c>
      <c r="H149" t="s">
        <v>4285</v>
      </c>
      <c r="K149" s="31">
        <v>3211678.28</v>
      </c>
      <c r="M149" s="31">
        <v>3174078.47</v>
      </c>
      <c r="O149" s="31">
        <v>37599.81</v>
      </c>
      <c r="Q149">
        <v>1.2</v>
      </c>
    </row>
    <row r="150" spans="3:18">
      <c r="E150" t="s">
        <v>4286</v>
      </c>
      <c r="K150" s="31">
        <v>10131064.17</v>
      </c>
      <c r="M150" s="31">
        <v>13900541.82</v>
      </c>
      <c r="O150" s="31">
        <v>-3769477.65</v>
      </c>
      <c r="Q150">
        <v>-27.1</v>
      </c>
      <c r="R150" t="s">
        <v>611</v>
      </c>
    </row>
    <row r="152" spans="3:18" s="326" customFormat="1">
      <c r="C152" s="326">
        <v>5360</v>
      </c>
      <c r="E152" s="326" t="s">
        <v>4287</v>
      </c>
      <c r="H152" s="326" t="s">
        <v>4288</v>
      </c>
      <c r="K152" s="419">
        <v>198265.95</v>
      </c>
      <c r="M152" s="419">
        <v>197488.66</v>
      </c>
      <c r="O152" s="326">
        <v>777.29</v>
      </c>
      <c r="Q152" s="326">
        <v>0.4</v>
      </c>
    </row>
    <row r="153" spans="3:18" s="326" customFormat="1">
      <c r="C153" s="326">
        <v>5360</v>
      </c>
      <c r="E153" s="326" t="s">
        <v>4289</v>
      </c>
      <c r="H153" s="326" t="s">
        <v>4290</v>
      </c>
      <c r="K153" s="419">
        <v>5196774.58</v>
      </c>
      <c r="M153" s="419">
        <v>4909189.66</v>
      </c>
      <c r="O153" s="419">
        <v>287584.92</v>
      </c>
      <c r="Q153" s="326">
        <v>5.9</v>
      </c>
    </row>
    <row r="154" spans="3:18" s="326" customFormat="1">
      <c r="C154" s="326">
        <v>5360</v>
      </c>
      <c r="E154" s="326" t="s">
        <v>4291</v>
      </c>
      <c r="H154" s="326" t="s">
        <v>4292</v>
      </c>
      <c r="K154" s="419">
        <v>-101328.72</v>
      </c>
      <c r="M154" s="419">
        <v>-109381.68</v>
      </c>
      <c r="O154" s="419">
        <v>8052.96</v>
      </c>
      <c r="Q154" s="326">
        <v>7.4</v>
      </c>
    </row>
    <row r="155" spans="3:18">
      <c r="C155">
        <v>5360</v>
      </c>
      <c r="E155" t="s">
        <v>4293</v>
      </c>
      <c r="H155" t="s">
        <v>4294</v>
      </c>
      <c r="K155" s="31">
        <v>1061865.5</v>
      </c>
      <c r="M155" s="31">
        <v>1048887.69</v>
      </c>
      <c r="O155" s="31">
        <v>12977.81</v>
      </c>
      <c r="Q155">
        <v>1.2</v>
      </c>
    </row>
    <row r="156" spans="3:18">
      <c r="C156">
        <v>5360</v>
      </c>
      <c r="E156" t="s">
        <v>4295</v>
      </c>
      <c r="H156" t="s">
        <v>4296</v>
      </c>
      <c r="K156" s="31">
        <v>3676007.07</v>
      </c>
      <c r="M156" s="31">
        <v>4002154.39</v>
      </c>
      <c r="O156" s="31">
        <v>-326147.32</v>
      </c>
      <c r="Q156">
        <v>-8.1</v>
      </c>
    </row>
    <row r="157" spans="3:18">
      <c r="C157">
        <v>5360</v>
      </c>
      <c r="E157" t="s">
        <v>4297</v>
      </c>
      <c r="H157" t="s">
        <v>4296</v>
      </c>
      <c r="K157" s="31">
        <v>27354.51</v>
      </c>
      <c r="M157" s="31">
        <v>27354.51</v>
      </c>
      <c r="O157">
        <v>0</v>
      </c>
    </row>
    <row r="158" spans="3:18">
      <c r="E158" t="s">
        <v>4298</v>
      </c>
      <c r="K158" s="31">
        <v>10058938.890000001</v>
      </c>
      <c r="M158" s="31">
        <v>10075693.23</v>
      </c>
      <c r="O158" s="31">
        <v>-16754.34</v>
      </c>
      <c r="Q158">
        <v>-0.2</v>
      </c>
      <c r="R158" t="s">
        <v>611</v>
      </c>
    </row>
    <row r="160" spans="3:18">
      <c r="C160">
        <v>5360</v>
      </c>
      <c r="E160" t="s">
        <v>4299</v>
      </c>
      <c r="H160" t="s">
        <v>4300</v>
      </c>
      <c r="K160" s="31">
        <v>79706</v>
      </c>
      <c r="M160" s="31">
        <v>305665.67</v>
      </c>
      <c r="O160" s="31">
        <v>-225959.67</v>
      </c>
      <c r="Q160">
        <v>-73.900000000000006</v>
      </c>
    </row>
    <row r="161" spans="3:18" s="326" customFormat="1">
      <c r="C161" s="326">
        <v>5360</v>
      </c>
      <c r="E161" s="326" t="s">
        <v>4301</v>
      </c>
      <c r="H161" s="326" t="s">
        <v>4302</v>
      </c>
      <c r="K161" s="326">
        <v>0.09</v>
      </c>
      <c r="M161" s="326">
        <v>0.09</v>
      </c>
      <c r="O161" s="326">
        <v>0</v>
      </c>
    </row>
    <row r="162" spans="3:18">
      <c r="C162">
        <v>5360</v>
      </c>
      <c r="E162" t="s">
        <v>4303</v>
      </c>
      <c r="H162" t="s">
        <v>4304</v>
      </c>
      <c r="K162" s="31">
        <v>103116.33</v>
      </c>
      <c r="M162" s="31">
        <v>51585.35</v>
      </c>
      <c r="O162" s="31">
        <v>51530.98</v>
      </c>
      <c r="Q162">
        <v>99.9</v>
      </c>
    </row>
    <row r="163" spans="3:18">
      <c r="C163">
        <v>5360</v>
      </c>
      <c r="E163" t="s">
        <v>4305</v>
      </c>
      <c r="H163" t="s">
        <v>4306</v>
      </c>
      <c r="K163">
        <v>-0.09</v>
      </c>
      <c r="M163">
        <v>-0.09</v>
      </c>
      <c r="O163">
        <v>0</v>
      </c>
    </row>
    <row r="164" spans="3:18">
      <c r="E164" t="s">
        <v>4307</v>
      </c>
      <c r="K164" s="31">
        <v>182822.33</v>
      </c>
      <c r="M164" s="31">
        <v>357251.02</v>
      </c>
      <c r="O164" s="31">
        <v>-174428.69</v>
      </c>
      <c r="Q164">
        <v>-48.8</v>
      </c>
      <c r="R164" t="s">
        <v>611</v>
      </c>
    </row>
    <row r="166" spans="3:18">
      <c r="C166">
        <v>5360</v>
      </c>
      <c r="E166" t="s">
        <v>4308</v>
      </c>
      <c r="H166" t="s">
        <v>4309</v>
      </c>
      <c r="K166">
        <v>0</v>
      </c>
      <c r="M166" s="31">
        <v>57486.68</v>
      </c>
      <c r="O166" s="31">
        <v>-57486.68</v>
      </c>
      <c r="Q166">
        <v>-100</v>
      </c>
    </row>
    <row r="167" spans="3:18">
      <c r="E167" t="s">
        <v>4312</v>
      </c>
      <c r="K167">
        <v>0</v>
      </c>
      <c r="M167" s="31">
        <v>57486.68</v>
      </c>
      <c r="O167" s="31">
        <v>-57486.68</v>
      </c>
      <c r="Q167">
        <v>-100</v>
      </c>
      <c r="R167" t="s">
        <v>611</v>
      </c>
    </row>
    <row r="169" spans="3:18">
      <c r="C169">
        <v>5360</v>
      </c>
      <c r="E169" t="s">
        <v>3607</v>
      </c>
      <c r="H169" t="s">
        <v>4313</v>
      </c>
      <c r="K169" s="31">
        <v>7964940.8499999996</v>
      </c>
      <c r="M169" s="31">
        <v>5948040.1299999999</v>
      </c>
      <c r="O169" s="31">
        <v>2016900.72</v>
      </c>
      <c r="Q169">
        <v>33.9</v>
      </c>
    </row>
    <row r="170" spans="3:18">
      <c r="E170" t="s">
        <v>4314</v>
      </c>
      <c r="K170" s="31">
        <v>7964940.8499999996</v>
      </c>
      <c r="M170" s="31">
        <v>5948040.1299999999</v>
      </c>
      <c r="O170" s="31">
        <v>2016900.72</v>
      </c>
      <c r="Q170">
        <v>33.9</v>
      </c>
      <c r="R170" t="s">
        <v>611</v>
      </c>
    </row>
    <row r="172" spans="3:18">
      <c r="C172">
        <v>5360</v>
      </c>
      <c r="E172" t="s">
        <v>4315</v>
      </c>
      <c r="H172" t="s">
        <v>4316</v>
      </c>
      <c r="K172" s="31">
        <v>10156.450000000001</v>
      </c>
      <c r="M172" s="31">
        <v>11821.95</v>
      </c>
      <c r="O172" s="31">
        <v>-1665.5</v>
      </c>
      <c r="Q172">
        <v>-14.1</v>
      </c>
    </row>
    <row r="173" spans="3:18">
      <c r="E173" t="s">
        <v>4317</v>
      </c>
      <c r="K173" s="31">
        <v>10156.450000000001</v>
      </c>
      <c r="M173" s="31">
        <v>11821.95</v>
      </c>
      <c r="O173" s="31">
        <v>-1665.5</v>
      </c>
      <c r="Q173">
        <v>-14.1</v>
      </c>
      <c r="R173" t="s">
        <v>611</v>
      </c>
    </row>
    <row r="175" spans="3:18">
      <c r="C175">
        <v>5360</v>
      </c>
      <c r="E175" t="s">
        <v>4318</v>
      </c>
      <c r="H175" t="s">
        <v>4319</v>
      </c>
      <c r="K175" s="31">
        <v>341640.42</v>
      </c>
      <c r="M175" s="31">
        <v>139894.18</v>
      </c>
      <c r="O175" s="31">
        <v>201746.24</v>
      </c>
      <c r="Q175">
        <v>144.19999999999999</v>
      </c>
    </row>
    <row r="176" spans="3:18">
      <c r="C176">
        <v>5360</v>
      </c>
      <c r="E176" t="s">
        <v>4320</v>
      </c>
      <c r="H176" t="s">
        <v>4319</v>
      </c>
      <c r="K176" s="31">
        <v>19575409.199999999</v>
      </c>
      <c r="M176" s="31">
        <v>63528560.240000002</v>
      </c>
      <c r="O176" s="31">
        <v>-43953151.039999999</v>
      </c>
      <c r="Q176">
        <v>-69.2</v>
      </c>
    </row>
    <row r="177" spans="3:18">
      <c r="E177" t="s">
        <v>4321</v>
      </c>
      <c r="K177" s="31">
        <v>19917049.620000001</v>
      </c>
      <c r="M177" s="31">
        <v>63668454.420000002</v>
      </c>
      <c r="O177" s="31">
        <v>-43751404.799999997</v>
      </c>
      <c r="Q177">
        <v>-68.7</v>
      </c>
      <c r="R177" t="s">
        <v>611</v>
      </c>
    </row>
    <row r="179" spans="3:18">
      <c r="E179" t="s">
        <v>4322</v>
      </c>
      <c r="K179" s="31">
        <v>756363911.75</v>
      </c>
      <c r="M179" s="31">
        <v>815337804.84000003</v>
      </c>
      <c r="O179" s="31">
        <v>-58973893.090000004</v>
      </c>
      <c r="Q179">
        <v>-7.2</v>
      </c>
      <c r="R179" t="s">
        <v>930</v>
      </c>
    </row>
    <row r="181" spans="3:18">
      <c r="C181">
        <v>5360</v>
      </c>
      <c r="E181" t="s">
        <v>4323</v>
      </c>
      <c r="H181" t="s">
        <v>4324</v>
      </c>
      <c r="K181" s="31">
        <v>30037.69</v>
      </c>
      <c r="M181" s="31">
        <v>30037.69</v>
      </c>
      <c r="O181">
        <v>0</v>
      </c>
    </row>
    <row r="182" spans="3:18">
      <c r="C182">
        <v>5360</v>
      </c>
      <c r="E182" t="s">
        <v>5975</v>
      </c>
      <c r="H182" t="s">
        <v>4341</v>
      </c>
      <c r="K182" s="31">
        <v>-1338807.75</v>
      </c>
      <c r="M182" s="31">
        <v>-2622063.5</v>
      </c>
      <c r="O182" s="31">
        <v>1283255.75</v>
      </c>
      <c r="Q182">
        <v>48.9</v>
      </c>
    </row>
    <row r="183" spans="3:18">
      <c r="C183">
        <v>5360</v>
      </c>
      <c r="E183" t="s">
        <v>5976</v>
      </c>
      <c r="H183" t="s">
        <v>4343</v>
      </c>
      <c r="K183" s="31">
        <v>-2209.5</v>
      </c>
      <c r="M183" s="31">
        <v>-4419</v>
      </c>
      <c r="O183" s="31">
        <v>2209.5</v>
      </c>
      <c r="Q183">
        <v>50</v>
      </c>
    </row>
    <row r="184" spans="3:18">
      <c r="C184">
        <v>5360</v>
      </c>
      <c r="E184" t="s">
        <v>4325</v>
      </c>
      <c r="H184" t="s">
        <v>4326</v>
      </c>
      <c r="K184" s="31">
        <v>34466963.359999999</v>
      </c>
      <c r="M184" s="31">
        <v>34126127.039999999</v>
      </c>
      <c r="O184" s="31">
        <v>340836.32</v>
      </c>
      <c r="Q184">
        <v>1</v>
      </c>
    </row>
    <row r="185" spans="3:18">
      <c r="C185">
        <v>5360</v>
      </c>
      <c r="E185" t="s">
        <v>4327</v>
      </c>
      <c r="H185" t="s">
        <v>4328</v>
      </c>
      <c r="K185" s="31">
        <v>2924166.29</v>
      </c>
      <c r="M185" s="31">
        <v>3597707.16</v>
      </c>
      <c r="O185" s="31">
        <v>-673540.87</v>
      </c>
      <c r="Q185">
        <v>-18.7</v>
      </c>
    </row>
    <row r="186" spans="3:18">
      <c r="C186">
        <v>5360</v>
      </c>
      <c r="E186" t="s">
        <v>4329</v>
      </c>
      <c r="H186" t="s">
        <v>4330</v>
      </c>
      <c r="K186" s="31">
        <v>148841.63</v>
      </c>
      <c r="M186" s="31">
        <v>95722.11</v>
      </c>
      <c r="O186" s="31">
        <v>53119.519999999997</v>
      </c>
      <c r="Q186">
        <v>55.5</v>
      </c>
    </row>
    <row r="187" spans="3:18">
      <c r="C187">
        <v>5360</v>
      </c>
      <c r="E187" t="s">
        <v>4331</v>
      </c>
      <c r="H187" t="s">
        <v>4324</v>
      </c>
      <c r="K187" s="31">
        <v>7007805.8499999996</v>
      </c>
      <c r="M187" s="31">
        <v>7079448.4299999997</v>
      </c>
      <c r="O187" s="31">
        <v>-71642.58</v>
      </c>
      <c r="Q187">
        <v>-1</v>
      </c>
    </row>
    <row r="188" spans="3:18">
      <c r="C188">
        <v>5360</v>
      </c>
      <c r="E188" t="s">
        <v>4332</v>
      </c>
      <c r="H188" t="s">
        <v>4333</v>
      </c>
      <c r="K188" s="31">
        <v>5938051.6100000003</v>
      </c>
      <c r="M188" s="31">
        <v>20270071.449999999</v>
      </c>
      <c r="O188" s="31">
        <v>-14332019.84</v>
      </c>
      <c r="Q188">
        <v>-70.7</v>
      </c>
    </row>
    <row r="189" spans="3:18">
      <c r="C189">
        <v>5360</v>
      </c>
      <c r="E189" t="s">
        <v>4334</v>
      </c>
      <c r="H189" t="s">
        <v>4335</v>
      </c>
      <c r="K189">
        <v>0.01</v>
      </c>
      <c r="M189">
        <v>0</v>
      </c>
      <c r="O189">
        <v>0.01</v>
      </c>
    </row>
    <row r="190" spans="3:18">
      <c r="C190">
        <v>5360</v>
      </c>
      <c r="E190" t="s">
        <v>4336</v>
      </c>
      <c r="H190" t="s">
        <v>4337</v>
      </c>
      <c r="K190" s="31">
        <v>82709.72</v>
      </c>
      <c r="M190" s="31">
        <v>76347.44</v>
      </c>
      <c r="O190" s="31">
        <v>6362.28</v>
      </c>
      <c r="Q190">
        <v>8.3000000000000007</v>
      </c>
    </row>
    <row r="191" spans="3:18">
      <c r="C191">
        <v>5360</v>
      </c>
      <c r="E191" t="s">
        <v>4340</v>
      </c>
      <c r="H191" t="s">
        <v>4341</v>
      </c>
      <c r="K191" s="31">
        <v>55365021.07</v>
      </c>
      <c r="M191" s="31">
        <v>55365021.07</v>
      </c>
      <c r="O191">
        <v>0</v>
      </c>
    </row>
    <row r="192" spans="3:18">
      <c r="C192">
        <v>5360</v>
      </c>
      <c r="E192" t="s">
        <v>4342</v>
      </c>
      <c r="H192" t="s">
        <v>4343</v>
      </c>
      <c r="K192" s="31">
        <v>-18849071.93</v>
      </c>
      <c r="M192" s="31">
        <v>-18849071.93</v>
      </c>
      <c r="O192">
        <v>0</v>
      </c>
    </row>
    <row r="193" spans="3:18">
      <c r="C193">
        <v>5360</v>
      </c>
      <c r="E193" t="s">
        <v>4344</v>
      </c>
      <c r="H193" t="s">
        <v>4345</v>
      </c>
      <c r="K193" s="31">
        <v>6026.67</v>
      </c>
      <c r="M193" s="31">
        <v>28655.13</v>
      </c>
      <c r="O193" s="31">
        <v>-22628.46</v>
      </c>
      <c r="Q193">
        <v>-79</v>
      </c>
    </row>
    <row r="194" spans="3:18">
      <c r="C194">
        <v>5360</v>
      </c>
      <c r="E194" t="s">
        <v>4348</v>
      </c>
      <c r="H194" t="s">
        <v>4349</v>
      </c>
      <c r="K194" s="31">
        <v>4118170.65</v>
      </c>
      <c r="M194" s="31">
        <v>4828211.51</v>
      </c>
      <c r="O194" s="31">
        <v>-710040.86</v>
      </c>
      <c r="Q194">
        <v>-14.7</v>
      </c>
    </row>
    <row r="195" spans="3:18">
      <c r="C195">
        <v>5360</v>
      </c>
      <c r="E195" t="s">
        <v>4350</v>
      </c>
      <c r="H195" t="s">
        <v>4351</v>
      </c>
      <c r="K195" s="31">
        <v>1343673.48</v>
      </c>
      <c r="M195" s="31">
        <v>1402954.9</v>
      </c>
      <c r="O195" s="31">
        <v>-59281.42</v>
      </c>
      <c r="Q195">
        <v>-4.2</v>
      </c>
    </row>
    <row r="196" spans="3:18">
      <c r="C196">
        <v>5360</v>
      </c>
      <c r="E196" t="s">
        <v>4352</v>
      </c>
      <c r="H196" t="s">
        <v>4353</v>
      </c>
      <c r="K196" s="31">
        <v>-148693.94</v>
      </c>
      <c r="M196" s="31">
        <v>-148357.29</v>
      </c>
      <c r="O196">
        <v>-336.65</v>
      </c>
      <c r="Q196">
        <v>-0.2</v>
      </c>
    </row>
    <row r="197" spans="3:18">
      <c r="C197">
        <v>5360</v>
      </c>
      <c r="E197" t="s">
        <v>4354</v>
      </c>
      <c r="H197" t="s">
        <v>4355</v>
      </c>
      <c r="K197" s="31">
        <v>1094134.77</v>
      </c>
      <c r="M197" s="31">
        <v>1239995.76</v>
      </c>
      <c r="O197" s="31">
        <v>-145860.99</v>
      </c>
      <c r="Q197">
        <v>-11.8</v>
      </c>
    </row>
    <row r="198" spans="3:18">
      <c r="C198">
        <v>5360</v>
      </c>
      <c r="E198" t="s">
        <v>4356</v>
      </c>
      <c r="H198" t="s">
        <v>4357</v>
      </c>
      <c r="K198" s="31">
        <v>5213017.2</v>
      </c>
      <c r="M198" s="31">
        <v>5191629.33</v>
      </c>
      <c r="O198" s="31">
        <v>21387.87</v>
      </c>
      <c r="Q198">
        <v>0.4</v>
      </c>
    </row>
    <row r="199" spans="3:18">
      <c r="C199">
        <v>5360</v>
      </c>
      <c r="E199" t="s">
        <v>4358</v>
      </c>
      <c r="H199" t="s">
        <v>4359</v>
      </c>
      <c r="K199" s="31">
        <v>34650056.200000003</v>
      </c>
      <c r="M199" s="31">
        <v>35045350.450000003</v>
      </c>
      <c r="O199" s="31">
        <v>-395294.25</v>
      </c>
      <c r="Q199">
        <v>-1.1000000000000001</v>
      </c>
    </row>
    <row r="200" spans="3:18">
      <c r="C200">
        <v>5360</v>
      </c>
      <c r="E200" t="s">
        <v>4360</v>
      </c>
      <c r="H200" t="s">
        <v>4361</v>
      </c>
      <c r="K200">
        <v>-1.01</v>
      </c>
      <c r="M200">
        <v>-1.01</v>
      </c>
      <c r="O200">
        <v>0</v>
      </c>
    </row>
    <row r="201" spans="3:18">
      <c r="C201">
        <v>5360</v>
      </c>
      <c r="E201" t="s">
        <v>4362</v>
      </c>
      <c r="H201" t="s">
        <v>4363</v>
      </c>
      <c r="K201" s="31">
        <v>54417.81</v>
      </c>
      <c r="M201" s="31">
        <v>54585.41</v>
      </c>
      <c r="O201">
        <v>-167.6</v>
      </c>
      <c r="Q201">
        <v>-0.3</v>
      </c>
    </row>
    <row r="202" spans="3:18">
      <c r="C202">
        <v>5360</v>
      </c>
      <c r="E202" t="s">
        <v>4366</v>
      </c>
      <c r="H202" t="s">
        <v>4367</v>
      </c>
      <c r="K202" s="31">
        <v>12437756.109999999</v>
      </c>
      <c r="M202" s="31">
        <v>13574149.15</v>
      </c>
      <c r="O202" s="31">
        <v>-1136393.04</v>
      </c>
      <c r="Q202">
        <v>-8.4</v>
      </c>
    </row>
    <row r="203" spans="3:18">
      <c r="C203">
        <v>5360</v>
      </c>
      <c r="E203" t="s">
        <v>4368</v>
      </c>
      <c r="H203" t="s">
        <v>4369</v>
      </c>
      <c r="K203" s="31">
        <v>9963445.9900000002</v>
      </c>
      <c r="M203" s="31">
        <v>11373688.43</v>
      </c>
      <c r="O203" s="31">
        <v>-1410242.44</v>
      </c>
      <c r="Q203">
        <v>-12.4</v>
      </c>
    </row>
    <row r="204" spans="3:18" s="326" customFormat="1">
      <c r="C204" s="326">
        <v>5360</v>
      </c>
      <c r="E204" s="326" t="s">
        <v>4370</v>
      </c>
      <c r="H204" s="326" t="s">
        <v>4371</v>
      </c>
      <c r="K204" s="419">
        <v>621459.06000000006</v>
      </c>
      <c r="M204" s="419">
        <v>514914.06</v>
      </c>
      <c r="O204" s="419">
        <v>106545</v>
      </c>
      <c r="Q204" s="326">
        <v>20.7</v>
      </c>
    </row>
    <row r="205" spans="3:18">
      <c r="C205">
        <v>5360</v>
      </c>
      <c r="E205" t="s">
        <v>4924</v>
      </c>
      <c r="H205" t="s">
        <v>4909</v>
      </c>
      <c r="K205" s="31">
        <v>526727.52</v>
      </c>
      <c r="M205" s="31">
        <v>581701.38</v>
      </c>
      <c r="O205" s="31">
        <v>-54973.86</v>
      </c>
      <c r="Q205">
        <v>-9.5</v>
      </c>
    </row>
    <row r="206" spans="3:18">
      <c r="E206" t="s">
        <v>4372</v>
      </c>
      <c r="K206" s="31">
        <v>155653698.56</v>
      </c>
      <c r="M206" s="31">
        <v>172852405.16999999</v>
      </c>
      <c r="O206" s="31">
        <v>-17198706.609999999</v>
      </c>
      <c r="Q206">
        <v>-9.9</v>
      </c>
      <c r="R206" t="s">
        <v>611</v>
      </c>
    </row>
    <row r="208" spans="3:18">
      <c r="E208" t="s">
        <v>4373</v>
      </c>
      <c r="K208" s="31">
        <v>155653698.56</v>
      </c>
      <c r="M208" s="31">
        <v>172852405.16999999</v>
      </c>
      <c r="O208" s="31">
        <v>-17198706.609999999</v>
      </c>
      <c r="Q208">
        <v>-9.9</v>
      </c>
      <c r="R208" t="s">
        <v>930</v>
      </c>
    </row>
    <row r="210" spans="3:18">
      <c r="C210">
        <v>5360</v>
      </c>
      <c r="E210" t="s">
        <v>4374</v>
      </c>
      <c r="H210" t="s">
        <v>4375</v>
      </c>
      <c r="K210" s="31">
        <v>30585.439999999999</v>
      </c>
      <c r="M210" s="31">
        <v>27603.41</v>
      </c>
      <c r="O210" s="31">
        <v>2982.03</v>
      </c>
      <c r="Q210">
        <v>10.8</v>
      </c>
    </row>
    <row r="211" spans="3:18">
      <c r="E211" t="s">
        <v>4376</v>
      </c>
      <c r="K211" s="31">
        <v>30585.439999999999</v>
      </c>
      <c r="M211" s="31">
        <v>27603.41</v>
      </c>
      <c r="O211" s="31">
        <v>2982.03</v>
      </c>
      <c r="Q211">
        <v>10.8</v>
      </c>
      <c r="R211" t="s">
        <v>611</v>
      </c>
    </row>
    <row r="213" spans="3:18">
      <c r="C213">
        <v>5360</v>
      </c>
      <c r="E213" t="s">
        <v>4377</v>
      </c>
      <c r="H213" t="s">
        <v>4378</v>
      </c>
      <c r="K213" s="31">
        <v>7365.16</v>
      </c>
      <c r="M213" s="31">
        <v>7365.16</v>
      </c>
      <c r="O213">
        <v>0</v>
      </c>
    </row>
    <row r="214" spans="3:18">
      <c r="E214" t="s">
        <v>4379</v>
      </c>
      <c r="K214" s="31">
        <v>7365.16</v>
      </c>
      <c r="M214" s="31">
        <v>7365.16</v>
      </c>
      <c r="O214">
        <v>0</v>
      </c>
      <c r="R214" t="s">
        <v>611</v>
      </c>
    </row>
    <row r="216" spans="3:18">
      <c r="C216">
        <v>5360</v>
      </c>
      <c r="E216" t="s">
        <v>4380</v>
      </c>
      <c r="H216" t="s">
        <v>4381</v>
      </c>
      <c r="K216" s="31">
        <v>-6349910.7000000002</v>
      </c>
      <c r="M216" s="31">
        <v>-6349910.7000000002</v>
      </c>
      <c r="O216">
        <v>0</v>
      </c>
    </row>
    <row r="217" spans="3:18">
      <c r="C217">
        <v>5360</v>
      </c>
      <c r="E217" t="s">
        <v>4382</v>
      </c>
      <c r="H217" t="s">
        <v>4383</v>
      </c>
      <c r="K217" s="31">
        <v>1273300.8600000001</v>
      </c>
      <c r="M217" s="31">
        <v>3326592.44</v>
      </c>
      <c r="O217" s="31">
        <v>-2053291.58</v>
      </c>
      <c r="Q217">
        <v>-61.7</v>
      </c>
    </row>
    <row r="218" spans="3:18">
      <c r="C218">
        <v>5360</v>
      </c>
      <c r="E218" t="s">
        <v>4384</v>
      </c>
      <c r="H218" t="s">
        <v>4385</v>
      </c>
      <c r="K218" s="31">
        <v>208272.52</v>
      </c>
      <c r="M218" s="31">
        <v>649729.38</v>
      </c>
      <c r="O218" s="31">
        <v>-441456.86</v>
      </c>
      <c r="Q218">
        <v>-67.900000000000006</v>
      </c>
    </row>
    <row r="219" spans="3:18">
      <c r="C219">
        <v>5360</v>
      </c>
      <c r="E219" t="s">
        <v>4386</v>
      </c>
      <c r="H219" t="s">
        <v>4387</v>
      </c>
      <c r="K219" s="31">
        <v>1083613.55</v>
      </c>
      <c r="M219" s="31">
        <v>2140632.69</v>
      </c>
      <c r="O219" s="31">
        <v>-1057019.1399999999</v>
      </c>
      <c r="Q219">
        <v>-49.4</v>
      </c>
    </row>
    <row r="220" spans="3:18">
      <c r="C220">
        <v>5360</v>
      </c>
      <c r="E220" t="s">
        <v>4388</v>
      </c>
      <c r="H220" t="s">
        <v>4389</v>
      </c>
      <c r="K220" s="31">
        <v>126025.3</v>
      </c>
      <c r="M220" s="31">
        <v>164047.71</v>
      </c>
      <c r="O220" s="31">
        <v>-38022.410000000003</v>
      </c>
      <c r="Q220">
        <v>-23.2</v>
      </c>
    </row>
    <row r="221" spans="3:18">
      <c r="C221">
        <v>5360</v>
      </c>
      <c r="E221" t="s">
        <v>4390</v>
      </c>
      <c r="H221" t="s">
        <v>4391</v>
      </c>
      <c r="K221">
        <v>865</v>
      </c>
      <c r="M221" s="31">
        <v>1304.58</v>
      </c>
      <c r="O221">
        <v>-439.58</v>
      </c>
      <c r="Q221">
        <v>-33.700000000000003</v>
      </c>
    </row>
    <row r="222" spans="3:18">
      <c r="C222">
        <v>5360</v>
      </c>
      <c r="E222" t="s">
        <v>4392</v>
      </c>
      <c r="H222" t="s">
        <v>4393</v>
      </c>
      <c r="K222">
        <v>0</v>
      </c>
      <c r="M222">
        <v>155.19999999999999</v>
      </c>
      <c r="O222">
        <v>-155.19999999999999</v>
      </c>
      <c r="Q222">
        <v>-100</v>
      </c>
    </row>
    <row r="223" spans="3:18">
      <c r="C223">
        <v>5360</v>
      </c>
      <c r="E223" t="s">
        <v>4394</v>
      </c>
      <c r="H223" t="s">
        <v>4395</v>
      </c>
      <c r="K223" s="31">
        <v>138312.04999999999</v>
      </c>
      <c r="M223" s="31">
        <v>383713.45</v>
      </c>
      <c r="O223" s="31">
        <v>-245401.4</v>
      </c>
      <c r="Q223">
        <v>-64</v>
      </c>
    </row>
    <row r="224" spans="3:18">
      <c r="C224">
        <v>5360</v>
      </c>
      <c r="E224" t="s">
        <v>4396</v>
      </c>
      <c r="H224" t="s">
        <v>4397</v>
      </c>
      <c r="K224">
        <v>811.12</v>
      </c>
      <c r="M224" s="31">
        <v>3380.71</v>
      </c>
      <c r="O224" s="31">
        <v>-2569.59</v>
      </c>
      <c r="Q224">
        <v>-76</v>
      </c>
    </row>
    <row r="225" spans="3:17">
      <c r="C225">
        <v>5360</v>
      </c>
      <c r="E225" t="s">
        <v>4398</v>
      </c>
      <c r="H225" t="s">
        <v>4399</v>
      </c>
      <c r="K225" s="31">
        <v>31817.57</v>
      </c>
      <c r="M225" s="31">
        <v>57503.85</v>
      </c>
      <c r="O225" s="31">
        <v>-25686.28</v>
      </c>
      <c r="Q225">
        <v>-44.7</v>
      </c>
    </row>
    <row r="226" spans="3:17">
      <c r="C226">
        <v>5360</v>
      </c>
      <c r="E226" t="s">
        <v>4400</v>
      </c>
      <c r="H226" t="s">
        <v>4401</v>
      </c>
      <c r="K226" s="31">
        <v>196638.66</v>
      </c>
      <c r="M226" s="31">
        <v>329214.59000000003</v>
      </c>
      <c r="O226" s="31">
        <v>-132575.93</v>
      </c>
      <c r="Q226">
        <v>-40.299999999999997</v>
      </c>
    </row>
    <row r="227" spans="3:17">
      <c r="C227">
        <v>5360</v>
      </c>
      <c r="E227" t="s">
        <v>4402</v>
      </c>
      <c r="H227" t="s">
        <v>4403</v>
      </c>
      <c r="K227" s="31">
        <v>-13945.13</v>
      </c>
      <c r="M227" s="31">
        <v>-13945.13</v>
      </c>
      <c r="O227">
        <v>0</v>
      </c>
    </row>
    <row r="228" spans="3:17">
      <c r="C228">
        <v>5360</v>
      </c>
      <c r="E228" t="s">
        <v>4404</v>
      </c>
      <c r="H228" t="s">
        <v>4405</v>
      </c>
      <c r="K228" s="31">
        <v>-8232692.8799999999</v>
      </c>
      <c r="M228" s="31">
        <v>-7514714.6299999999</v>
      </c>
      <c r="O228" s="31">
        <v>-717978.25</v>
      </c>
      <c r="Q228">
        <v>-9.6</v>
      </c>
    </row>
    <row r="229" spans="3:17">
      <c r="C229">
        <v>5360</v>
      </c>
      <c r="E229" t="s">
        <v>4406</v>
      </c>
      <c r="H229" t="s">
        <v>4407</v>
      </c>
      <c r="K229" s="31">
        <v>-2933465.02</v>
      </c>
      <c r="M229" s="31">
        <v>-2674538.02</v>
      </c>
      <c r="O229" s="31">
        <v>-258927</v>
      </c>
      <c r="Q229">
        <v>-9.6999999999999993</v>
      </c>
    </row>
    <row r="230" spans="3:17">
      <c r="C230">
        <v>5360</v>
      </c>
      <c r="E230" t="s">
        <v>4408</v>
      </c>
      <c r="H230" t="s">
        <v>4409</v>
      </c>
      <c r="K230" s="31">
        <v>-97851.77</v>
      </c>
      <c r="M230" s="31">
        <v>-43866.77</v>
      </c>
      <c r="O230" s="31">
        <v>-53985</v>
      </c>
      <c r="Q230">
        <v>-123.1</v>
      </c>
    </row>
    <row r="231" spans="3:17">
      <c r="C231">
        <v>5360</v>
      </c>
      <c r="E231" t="s">
        <v>4410</v>
      </c>
      <c r="H231" t="s">
        <v>4411</v>
      </c>
      <c r="K231" s="31">
        <v>-273692.96999999997</v>
      </c>
      <c r="M231" s="31">
        <v>-208079.66</v>
      </c>
      <c r="O231" s="31">
        <v>-65613.31</v>
      </c>
      <c r="Q231">
        <v>-31.5</v>
      </c>
    </row>
    <row r="232" spans="3:17">
      <c r="C232">
        <v>5360</v>
      </c>
      <c r="E232" t="s">
        <v>4412</v>
      </c>
      <c r="H232" t="s">
        <v>4413</v>
      </c>
      <c r="K232" s="31">
        <v>93671965.739999995</v>
      </c>
      <c r="M232" s="31">
        <v>98440725.209999993</v>
      </c>
      <c r="O232" s="31">
        <v>-4768759.47</v>
      </c>
      <c r="Q232">
        <v>-4.8</v>
      </c>
    </row>
    <row r="233" spans="3:17">
      <c r="C233">
        <v>5360</v>
      </c>
      <c r="E233" t="s">
        <v>4414</v>
      </c>
      <c r="H233" t="s">
        <v>4415</v>
      </c>
      <c r="K233" s="31">
        <v>9579315.7400000002</v>
      </c>
      <c r="M233" s="31">
        <v>10027893.17</v>
      </c>
      <c r="O233" s="31">
        <v>-448577.43</v>
      </c>
      <c r="Q233">
        <v>-4.5</v>
      </c>
    </row>
    <row r="234" spans="3:17">
      <c r="C234">
        <v>5360</v>
      </c>
      <c r="E234" t="s">
        <v>4416</v>
      </c>
      <c r="H234" t="s">
        <v>4417</v>
      </c>
      <c r="K234" s="31">
        <v>25947778.579999998</v>
      </c>
      <c r="M234" s="31">
        <v>27082456.760000002</v>
      </c>
      <c r="O234" s="31">
        <v>-1134678.18</v>
      </c>
      <c r="Q234">
        <v>-4.2</v>
      </c>
    </row>
    <row r="235" spans="3:17">
      <c r="C235">
        <v>5360</v>
      </c>
      <c r="E235" t="s">
        <v>4418</v>
      </c>
      <c r="H235" t="s">
        <v>4419</v>
      </c>
      <c r="K235" s="31">
        <v>2363367.5299999998</v>
      </c>
      <c r="M235" s="31">
        <v>2429478.4900000002</v>
      </c>
      <c r="O235" s="31">
        <v>-66110.960000000006</v>
      </c>
      <c r="Q235">
        <v>-2.7</v>
      </c>
    </row>
    <row r="236" spans="3:17">
      <c r="C236">
        <v>5360</v>
      </c>
      <c r="E236" t="s">
        <v>4420</v>
      </c>
      <c r="H236" t="s">
        <v>4421</v>
      </c>
      <c r="K236" s="31">
        <v>240028.44</v>
      </c>
      <c r="M236" s="31">
        <v>240139.21</v>
      </c>
      <c r="O236">
        <v>-110.77</v>
      </c>
    </row>
    <row r="237" spans="3:17">
      <c r="C237">
        <v>5360</v>
      </c>
      <c r="E237" t="s">
        <v>4422</v>
      </c>
      <c r="H237" t="s">
        <v>4423</v>
      </c>
      <c r="K237" s="31">
        <v>4179835.17</v>
      </c>
      <c r="M237" s="31">
        <v>3901937.51</v>
      </c>
      <c r="O237" s="31">
        <v>277897.65999999997</v>
      </c>
      <c r="Q237">
        <v>7.1</v>
      </c>
    </row>
    <row r="238" spans="3:17">
      <c r="C238">
        <v>5360</v>
      </c>
      <c r="E238" t="s">
        <v>4424</v>
      </c>
      <c r="H238" t="s">
        <v>4425</v>
      </c>
      <c r="K238" s="31">
        <v>4905.92</v>
      </c>
      <c r="M238" s="31">
        <v>4905.92</v>
      </c>
      <c r="O238">
        <v>0</v>
      </c>
    </row>
    <row r="239" spans="3:17">
      <c r="C239">
        <v>5360</v>
      </c>
      <c r="E239" t="s">
        <v>4426</v>
      </c>
      <c r="H239" t="s">
        <v>4405</v>
      </c>
      <c r="K239" s="31">
        <v>56049557.43</v>
      </c>
      <c r="M239" s="31">
        <v>56049557.43</v>
      </c>
      <c r="O239">
        <v>0</v>
      </c>
    </row>
    <row r="240" spans="3:17">
      <c r="C240">
        <v>5360</v>
      </c>
      <c r="E240" t="s">
        <v>4427</v>
      </c>
      <c r="H240" t="s">
        <v>4428</v>
      </c>
      <c r="K240" s="31">
        <v>16950724.66</v>
      </c>
      <c r="M240" s="31">
        <v>16950724.66</v>
      </c>
      <c r="O240">
        <v>0</v>
      </c>
    </row>
    <row r="241" spans="3:18">
      <c r="E241" t="s">
        <v>4429</v>
      </c>
      <c r="K241" s="31">
        <v>194145577.37</v>
      </c>
      <c r="M241" s="31">
        <v>205379038.05000001</v>
      </c>
      <c r="O241" s="31">
        <v>-11233460.68</v>
      </c>
      <c r="Q241">
        <v>-5.5</v>
      </c>
      <c r="R241" t="s">
        <v>611</v>
      </c>
    </row>
    <row r="243" spans="3:18">
      <c r="C243">
        <v>5360</v>
      </c>
      <c r="E243" t="s">
        <v>4432</v>
      </c>
      <c r="H243" t="s">
        <v>4433</v>
      </c>
      <c r="K243" s="31">
        <v>-54257.96</v>
      </c>
      <c r="M243" s="31">
        <v>-54257.96</v>
      </c>
      <c r="O243">
        <v>0</v>
      </c>
    </row>
    <row r="244" spans="3:18">
      <c r="C244">
        <v>5360</v>
      </c>
      <c r="E244" t="s">
        <v>4434</v>
      </c>
      <c r="H244" t="s">
        <v>4435</v>
      </c>
      <c r="K244">
        <v>1.88</v>
      </c>
      <c r="M244">
        <v>1.88</v>
      </c>
      <c r="O244">
        <v>0</v>
      </c>
    </row>
    <row r="245" spans="3:18">
      <c r="C245">
        <v>5360</v>
      </c>
      <c r="E245" t="s">
        <v>4436</v>
      </c>
      <c r="H245" t="s">
        <v>4437</v>
      </c>
      <c r="K245">
        <v>0.03</v>
      </c>
      <c r="M245">
        <v>0.03</v>
      </c>
      <c r="O245">
        <v>0</v>
      </c>
    </row>
    <row r="246" spans="3:18">
      <c r="C246">
        <v>5360</v>
      </c>
      <c r="E246" t="s">
        <v>4438</v>
      </c>
      <c r="H246" t="s">
        <v>4439</v>
      </c>
      <c r="K246" s="31">
        <v>-11185.57</v>
      </c>
      <c r="M246" s="31">
        <v>-11185.57</v>
      </c>
      <c r="O246">
        <v>0</v>
      </c>
    </row>
    <row r="247" spans="3:18">
      <c r="C247">
        <v>5360</v>
      </c>
      <c r="E247" t="s">
        <v>4440</v>
      </c>
      <c r="H247" t="s">
        <v>4441</v>
      </c>
      <c r="K247">
        <v>-0.09</v>
      </c>
      <c r="M247">
        <v>-0.09</v>
      </c>
      <c r="O247">
        <v>0</v>
      </c>
    </row>
    <row r="248" spans="3:18">
      <c r="C248">
        <v>5360</v>
      </c>
      <c r="E248" t="s">
        <v>4442</v>
      </c>
      <c r="H248" t="s">
        <v>4443</v>
      </c>
      <c r="K248" s="31">
        <v>-3072863641.3699999</v>
      </c>
      <c r="M248" s="31">
        <v>-3161390989.98</v>
      </c>
      <c r="O248" s="31">
        <v>88527348.609999999</v>
      </c>
      <c r="Q248">
        <v>2.8</v>
      </c>
    </row>
    <row r="249" spans="3:18">
      <c r="E249" t="s">
        <v>4444</v>
      </c>
      <c r="K249" s="31">
        <v>-3072929083.0799999</v>
      </c>
      <c r="M249" s="31">
        <v>-3161456431.6900001</v>
      </c>
      <c r="O249" s="31">
        <v>88527348.609999999</v>
      </c>
      <c r="Q249">
        <v>2.8</v>
      </c>
      <c r="R249" t="s">
        <v>569</v>
      </c>
    </row>
    <row r="250" spans="3:18">
      <c r="E250" t="s">
        <v>4444</v>
      </c>
      <c r="K250" s="31">
        <v>-3072929083.0799999</v>
      </c>
      <c r="M250" s="31">
        <v>-3161456431.6900001</v>
      </c>
      <c r="O250" s="31">
        <v>88527348.609999999</v>
      </c>
      <c r="Q250">
        <v>2.8</v>
      </c>
      <c r="R250" t="s">
        <v>611</v>
      </c>
    </row>
    <row r="252" spans="3:18">
      <c r="C252">
        <v>5360</v>
      </c>
      <c r="E252" t="s">
        <v>4445</v>
      </c>
      <c r="H252" t="s">
        <v>4446</v>
      </c>
      <c r="K252" s="31">
        <v>94884.43</v>
      </c>
      <c r="M252" s="31">
        <v>94884.43</v>
      </c>
      <c r="O252">
        <v>0</v>
      </c>
    </row>
    <row r="253" spans="3:18">
      <c r="C253">
        <v>5360</v>
      </c>
      <c r="E253" t="s">
        <v>4447</v>
      </c>
      <c r="H253" t="s">
        <v>4448</v>
      </c>
      <c r="K253" s="31">
        <v>7878083.6100000003</v>
      </c>
      <c r="M253" s="31">
        <v>7878083.6100000003</v>
      </c>
      <c r="O253">
        <v>0</v>
      </c>
    </row>
    <row r="254" spans="3:18">
      <c r="C254">
        <v>5360</v>
      </c>
      <c r="E254" t="s">
        <v>4449</v>
      </c>
      <c r="H254" t="s">
        <v>4450</v>
      </c>
      <c r="K254" s="31">
        <v>-1612655.92</v>
      </c>
      <c r="M254" s="31">
        <v>-1612655.92</v>
      </c>
      <c r="O254">
        <v>0</v>
      </c>
    </row>
    <row r="255" spans="3:18">
      <c r="C255">
        <v>5360</v>
      </c>
      <c r="E255" t="s">
        <v>4451</v>
      </c>
      <c r="H255" t="s">
        <v>4452</v>
      </c>
      <c r="K255" s="31">
        <v>6303.42</v>
      </c>
      <c r="M255" s="31">
        <v>6303.42</v>
      </c>
      <c r="O255">
        <v>0</v>
      </c>
    </row>
    <row r="256" spans="3:18">
      <c r="C256">
        <v>5360</v>
      </c>
      <c r="E256" t="s">
        <v>4453</v>
      </c>
      <c r="H256" t="s">
        <v>4454</v>
      </c>
      <c r="K256" s="31">
        <v>179552.76</v>
      </c>
      <c r="M256" s="31">
        <v>179552.76</v>
      </c>
      <c r="O256">
        <v>0</v>
      </c>
    </row>
    <row r="257" spans="3:15">
      <c r="C257">
        <v>5360</v>
      </c>
      <c r="E257" t="s">
        <v>4455</v>
      </c>
      <c r="H257" t="s">
        <v>4456</v>
      </c>
      <c r="K257" s="31">
        <v>369460.35</v>
      </c>
      <c r="M257" s="31">
        <v>369460.35</v>
      </c>
      <c r="O257">
        <v>0</v>
      </c>
    </row>
    <row r="258" spans="3:15">
      <c r="C258">
        <v>5360</v>
      </c>
      <c r="E258" t="s">
        <v>4457</v>
      </c>
      <c r="H258" t="s">
        <v>4458</v>
      </c>
      <c r="K258" s="31">
        <v>1003848.58</v>
      </c>
      <c r="M258" s="31">
        <v>1003848.58</v>
      </c>
      <c r="O258">
        <v>0</v>
      </c>
    </row>
    <row r="259" spans="3:15">
      <c r="C259">
        <v>5360</v>
      </c>
      <c r="E259" t="s">
        <v>4459</v>
      </c>
      <c r="H259" t="s">
        <v>4460</v>
      </c>
      <c r="K259" s="31">
        <v>1396494</v>
      </c>
      <c r="M259" s="31">
        <v>1396494</v>
      </c>
      <c r="O259">
        <v>0</v>
      </c>
    </row>
    <row r="260" spans="3:15">
      <c r="C260">
        <v>5360</v>
      </c>
      <c r="E260" t="s">
        <v>4461</v>
      </c>
      <c r="H260" t="s">
        <v>4462</v>
      </c>
      <c r="K260" s="31">
        <v>8148905</v>
      </c>
      <c r="M260" s="31">
        <v>8148905</v>
      </c>
      <c r="O260">
        <v>0</v>
      </c>
    </row>
    <row r="261" spans="3:15">
      <c r="C261">
        <v>5360</v>
      </c>
      <c r="E261" t="s">
        <v>4463</v>
      </c>
      <c r="H261" t="s">
        <v>4464</v>
      </c>
      <c r="K261">
        <v>0.1</v>
      </c>
      <c r="M261">
        <v>0.1</v>
      </c>
      <c r="O261">
        <v>0</v>
      </c>
    </row>
    <row r="262" spans="3:15">
      <c r="C262">
        <v>5360</v>
      </c>
      <c r="E262" t="s">
        <v>4465</v>
      </c>
      <c r="H262" t="s">
        <v>4466</v>
      </c>
      <c r="K262" s="31">
        <v>-9122158.75</v>
      </c>
      <c r="M262" s="31">
        <v>-9122158.75</v>
      </c>
      <c r="O262">
        <v>0</v>
      </c>
    </row>
    <row r="263" spans="3:15">
      <c r="C263">
        <v>5360</v>
      </c>
      <c r="E263" t="s">
        <v>4467</v>
      </c>
      <c r="H263" t="s">
        <v>4468</v>
      </c>
      <c r="K263" s="31">
        <v>915219.11</v>
      </c>
      <c r="M263" s="31">
        <v>915219.11</v>
      </c>
      <c r="O263">
        <v>0</v>
      </c>
    </row>
    <row r="264" spans="3:15">
      <c r="C264">
        <v>5360</v>
      </c>
      <c r="E264" t="s">
        <v>4469</v>
      </c>
      <c r="H264" t="s">
        <v>4470</v>
      </c>
      <c r="K264" s="31">
        <v>-4834152.7699999996</v>
      </c>
      <c r="M264" s="31">
        <v>-4834152.7699999996</v>
      </c>
      <c r="O264">
        <v>0</v>
      </c>
    </row>
    <row r="265" spans="3:15">
      <c r="C265">
        <v>5360</v>
      </c>
      <c r="E265" t="s">
        <v>4471</v>
      </c>
      <c r="H265" t="s">
        <v>4472</v>
      </c>
      <c r="K265" s="31">
        <v>12828105.73</v>
      </c>
      <c r="M265" s="31">
        <v>12828105.73</v>
      </c>
      <c r="O265">
        <v>0</v>
      </c>
    </row>
    <row r="266" spans="3:15">
      <c r="C266">
        <v>5360</v>
      </c>
      <c r="E266" t="s">
        <v>4473</v>
      </c>
      <c r="H266" t="s">
        <v>4474</v>
      </c>
      <c r="K266" s="31">
        <v>-3057643.51</v>
      </c>
      <c r="M266" s="31">
        <v>-3057643.51</v>
      </c>
      <c r="O266">
        <v>0</v>
      </c>
    </row>
    <row r="267" spans="3:15">
      <c r="C267">
        <v>5360</v>
      </c>
      <c r="E267" t="s">
        <v>4475</v>
      </c>
      <c r="H267" t="s">
        <v>4476</v>
      </c>
      <c r="K267" s="31">
        <v>-12030</v>
      </c>
      <c r="M267" s="31">
        <v>-12030</v>
      </c>
      <c r="O267">
        <v>0</v>
      </c>
    </row>
    <row r="268" spans="3:15">
      <c r="C268">
        <v>5360</v>
      </c>
      <c r="E268" t="s">
        <v>4477</v>
      </c>
      <c r="H268" t="s">
        <v>4478</v>
      </c>
      <c r="K268" s="31">
        <v>219361.8</v>
      </c>
      <c r="M268" s="31">
        <v>219361.8</v>
      </c>
      <c r="O268">
        <v>0</v>
      </c>
    </row>
    <row r="269" spans="3:15">
      <c r="C269">
        <v>5360</v>
      </c>
      <c r="E269" t="s">
        <v>4479</v>
      </c>
      <c r="H269" t="s">
        <v>4480</v>
      </c>
      <c r="K269" s="31">
        <v>-1366939</v>
      </c>
      <c r="M269" s="31">
        <v>-1366939</v>
      </c>
      <c r="O269">
        <v>0</v>
      </c>
    </row>
    <row r="270" spans="3:15">
      <c r="C270">
        <v>5360</v>
      </c>
      <c r="E270" t="s">
        <v>4481</v>
      </c>
      <c r="H270" t="s">
        <v>4482</v>
      </c>
      <c r="K270" s="31">
        <v>-565556.75</v>
      </c>
      <c r="M270" s="31">
        <v>-565556.75</v>
      </c>
      <c r="O270">
        <v>0</v>
      </c>
    </row>
    <row r="271" spans="3:15">
      <c r="C271">
        <v>5360</v>
      </c>
      <c r="E271" t="s">
        <v>4483</v>
      </c>
      <c r="H271" t="s">
        <v>4484</v>
      </c>
      <c r="K271" s="31">
        <v>14544328.130000001</v>
      </c>
      <c r="M271" s="31">
        <v>14544328.130000001</v>
      </c>
      <c r="O271">
        <v>0</v>
      </c>
    </row>
    <row r="272" spans="3:15">
      <c r="C272">
        <v>5360</v>
      </c>
      <c r="E272" t="s">
        <v>4485</v>
      </c>
      <c r="H272" t="s">
        <v>4486</v>
      </c>
      <c r="K272" s="31">
        <v>537415.69999999995</v>
      </c>
      <c r="M272" s="31">
        <v>537415.69999999995</v>
      </c>
      <c r="O272">
        <v>0</v>
      </c>
    </row>
    <row r="273" spans="3:18">
      <c r="C273">
        <v>5360</v>
      </c>
      <c r="E273" t="s">
        <v>4487</v>
      </c>
      <c r="H273" t="s">
        <v>4488</v>
      </c>
      <c r="K273" s="31">
        <v>9712860.1799999997</v>
      </c>
      <c r="M273" s="31">
        <v>9712860.1799999997</v>
      </c>
      <c r="O273">
        <v>0</v>
      </c>
    </row>
    <row r="274" spans="3:18">
      <c r="C274">
        <v>5360</v>
      </c>
      <c r="E274" t="s">
        <v>4489</v>
      </c>
      <c r="H274" t="s">
        <v>4490</v>
      </c>
      <c r="K274" s="31">
        <v>-309090.67</v>
      </c>
      <c r="M274" s="31">
        <v>-309090.67</v>
      </c>
      <c r="O274">
        <v>0</v>
      </c>
    </row>
    <row r="275" spans="3:18">
      <c r="C275">
        <v>5360</v>
      </c>
      <c r="E275" t="s">
        <v>4491</v>
      </c>
      <c r="H275" t="s">
        <v>4492</v>
      </c>
      <c r="K275" s="31">
        <v>111640.2</v>
      </c>
      <c r="M275" s="31">
        <v>111640.2</v>
      </c>
      <c r="O275">
        <v>0</v>
      </c>
    </row>
    <row r="276" spans="3:18">
      <c r="C276">
        <v>5360</v>
      </c>
      <c r="E276" t="s">
        <v>4493</v>
      </c>
      <c r="H276" t="s">
        <v>4494</v>
      </c>
      <c r="K276" s="31">
        <v>325362</v>
      </c>
      <c r="M276" s="31">
        <v>325362</v>
      </c>
      <c r="O276">
        <v>0</v>
      </c>
    </row>
    <row r="277" spans="3:18">
      <c r="C277">
        <v>5360</v>
      </c>
      <c r="E277" t="s">
        <v>4495</v>
      </c>
      <c r="H277" t="s">
        <v>4496</v>
      </c>
      <c r="K277" s="31">
        <v>256596.46</v>
      </c>
      <c r="M277" s="31">
        <v>256596.46</v>
      </c>
      <c r="O277">
        <v>0</v>
      </c>
    </row>
    <row r="278" spans="3:18">
      <c r="E278" t="s">
        <v>4497</v>
      </c>
      <c r="K278" s="31">
        <v>37648194.189999998</v>
      </c>
      <c r="M278" s="31">
        <v>37648194.189999998</v>
      </c>
      <c r="O278">
        <v>0</v>
      </c>
      <c r="R278" t="s">
        <v>569</v>
      </c>
    </row>
    <row r="279" spans="3:18">
      <c r="C279">
        <v>5360</v>
      </c>
      <c r="E279" t="s">
        <v>4498</v>
      </c>
      <c r="H279" t="s">
        <v>4499</v>
      </c>
      <c r="K279" s="31">
        <v>-63818.2</v>
      </c>
      <c r="M279" s="31">
        <v>-63818.2</v>
      </c>
      <c r="O279">
        <v>0</v>
      </c>
    </row>
    <row r="280" spans="3:18">
      <c r="C280">
        <v>5360</v>
      </c>
      <c r="E280" t="s">
        <v>4500</v>
      </c>
      <c r="H280" t="s">
        <v>4501</v>
      </c>
      <c r="K280" s="31">
        <v>4160110.14</v>
      </c>
      <c r="M280" s="31">
        <v>4160110.14</v>
      </c>
      <c r="O280">
        <v>0</v>
      </c>
    </row>
    <row r="281" spans="3:18">
      <c r="C281">
        <v>5360</v>
      </c>
      <c r="E281" t="s">
        <v>4502</v>
      </c>
      <c r="H281" t="s">
        <v>4503</v>
      </c>
      <c r="K281" s="31">
        <v>-6390</v>
      </c>
      <c r="M281" s="31">
        <v>-6390</v>
      </c>
      <c r="O281">
        <v>0</v>
      </c>
    </row>
    <row r="282" spans="3:18">
      <c r="C282">
        <v>5360</v>
      </c>
      <c r="E282" t="s">
        <v>4504</v>
      </c>
      <c r="H282" t="s">
        <v>4505</v>
      </c>
      <c r="K282" s="31">
        <v>-318972</v>
      </c>
      <c r="M282" s="31">
        <v>-318972</v>
      </c>
      <c r="O282">
        <v>0</v>
      </c>
    </row>
    <row r="283" spans="3:18">
      <c r="E283" t="s">
        <v>4506</v>
      </c>
      <c r="K283" s="31">
        <v>3770929.94</v>
      </c>
      <c r="M283" s="31">
        <v>3770929.94</v>
      </c>
      <c r="O283">
        <v>0</v>
      </c>
      <c r="R283" t="s">
        <v>569</v>
      </c>
    </row>
    <row r="284" spans="3:18">
      <c r="E284" t="s">
        <v>4507</v>
      </c>
      <c r="K284" s="31">
        <v>41419124.130000003</v>
      </c>
      <c r="M284" s="31">
        <v>41419124.130000003</v>
      </c>
      <c r="O284">
        <v>0</v>
      </c>
      <c r="R284" t="s">
        <v>611</v>
      </c>
    </row>
    <row r="286" spans="3:18">
      <c r="E286" t="s">
        <v>4508</v>
      </c>
      <c r="K286" s="31">
        <v>-2837326430.98</v>
      </c>
      <c r="M286" s="31">
        <v>-2914623300.9400001</v>
      </c>
      <c r="O286" s="31">
        <v>77296869.959999993</v>
      </c>
      <c r="Q286">
        <v>2.7</v>
      </c>
      <c r="R286" t="s">
        <v>930</v>
      </c>
    </row>
    <row r="288" spans="3:18">
      <c r="E288" t="s">
        <v>4058</v>
      </c>
      <c r="K288" s="31">
        <v>-400880566.80000001</v>
      </c>
      <c r="M288" s="31">
        <v>-354520355.04000002</v>
      </c>
      <c r="O288" s="31">
        <v>-46360211.759999998</v>
      </c>
      <c r="Q288">
        <v>-13.1</v>
      </c>
      <c r="R288" t="s">
        <v>970</v>
      </c>
    </row>
    <row r="292" spans="1:18">
      <c r="A292" t="s">
        <v>5962</v>
      </c>
    </row>
    <row r="293" spans="1:18">
      <c r="A293" t="s">
        <v>4925</v>
      </c>
    </row>
    <row r="295" spans="1:18">
      <c r="A295" t="s">
        <v>535</v>
      </c>
      <c r="F295">
        <v>5360</v>
      </c>
      <c r="G295" t="s">
        <v>536</v>
      </c>
      <c r="I295" t="s">
        <v>537</v>
      </c>
      <c r="N295" t="s">
        <v>538</v>
      </c>
      <c r="P295" t="s">
        <v>539</v>
      </c>
    </row>
    <row r="297" spans="1:18">
      <c r="B297" t="s">
        <v>313</v>
      </c>
      <c r="C297" t="s">
        <v>540</v>
      </c>
      <c r="D297" t="s">
        <v>541</v>
      </c>
      <c r="E297" t="s">
        <v>542</v>
      </c>
      <c r="J297" t="s">
        <v>543</v>
      </c>
      <c r="L297" t="s">
        <v>544</v>
      </c>
      <c r="O297" t="s">
        <v>545</v>
      </c>
      <c r="Q297" t="s">
        <v>546</v>
      </c>
      <c r="R297" t="s">
        <v>4054</v>
      </c>
    </row>
    <row r="298" spans="1:18">
      <c r="B298" t="s">
        <v>201</v>
      </c>
      <c r="C298" t="s">
        <v>548</v>
      </c>
      <c r="D298" t="s">
        <v>549</v>
      </c>
      <c r="J298" t="s">
        <v>5965</v>
      </c>
      <c r="L298" t="s">
        <v>5966</v>
      </c>
      <c r="O298" t="s">
        <v>551</v>
      </c>
      <c r="Q298" t="s">
        <v>552</v>
      </c>
      <c r="R298" t="s">
        <v>4057</v>
      </c>
    </row>
    <row r="300" spans="1:18">
      <c r="E300" t="s">
        <v>4510</v>
      </c>
    </row>
    <row r="301" spans="1:18">
      <c r="C301">
        <v>5360</v>
      </c>
      <c r="E301" t="s">
        <v>4511</v>
      </c>
      <c r="H301" t="s">
        <v>4512</v>
      </c>
      <c r="K301" s="31">
        <v>-24493.34</v>
      </c>
      <c r="M301" s="31">
        <v>-24493.34</v>
      </c>
      <c r="O301">
        <v>0</v>
      </c>
    </row>
    <row r="302" spans="1:18">
      <c r="E302" t="s">
        <v>4513</v>
      </c>
      <c r="K302" s="31">
        <v>-24493.34</v>
      </c>
      <c r="M302" s="31">
        <v>-24493.34</v>
      </c>
      <c r="O302">
        <v>0</v>
      </c>
      <c r="R302" t="s">
        <v>658</v>
      </c>
    </row>
    <row r="303" spans="1:18">
      <c r="C303">
        <v>5360</v>
      </c>
      <c r="E303" t="s">
        <v>4514</v>
      </c>
      <c r="H303" t="s">
        <v>4515</v>
      </c>
      <c r="K303" s="31">
        <v>-365120837.67000002</v>
      </c>
      <c r="M303" s="31">
        <v>-365120837.67000002</v>
      </c>
      <c r="O303">
        <v>0</v>
      </c>
    </row>
    <row r="304" spans="1:18">
      <c r="C304">
        <v>5360</v>
      </c>
      <c r="E304" t="s">
        <v>4516</v>
      </c>
      <c r="H304" t="s">
        <v>4517</v>
      </c>
      <c r="K304" s="31">
        <v>-38819563.369999997</v>
      </c>
      <c r="M304" s="31">
        <v>-38819563.369999997</v>
      </c>
      <c r="O304">
        <v>0</v>
      </c>
    </row>
    <row r="305" spans="3:18">
      <c r="C305">
        <v>5360</v>
      </c>
      <c r="E305" t="s">
        <v>4518</v>
      </c>
      <c r="H305" t="s">
        <v>4519</v>
      </c>
      <c r="K305" s="31">
        <v>-79591318.069999993</v>
      </c>
      <c r="M305" s="31">
        <v>-79591318.069999993</v>
      </c>
      <c r="O305">
        <v>0</v>
      </c>
    </row>
    <row r="306" spans="3:18">
      <c r="E306" t="s">
        <v>4520</v>
      </c>
      <c r="K306" s="31">
        <v>-483531719.11000001</v>
      </c>
      <c r="M306" s="31">
        <v>-483531719.11000001</v>
      </c>
      <c r="O306">
        <v>0</v>
      </c>
      <c r="R306" t="s">
        <v>658</v>
      </c>
    </row>
    <row r="307" spans="3:18">
      <c r="E307" t="s">
        <v>4521</v>
      </c>
      <c r="K307" s="31">
        <v>1663251561.6700001</v>
      </c>
      <c r="M307" s="31">
        <v>1661672499.95</v>
      </c>
      <c r="O307" s="31">
        <v>1579061.72</v>
      </c>
      <c r="Q307">
        <v>0.1</v>
      </c>
      <c r="R307" t="s">
        <v>650</v>
      </c>
    </row>
    <row r="308" spans="3:18">
      <c r="E308" t="s">
        <v>4522</v>
      </c>
      <c r="K308" s="31">
        <v>1663251561.6700001</v>
      </c>
      <c r="M308" s="31">
        <v>1661672499.95</v>
      </c>
      <c r="O308" s="31">
        <v>1579061.72</v>
      </c>
      <c r="Q308">
        <v>0.1</v>
      </c>
      <c r="R308" t="s">
        <v>658</v>
      </c>
    </row>
    <row r="309" spans="3:18">
      <c r="C309">
        <v>5360</v>
      </c>
      <c r="E309" t="s">
        <v>5977</v>
      </c>
      <c r="H309" t="s">
        <v>5978</v>
      </c>
      <c r="K309" s="31">
        <v>166641.15</v>
      </c>
      <c r="M309" s="31">
        <v>166641.15</v>
      </c>
      <c r="O309">
        <v>0</v>
      </c>
    </row>
    <row r="310" spans="3:18">
      <c r="C310">
        <v>5360</v>
      </c>
      <c r="E310" t="s">
        <v>4523</v>
      </c>
      <c r="H310" t="s">
        <v>4524</v>
      </c>
      <c r="K310" s="31">
        <v>-2614432</v>
      </c>
      <c r="M310" s="31">
        <v>-2614432</v>
      </c>
      <c r="O310">
        <v>0</v>
      </c>
    </row>
    <row r="311" spans="3:18">
      <c r="E311" t="s">
        <v>4529</v>
      </c>
      <c r="K311" s="31">
        <v>-2447790.85</v>
      </c>
      <c r="M311" s="31">
        <v>-2447790.85</v>
      </c>
      <c r="O311">
        <v>0</v>
      </c>
      <c r="R311" t="s">
        <v>658</v>
      </c>
    </row>
    <row r="312" spans="3:18">
      <c r="E312" t="s">
        <v>4530</v>
      </c>
      <c r="K312" s="31">
        <v>1177247558.3699999</v>
      </c>
      <c r="M312" s="31">
        <v>1175668496.6500001</v>
      </c>
      <c r="O312" s="31">
        <v>1579061.72</v>
      </c>
      <c r="Q312">
        <v>0.1</v>
      </c>
      <c r="R312" t="s">
        <v>569</v>
      </c>
    </row>
    <row r="313" spans="3:18">
      <c r="E313" t="s">
        <v>46</v>
      </c>
      <c r="K313" s="31">
        <v>1177247558.3699999</v>
      </c>
      <c r="M313" s="31">
        <v>1175668496.6500001</v>
      </c>
      <c r="O313" s="31">
        <v>1579061.72</v>
      </c>
      <c r="Q313">
        <v>0.1</v>
      </c>
      <c r="R313" t="s">
        <v>611</v>
      </c>
    </row>
    <row r="315" spans="3:18">
      <c r="C315">
        <v>5360</v>
      </c>
      <c r="E315" t="s">
        <v>4531</v>
      </c>
      <c r="H315" t="s">
        <v>4532</v>
      </c>
      <c r="K315" s="31">
        <v>-48089000</v>
      </c>
      <c r="M315" s="31">
        <v>-48089000</v>
      </c>
      <c r="O315">
        <v>0</v>
      </c>
    </row>
    <row r="316" spans="3:18">
      <c r="E316" t="s">
        <v>506</v>
      </c>
      <c r="K316" s="31">
        <v>-48089000</v>
      </c>
      <c r="M316" s="31">
        <v>-48089000</v>
      </c>
      <c r="O316">
        <v>0</v>
      </c>
      <c r="R316" t="s">
        <v>569</v>
      </c>
    </row>
    <row r="317" spans="3:18">
      <c r="E317" t="s">
        <v>506</v>
      </c>
      <c r="K317" s="31">
        <v>-48089000</v>
      </c>
      <c r="M317" s="31">
        <v>-48089000</v>
      </c>
      <c r="O317">
        <v>0</v>
      </c>
      <c r="R317" t="s">
        <v>611</v>
      </c>
    </row>
    <row r="319" spans="3:18">
      <c r="E319" t="s">
        <v>4533</v>
      </c>
      <c r="K319" s="31">
        <v>1129158558.3699999</v>
      </c>
      <c r="M319" s="31">
        <v>1127579496.6500001</v>
      </c>
      <c r="O319" s="31">
        <v>1579061.72</v>
      </c>
      <c r="Q319">
        <v>0.1</v>
      </c>
      <c r="R319" t="s">
        <v>930</v>
      </c>
    </row>
    <row r="321" spans="3:18">
      <c r="C321">
        <v>5360</v>
      </c>
      <c r="E321" t="s">
        <v>4534</v>
      </c>
      <c r="H321" t="s">
        <v>4535</v>
      </c>
      <c r="K321" s="31">
        <v>-1375000</v>
      </c>
      <c r="M321" s="31">
        <v>-1375000</v>
      </c>
      <c r="O321">
        <v>0</v>
      </c>
    </row>
    <row r="322" spans="3:18">
      <c r="E322" t="s">
        <v>4536</v>
      </c>
      <c r="K322" s="31">
        <v>-1375000</v>
      </c>
      <c r="M322" s="31">
        <v>-1375000</v>
      </c>
      <c r="O322">
        <v>0</v>
      </c>
      <c r="R322" t="s">
        <v>569</v>
      </c>
    </row>
    <row r="323" spans="3:18">
      <c r="C323">
        <v>5360</v>
      </c>
      <c r="E323" t="s">
        <v>4537</v>
      </c>
      <c r="H323" t="s">
        <v>4538</v>
      </c>
      <c r="K323" s="31">
        <v>-2204784.2799999998</v>
      </c>
      <c r="M323" s="31">
        <v>-2212677.71</v>
      </c>
      <c r="O323" s="31">
        <v>7893.43</v>
      </c>
      <c r="Q323">
        <v>0.4</v>
      </c>
    </row>
    <row r="324" spans="3:18">
      <c r="C324">
        <v>5360</v>
      </c>
      <c r="E324" t="s">
        <v>4539</v>
      </c>
      <c r="H324" t="s">
        <v>4540</v>
      </c>
      <c r="K324" s="31">
        <v>-1576512.58</v>
      </c>
      <c r="M324" s="31">
        <v>-645216.97</v>
      </c>
      <c r="O324" s="31">
        <v>-931295.61</v>
      </c>
      <c r="Q324">
        <v>-144.30000000000001</v>
      </c>
    </row>
    <row r="325" spans="3:18">
      <c r="C325">
        <v>5360</v>
      </c>
      <c r="E325" t="s">
        <v>4541</v>
      </c>
      <c r="H325" t="s">
        <v>4542</v>
      </c>
      <c r="K325" s="31">
        <v>-5008.53</v>
      </c>
      <c r="M325" s="31">
        <v>-5008.53</v>
      </c>
      <c r="O325">
        <v>0</v>
      </c>
    </row>
    <row r="326" spans="3:18">
      <c r="C326">
        <v>5360</v>
      </c>
      <c r="E326" t="s">
        <v>4543</v>
      </c>
      <c r="H326" t="s">
        <v>4544</v>
      </c>
      <c r="K326" s="31">
        <v>38584.239999999998</v>
      </c>
      <c r="M326" s="31">
        <v>35130.99</v>
      </c>
      <c r="O326" s="31">
        <v>3453.25</v>
      </c>
      <c r="Q326">
        <v>9.8000000000000007</v>
      </c>
    </row>
    <row r="327" spans="3:18">
      <c r="C327">
        <v>5360</v>
      </c>
      <c r="E327" t="s">
        <v>4545</v>
      </c>
      <c r="H327" t="s">
        <v>4546</v>
      </c>
      <c r="K327" s="31">
        <v>-9754.9500000000007</v>
      </c>
      <c r="M327" s="31">
        <v>-9754.9500000000007</v>
      </c>
      <c r="O327">
        <v>0</v>
      </c>
    </row>
    <row r="328" spans="3:18">
      <c r="C328">
        <v>5360</v>
      </c>
      <c r="E328" t="s">
        <v>4549</v>
      </c>
      <c r="H328" t="s">
        <v>4550</v>
      </c>
      <c r="K328" s="31">
        <v>-2447.09</v>
      </c>
      <c r="M328" s="31">
        <v>-2447.09</v>
      </c>
      <c r="O328">
        <v>0</v>
      </c>
    </row>
    <row r="329" spans="3:18">
      <c r="C329">
        <v>5360</v>
      </c>
      <c r="E329" t="s">
        <v>4551</v>
      </c>
      <c r="H329" t="s">
        <v>4552</v>
      </c>
      <c r="K329" s="31">
        <v>-8311586.3799999999</v>
      </c>
      <c r="M329" s="31">
        <v>-10709525.060000001</v>
      </c>
      <c r="O329" s="31">
        <v>2397938.6800000002</v>
      </c>
      <c r="Q329">
        <v>22.4</v>
      </c>
    </row>
    <row r="330" spans="3:18">
      <c r="C330">
        <v>5360</v>
      </c>
      <c r="E330" t="s">
        <v>4553</v>
      </c>
      <c r="H330" t="s">
        <v>4554</v>
      </c>
      <c r="K330" s="31">
        <v>-8306924.7999999998</v>
      </c>
      <c r="M330" s="31">
        <v>-9446858.5700000003</v>
      </c>
      <c r="O330" s="31">
        <v>1139933.77</v>
      </c>
      <c r="Q330">
        <v>12.1</v>
      </c>
    </row>
    <row r="331" spans="3:18">
      <c r="C331">
        <v>5360</v>
      </c>
      <c r="E331" t="s">
        <v>4555</v>
      </c>
      <c r="H331" t="s">
        <v>4556</v>
      </c>
      <c r="K331" s="31">
        <v>142193.76999999999</v>
      </c>
      <c r="M331" s="31">
        <v>126358.37</v>
      </c>
      <c r="O331" s="31">
        <v>15835.4</v>
      </c>
      <c r="Q331">
        <v>12.5</v>
      </c>
    </row>
    <row r="332" spans="3:18">
      <c r="C332">
        <v>5360</v>
      </c>
      <c r="E332" t="s">
        <v>4557</v>
      </c>
      <c r="H332" t="s">
        <v>4558</v>
      </c>
      <c r="K332" s="31">
        <v>362400.49</v>
      </c>
      <c r="M332" s="31">
        <v>362400.49</v>
      </c>
      <c r="O332">
        <v>0</v>
      </c>
    </row>
    <row r="333" spans="3:18">
      <c r="C333">
        <v>5360</v>
      </c>
      <c r="E333" t="s">
        <v>4559</v>
      </c>
      <c r="H333" t="s">
        <v>4560</v>
      </c>
      <c r="K333" s="31">
        <v>-34934.9</v>
      </c>
      <c r="M333" s="31">
        <v>-39227.730000000003</v>
      </c>
      <c r="O333" s="31">
        <v>4292.83</v>
      </c>
      <c r="Q333">
        <v>10.9</v>
      </c>
    </row>
    <row r="334" spans="3:18">
      <c r="C334">
        <v>5360</v>
      </c>
      <c r="E334" t="s">
        <v>4561</v>
      </c>
      <c r="H334" t="s">
        <v>4562</v>
      </c>
      <c r="K334" s="31">
        <v>-6693541.75</v>
      </c>
      <c r="M334" s="31">
        <v>-6692452.9400000004</v>
      </c>
      <c r="O334" s="31">
        <v>-1088.81</v>
      </c>
    </row>
    <row r="335" spans="3:18">
      <c r="C335">
        <v>5360</v>
      </c>
      <c r="E335" t="s">
        <v>4563</v>
      </c>
      <c r="H335" t="s">
        <v>4564</v>
      </c>
      <c r="K335" s="31">
        <v>1660.41</v>
      </c>
      <c r="M335" s="31">
        <v>1471.41</v>
      </c>
      <c r="O335">
        <v>189</v>
      </c>
      <c r="Q335">
        <v>12.8</v>
      </c>
    </row>
    <row r="336" spans="3:18">
      <c r="C336">
        <v>5360</v>
      </c>
      <c r="E336" t="s">
        <v>4565</v>
      </c>
      <c r="H336" t="s">
        <v>4566</v>
      </c>
      <c r="K336" s="31">
        <v>31853.57</v>
      </c>
      <c r="M336" s="31">
        <v>27209.83</v>
      </c>
      <c r="O336" s="31">
        <v>4643.74</v>
      </c>
      <c r="Q336">
        <v>17.100000000000001</v>
      </c>
    </row>
    <row r="337" spans="3:17">
      <c r="C337">
        <v>5360</v>
      </c>
      <c r="E337" t="s">
        <v>4567</v>
      </c>
      <c r="H337" t="s">
        <v>4568</v>
      </c>
      <c r="K337" s="31">
        <v>-1158913.5900000001</v>
      </c>
      <c r="M337" s="31">
        <v>-1158171.73</v>
      </c>
      <c r="O337">
        <v>-741.86</v>
      </c>
      <c r="Q337">
        <v>-0.1</v>
      </c>
    </row>
    <row r="338" spans="3:17">
      <c r="C338">
        <v>5360</v>
      </c>
      <c r="E338" t="s">
        <v>4569</v>
      </c>
      <c r="H338" t="s">
        <v>4570</v>
      </c>
      <c r="K338" s="31">
        <v>24021</v>
      </c>
      <c r="M338" s="31">
        <v>9298.35</v>
      </c>
      <c r="O338" s="31">
        <v>14722.65</v>
      </c>
      <c r="Q338">
        <v>158.30000000000001</v>
      </c>
    </row>
    <row r="339" spans="3:17">
      <c r="C339">
        <v>5360</v>
      </c>
      <c r="E339" t="s">
        <v>4571</v>
      </c>
      <c r="H339" t="s">
        <v>4572</v>
      </c>
      <c r="K339" s="31">
        <v>-61573.760000000002</v>
      </c>
      <c r="M339" s="31">
        <v>-57298.74</v>
      </c>
      <c r="O339" s="31">
        <v>-4275.0200000000004</v>
      </c>
      <c r="Q339">
        <v>-7.5</v>
      </c>
    </row>
    <row r="340" spans="3:17">
      <c r="C340">
        <v>5360</v>
      </c>
      <c r="E340" t="s">
        <v>4573</v>
      </c>
      <c r="H340" t="s">
        <v>4574</v>
      </c>
      <c r="K340">
        <v>187.65</v>
      </c>
      <c r="M340">
        <v>187.65</v>
      </c>
      <c r="O340">
        <v>0</v>
      </c>
    </row>
    <row r="341" spans="3:17">
      <c r="C341">
        <v>5360</v>
      </c>
      <c r="E341" t="s">
        <v>4575</v>
      </c>
      <c r="H341" t="s">
        <v>4576</v>
      </c>
      <c r="K341" s="31">
        <v>-7091780.3099999996</v>
      </c>
      <c r="M341" s="31">
        <v>-7422498.8700000001</v>
      </c>
      <c r="O341" s="31">
        <v>330718.56</v>
      </c>
      <c r="Q341">
        <v>4.5</v>
      </c>
    </row>
    <row r="342" spans="3:17">
      <c r="C342">
        <v>5360</v>
      </c>
      <c r="E342" t="s">
        <v>4577</v>
      </c>
      <c r="H342" t="s">
        <v>4578</v>
      </c>
      <c r="K342" s="31">
        <v>111850.83</v>
      </c>
      <c r="M342" s="31">
        <v>111850.83</v>
      </c>
      <c r="O342">
        <v>0</v>
      </c>
    </row>
    <row r="343" spans="3:17">
      <c r="C343">
        <v>5360</v>
      </c>
      <c r="E343" t="s">
        <v>4579</v>
      </c>
      <c r="H343" t="s">
        <v>4580</v>
      </c>
      <c r="K343" s="31">
        <v>-283956.51</v>
      </c>
      <c r="M343" s="31">
        <v>-283956.51</v>
      </c>
      <c r="O343">
        <v>0</v>
      </c>
    </row>
    <row r="344" spans="3:17">
      <c r="C344">
        <v>5360</v>
      </c>
      <c r="E344" t="s">
        <v>4581</v>
      </c>
      <c r="H344" t="s">
        <v>4582</v>
      </c>
      <c r="K344" s="31">
        <v>-280900.94</v>
      </c>
      <c r="M344" s="31">
        <v>-280900.94</v>
      </c>
      <c r="O344">
        <v>0</v>
      </c>
    </row>
    <row r="345" spans="3:17">
      <c r="C345">
        <v>5360</v>
      </c>
      <c r="E345" t="s">
        <v>4583</v>
      </c>
      <c r="H345" t="s">
        <v>4584</v>
      </c>
      <c r="K345" s="31">
        <v>-953663.18</v>
      </c>
      <c r="M345" s="31">
        <v>-953663.18</v>
      </c>
      <c r="O345">
        <v>0</v>
      </c>
    </row>
    <row r="346" spans="3:17">
      <c r="C346">
        <v>5360</v>
      </c>
      <c r="E346" t="s">
        <v>4585</v>
      </c>
      <c r="H346" t="s">
        <v>4586</v>
      </c>
      <c r="K346" s="31">
        <v>-1039901.58</v>
      </c>
      <c r="M346" s="31">
        <v>-1039901.58</v>
      </c>
      <c r="O346">
        <v>0</v>
      </c>
    </row>
    <row r="347" spans="3:17">
      <c r="C347">
        <v>5360</v>
      </c>
      <c r="E347" t="s">
        <v>4587</v>
      </c>
      <c r="H347" t="s">
        <v>4588</v>
      </c>
      <c r="K347" s="31">
        <v>-3714941.88</v>
      </c>
      <c r="M347" s="31">
        <v>-3714941.88</v>
      </c>
      <c r="O347">
        <v>0</v>
      </c>
    </row>
    <row r="348" spans="3:17">
      <c r="C348">
        <v>5360</v>
      </c>
      <c r="E348" t="s">
        <v>4589</v>
      </c>
      <c r="H348" t="s">
        <v>4590</v>
      </c>
      <c r="K348">
        <v>-8.3000000000000007</v>
      </c>
      <c r="M348">
        <v>-8.3000000000000007</v>
      </c>
      <c r="O348">
        <v>0</v>
      </c>
    </row>
    <row r="349" spans="3:17">
      <c r="C349">
        <v>5360</v>
      </c>
      <c r="E349" t="s">
        <v>4591</v>
      </c>
      <c r="H349" t="s">
        <v>4592</v>
      </c>
      <c r="K349">
        <v>860.38</v>
      </c>
      <c r="M349">
        <v>860.38</v>
      </c>
      <c r="O349">
        <v>0</v>
      </c>
    </row>
    <row r="350" spans="3:17">
      <c r="C350">
        <v>5360</v>
      </c>
      <c r="E350" t="s">
        <v>4593</v>
      </c>
      <c r="H350" t="s">
        <v>4594</v>
      </c>
      <c r="K350" s="31">
        <v>-6600</v>
      </c>
      <c r="M350" s="31">
        <v>-6600</v>
      </c>
      <c r="O350">
        <v>0</v>
      </c>
    </row>
    <row r="351" spans="3:17">
      <c r="C351">
        <v>5360</v>
      </c>
      <c r="E351" t="s">
        <v>4595</v>
      </c>
      <c r="H351" t="s">
        <v>4596</v>
      </c>
      <c r="K351" s="31">
        <v>-604360.47</v>
      </c>
      <c r="M351" s="31">
        <v>-641630.56000000006</v>
      </c>
      <c r="O351" s="31">
        <v>37270.089999999997</v>
      </c>
      <c r="Q351">
        <v>5.8</v>
      </c>
    </row>
    <row r="352" spans="3:17">
      <c r="C352">
        <v>5360</v>
      </c>
      <c r="E352" t="s">
        <v>4597</v>
      </c>
      <c r="H352" t="s">
        <v>4598</v>
      </c>
      <c r="K352" s="31">
        <v>202334.17</v>
      </c>
      <c r="M352" s="31">
        <v>202334.17</v>
      </c>
      <c r="O352">
        <v>0</v>
      </c>
    </row>
    <row r="353" spans="3:18">
      <c r="C353">
        <v>5360</v>
      </c>
      <c r="E353" t="s">
        <v>4599</v>
      </c>
      <c r="H353" t="s">
        <v>4600</v>
      </c>
      <c r="K353" s="31">
        <v>-2661958.0499999998</v>
      </c>
      <c r="M353" s="31">
        <v>-3702175.46</v>
      </c>
      <c r="O353" s="31">
        <v>1040217.41</v>
      </c>
      <c r="Q353">
        <v>28.1</v>
      </c>
    </row>
    <row r="354" spans="3:18">
      <c r="C354">
        <v>5360</v>
      </c>
      <c r="E354" t="s">
        <v>4601</v>
      </c>
      <c r="H354" t="s">
        <v>4602</v>
      </c>
      <c r="K354" s="31">
        <v>-484378.71</v>
      </c>
      <c r="M354" s="31">
        <v>-858983.36</v>
      </c>
      <c r="O354" s="31">
        <v>374604.65</v>
      </c>
      <c r="Q354">
        <v>43.6</v>
      </c>
    </row>
    <row r="355" spans="3:18">
      <c r="C355">
        <v>5360</v>
      </c>
      <c r="E355" t="s">
        <v>4603</v>
      </c>
      <c r="H355" t="s">
        <v>4604</v>
      </c>
      <c r="K355" s="31">
        <v>-9768269.5899999999</v>
      </c>
      <c r="M355" s="31">
        <v>-9818620.2799999993</v>
      </c>
      <c r="O355" s="31">
        <v>50350.69</v>
      </c>
      <c r="Q355">
        <v>0.5</v>
      </c>
    </row>
    <row r="356" spans="3:18">
      <c r="C356">
        <v>5360</v>
      </c>
      <c r="E356" t="s">
        <v>4926</v>
      </c>
      <c r="H356" t="s">
        <v>4927</v>
      </c>
      <c r="K356">
        <v>-925.8</v>
      </c>
      <c r="M356">
        <v>-301.27999999999997</v>
      </c>
      <c r="O356">
        <v>-624.52</v>
      </c>
      <c r="Q356">
        <v>-207.3</v>
      </c>
    </row>
    <row r="357" spans="3:18">
      <c r="C357">
        <v>5360</v>
      </c>
      <c r="E357" t="s">
        <v>4928</v>
      </c>
      <c r="H357" t="s">
        <v>4929</v>
      </c>
      <c r="K357">
        <v>-2.72</v>
      </c>
      <c r="M357">
        <v>12.01</v>
      </c>
      <c r="O357">
        <v>-14.73</v>
      </c>
      <c r="Q357">
        <v>-122.6</v>
      </c>
    </row>
    <row r="358" spans="3:18">
      <c r="C358">
        <v>5360</v>
      </c>
      <c r="E358" t="s">
        <v>4605</v>
      </c>
      <c r="H358" t="s">
        <v>4606</v>
      </c>
      <c r="K358" s="31">
        <v>-112857.98</v>
      </c>
      <c r="M358" s="31">
        <v>-60066</v>
      </c>
      <c r="O358" s="31">
        <v>-52791.98</v>
      </c>
      <c r="Q358">
        <v>-87.9</v>
      </c>
    </row>
    <row r="359" spans="3:18">
      <c r="C359">
        <v>5360</v>
      </c>
      <c r="E359" t="s">
        <v>4607</v>
      </c>
      <c r="H359" t="s">
        <v>4608</v>
      </c>
      <c r="K359" s="31">
        <v>290520</v>
      </c>
      <c r="M359" s="31">
        <v>290520</v>
      </c>
      <c r="O359">
        <v>0</v>
      </c>
    </row>
    <row r="360" spans="3:18">
      <c r="E360" t="s">
        <v>4609</v>
      </c>
      <c r="K360" s="31">
        <v>-54164022.119999997</v>
      </c>
      <c r="M360" s="31">
        <v>-58595253.740000002</v>
      </c>
      <c r="O360" s="31">
        <v>4431231.62</v>
      </c>
      <c r="Q360">
        <v>7.6</v>
      </c>
      <c r="R360" t="s">
        <v>569</v>
      </c>
    </row>
    <row r="361" spans="3:18">
      <c r="C361">
        <v>5360</v>
      </c>
      <c r="E361" t="s">
        <v>4610</v>
      </c>
      <c r="H361" t="s">
        <v>4611</v>
      </c>
      <c r="K361" s="31">
        <v>-493138390</v>
      </c>
      <c r="M361" s="31">
        <v>-493138390</v>
      </c>
      <c r="O361">
        <v>0</v>
      </c>
    </row>
    <row r="362" spans="3:18">
      <c r="E362" t="s">
        <v>4612</v>
      </c>
      <c r="K362" s="31">
        <v>-493138390</v>
      </c>
      <c r="M362" s="31">
        <v>-493138390</v>
      </c>
      <c r="O362">
        <v>0</v>
      </c>
      <c r="R362" t="s">
        <v>569</v>
      </c>
    </row>
    <row r="363" spans="3:18">
      <c r="C363">
        <v>5360</v>
      </c>
      <c r="E363" t="s">
        <v>4613</v>
      </c>
      <c r="H363" t="s">
        <v>4614</v>
      </c>
      <c r="K363" s="31">
        <v>-9722672.5099999998</v>
      </c>
      <c r="M363" s="31">
        <v>-9511448.6400000006</v>
      </c>
      <c r="O363" s="31">
        <v>-211223.87</v>
      </c>
      <c r="Q363">
        <v>-2.2000000000000002</v>
      </c>
    </row>
    <row r="364" spans="3:18">
      <c r="C364">
        <v>5360</v>
      </c>
      <c r="E364" t="s">
        <v>4615</v>
      </c>
      <c r="H364" t="s">
        <v>4616</v>
      </c>
      <c r="K364" s="31">
        <v>-751984.71</v>
      </c>
      <c r="M364" s="31">
        <v>-751984.71</v>
      </c>
      <c r="O364">
        <v>0</v>
      </c>
    </row>
    <row r="365" spans="3:18">
      <c r="C365">
        <v>5360</v>
      </c>
      <c r="E365" t="s">
        <v>4619</v>
      </c>
      <c r="H365" t="s">
        <v>4620</v>
      </c>
      <c r="K365" s="31">
        <v>149513.9</v>
      </c>
      <c r="M365" s="31">
        <v>149513.9</v>
      </c>
      <c r="O365">
        <v>0</v>
      </c>
    </row>
    <row r="366" spans="3:18">
      <c r="C366">
        <v>5360</v>
      </c>
      <c r="E366" t="s">
        <v>4621</v>
      </c>
      <c r="H366" t="s">
        <v>4614</v>
      </c>
      <c r="K366" s="31">
        <v>-8116226.4400000004</v>
      </c>
      <c r="M366" s="31">
        <v>-8152779.5599999996</v>
      </c>
      <c r="O366" s="31">
        <v>36553.120000000003</v>
      </c>
      <c r="Q366">
        <v>0.4</v>
      </c>
    </row>
    <row r="367" spans="3:18">
      <c r="C367">
        <v>5360</v>
      </c>
      <c r="E367" t="s">
        <v>4622</v>
      </c>
      <c r="H367" t="s">
        <v>4623</v>
      </c>
      <c r="K367" s="31">
        <v>-290520</v>
      </c>
      <c r="M367" s="31">
        <v>-290520</v>
      </c>
      <c r="O367">
        <v>0</v>
      </c>
    </row>
    <row r="368" spans="3:18">
      <c r="E368" t="s">
        <v>4624</v>
      </c>
      <c r="K368" s="31">
        <v>-18731889.760000002</v>
      </c>
      <c r="M368" s="31">
        <v>-18557219.010000002</v>
      </c>
      <c r="O368" s="31">
        <v>-174670.75</v>
      </c>
      <c r="Q368">
        <v>-0.9</v>
      </c>
      <c r="R368" t="s">
        <v>658</v>
      </c>
    </row>
    <row r="369" spans="3:18">
      <c r="E369" t="s">
        <v>4625</v>
      </c>
      <c r="K369" s="31">
        <v>-18731889.760000002</v>
      </c>
      <c r="M369" s="31">
        <v>-18557219.010000002</v>
      </c>
      <c r="O369" s="31">
        <v>-174670.75</v>
      </c>
      <c r="Q369">
        <v>-0.9</v>
      </c>
      <c r="R369" t="s">
        <v>569</v>
      </c>
    </row>
    <row r="370" spans="3:18">
      <c r="C370">
        <v>5360</v>
      </c>
      <c r="E370" t="s">
        <v>4626</v>
      </c>
      <c r="H370" t="s">
        <v>266</v>
      </c>
      <c r="K370" s="31">
        <v>-1825568.78</v>
      </c>
      <c r="M370" s="31">
        <v>-1823841.17</v>
      </c>
      <c r="O370" s="31">
        <v>-1727.61</v>
      </c>
      <c r="Q370">
        <v>-0.1</v>
      </c>
    </row>
    <row r="371" spans="3:18">
      <c r="E371" t="s">
        <v>266</v>
      </c>
      <c r="K371" s="31">
        <v>-1825568.78</v>
      </c>
      <c r="M371" s="31">
        <v>-1823841.17</v>
      </c>
      <c r="O371" s="31">
        <v>-1727.61</v>
      </c>
      <c r="Q371">
        <v>-0.1</v>
      </c>
      <c r="R371" t="s">
        <v>569</v>
      </c>
    </row>
    <row r="372" spans="3:18">
      <c r="C372">
        <v>5360</v>
      </c>
      <c r="E372" t="s">
        <v>4627</v>
      </c>
      <c r="H372" t="s">
        <v>4628</v>
      </c>
      <c r="K372" s="31">
        <v>57393736.770000003</v>
      </c>
      <c r="M372" s="31">
        <v>57393736.770000003</v>
      </c>
      <c r="O372">
        <v>0</v>
      </c>
    </row>
    <row r="373" spans="3:18">
      <c r="C373">
        <v>5360</v>
      </c>
      <c r="E373" t="s">
        <v>4629</v>
      </c>
      <c r="H373" t="s">
        <v>4630</v>
      </c>
      <c r="K373" s="31">
        <v>-12081909.74</v>
      </c>
      <c r="M373" s="31">
        <v>-9728528.4900000002</v>
      </c>
      <c r="O373" s="31">
        <v>-2353381.25</v>
      </c>
      <c r="Q373">
        <v>-24.2</v>
      </c>
    </row>
    <row r="374" spans="3:18">
      <c r="C374">
        <v>5360</v>
      </c>
      <c r="E374" t="s">
        <v>4631</v>
      </c>
      <c r="H374" t="s">
        <v>4632</v>
      </c>
      <c r="K374" s="31">
        <v>13275</v>
      </c>
      <c r="M374" s="31">
        <v>13275</v>
      </c>
      <c r="O374">
        <v>0</v>
      </c>
    </row>
    <row r="375" spans="3:18">
      <c r="C375">
        <v>5360</v>
      </c>
      <c r="E375" t="s">
        <v>4633</v>
      </c>
      <c r="H375" t="s">
        <v>4634</v>
      </c>
      <c r="K375" s="31">
        <v>-14540.71</v>
      </c>
      <c r="M375" s="31">
        <v>-14540.71</v>
      </c>
      <c r="O375">
        <v>0</v>
      </c>
    </row>
    <row r="376" spans="3:18">
      <c r="C376">
        <v>5360</v>
      </c>
      <c r="E376" t="s">
        <v>4635</v>
      </c>
      <c r="H376" t="s">
        <v>4636</v>
      </c>
      <c r="K376" s="31">
        <v>591729.77</v>
      </c>
      <c r="M376" s="31">
        <v>587654.84</v>
      </c>
      <c r="O376" s="31">
        <v>4074.93</v>
      </c>
      <c r="Q376">
        <v>0.7</v>
      </c>
    </row>
    <row r="377" spans="3:18">
      <c r="C377">
        <v>5360</v>
      </c>
      <c r="E377" t="s">
        <v>4637</v>
      </c>
      <c r="H377" t="s">
        <v>4638</v>
      </c>
      <c r="K377" s="31">
        <v>139844.07999999999</v>
      </c>
      <c r="M377" s="31">
        <v>140061.09</v>
      </c>
      <c r="O377">
        <v>-217.01</v>
      </c>
      <c r="Q377">
        <v>-0.2</v>
      </c>
    </row>
    <row r="378" spans="3:18">
      <c r="C378">
        <v>5360</v>
      </c>
      <c r="E378" t="s">
        <v>4639</v>
      </c>
      <c r="H378" t="s">
        <v>4640</v>
      </c>
      <c r="K378" s="31">
        <v>17271085.829999998</v>
      </c>
      <c r="M378" s="31">
        <v>17271263</v>
      </c>
      <c r="O378">
        <v>-177.17</v>
      </c>
    </row>
    <row r="379" spans="3:18">
      <c r="C379">
        <v>5360</v>
      </c>
      <c r="E379" t="s">
        <v>4641</v>
      </c>
      <c r="H379" t="s">
        <v>4642</v>
      </c>
      <c r="K379" s="31">
        <v>105933832.52</v>
      </c>
      <c r="M379" s="31">
        <v>103793283.16</v>
      </c>
      <c r="O379" s="31">
        <v>2140549.36</v>
      </c>
      <c r="Q379">
        <v>2.1</v>
      </c>
    </row>
    <row r="380" spans="3:18">
      <c r="C380">
        <v>5360</v>
      </c>
      <c r="E380" t="s">
        <v>4643</v>
      </c>
      <c r="H380" t="s">
        <v>4644</v>
      </c>
      <c r="K380" s="31">
        <v>-4522773.8600000003</v>
      </c>
      <c r="M380" s="31">
        <v>-4522773.8600000003</v>
      </c>
      <c r="O380">
        <v>0</v>
      </c>
    </row>
    <row r="381" spans="3:18">
      <c r="C381">
        <v>5360</v>
      </c>
      <c r="E381" t="s">
        <v>4645</v>
      </c>
      <c r="H381" t="s">
        <v>4646</v>
      </c>
      <c r="K381" s="31">
        <v>-98616.31</v>
      </c>
      <c r="M381" s="31">
        <v>-98616.31</v>
      </c>
      <c r="O381">
        <v>0</v>
      </c>
    </row>
    <row r="382" spans="3:18">
      <c r="C382">
        <v>5360</v>
      </c>
      <c r="E382" t="s">
        <v>4647</v>
      </c>
      <c r="H382" t="s">
        <v>4648</v>
      </c>
      <c r="K382" s="31">
        <v>-982493.22</v>
      </c>
      <c r="M382" s="31">
        <v>-546104.9</v>
      </c>
      <c r="O382" s="31">
        <v>-436388.32</v>
      </c>
      <c r="Q382">
        <v>-79.900000000000006</v>
      </c>
    </row>
    <row r="383" spans="3:18">
      <c r="C383">
        <v>5360</v>
      </c>
      <c r="E383" t="s">
        <v>4649</v>
      </c>
      <c r="H383" t="s">
        <v>4650</v>
      </c>
      <c r="K383">
        <v>-846.4</v>
      </c>
      <c r="M383">
        <v>-846.4</v>
      </c>
      <c r="O383">
        <v>0</v>
      </c>
    </row>
    <row r="384" spans="3:18">
      <c r="E384" t="s">
        <v>4651</v>
      </c>
      <c r="K384" s="31">
        <v>163642323.72999999</v>
      </c>
      <c r="M384" s="31">
        <v>164287863.19</v>
      </c>
      <c r="O384" s="31">
        <v>-645539.46</v>
      </c>
      <c r="Q384">
        <v>-0.4</v>
      </c>
      <c r="R384" t="s">
        <v>569</v>
      </c>
    </row>
    <row r="385" spans="3:18">
      <c r="C385">
        <v>5360</v>
      </c>
      <c r="E385" t="s">
        <v>4652</v>
      </c>
      <c r="H385" t="s">
        <v>4653</v>
      </c>
      <c r="K385" s="31">
        <v>-24802938.109999999</v>
      </c>
      <c r="M385" s="31">
        <v>-25162906.859999999</v>
      </c>
      <c r="O385" s="31">
        <v>359968.75</v>
      </c>
      <c r="Q385">
        <v>1.4</v>
      </c>
    </row>
    <row r="386" spans="3:18">
      <c r="C386">
        <v>5360</v>
      </c>
      <c r="E386" t="s">
        <v>4654</v>
      </c>
      <c r="H386" t="s">
        <v>4655</v>
      </c>
      <c r="K386">
        <v>-924.06</v>
      </c>
      <c r="M386">
        <v>-924.06</v>
      </c>
      <c r="O386">
        <v>0</v>
      </c>
    </row>
    <row r="387" spans="3:18">
      <c r="C387">
        <v>5360</v>
      </c>
      <c r="E387" t="s">
        <v>4656</v>
      </c>
      <c r="H387" t="s">
        <v>4657</v>
      </c>
      <c r="K387" s="31">
        <v>-4226.49</v>
      </c>
      <c r="M387" s="31">
        <v>-4591.1899999999996</v>
      </c>
      <c r="O387">
        <v>364.7</v>
      </c>
      <c r="Q387">
        <v>7.9</v>
      </c>
    </row>
    <row r="388" spans="3:18">
      <c r="E388" t="s">
        <v>4658</v>
      </c>
      <c r="K388" s="31">
        <v>-24808088.66</v>
      </c>
      <c r="M388" s="31">
        <v>-25168422.109999999</v>
      </c>
      <c r="O388" s="31">
        <v>360333.45</v>
      </c>
      <c r="Q388">
        <v>1.4</v>
      </c>
      <c r="R388" t="s">
        <v>569</v>
      </c>
    </row>
    <row r="389" spans="3:18">
      <c r="C389">
        <v>5360</v>
      </c>
      <c r="E389" t="s">
        <v>4659</v>
      </c>
      <c r="H389" t="s">
        <v>4660</v>
      </c>
      <c r="K389" s="31">
        <v>25877125.52</v>
      </c>
      <c r="M389" s="31">
        <v>26727573.440000001</v>
      </c>
      <c r="O389" s="31">
        <v>-850447.92</v>
      </c>
      <c r="Q389">
        <v>-3.2</v>
      </c>
    </row>
    <row r="390" spans="3:18">
      <c r="C390">
        <v>5360</v>
      </c>
      <c r="E390" t="s">
        <v>4661</v>
      </c>
      <c r="H390" t="s">
        <v>4662</v>
      </c>
      <c r="K390" s="31">
        <v>-4783423.76</v>
      </c>
      <c r="M390" s="31">
        <v>-4783423.76</v>
      </c>
      <c r="O390">
        <v>0</v>
      </c>
    </row>
    <row r="391" spans="3:18">
      <c r="C391">
        <v>5360</v>
      </c>
      <c r="E391" t="s">
        <v>4663</v>
      </c>
      <c r="H391" t="s">
        <v>4664</v>
      </c>
      <c r="K391" s="31">
        <v>67767.23</v>
      </c>
      <c r="M391" s="31">
        <v>4283.41</v>
      </c>
      <c r="O391" s="31">
        <v>63483.82</v>
      </c>
      <c r="Q391">
        <v>1482.1</v>
      </c>
    </row>
    <row r="392" spans="3:18">
      <c r="C392">
        <v>5360</v>
      </c>
      <c r="E392" t="s">
        <v>4665</v>
      </c>
      <c r="H392" t="s">
        <v>4666</v>
      </c>
      <c r="K392" s="31">
        <v>57158043.369999997</v>
      </c>
      <c r="M392" s="31">
        <v>58998020.299999997</v>
      </c>
      <c r="O392" s="31">
        <v>-1839976.93</v>
      </c>
      <c r="Q392">
        <v>-3.1</v>
      </c>
    </row>
    <row r="393" spans="3:18">
      <c r="C393">
        <v>5360</v>
      </c>
      <c r="E393" t="s">
        <v>4667</v>
      </c>
      <c r="H393" t="s">
        <v>4668</v>
      </c>
      <c r="K393" s="31">
        <v>-289395.53000000003</v>
      </c>
      <c r="M393" s="31">
        <v>-289395.53000000003</v>
      </c>
      <c r="O393">
        <v>0</v>
      </c>
    </row>
    <row r="394" spans="3:18">
      <c r="C394">
        <v>5360</v>
      </c>
      <c r="E394" t="s">
        <v>4669</v>
      </c>
      <c r="H394" t="s">
        <v>4670</v>
      </c>
      <c r="K394">
        <v>234.38</v>
      </c>
      <c r="M394">
        <v>246.89</v>
      </c>
      <c r="O394">
        <v>-12.51</v>
      </c>
      <c r="Q394">
        <v>-5.0999999999999996</v>
      </c>
    </row>
    <row r="395" spans="3:18">
      <c r="C395">
        <v>5360</v>
      </c>
      <c r="E395" t="s">
        <v>4671</v>
      </c>
      <c r="H395" t="s">
        <v>4672</v>
      </c>
      <c r="K395" s="31">
        <v>10888488.17</v>
      </c>
      <c r="M395" s="31">
        <v>11368601.66</v>
      </c>
      <c r="O395" s="31">
        <v>-480113.49</v>
      </c>
      <c r="Q395">
        <v>-4.2</v>
      </c>
    </row>
    <row r="396" spans="3:18">
      <c r="E396" t="s">
        <v>4673</v>
      </c>
      <c r="K396" s="31">
        <v>88918839.379999995</v>
      </c>
      <c r="M396" s="31">
        <v>92025906.409999996</v>
      </c>
      <c r="O396" s="31">
        <v>-3107067.03</v>
      </c>
      <c r="Q396">
        <v>-3.4</v>
      </c>
      <c r="R396" t="s">
        <v>569</v>
      </c>
    </row>
    <row r="397" spans="3:18">
      <c r="C397">
        <v>5360</v>
      </c>
      <c r="E397" t="s">
        <v>4674</v>
      </c>
      <c r="H397" t="s">
        <v>4675</v>
      </c>
      <c r="K397" s="31">
        <v>5210584.46</v>
      </c>
      <c r="M397" s="31">
        <v>5210584.46</v>
      </c>
      <c r="O397">
        <v>0</v>
      </c>
    </row>
    <row r="398" spans="3:18">
      <c r="C398">
        <v>5360</v>
      </c>
      <c r="E398" t="s">
        <v>4676</v>
      </c>
      <c r="H398" t="s">
        <v>4677</v>
      </c>
      <c r="K398" s="31">
        <v>-50000</v>
      </c>
      <c r="M398" s="31">
        <v>-50000</v>
      </c>
      <c r="O398">
        <v>0</v>
      </c>
    </row>
    <row r="399" spans="3:18">
      <c r="C399">
        <v>5360</v>
      </c>
      <c r="E399" t="s">
        <v>4678</v>
      </c>
      <c r="H399" t="s">
        <v>4679</v>
      </c>
      <c r="K399">
        <v>-137.88</v>
      </c>
      <c r="M399">
        <v>0</v>
      </c>
      <c r="O399">
        <v>-137.88</v>
      </c>
    </row>
    <row r="400" spans="3:18">
      <c r="C400">
        <v>5360</v>
      </c>
      <c r="E400" t="s">
        <v>4682</v>
      </c>
      <c r="H400" t="s">
        <v>4683</v>
      </c>
      <c r="K400">
        <v>-826.12</v>
      </c>
      <c r="M400">
        <v>-964</v>
      </c>
      <c r="O400">
        <v>137.88</v>
      </c>
      <c r="Q400">
        <v>14.3</v>
      </c>
    </row>
    <row r="401" spans="3:17">
      <c r="C401">
        <v>5360</v>
      </c>
      <c r="E401" t="s">
        <v>4684</v>
      </c>
      <c r="H401" t="s">
        <v>4685</v>
      </c>
      <c r="K401" s="31">
        <v>-175585</v>
      </c>
      <c r="M401" s="31">
        <v>-175585</v>
      </c>
      <c r="O401">
        <v>0</v>
      </c>
    </row>
    <row r="402" spans="3:17">
      <c r="C402">
        <v>5360</v>
      </c>
      <c r="E402" t="s">
        <v>4686</v>
      </c>
      <c r="H402" t="s">
        <v>4687</v>
      </c>
      <c r="K402" s="31">
        <v>-79770029.260000005</v>
      </c>
      <c r="M402" s="31">
        <v>-78792666.450000003</v>
      </c>
      <c r="O402" s="31">
        <v>-977362.81</v>
      </c>
      <c r="Q402">
        <v>-1.2</v>
      </c>
    </row>
    <row r="403" spans="3:17">
      <c r="C403">
        <v>5360</v>
      </c>
      <c r="E403" t="s">
        <v>4688</v>
      </c>
      <c r="H403" t="s">
        <v>4689</v>
      </c>
      <c r="K403" s="31">
        <v>-819030.35</v>
      </c>
      <c r="M403" s="31">
        <v>-902368.14</v>
      </c>
      <c r="O403" s="31">
        <v>83337.789999999994</v>
      </c>
      <c r="Q403">
        <v>9.1999999999999993</v>
      </c>
    </row>
    <row r="404" spans="3:17">
      <c r="C404">
        <v>5360</v>
      </c>
      <c r="E404" t="s">
        <v>4690</v>
      </c>
      <c r="H404" t="s">
        <v>4691</v>
      </c>
      <c r="K404" s="31">
        <v>-2271886.4300000002</v>
      </c>
      <c r="M404" s="31">
        <v>-2081847.45</v>
      </c>
      <c r="O404" s="31">
        <v>-190038.98</v>
      </c>
      <c r="Q404">
        <v>-9.1</v>
      </c>
    </row>
    <row r="405" spans="3:17">
      <c r="C405">
        <v>5360</v>
      </c>
      <c r="E405" t="s">
        <v>4692</v>
      </c>
      <c r="H405" t="s">
        <v>4693</v>
      </c>
      <c r="K405" s="31">
        <v>1074233.19</v>
      </c>
      <c r="M405" s="31">
        <v>1074233.19</v>
      </c>
      <c r="O405">
        <v>0</v>
      </c>
    </row>
    <row r="406" spans="3:17">
      <c r="C406">
        <v>5360</v>
      </c>
      <c r="E406" t="s">
        <v>4694</v>
      </c>
      <c r="H406" t="s">
        <v>4695</v>
      </c>
      <c r="K406" s="31">
        <v>-1436223.97</v>
      </c>
      <c r="M406" s="31">
        <v>-1434728.13</v>
      </c>
      <c r="O406" s="31">
        <v>-1495.84</v>
      </c>
      <c r="Q406">
        <v>-0.1</v>
      </c>
    </row>
    <row r="407" spans="3:17">
      <c r="C407">
        <v>5360</v>
      </c>
      <c r="E407" t="s">
        <v>4696</v>
      </c>
      <c r="H407" t="s">
        <v>4697</v>
      </c>
      <c r="K407" s="31">
        <v>-460731.17</v>
      </c>
      <c r="M407" s="31">
        <v>-460731.17</v>
      </c>
      <c r="O407">
        <v>0</v>
      </c>
    </row>
    <row r="408" spans="3:17">
      <c r="C408">
        <v>5360</v>
      </c>
      <c r="E408" t="s">
        <v>4698</v>
      </c>
      <c r="H408" t="s">
        <v>4699</v>
      </c>
      <c r="K408" s="31">
        <v>-1326006.68</v>
      </c>
      <c r="M408" s="31">
        <v>-1461783.44</v>
      </c>
      <c r="O408" s="31">
        <v>135776.76</v>
      </c>
      <c r="Q408">
        <v>9.3000000000000007</v>
      </c>
    </row>
    <row r="409" spans="3:17">
      <c r="C409">
        <v>5360</v>
      </c>
      <c r="E409" t="s">
        <v>4700</v>
      </c>
      <c r="H409" t="s">
        <v>4701</v>
      </c>
      <c r="K409" s="31">
        <v>-24159.96</v>
      </c>
      <c r="M409" s="31">
        <v>-22998.86</v>
      </c>
      <c r="O409" s="31">
        <v>-1161.0999999999999</v>
      </c>
      <c r="Q409">
        <v>-5</v>
      </c>
    </row>
    <row r="410" spans="3:17">
      <c r="C410">
        <v>5360</v>
      </c>
      <c r="E410" t="s">
        <v>4702</v>
      </c>
      <c r="H410" t="s">
        <v>4703</v>
      </c>
      <c r="K410" s="31">
        <v>-172000</v>
      </c>
      <c r="M410" s="31">
        <v>-172000</v>
      </c>
      <c r="O410">
        <v>0</v>
      </c>
    </row>
    <row r="411" spans="3:17">
      <c r="C411">
        <v>5360</v>
      </c>
      <c r="E411" t="s">
        <v>4704</v>
      </c>
      <c r="H411" t="s">
        <v>4705</v>
      </c>
      <c r="K411" s="31">
        <v>-401627.7</v>
      </c>
      <c r="M411" s="31">
        <v>-401627.7</v>
      </c>
      <c r="O411">
        <v>0</v>
      </c>
    </row>
    <row r="412" spans="3:17">
      <c r="C412">
        <v>5360</v>
      </c>
      <c r="E412" t="s">
        <v>4706</v>
      </c>
      <c r="H412" t="s">
        <v>4707</v>
      </c>
      <c r="K412" s="31">
        <v>-1129621.1299999999</v>
      </c>
      <c r="M412" s="31">
        <v>-1129621.1299999999</v>
      </c>
      <c r="O412">
        <v>0</v>
      </c>
    </row>
    <row r="413" spans="3:17">
      <c r="C413">
        <v>5360</v>
      </c>
      <c r="E413" t="s">
        <v>4708</v>
      </c>
      <c r="H413" t="s">
        <v>4709</v>
      </c>
      <c r="K413" s="31">
        <v>-4557753.5599999996</v>
      </c>
      <c r="M413" s="31">
        <v>-4557753.5599999996</v>
      </c>
      <c r="O413">
        <v>0</v>
      </c>
    </row>
    <row r="414" spans="3:17">
      <c r="C414">
        <v>5360</v>
      </c>
      <c r="E414" t="s">
        <v>4710</v>
      </c>
      <c r="H414" t="s">
        <v>4711</v>
      </c>
      <c r="K414" s="31">
        <v>1055869.95</v>
      </c>
      <c r="M414" s="31">
        <v>1935869.25</v>
      </c>
      <c r="O414" s="31">
        <v>-879999.3</v>
      </c>
      <c r="Q414">
        <v>-45.5</v>
      </c>
    </row>
    <row r="415" spans="3:17">
      <c r="C415">
        <v>5360</v>
      </c>
      <c r="E415" t="s">
        <v>4712</v>
      </c>
      <c r="H415" t="s">
        <v>4713</v>
      </c>
      <c r="K415">
        <v>31.56</v>
      </c>
      <c r="M415">
        <v>31.56</v>
      </c>
      <c r="O415">
        <v>0</v>
      </c>
    </row>
    <row r="416" spans="3:17">
      <c r="C416">
        <v>5360</v>
      </c>
      <c r="E416" t="s">
        <v>4714</v>
      </c>
      <c r="H416" t="s">
        <v>4715</v>
      </c>
      <c r="K416" s="31">
        <v>172000</v>
      </c>
      <c r="M416" s="31">
        <v>172000</v>
      </c>
      <c r="O416">
        <v>0</v>
      </c>
    </row>
    <row r="417" spans="3:18">
      <c r="E417" t="s">
        <v>4716</v>
      </c>
      <c r="K417" s="31">
        <v>-85082900.049999997</v>
      </c>
      <c r="M417" s="31">
        <v>-83251956.569999993</v>
      </c>
      <c r="O417" s="31">
        <v>-1830943.48</v>
      </c>
      <c r="Q417">
        <v>-2.2000000000000002</v>
      </c>
      <c r="R417" t="s">
        <v>569</v>
      </c>
    </row>
    <row r="418" spans="3:18">
      <c r="C418">
        <v>5360</v>
      </c>
      <c r="E418" t="s">
        <v>4717</v>
      </c>
      <c r="H418" t="s">
        <v>4718</v>
      </c>
      <c r="K418" s="31">
        <v>-2650007.9700000002</v>
      </c>
      <c r="M418" s="31">
        <v>-2650007.9700000002</v>
      </c>
      <c r="O418">
        <v>0</v>
      </c>
    </row>
    <row r="419" spans="3:18">
      <c r="C419">
        <v>5360</v>
      </c>
      <c r="E419" t="s">
        <v>4719</v>
      </c>
      <c r="H419" t="s">
        <v>4720</v>
      </c>
      <c r="K419" s="31">
        <v>-51135.839999999997</v>
      </c>
      <c r="M419" s="31">
        <v>-218030.54</v>
      </c>
      <c r="O419" s="31">
        <v>166894.70000000001</v>
      </c>
      <c r="Q419">
        <v>76.5</v>
      </c>
    </row>
    <row r="420" spans="3:18">
      <c r="C420">
        <v>5360</v>
      </c>
      <c r="E420" t="s">
        <v>4721</v>
      </c>
      <c r="H420" t="s">
        <v>4722</v>
      </c>
      <c r="K420" s="31">
        <v>829001.55</v>
      </c>
      <c r="M420" s="31">
        <v>1631548.54</v>
      </c>
      <c r="O420" s="31">
        <v>-802546.99</v>
      </c>
      <c r="Q420">
        <v>-49.2</v>
      </c>
    </row>
    <row r="421" spans="3:18">
      <c r="C421">
        <v>5360</v>
      </c>
      <c r="E421" t="s">
        <v>4723</v>
      </c>
      <c r="H421" t="s">
        <v>4724</v>
      </c>
      <c r="K421" s="31">
        <v>-47142.61</v>
      </c>
      <c r="M421" s="31">
        <v>-92870.11</v>
      </c>
      <c r="O421" s="31">
        <v>45727.5</v>
      </c>
      <c r="Q421">
        <v>49.2</v>
      </c>
    </row>
    <row r="422" spans="3:18">
      <c r="C422">
        <v>5360</v>
      </c>
      <c r="E422" t="s">
        <v>4725</v>
      </c>
      <c r="H422" t="s">
        <v>4726</v>
      </c>
      <c r="K422" s="31">
        <v>-520705.34</v>
      </c>
      <c r="M422" s="31">
        <v>-1018178.87</v>
      </c>
      <c r="O422" s="31">
        <v>497473.53</v>
      </c>
      <c r="Q422">
        <v>48.9</v>
      </c>
    </row>
    <row r="423" spans="3:18">
      <c r="E423" t="s">
        <v>4727</v>
      </c>
      <c r="K423" s="31">
        <v>-2439990.21</v>
      </c>
      <c r="M423" s="31">
        <v>-2347538.9500000002</v>
      </c>
      <c r="O423" s="31">
        <v>-92451.26</v>
      </c>
      <c r="Q423">
        <v>-3.9</v>
      </c>
      <c r="R423" t="s">
        <v>569</v>
      </c>
    </row>
    <row r="424" spans="3:18">
      <c r="E424" t="s">
        <v>4728</v>
      </c>
      <c r="K424" s="31">
        <v>-429004686.47000003</v>
      </c>
      <c r="M424" s="31">
        <v>-427943851.94999999</v>
      </c>
      <c r="O424" s="31">
        <v>-1060834.52</v>
      </c>
      <c r="Q424">
        <v>-0.2</v>
      </c>
      <c r="R424" t="s">
        <v>611</v>
      </c>
    </row>
    <row r="426" spans="3:18">
      <c r="C426">
        <v>5360</v>
      </c>
      <c r="E426" t="s">
        <v>4729</v>
      </c>
      <c r="H426" t="s">
        <v>4730</v>
      </c>
      <c r="K426" s="31">
        <v>-58665276.450000003</v>
      </c>
      <c r="M426" s="31">
        <v>-58665276.450000003</v>
      </c>
      <c r="O426">
        <v>0</v>
      </c>
    </row>
    <row r="427" spans="3:18">
      <c r="C427">
        <v>5360</v>
      </c>
      <c r="E427" t="s">
        <v>4731</v>
      </c>
      <c r="H427" t="s">
        <v>4732</v>
      </c>
      <c r="K427" s="31">
        <v>-44956699.789999999</v>
      </c>
      <c r="M427" s="31">
        <v>-45390147.770000003</v>
      </c>
      <c r="O427" s="31">
        <v>433447.98</v>
      </c>
      <c r="Q427">
        <v>1</v>
      </c>
    </row>
    <row r="428" spans="3:18">
      <c r="C428">
        <v>5360</v>
      </c>
      <c r="E428" t="s">
        <v>4733</v>
      </c>
      <c r="H428" t="s">
        <v>4734</v>
      </c>
      <c r="K428" s="31">
        <v>361689.78</v>
      </c>
      <c r="M428" s="31">
        <v>361689.78</v>
      </c>
      <c r="O428">
        <v>0</v>
      </c>
    </row>
    <row r="429" spans="3:18">
      <c r="E429" t="s">
        <v>4735</v>
      </c>
      <c r="K429" s="31">
        <v>-103260286.45999999</v>
      </c>
      <c r="M429" s="31">
        <v>-103693734.44</v>
      </c>
      <c r="O429" s="31">
        <v>433447.98</v>
      </c>
      <c r="Q429">
        <v>0.4</v>
      </c>
      <c r="R429" t="s">
        <v>650</v>
      </c>
    </row>
    <row r="430" spans="3:18">
      <c r="E430" t="s">
        <v>4736</v>
      </c>
      <c r="K430" s="31">
        <v>-103260286.45999999</v>
      </c>
      <c r="M430" s="31">
        <v>-103693734.44</v>
      </c>
      <c r="O430" s="31">
        <v>433447.98</v>
      </c>
      <c r="Q430">
        <v>0.4</v>
      </c>
      <c r="R430" t="s">
        <v>658</v>
      </c>
    </row>
    <row r="431" spans="3:18">
      <c r="C431">
        <v>5360</v>
      </c>
      <c r="E431" t="s">
        <v>4737</v>
      </c>
      <c r="H431" t="s">
        <v>4738</v>
      </c>
      <c r="K431" s="31">
        <v>-4304106.45</v>
      </c>
      <c r="M431" s="31">
        <v>-4304106.45</v>
      </c>
      <c r="O431">
        <v>0</v>
      </c>
    </row>
    <row r="432" spans="3:18">
      <c r="C432">
        <v>5360</v>
      </c>
      <c r="E432" t="s">
        <v>4739</v>
      </c>
      <c r="H432" t="s">
        <v>4740</v>
      </c>
      <c r="K432" s="31">
        <v>-1263709.2</v>
      </c>
      <c r="M432" s="31">
        <v>-1378929.55</v>
      </c>
      <c r="O432" s="31">
        <v>115220.35</v>
      </c>
      <c r="Q432">
        <v>8.4</v>
      </c>
    </row>
    <row r="433" spans="3:15">
      <c r="C433">
        <v>5360</v>
      </c>
      <c r="E433" t="s">
        <v>4741</v>
      </c>
      <c r="H433" t="s">
        <v>4742</v>
      </c>
      <c r="K433" s="31">
        <v>1229000</v>
      </c>
      <c r="M433" s="31">
        <v>1229000</v>
      </c>
      <c r="O433">
        <v>0</v>
      </c>
    </row>
    <row r="434" spans="3:15">
      <c r="C434">
        <v>5360</v>
      </c>
      <c r="E434" t="s">
        <v>4743</v>
      </c>
      <c r="H434" t="s">
        <v>4744</v>
      </c>
      <c r="K434" s="31">
        <v>-1229000</v>
      </c>
      <c r="M434" s="31">
        <v>-1229000</v>
      </c>
      <c r="O434">
        <v>0</v>
      </c>
    </row>
    <row r="435" spans="3:15">
      <c r="C435">
        <v>5360</v>
      </c>
      <c r="E435" t="s">
        <v>4745</v>
      </c>
      <c r="H435" t="s">
        <v>4746</v>
      </c>
      <c r="K435" s="31">
        <v>-10140542.08</v>
      </c>
      <c r="M435" s="31">
        <v>-10140542.08</v>
      </c>
      <c r="O435">
        <v>0</v>
      </c>
    </row>
    <row r="436" spans="3:15">
      <c r="C436">
        <v>5360</v>
      </c>
      <c r="E436" t="s">
        <v>4747</v>
      </c>
      <c r="H436" t="s">
        <v>4748</v>
      </c>
      <c r="K436" s="31">
        <v>-59131.15</v>
      </c>
      <c r="M436" s="31">
        <v>-59131.15</v>
      </c>
      <c r="O436">
        <v>0</v>
      </c>
    </row>
    <row r="437" spans="3:15">
      <c r="C437">
        <v>5360</v>
      </c>
      <c r="E437" t="s">
        <v>4749</v>
      </c>
      <c r="H437" t="s">
        <v>4750</v>
      </c>
      <c r="K437" s="31">
        <v>-122338.21</v>
      </c>
      <c r="M437" s="31">
        <v>-122338.21</v>
      </c>
      <c r="O437">
        <v>0</v>
      </c>
    </row>
    <row r="438" spans="3:15">
      <c r="C438">
        <v>5360</v>
      </c>
      <c r="E438" t="s">
        <v>4751</v>
      </c>
      <c r="H438" t="s">
        <v>4752</v>
      </c>
      <c r="K438" s="31">
        <v>-91841.96</v>
      </c>
      <c r="M438" s="31">
        <v>-91841.96</v>
      </c>
      <c r="O438">
        <v>0</v>
      </c>
    </row>
    <row r="439" spans="3:15">
      <c r="C439">
        <v>5360</v>
      </c>
      <c r="E439" t="s">
        <v>4753</v>
      </c>
      <c r="H439" t="s">
        <v>4754</v>
      </c>
      <c r="K439" s="31">
        <v>988134.15</v>
      </c>
      <c r="M439" s="31">
        <v>988134.15</v>
      </c>
      <c r="O439">
        <v>0</v>
      </c>
    </row>
    <row r="440" spans="3:15">
      <c r="C440">
        <v>5360</v>
      </c>
      <c r="E440" t="s">
        <v>4755</v>
      </c>
      <c r="H440" t="s">
        <v>4756</v>
      </c>
      <c r="K440" s="31">
        <v>1173314.77</v>
      </c>
      <c r="M440" s="31">
        <v>1173314.77</v>
      </c>
      <c r="O440">
        <v>0</v>
      </c>
    </row>
    <row r="441" spans="3:15">
      <c r="C441">
        <v>5360</v>
      </c>
      <c r="E441" t="s">
        <v>4757</v>
      </c>
      <c r="H441" t="s">
        <v>4758</v>
      </c>
      <c r="K441" s="31">
        <v>2733749.4</v>
      </c>
      <c r="M441" s="31">
        <v>2733749.4</v>
      </c>
      <c r="O441">
        <v>0</v>
      </c>
    </row>
    <row r="442" spans="3:15">
      <c r="C442">
        <v>5360</v>
      </c>
      <c r="E442" t="s">
        <v>4759</v>
      </c>
      <c r="H442" t="s">
        <v>4760</v>
      </c>
      <c r="K442" s="31">
        <v>477227.75</v>
      </c>
      <c r="M442" s="31">
        <v>477227.75</v>
      </c>
      <c r="O442">
        <v>0</v>
      </c>
    </row>
    <row r="443" spans="3:15">
      <c r="C443">
        <v>5360</v>
      </c>
      <c r="E443" t="s">
        <v>4761</v>
      </c>
      <c r="H443" t="s">
        <v>4762</v>
      </c>
      <c r="K443" s="31">
        <v>-3059964.65</v>
      </c>
      <c r="M443" s="31">
        <v>-3059964.65</v>
      </c>
      <c r="O443">
        <v>0</v>
      </c>
    </row>
    <row r="444" spans="3:15">
      <c r="C444">
        <v>5360</v>
      </c>
      <c r="E444" t="s">
        <v>4763</v>
      </c>
      <c r="H444" t="s">
        <v>4764</v>
      </c>
      <c r="K444" s="31">
        <v>-8835069.6699999999</v>
      </c>
      <c r="M444" s="31">
        <v>-8835069.6699999999</v>
      </c>
      <c r="O444">
        <v>0</v>
      </c>
    </row>
    <row r="445" spans="3:15">
      <c r="C445">
        <v>5360</v>
      </c>
      <c r="E445" t="s">
        <v>4765</v>
      </c>
      <c r="H445" t="s">
        <v>4766</v>
      </c>
      <c r="K445" s="31">
        <v>3749167</v>
      </c>
      <c r="M445" s="31">
        <v>3749167</v>
      </c>
      <c r="O445">
        <v>0</v>
      </c>
    </row>
    <row r="446" spans="3:15">
      <c r="C446">
        <v>5360</v>
      </c>
      <c r="E446" t="s">
        <v>4767</v>
      </c>
      <c r="H446" t="s">
        <v>4768</v>
      </c>
      <c r="K446" s="31">
        <v>-34242752.409999996</v>
      </c>
      <c r="M446" s="31">
        <v>-34242752.409999996</v>
      </c>
      <c r="O446">
        <v>0</v>
      </c>
    </row>
    <row r="447" spans="3:15">
      <c r="C447">
        <v>5360</v>
      </c>
      <c r="E447" t="s">
        <v>4769</v>
      </c>
      <c r="H447" t="s">
        <v>4770</v>
      </c>
      <c r="K447" s="31">
        <v>-381618.17</v>
      </c>
      <c r="M447" s="31">
        <v>-381618.17</v>
      </c>
      <c r="O447">
        <v>0</v>
      </c>
    </row>
    <row r="448" spans="3:15">
      <c r="C448">
        <v>5360</v>
      </c>
      <c r="E448" t="s">
        <v>4771</v>
      </c>
      <c r="H448" t="s">
        <v>4772</v>
      </c>
      <c r="K448">
        <v>0.32</v>
      </c>
      <c r="M448">
        <v>0.32</v>
      </c>
      <c r="O448">
        <v>0</v>
      </c>
    </row>
    <row r="449" spans="3:18">
      <c r="E449" t="s">
        <v>4773</v>
      </c>
      <c r="K449" s="31">
        <v>-53379480.560000002</v>
      </c>
      <c r="M449" s="31">
        <v>-53494700.909999996</v>
      </c>
      <c r="O449" s="31">
        <v>115220.35</v>
      </c>
      <c r="Q449">
        <v>0.2</v>
      </c>
      <c r="R449" t="s">
        <v>650</v>
      </c>
    </row>
    <row r="450" spans="3:18">
      <c r="E450" t="s">
        <v>4774</v>
      </c>
      <c r="K450" s="31">
        <v>-53379480.560000002</v>
      </c>
      <c r="M450" s="31">
        <v>-53494700.909999996</v>
      </c>
      <c r="O450" s="31">
        <v>115220.35</v>
      </c>
      <c r="Q450">
        <v>0.2</v>
      </c>
      <c r="R450" t="s">
        <v>658</v>
      </c>
    </row>
    <row r="451" spans="3:18">
      <c r="E451" t="s">
        <v>4775</v>
      </c>
      <c r="K451" s="31">
        <v>-156639767.02000001</v>
      </c>
      <c r="M451" s="31">
        <v>-157188435.34999999</v>
      </c>
      <c r="O451" s="31">
        <v>548668.32999999996</v>
      </c>
      <c r="Q451">
        <v>0.3</v>
      </c>
      <c r="R451" t="s">
        <v>569</v>
      </c>
    </row>
    <row r="452" spans="3:18">
      <c r="C452">
        <v>5360</v>
      </c>
      <c r="E452" t="s">
        <v>4776</v>
      </c>
      <c r="H452" t="s">
        <v>4777</v>
      </c>
      <c r="K452" s="31">
        <v>-3329009</v>
      </c>
      <c r="M452" s="31">
        <v>-3329009</v>
      </c>
      <c r="O452">
        <v>0</v>
      </c>
    </row>
    <row r="453" spans="3:18">
      <c r="C453">
        <v>5360</v>
      </c>
      <c r="E453" t="s">
        <v>4778</v>
      </c>
      <c r="H453" t="s">
        <v>4779</v>
      </c>
      <c r="K453" s="31">
        <v>-104077.03</v>
      </c>
      <c r="M453" s="31">
        <v>-104077.03</v>
      </c>
      <c r="O453">
        <v>0</v>
      </c>
    </row>
    <row r="454" spans="3:18">
      <c r="C454">
        <v>5360</v>
      </c>
      <c r="E454" t="s">
        <v>4780</v>
      </c>
      <c r="H454" t="s">
        <v>4781</v>
      </c>
      <c r="K454" s="31">
        <v>-30110.52</v>
      </c>
      <c r="M454" s="31">
        <v>-30110.52</v>
      </c>
      <c r="O454">
        <v>0</v>
      </c>
    </row>
    <row r="455" spans="3:18">
      <c r="C455">
        <v>5360</v>
      </c>
      <c r="E455" t="s">
        <v>4782</v>
      </c>
      <c r="H455" t="s">
        <v>4783</v>
      </c>
      <c r="K455" s="31">
        <v>33826.54</v>
      </c>
      <c r="M455" s="31">
        <v>63389.23</v>
      </c>
      <c r="O455" s="31">
        <v>-29562.69</v>
      </c>
      <c r="Q455">
        <v>-46.6</v>
      </c>
    </row>
    <row r="456" spans="3:18">
      <c r="C456">
        <v>5360</v>
      </c>
      <c r="E456" t="s">
        <v>4786</v>
      </c>
      <c r="H456" t="s">
        <v>4787</v>
      </c>
      <c r="K456" s="31">
        <v>-426393.09</v>
      </c>
      <c r="M456" s="31">
        <v>-426393.09</v>
      </c>
      <c r="O456">
        <v>0</v>
      </c>
    </row>
    <row r="457" spans="3:18">
      <c r="C457">
        <v>5360</v>
      </c>
      <c r="E457" t="s">
        <v>4788</v>
      </c>
      <c r="H457" t="s">
        <v>4789</v>
      </c>
      <c r="K457" s="31">
        <v>212926.89</v>
      </c>
      <c r="M457" s="31">
        <v>384040.58</v>
      </c>
      <c r="O457" s="31">
        <v>-171113.69</v>
      </c>
      <c r="Q457">
        <v>-44.6</v>
      </c>
    </row>
    <row r="458" spans="3:18">
      <c r="C458">
        <v>5360</v>
      </c>
      <c r="E458" t="s">
        <v>4790</v>
      </c>
      <c r="H458" t="s">
        <v>4791</v>
      </c>
      <c r="K458" s="31">
        <v>-274061.07</v>
      </c>
      <c r="M458" s="31">
        <v>-340172.03</v>
      </c>
      <c r="O458" s="31">
        <v>66110.960000000006</v>
      </c>
      <c r="Q458">
        <v>19.399999999999999</v>
      </c>
    </row>
    <row r="459" spans="3:18">
      <c r="C459">
        <v>5360</v>
      </c>
      <c r="E459" t="s">
        <v>4792</v>
      </c>
      <c r="H459" t="s">
        <v>4793</v>
      </c>
      <c r="K459" s="31">
        <v>-153826.54</v>
      </c>
      <c r="M459" s="31">
        <v>6610.77</v>
      </c>
      <c r="O459" s="31">
        <v>-160437.31</v>
      </c>
      <c r="Q459">
        <v>-2426.9</v>
      </c>
    </row>
    <row r="460" spans="3:18">
      <c r="C460">
        <v>5360</v>
      </c>
      <c r="E460" t="s">
        <v>4794</v>
      </c>
      <c r="H460" t="s">
        <v>4795</v>
      </c>
      <c r="K460" s="31">
        <v>-1038845.49</v>
      </c>
      <c r="M460" s="31">
        <v>-1038845.49</v>
      </c>
      <c r="O460">
        <v>0</v>
      </c>
    </row>
    <row r="461" spans="3:18">
      <c r="C461">
        <v>5360</v>
      </c>
      <c r="E461" t="s">
        <v>4798</v>
      </c>
      <c r="H461" t="s">
        <v>4799</v>
      </c>
      <c r="K461" s="31">
        <v>1159731.6499999999</v>
      </c>
      <c r="M461" s="31">
        <v>1159731.6499999999</v>
      </c>
      <c r="O461">
        <v>0</v>
      </c>
    </row>
    <row r="462" spans="3:18">
      <c r="C462">
        <v>5360</v>
      </c>
      <c r="E462" t="s">
        <v>5979</v>
      </c>
      <c r="H462" t="s">
        <v>5980</v>
      </c>
      <c r="K462" s="31">
        <v>-30110.52</v>
      </c>
      <c r="M462" s="31">
        <v>-30110.52</v>
      </c>
      <c r="O462">
        <v>0</v>
      </c>
    </row>
    <row r="463" spans="3:18">
      <c r="C463">
        <v>5360</v>
      </c>
      <c r="E463" t="s">
        <v>4802</v>
      </c>
      <c r="H463" t="s">
        <v>4803</v>
      </c>
      <c r="K463" s="31">
        <v>-18220.96</v>
      </c>
      <c r="M463" s="31">
        <v>-36510.32</v>
      </c>
      <c r="O463" s="31">
        <v>18289.36</v>
      </c>
      <c r="Q463">
        <v>50.1</v>
      </c>
    </row>
    <row r="464" spans="3:18">
      <c r="C464">
        <v>5360</v>
      </c>
      <c r="E464" t="s">
        <v>4804</v>
      </c>
      <c r="H464" t="s">
        <v>4805</v>
      </c>
      <c r="K464" s="31">
        <v>-8582363.0899999999</v>
      </c>
      <c r="M464" s="31">
        <v>-8582363.0899999999</v>
      </c>
      <c r="O464">
        <v>0</v>
      </c>
    </row>
    <row r="465" spans="3:18">
      <c r="C465">
        <v>5360</v>
      </c>
      <c r="E465" t="s">
        <v>4806</v>
      </c>
      <c r="H465" t="s">
        <v>4807</v>
      </c>
      <c r="K465" s="31">
        <v>32409.7</v>
      </c>
      <c r="M465" s="31">
        <v>33940.080000000002</v>
      </c>
      <c r="O465" s="31">
        <v>-1530.38</v>
      </c>
      <c r="Q465">
        <v>-4.5</v>
      </c>
    </row>
    <row r="466" spans="3:18">
      <c r="C466">
        <v>5360</v>
      </c>
      <c r="E466" t="s">
        <v>4808</v>
      </c>
      <c r="H466" t="s">
        <v>4809</v>
      </c>
      <c r="K466" s="31">
        <v>-70888.92</v>
      </c>
      <c r="M466" s="31">
        <v>-141769.45000000001</v>
      </c>
      <c r="O466" s="31">
        <v>70880.53</v>
      </c>
      <c r="Q466">
        <v>50</v>
      </c>
    </row>
    <row r="467" spans="3:18">
      <c r="C467">
        <v>5360</v>
      </c>
      <c r="E467" t="s">
        <v>4810</v>
      </c>
      <c r="H467" t="s">
        <v>4811</v>
      </c>
      <c r="K467" s="31">
        <v>-284057.84999999998</v>
      </c>
      <c r="M467" s="31">
        <v>-322275.74</v>
      </c>
      <c r="O467" s="31">
        <v>38217.89</v>
      </c>
      <c r="Q467">
        <v>11.9</v>
      </c>
    </row>
    <row r="468" spans="3:18">
      <c r="C468">
        <v>5360</v>
      </c>
      <c r="E468" t="s">
        <v>4812</v>
      </c>
      <c r="H468" t="s">
        <v>4813</v>
      </c>
      <c r="K468" s="31">
        <v>-4283622.59</v>
      </c>
      <c r="M468" s="31">
        <v>-4283622.59</v>
      </c>
      <c r="O468">
        <v>0</v>
      </c>
    </row>
    <row r="469" spans="3:18">
      <c r="C469">
        <v>5360</v>
      </c>
      <c r="E469" t="s">
        <v>4814</v>
      </c>
      <c r="H469" t="s">
        <v>4815</v>
      </c>
      <c r="K469" s="31">
        <v>-255434.27</v>
      </c>
      <c r="M469" s="31">
        <v>-788639.3</v>
      </c>
      <c r="O469" s="31">
        <v>533205.03</v>
      </c>
      <c r="Q469">
        <v>67.599999999999994</v>
      </c>
    </row>
    <row r="470" spans="3:18">
      <c r="C470">
        <v>5360</v>
      </c>
      <c r="E470" t="s">
        <v>4816</v>
      </c>
      <c r="H470" t="s">
        <v>4817</v>
      </c>
      <c r="K470">
        <v>0</v>
      </c>
      <c r="M470" s="31">
        <v>7952.57</v>
      </c>
      <c r="O470" s="31">
        <v>-7952.57</v>
      </c>
      <c r="Q470">
        <v>-100</v>
      </c>
    </row>
    <row r="471" spans="3:18">
      <c r="C471">
        <v>5360</v>
      </c>
      <c r="E471" t="s">
        <v>4818</v>
      </c>
      <c r="H471" t="s">
        <v>4819</v>
      </c>
      <c r="K471" s="31">
        <v>520705.34</v>
      </c>
      <c r="M471" s="31">
        <v>1018178.87</v>
      </c>
      <c r="O471" s="31">
        <v>-497473.53</v>
      </c>
      <c r="Q471">
        <v>-48.9</v>
      </c>
    </row>
    <row r="472" spans="3:18">
      <c r="C472">
        <v>5360</v>
      </c>
      <c r="E472" t="s">
        <v>4820</v>
      </c>
      <c r="H472" t="s">
        <v>4821</v>
      </c>
      <c r="K472" s="31">
        <v>-264135.07</v>
      </c>
      <c r="M472" s="31">
        <v>-803298.01</v>
      </c>
      <c r="O472" s="31">
        <v>539162.93999999994</v>
      </c>
      <c r="Q472">
        <v>67.099999999999994</v>
      </c>
    </row>
    <row r="473" spans="3:18">
      <c r="C473">
        <v>5360</v>
      </c>
      <c r="E473" t="s">
        <v>4822</v>
      </c>
      <c r="H473" t="s">
        <v>4823</v>
      </c>
      <c r="K473" s="31">
        <v>-33335340.75</v>
      </c>
      <c r="M473" s="31">
        <v>-33335340.75</v>
      </c>
      <c r="O473">
        <v>0</v>
      </c>
    </row>
    <row r="474" spans="3:18">
      <c r="C474">
        <v>5360</v>
      </c>
      <c r="E474" t="s">
        <v>4824</v>
      </c>
      <c r="H474" t="s">
        <v>4811</v>
      </c>
      <c r="K474" s="31">
        <v>-4003637.8</v>
      </c>
      <c r="M474" s="31">
        <v>-4299297.58</v>
      </c>
      <c r="O474" s="31">
        <v>295659.78000000003</v>
      </c>
      <c r="Q474">
        <v>6.9</v>
      </c>
    </row>
    <row r="475" spans="3:18">
      <c r="C475">
        <v>5360</v>
      </c>
      <c r="E475" t="s">
        <v>4825</v>
      </c>
      <c r="H475" t="s">
        <v>4826</v>
      </c>
      <c r="K475" s="31">
        <v>-5576904.54</v>
      </c>
      <c r="M475" s="31">
        <v>-5581264.1100000003</v>
      </c>
      <c r="O475" s="31">
        <v>4359.57</v>
      </c>
      <c r="Q475">
        <v>0.1</v>
      </c>
    </row>
    <row r="476" spans="3:18">
      <c r="E476" t="s">
        <v>4827</v>
      </c>
      <c r="K476" s="31">
        <v>-60101438.979999997</v>
      </c>
      <c r="M476" s="31">
        <v>-60799254.869999997</v>
      </c>
      <c r="O476" s="31">
        <v>697815.89</v>
      </c>
      <c r="Q476">
        <v>1.1000000000000001</v>
      </c>
      <c r="R476" t="s">
        <v>569</v>
      </c>
    </row>
    <row r="477" spans="3:18">
      <c r="C477">
        <v>5360</v>
      </c>
      <c r="E477" t="s">
        <v>4828</v>
      </c>
      <c r="H477" t="s">
        <v>4829</v>
      </c>
      <c r="K477">
        <v>-38</v>
      </c>
      <c r="M477">
        <v>-38</v>
      </c>
      <c r="O477">
        <v>0</v>
      </c>
    </row>
    <row r="478" spans="3:18">
      <c r="E478" t="s">
        <v>4830</v>
      </c>
      <c r="K478">
        <v>-38</v>
      </c>
      <c r="M478">
        <v>-38</v>
      </c>
      <c r="O478">
        <v>0</v>
      </c>
      <c r="R478" t="s">
        <v>569</v>
      </c>
    </row>
    <row r="479" spans="3:18">
      <c r="C479">
        <v>5360</v>
      </c>
      <c r="E479" t="s">
        <v>4831</v>
      </c>
      <c r="H479" t="s">
        <v>4832</v>
      </c>
      <c r="K479" s="31">
        <v>-1134000.1299999999</v>
      </c>
      <c r="M479" s="31">
        <v>-1455300.13</v>
      </c>
      <c r="O479" s="31">
        <v>321300</v>
      </c>
      <c r="Q479">
        <v>22.1</v>
      </c>
    </row>
    <row r="480" spans="3:18">
      <c r="C480">
        <v>5360</v>
      </c>
      <c r="E480" t="s">
        <v>4833</v>
      </c>
      <c r="H480" t="s">
        <v>4834</v>
      </c>
      <c r="K480" s="31">
        <v>-2541746.9900000002</v>
      </c>
      <c r="M480" s="31">
        <v>-2541746.9900000002</v>
      </c>
      <c r="O480">
        <v>0</v>
      </c>
    </row>
    <row r="481" spans="3:17">
      <c r="C481">
        <v>5360</v>
      </c>
      <c r="E481" t="s">
        <v>4835</v>
      </c>
      <c r="H481" t="s">
        <v>4836</v>
      </c>
      <c r="K481" s="31">
        <v>16227.16</v>
      </c>
      <c r="M481" s="31">
        <v>16227.16</v>
      </c>
      <c r="O481">
        <v>0</v>
      </c>
    </row>
    <row r="482" spans="3:17">
      <c r="C482">
        <v>5360</v>
      </c>
      <c r="E482" t="s">
        <v>4942</v>
      </c>
      <c r="H482" t="s">
        <v>4943</v>
      </c>
      <c r="K482" s="31">
        <v>8273.52</v>
      </c>
      <c r="M482" s="31">
        <v>8273.52</v>
      </c>
      <c r="O482">
        <v>0</v>
      </c>
    </row>
    <row r="483" spans="3:17">
      <c r="C483">
        <v>5360</v>
      </c>
      <c r="E483" t="s">
        <v>4837</v>
      </c>
      <c r="H483" t="s">
        <v>4838</v>
      </c>
      <c r="K483" s="31">
        <v>-62201.43</v>
      </c>
      <c r="M483" s="31">
        <v>-63692.03</v>
      </c>
      <c r="O483" s="31">
        <v>1490.6</v>
      </c>
      <c r="Q483">
        <v>2.2999999999999998</v>
      </c>
    </row>
    <row r="484" spans="3:17">
      <c r="C484">
        <v>5360</v>
      </c>
      <c r="E484" t="s">
        <v>5981</v>
      </c>
      <c r="H484" t="s">
        <v>5982</v>
      </c>
      <c r="K484" s="31">
        <v>683250</v>
      </c>
      <c r="M484" s="31">
        <v>1366500</v>
      </c>
      <c r="O484" s="31">
        <v>-683250</v>
      </c>
      <c r="Q484">
        <v>-50</v>
      </c>
    </row>
    <row r="485" spans="3:17">
      <c r="C485">
        <v>5360</v>
      </c>
      <c r="E485" t="s">
        <v>4839</v>
      </c>
      <c r="H485" t="s">
        <v>4840</v>
      </c>
      <c r="K485" s="31">
        <v>81070.16</v>
      </c>
      <c r="M485" s="31">
        <v>119007.32</v>
      </c>
      <c r="O485" s="31">
        <v>-37937.160000000003</v>
      </c>
      <c r="Q485">
        <v>-31.9</v>
      </c>
    </row>
    <row r="486" spans="3:17">
      <c r="C486">
        <v>5360</v>
      </c>
      <c r="E486" t="s">
        <v>4841</v>
      </c>
      <c r="H486" t="s">
        <v>4842</v>
      </c>
      <c r="K486" s="31">
        <v>-5075041.41</v>
      </c>
      <c r="M486" s="31">
        <v>-5075041.41</v>
      </c>
      <c r="O486">
        <v>0</v>
      </c>
    </row>
    <row r="487" spans="3:17">
      <c r="C487">
        <v>5360</v>
      </c>
      <c r="E487" t="s">
        <v>4843</v>
      </c>
      <c r="H487" t="s">
        <v>4844</v>
      </c>
      <c r="K487" s="31">
        <v>9524846.8800000008</v>
      </c>
      <c r="M487" s="31">
        <v>9524846.8800000008</v>
      </c>
      <c r="O487">
        <v>0</v>
      </c>
    </row>
    <row r="488" spans="3:17">
      <c r="C488">
        <v>5360</v>
      </c>
      <c r="E488" t="s">
        <v>4845</v>
      </c>
      <c r="H488" t="s">
        <v>4846</v>
      </c>
      <c r="K488" s="31">
        <v>1272875.25</v>
      </c>
      <c r="M488" s="31">
        <v>1272875.25</v>
      </c>
      <c r="O488">
        <v>0</v>
      </c>
    </row>
    <row r="489" spans="3:17">
      <c r="C489">
        <v>5360</v>
      </c>
      <c r="E489" t="s">
        <v>4847</v>
      </c>
      <c r="H489" t="s">
        <v>4848</v>
      </c>
      <c r="K489">
        <v>36.9</v>
      </c>
      <c r="M489">
        <v>73.8</v>
      </c>
      <c r="O489">
        <v>-36.9</v>
      </c>
      <c r="Q489">
        <v>-50</v>
      </c>
    </row>
    <row r="490" spans="3:17">
      <c r="C490">
        <v>5360</v>
      </c>
      <c r="E490" t="s">
        <v>4849</v>
      </c>
      <c r="H490" t="s">
        <v>4850</v>
      </c>
      <c r="K490" s="31">
        <v>-1077825</v>
      </c>
      <c r="M490" s="31">
        <v>-1077825</v>
      </c>
      <c r="O490">
        <v>0</v>
      </c>
    </row>
    <row r="491" spans="3:17">
      <c r="C491">
        <v>5360</v>
      </c>
      <c r="E491" t="s">
        <v>4851</v>
      </c>
      <c r="H491" t="s">
        <v>4852</v>
      </c>
      <c r="K491" s="31">
        <v>-1055869.95</v>
      </c>
      <c r="M491" s="31">
        <v>-1935869.25</v>
      </c>
      <c r="O491" s="31">
        <v>879999.3</v>
      </c>
      <c r="Q491">
        <v>45.5</v>
      </c>
    </row>
    <row r="492" spans="3:17">
      <c r="C492">
        <v>5360</v>
      </c>
      <c r="E492" t="s">
        <v>5983</v>
      </c>
      <c r="H492" t="s">
        <v>4868</v>
      </c>
      <c r="K492" s="31">
        <v>-57208.25</v>
      </c>
      <c r="M492" s="31">
        <v>-41774.51</v>
      </c>
      <c r="O492" s="31">
        <v>-15433.74</v>
      </c>
      <c r="Q492">
        <v>-36.9</v>
      </c>
    </row>
    <row r="493" spans="3:17">
      <c r="C493">
        <v>5360</v>
      </c>
      <c r="E493" t="s">
        <v>4853</v>
      </c>
      <c r="H493" t="s">
        <v>4854</v>
      </c>
      <c r="K493" s="31">
        <v>-53985</v>
      </c>
      <c r="M493" s="31">
        <v>-107970</v>
      </c>
      <c r="O493" s="31">
        <v>53985</v>
      </c>
      <c r="Q493">
        <v>50</v>
      </c>
    </row>
    <row r="494" spans="3:17">
      <c r="C494">
        <v>5360</v>
      </c>
      <c r="E494" t="s">
        <v>5984</v>
      </c>
      <c r="H494" t="s">
        <v>4870</v>
      </c>
      <c r="K494" s="31">
        <v>-67339.25</v>
      </c>
      <c r="M494" s="31">
        <v>64297.49</v>
      </c>
      <c r="O494" s="31">
        <v>-131636.74</v>
      </c>
      <c r="Q494">
        <v>-204.7</v>
      </c>
    </row>
    <row r="495" spans="3:17">
      <c r="C495">
        <v>5360</v>
      </c>
      <c r="E495" t="s">
        <v>4855</v>
      </c>
      <c r="H495" t="s">
        <v>4856</v>
      </c>
      <c r="K495" s="31">
        <v>-397230.2</v>
      </c>
      <c r="M495" s="31">
        <v>-397230.2</v>
      </c>
      <c r="O495">
        <v>0</v>
      </c>
    </row>
    <row r="496" spans="3:17">
      <c r="C496">
        <v>5360</v>
      </c>
      <c r="E496" t="s">
        <v>4857</v>
      </c>
      <c r="H496" t="s">
        <v>4858</v>
      </c>
      <c r="K496" s="31">
        <v>-11221332.449999999</v>
      </c>
      <c r="M496" s="31">
        <v>-11221332.449999999</v>
      </c>
      <c r="O496">
        <v>0</v>
      </c>
    </row>
    <row r="497" spans="3:18">
      <c r="C497">
        <v>5360</v>
      </c>
      <c r="E497" t="s">
        <v>4859</v>
      </c>
      <c r="H497" t="s">
        <v>4860</v>
      </c>
      <c r="K497" s="31">
        <v>791734.92</v>
      </c>
      <c r="M497" s="31">
        <v>1608990.54</v>
      </c>
      <c r="O497" s="31">
        <v>-817255.62</v>
      </c>
      <c r="Q497">
        <v>-50.8</v>
      </c>
    </row>
    <row r="498" spans="3:18">
      <c r="C498">
        <v>5360</v>
      </c>
      <c r="E498" t="s">
        <v>4863</v>
      </c>
      <c r="H498" t="s">
        <v>4864</v>
      </c>
      <c r="K498">
        <v>0</v>
      </c>
      <c r="M498" s="31">
        <v>-476419.3</v>
      </c>
      <c r="O498" s="31">
        <v>476419.3</v>
      </c>
      <c r="Q498">
        <v>100</v>
      </c>
    </row>
    <row r="499" spans="3:18">
      <c r="C499">
        <v>5360</v>
      </c>
      <c r="E499" t="s">
        <v>4865</v>
      </c>
      <c r="H499" t="s">
        <v>4842</v>
      </c>
      <c r="K499" s="31">
        <v>12534891.960000001</v>
      </c>
      <c r="M499" s="31">
        <v>12534891.960000001</v>
      </c>
      <c r="O499">
        <v>0</v>
      </c>
    </row>
    <row r="500" spans="3:18">
      <c r="C500">
        <v>5360</v>
      </c>
      <c r="E500" t="s">
        <v>4866</v>
      </c>
      <c r="H500" t="s">
        <v>4844</v>
      </c>
      <c r="K500" s="31">
        <v>-39554644.009999998</v>
      </c>
      <c r="M500" s="31">
        <v>-39554644.009999998</v>
      </c>
      <c r="O500">
        <v>0</v>
      </c>
    </row>
    <row r="501" spans="3:18">
      <c r="C501">
        <v>5360</v>
      </c>
      <c r="E501" t="s">
        <v>4944</v>
      </c>
      <c r="H501" t="s">
        <v>4945</v>
      </c>
      <c r="K501" s="31">
        <v>-392385.88</v>
      </c>
      <c r="M501" s="31">
        <v>-545353.19999999995</v>
      </c>
      <c r="O501" s="31">
        <v>152967.32</v>
      </c>
      <c r="Q501">
        <v>28</v>
      </c>
    </row>
    <row r="502" spans="3:18">
      <c r="C502">
        <v>5360</v>
      </c>
      <c r="E502" t="s">
        <v>4871</v>
      </c>
      <c r="H502" t="s">
        <v>4872</v>
      </c>
      <c r="K502" s="31">
        <v>-103414.45</v>
      </c>
      <c r="M502" s="31">
        <v>-103414.45</v>
      </c>
      <c r="O502">
        <v>0</v>
      </c>
    </row>
    <row r="503" spans="3:18">
      <c r="C503">
        <v>5360</v>
      </c>
      <c r="E503" t="s">
        <v>4873</v>
      </c>
      <c r="H503" t="s">
        <v>4858</v>
      </c>
      <c r="K503" s="31">
        <v>-22114008.300000001</v>
      </c>
      <c r="M503" s="31">
        <v>-22114008.300000001</v>
      </c>
      <c r="O503">
        <v>0</v>
      </c>
    </row>
    <row r="504" spans="3:18">
      <c r="C504">
        <v>5360</v>
      </c>
      <c r="E504" t="s">
        <v>4874</v>
      </c>
      <c r="H504" t="s">
        <v>4875</v>
      </c>
      <c r="K504" s="31">
        <v>33599475.82</v>
      </c>
      <c r="M504" s="31">
        <v>34138638.759999998</v>
      </c>
      <c r="O504" s="31">
        <v>-539162.93999999994</v>
      </c>
      <c r="Q504">
        <v>-1.6</v>
      </c>
    </row>
    <row r="505" spans="3:18">
      <c r="E505" t="s">
        <v>4876</v>
      </c>
      <c r="K505" s="31">
        <v>-26395550.129999999</v>
      </c>
      <c r="M505" s="31">
        <v>-26056998.550000001</v>
      </c>
      <c r="O505" s="31">
        <v>-338551.58</v>
      </c>
      <c r="Q505">
        <v>-1.3</v>
      </c>
      <c r="R505" t="s">
        <v>569</v>
      </c>
    </row>
    <row r="506" spans="3:18">
      <c r="C506">
        <v>5360</v>
      </c>
      <c r="E506" t="s">
        <v>4877</v>
      </c>
      <c r="H506" t="s">
        <v>4878</v>
      </c>
      <c r="K506">
        <v>0.67</v>
      </c>
      <c r="M506">
        <v>0.67</v>
      </c>
      <c r="O506">
        <v>0</v>
      </c>
    </row>
    <row r="507" spans="3:18">
      <c r="C507">
        <v>5360</v>
      </c>
      <c r="E507" t="s">
        <v>4879</v>
      </c>
      <c r="H507" t="s">
        <v>4880</v>
      </c>
      <c r="K507">
        <v>-71.91</v>
      </c>
      <c r="M507">
        <v>-71.91</v>
      </c>
      <c r="O507">
        <v>0</v>
      </c>
    </row>
    <row r="508" spans="3:18">
      <c r="C508">
        <v>5360</v>
      </c>
      <c r="E508" t="s">
        <v>4881</v>
      </c>
      <c r="H508" t="s">
        <v>4882</v>
      </c>
      <c r="K508" s="31">
        <v>-28075825.199999999</v>
      </c>
      <c r="M508" s="31">
        <v>-22051005.690000001</v>
      </c>
      <c r="O508" s="31">
        <v>-6024819.5099999998</v>
      </c>
      <c r="Q508">
        <v>-27.3</v>
      </c>
    </row>
    <row r="509" spans="3:18">
      <c r="C509">
        <v>5360</v>
      </c>
      <c r="E509" t="s">
        <v>4885</v>
      </c>
      <c r="H509" t="s">
        <v>4886</v>
      </c>
      <c r="K509">
        <v>-3.02</v>
      </c>
      <c r="M509">
        <v>-3.02</v>
      </c>
      <c r="O509">
        <v>0</v>
      </c>
    </row>
    <row r="510" spans="3:18">
      <c r="C510">
        <v>5360</v>
      </c>
      <c r="E510" t="s">
        <v>4887</v>
      </c>
      <c r="H510" t="s">
        <v>4878</v>
      </c>
      <c r="K510" s="31">
        <v>-117954.11</v>
      </c>
      <c r="M510" s="31">
        <v>-71969.86</v>
      </c>
      <c r="O510" s="31">
        <v>-45984.25</v>
      </c>
      <c r="Q510">
        <v>-63.9</v>
      </c>
    </row>
    <row r="511" spans="3:18">
      <c r="C511">
        <v>5360</v>
      </c>
      <c r="E511" t="s">
        <v>4888</v>
      </c>
      <c r="H511" t="s">
        <v>4880</v>
      </c>
      <c r="K511" s="31">
        <v>-1617107.7</v>
      </c>
      <c r="M511" s="31">
        <v>-3335753.48</v>
      </c>
      <c r="O511" s="31">
        <v>1718645.78</v>
      </c>
      <c r="Q511">
        <v>51.5</v>
      </c>
    </row>
    <row r="512" spans="3:18">
      <c r="C512">
        <v>5360</v>
      </c>
      <c r="E512" t="s">
        <v>5985</v>
      </c>
      <c r="H512" t="s">
        <v>5986</v>
      </c>
      <c r="K512" s="31">
        <v>-485998.05</v>
      </c>
      <c r="M512" s="31">
        <v>-2609779.2799999998</v>
      </c>
      <c r="O512" s="31">
        <v>2123781.23</v>
      </c>
      <c r="Q512">
        <v>81.400000000000006</v>
      </c>
    </row>
    <row r="513" spans="3:18">
      <c r="C513">
        <v>5360</v>
      </c>
      <c r="E513" t="s">
        <v>4891</v>
      </c>
      <c r="H513" t="s">
        <v>3537</v>
      </c>
      <c r="K513" s="31">
        <v>-5838488.4400000004</v>
      </c>
      <c r="M513" s="31">
        <v>-1772227.92</v>
      </c>
      <c r="O513" s="31">
        <v>-4066260.52</v>
      </c>
      <c r="Q513">
        <v>-229.4</v>
      </c>
    </row>
    <row r="514" spans="3:18">
      <c r="C514">
        <v>5360</v>
      </c>
      <c r="E514" t="s">
        <v>4892</v>
      </c>
      <c r="H514" t="s">
        <v>4893</v>
      </c>
      <c r="K514" s="31">
        <v>-1228849.8</v>
      </c>
      <c r="M514" s="31">
        <v>-1144834.78</v>
      </c>
      <c r="O514" s="31">
        <v>-84015.02</v>
      </c>
      <c r="Q514">
        <v>-7.3</v>
      </c>
    </row>
    <row r="515" spans="3:18">
      <c r="C515">
        <v>5360</v>
      </c>
      <c r="E515" t="s">
        <v>4894</v>
      </c>
      <c r="H515" t="s">
        <v>4895</v>
      </c>
      <c r="K515" s="31">
        <v>12406.53</v>
      </c>
      <c r="M515" s="31">
        <v>12406.53</v>
      </c>
      <c r="O515">
        <v>0</v>
      </c>
    </row>
    <row r="516" spans="3:18">
      <c r="C516">
        <v>5360</v>
      </c>
      <c r="E516" t="s">
        <v>4896</v>
      </c>
      <c r="H516" t="s">
        <v>4357</v>
      </c>
      <c r="K516" s="31">
        <v>-5029510.62</v>
      </c>
      <c r="M516" s="31">
        <v>-5578908.75</v>
      </c>
      <c r="O516" s="31">
        <v>549398.13</v>
      </c>
      <c r="Q516">
        <v>9.8000000000000007</v>
      </c>
    </row>
    <row r="517" spans="3:18">
      <c r="C517">
        <v>5360</v>
      </c>
      <c r="E517" t="s">
        <v>4897</v>
      </c>
      <c r="H517" t="s">
        <v>4359</v>
      </c>
      <c r="K517">
        <v>-610.99</v>
      </c>
      <c r="M517">
        <v>-610.99</v>
      </c>
      <c r="O517">
        <v>0</v>
      </c>
    </row>
    <row r="518" spans="3:18">
      <c r="C518">
        <v>5360</v>
      </c>
      <c r="E518" t="s">
        <v>4898</v>
      </c>
      <c r="H518" t="s">
        <v>4361</v>
      </c>
      <c r="K518" s="31">
        <v>-112863.37</v>
      </c>
      <c r="M518" s="31">
        <v>-74090.34</v>
      </c>
      <c r="O518" s="31">
        <v>-38773.03</v>
      </c>
      <c r="Q518">
        <v>-52.3</v>
      </c>
    </row>
    <row r="519" spans="3:18">
      <c r="C519">
        <v>5360</v>
      </c>
      <c r="E519" t="s">
        <v>4899</v>
      </c>
      <c r="H519" t="s">
        <v>1704</v>
      </c>
      <c r="K519" s="31">
        <v>-775252.84</v>
      </c>
      <c r="M519" s="31">
        <v>-628856.4</v>
      </c>
      <c r="O519" s="31">
        <v>-146396.44</v>
      </c>
      <c r="Q519">
        <v>-23.3</v>
      </c>
    </row>
    <row r="520" spans="3:18">
      <c r="C520">
        <v>5360</v>
      </c>
      <c r="E520" t="s">
        <v>4900</v>
      </c>
      <c r="H520" t="s">
        <v>4363</v>
      </c>
      <c r="K520">
        <v>-0.6</v>
      </c>
      <c r="M520">
        <v>0</v>
      </c>
      <c r="O520">
        <v>-0.6</v>
      </c>
    </row>
    <row r="521" spans="3:18">
      <c r="C521">
        <v>5360</v>
      </c>
      <c r="E521" t="s">
        <v>4901</v>
      </c>
      <c r="H521" t="s">
        <v>4365</v>
      </c>
      <c r="K521" s="31">
        <v>-6033.92</v>
      </c>
      <c r="M521" s="31">
        <v>-6051.49</v>
      </c>
      <c r="O521">
        <v>17.57</v>
      </c>
      <c r="Q521">
        <v>0.3</v>
      </c>
    </row>
    <row r="522" spans="3:18">
      <c r="C522">
        <v>5360</v>
      </c>
      <c r="E522" t="s">
        <v>4902</v>
      </c>
      <c r="H522" t="s">
        <v>4903</v>
      </c>
      <c r="K522" s="31">
        <v>-2342828.2000000002</v>
      </c>
      <c r="M522" s="31">
        <v>-2426843.2200000002</v>
      </c>
      <c r="O522" s="31">
        <v>84015.02</v>
      </c>
      <c r="Q522">
        <v>3.5</v>
      </c>
    </row>
    <row r="523" spans="3:18">
      <c r="C523">
        <v>5360</v>
      </c>
      <c r="E523" t="s">
        <v>5987</v>
      </c>
      <c r="H523" t="s">
        <v>4335</v>
      </c>
      <c r="K523" s="31">
        <v>-15286326.189999999</v>
      </c>
      <c r="M523" s="31">
        <v>-69298729.340000004</v>
      </c>
      <c r="O523" s="31">
        <v>54012403.149999999</v>
      </c>
      <c r="Q523">
        <v>77.900000000000006</v>
      </c>
    </row>
    <row r="524" spans="3:18">
      <c r="C524">
        <v>5360</v>
      </c>
      <c r="E524" t="s">
        <v>4904</v>
      </c>
      <c r="H524" t="s">
        <v>4905</v>
      </c>
      <c r="K524" s="31">
        <v>-1713527.98</v>
      </c>
      <c r="M524" s="31">
        <v>759958.39</v>
      </c>
      <c r="O524" s="31">
        <v>-2473486.37</v>
      </c>
      <c r="Q524">
        <v>-325.5</v>
      </c>
    </row>
    <row r="525" spans="3:18">
      <c r="C525">
        <v>5360</v>
      </c>
      <c r="E525" t="s">
        <v>4906</v>
      </c>
      <c r="H525" t="s">
        <v>4907</v>
      </c>
      <c r="K525" s="31">
        <v>-144358.38</v>
      </c>
      <c r="M525" s="31">
        <v>-85602.25</v>
      </c>
      <c r="O525" s="31">
        <v>-58756.13</v>
      </c>
      <c r="Q525">
        <v>-68.599999999999994</v>
      </c>
    </row>
    <row r="526" spans="3:18">
      <c r="C526">
        <v>5360</v>
      </c>
      <c r="E526" t="s">
        <v>4908</v>
      </c>
      <c r="H526" t="s">
        <v>4909</v>
      </c>
      <c r="K526">
        <v>0</v>
      </c>
      <c r="M526" s="31">
        <v>67048.759999999995</v>
      </c>
      <c r="O526" s="31">
        <v>-67048.759999999995</v>
      </c>
      <c r="Q526">
        <v>-100</v>
      </c>
    </row>
    <row r="527" spans="3:18">
      <c r="E527" t="s">
        <v>4910</v>
      </c>
      <c r="K527" s="31">
        <v>-62763204.119999997</v>
      </c>
      <c r="M527" s="31">
        <v>-108245924.37</v>
      </c>
      <c r="O527" s="31">
        <v>45482720.25</v>
      </c>
      <c r="Q527">
        <v>42</v>
      </c>
      <c r="R527" t="s">
        <v>569</v>
      </c>
    </row>
    <row r="528" spans="3:18">
      <c r="C528">
        <v>5360</v>
      </c>
      <c r="E528" t="s">
        <v>4911</v>
      </c>
      <c r="H528" t="s">
        <v>4912</v>
      </c>
      <c r="K528" s="31">
        <v>6626693.1500000004</v>
      </c>
      <c r="M528" s="31">
        <v>7175361.4800000004</v>
      </c>
      <c r="O528" s="31">
        <v>-548668.32999999996</v>
      </c>
      <c r="Q528">
        <v>-7.6</v>
      </c>
    </row>
    <row r="529" spans="1:18">
      <c r="E529" t="s">
        <v>4913</v>
      </c>
      <c r="K529" s="31">
        <v>6626693.1500000004</v>
      </c>
      <c r="M529" s="31">
        <v>7175361.4800000004</v>
      </c>
      <c r="O529" s="31">
        <v>-548668.32999999996</v>
      </c>
      <c r="Q529">
        <v>-7.6</v>
      </c>
      <c r="R529" t="s">
        <v>569</v>
      </c>
    </row>
    <row r="530" spans="1:18">
      <c r="E530" t="s">
        <v>4914</v>
      </c>
      <c r="K530" s="31">
        <v>-299273305.10000002</v>
      </c>
      <c r="M530" s="31">
        <v>-345115289.66000003</v>
      </c>
      <c r="O530" s="31">
        <v>45841984.560000002</v>
      </c>
      <c r="Q530">
        <v>13.3</v>
      </c>
      <c r="R530" t="s">
        <v>611</v>
      </c>
    </row>
    <row r="532" spans="1:18">
      <c r="E532" t="s">
        <v>4915</v>
      </c>
      <c r="K532" s="31">
        <v>-728277991.57000005</v>
      </c>
      <c r="M532" s="31">
        <v>-773059141.61000001</v>
      </c>
      <c r="O532" s="31">
        <v>44781150.039999999</v>
      </c>
      <c r="Q532">
        <v>5.8</v>
      </c>
      <c r="R532" t="s">
        <v>930</v>
      </c>
    </row>
    <row r="534" spans="1:18">
      <c r="E534" t="s">
        <v>4510</v>
      </c>
      <c r="K534" s="31">
        <v>400880566.80000001</v>
      </c>
      <c r="M534" s="31">
        <v>354520355.04000002</v>
      </c>
      <c r="O534" s="31">
        <v>46360211.759999998</v>
      </c>
      <c r="Q534">
        <v>13.1</v>
      </c>
      <c r="R534" t="s">
        <v>970</v>
      </c>
    </row>
    <row r="538" spans="1:18">
      <c r="A538" t="s">
        <v>5962</v>
      </c>
    </row>
    <row r="539" spans="1:18">
      <c r="A539" t="s">
        <v>4950</v>
      </c>
    </row>
    <row r="541" spans="1:18">
      <c r="A541" t="s">
        <v>535</v>
      </c>
      <c r="F541">
        <v>5360</v>
      </c>
      <c r="G541" t="s">
        <v>536</v>
      </c>
      <c r="I541" t="s">
        <v>537</v>
      </c>
      <c r="N541" t="s">
        <v>538</v>
      </c>
      <c r="P541" t="s">
        <v>539</v>
      </c>
    </row>
    <row r="543" spans="1:18">
      <c r="B543" t="s">
        <v>313</v>
      </c>
      <c r="C543" t="s">
        <v>540</v>
      </c>
      <c r="D543" t="s">
        <v>541</v>
      </c>
      <c r="E543" t="s">
        <v>542</v>
      </c>
      <c r="J543" t="s">
        <v>543</v>
      </c>
      <c r="L543" t="s">
        <v>544</v>
      </c>
      <c r="O543" t="s">
        <v>545</v>
      </c>
      <c r="Q543" t="s">
        <v>546</v>
      </c>
      <c r="R543" t="s">
        <v>4054</v>
      </c>
    </row>
    <row r="544" spans="1:18">
      <c r="B544" t="s">
        <v>201</v>
      </c>
      <c r="C544" t="s">
        <v>548</v>
      </c>
      <c r="D544" t="s">
        <v>549</v>
      </c>
      <c r="J544" t="s">
        <v>5965</v>
      </c>
      <c r="L544" t="s">
        <v>5966</v>
      </c>
      <c r="O544" t="s">
        <v>551</v>
      </c>
      <c r="Q544" t="s">
        <v>552</v>
      </c>
      <c r="R544" t="s">
        <v>4057</v>
      </c>
    </row>
    <row r="546" spans="3:15">
      <c r="E546" t="s">
        <v>4951</v>
      </c>
    </row>
    <row r="547" spans="3:15">
      <c r="C547">
        <v>5360</v>
      </c>
      <c r="E547">
        <v>91010000</v>
      </c>
      <c r="H547" t="s">
        <v>4952</v>
      </c>
      <c r="K547" s="31">
        <v>958638825.70000005</v>
      </c>
      <c r="M547" s="31">
        <v>958638825.70000005</v>
      </c>
      <c r="O547">
        <v>0</v>
      </c>
    </row>
    <row r="548" spans="3:15">
      <c r="C548">
        <v>5360</v>
      </c>
      <c r="E548">
        <v>91011000</v>
      </c>
      <c r="H548" t="s">
        <v>4953</v>
      </c>
      <c r="K548" s="31">
        <v>142895235.49000001</v>
      </c>
      <c r="M548" s="31">
        <v>142895235.49000001</v>
      </c>
      <c r="O548">
        <v>0</v>
      </c>
    </row>
    <row r="549" spans="3:15">
      <c r="C549">
        <v>5360</v>
      </c>
      <c r="E549">
        <v>91060000</v>
      </c>
      <c r="H549" t="s">
        <v>4954</v>
      </c>
      <c r="K549" s="31">
        <v>57052537.340000004</v>
      </c>
      <c r="M549" s="31">
        <v>57052537.340000004</v>
      </c>
      <c r="O549">
        <v>0</v>
      </c>
    </row>
    <row r="550" spans="3:15">
      <c r="C550">
        <v>5360</v>
      </c>
      <c r="E550">
        <v>91070000</v>
      </c>
      <c r="H550" t="s">
        <v>4955</v>
      </c>
      <c r="K550" s="31">
        <v>74726180.260000005</v>
      </c>
      <c r="M550" s="31">
        <v>74726180.260000005</v>
      </c>
      <c r="O550">
        <v>0</v>
      </c>
    </row>
    <row r="551" spans="3:15">
      <c r="C551">
        <v>5360</v>
      </c>
      <c r="E551">
        <v>91080000</v>
      </c>
      <c r="H551" t="s">
        <v>4956</v>
      </c>
      <c r="K551" s="31">
        <v>-366679974.38999999</v>
      </c>
      <c r="M551" s="31">
        <v>-366679974.38999999</v>
      </c>
      <c r="O551">
        <v>0</v>
      </c>
    </row>
    <row r="552" spans="3:15">
      <c r="C552">
        <v>5360</v>
      </c>
      <c r="E552">
        <v>91110000</v>
      </c>
      <c r="H552" t="s">
        <v>4957</v>
      </c>
      <c r="K552" s="31">
        <v>-19833570.02</v>
      </c>
      <c r="M552" s="31">
        <v>-19833570.02</v>
      </c>
      <c r="O552">
        <v>0</v>
      </c>
    </row>
    <row r="553" spans="3:15">
      <c r="C553">
        <v>5360</v>
      </c>
      <c r="E553">
        <v>91140000</v>
      </c>
      <c r="H553" t="s">
        <v>4187</v>
      </c>
      <c r="K553" s="31">
        <v>235058056.38999999</v>
      </c>
      <c r="M553" s="31">
        <v>235058056.38999999</v>
      </c>
      <c r="O553">
        <v>0</v>
      </c>
    </row>
    <row r="554" spans="3:15">
      <c r="C554">
        <v>5360</v>
      </c>
      <c r="E554">
        <v>91210000</v>
      </c>
      <c r="H554" t="s">
        <v>4958</v>
      </c>
      <c r="K554" s="31">
        <v>4041036.52</v>
      </c>
      <c r="M554" s="31">
        <v>4041036.52</v>
      </c>
      <c r="O554">
        <v>0</v>
      </c>
    </row>
    <row r="555" spans="3:15">
      <c r="C555">
        <v>5360</v>
      </c>
      <c r="E555">
        <v>91231000</v>
      </c>
      <c r="H555" t="s">
        <v>4959</v>
      </c>
      <c r="K555" s="31">
        <v>-170988.32</v>
      </c>
      <c r="M555" s="31">
        <v>-170988.32</v>
      </c>
      <c r="O555">
        <v>0</v>
      </c>
    </row>
    <row r="556" spans="3:15">
      <c r="C556">
        <v>5360</v>
      </c>
      <c r="E556">
        <v>91240000</v>
      </c>
      <c r="H556" t="s">
        <v>4960</v>
      </c>
      <c r="K556" s="31">
        <v>57495</v>
      </c>
      <c r="M556" s="31">
        <v>57495</v>
      </c>
      <c r="O556">
        <v>0</v>
      </c>
    </row>
    <row r="557" spans="3:15">
      <c r="C557">
        <v>5360</v>
      </c>
      <c r="E557">
        <v>91340000</v>
      </c>
      <c r="H557" t="s">
        <v>4961</v>
      </c>
      <c r="K557" s="31">
        <v>1477251.19</v>
      </c>
      <c r="M557" s="31">
        <v>1477251.19</v>
      </c>
      <c r="O557">
        <v>0</v>
      </c>
    </row>
    <row r="558" spans="3:15">
      <c r="C558">
        <v>5360</v>
      </c>
      <c r="E558">
        <v>91420000</v>
      </c>
      <c r="H558" t="s">
        <v>3603</v>
      </c>
      <c r="K558" s="31">
        <v>60166796.869999997</v>
      </c>
      <c r="M558" s="31">
        <v>60166796.869999997</v>
      </c>
      <c r="O558">
        <v>0</v>
      </c>
    </row>
    <row r="559" spans="3:15">
      <c r="C559">
        <v>5360</v>
      </c>
      <c r="E559">
        <v>91430000</v>
      </c>
      <c r="H559" t="s">
        <v>4962</v>
      </c>
      <c r="K559" s="31">
        <v>5214367.53</v>
      </c>
      <c r="M559" s="31">
        <v>5214367.53</v>
      </c>
      <c r="O559">
        <v>0</v>
      </c>
    </row>
    <row r="560" spans="3:15">
      <c r="C560">
        <v>5360</v>
      </c>
      <c r="E560">
        <v>91440000</v>
      </c>
      <c r="H560" t="s">
        <v>4261</v>
      </c>
      <c r="K560" s="31">
        <v>-10672306.279999999</v>
      </c>
      <c r="M560" s="31">
        <v>-10672306.279999999</v>
      </c>
      <c r="O560">
        <v>0</v>
      </c>
    </row>
    <row r="561" spans="3:15">
      <c r="C561">
        <v>5360</v>
      </c>
      <c r="E561">
        <v>91460000</v>
      </c>
      <c r="H561" t="s">
        <v>4963</v>
      </c>
      <c r="K561" s="31">
        <v>1579912872.0699999</v>
      </c>
      <c r="M561" s="31">
        <v>1579912872.0699999</v>
      </c>
      <c r="O561">
        <v>0</v>
      </c>
    </row>
    <row r="562" spans="3:15">
      <c r="C562">
        <v>5360</v>
      </c>
      <c r="E562">
        <v>91540000</v>
      </c>
      <c r="H562" t="s">
        <v>4288</v>
      </c>
      <c r="K562" s="31">
        <v>3580099.58</v>
      </c>
      <c r="M562" s="31">
        <v>3580099.58</v>
      </c>
      <c r="O562">
        <v>0</v>
      </c>
    </row>
    <row r="563" spans="3:15">
      <c r="C563">
        <v>5360</v>
      </c>
      <c r="E563">
        <v>91630000</v>
      </c>
      <c r="H563" t="s">
        <v>4964</v>
      </c>
      <c r="K563" s="31">
        <v>1086591.3700000001</v>
      </c>
      <c r="M563" s="31">
        <v>1086591.3700000001</v>
      </c>
      <c r="O563">
        <v>0</v>
      </c>
    </row>
    <row r="564" spans="3:15">
      <c r="C564">
        <v>5360</v>
      </c>
      <c r="E564">
        <v>91641000</v>
      </c>
      <c r="H564" t="s">
        <v>4965</v>
      </c>
      <c r="K564" s="31">
        <v>8298258.54</v>
      </c>
      <c r="M564" s="31">
        <v>8298258.54</v>
      </c>
      <c r="O564">
        <v>0</v>
      </c>
    </row>
    <row r="565" spans="3:15">
      <c r="C565">
        <v>5360</v>
      </c>
      <c r="E565">
        <v>91642000</v>
      </c>
      <c r="H565" t="s">
        <v>4285</v>
      </c>
      <c r="K565" s="31">
        <v>2684514.44</v>
      </c>
      <c r="M565" s="31">
        <v>2684514.44</v>
      </c>
      <c r="O565">
        <v>0</v>
      </c>
    </row>
    <row r="566" spans="3:15">
      <c r="C566">
        <v>5360</v>
      </c>
      <c r="E566">
        <v>91650000</v>
      </c>
      <c r="H566" t="s">
        <v>4300</v>
      </c>
      <c r="K566" s="31">
        <v>864352.82</v>
      </c>
      <c r="M566" s="31">
        <v>864352.82</v>
      </c>
      <c r="O566">
        <v>0</v>
      </c>
    </row>
    <row r="567" spans="3:15">
      <c r="C567">
        <v>5360</v>
      </c>
      <c r="E567">
        <v>91730000</v>
      </c>
      <c r="H567" t="s">
        <v>4966</v>
      </c>
      <c r="K567" s="31">
        <v>40602978.560000002</v>
      </c>
      <c r="M567" s="31">
        <v>40602978.560000002</v>
      </c>
      <c r="O567">
        <v>0</v>
      </c>
    </row>
    <row r="568" spans="3:15">
      <c r="C568">
        <v>5360</v>
      </c>
      <c r="E568">
        <v>91740000</v>
      </c>
      <c r="H568" t="s">
        <v>4967</v>
      </c>
      <c r="K568" s="31">
        <v>176193.53</v>
      </c>
      <c r="M568" s="31">
        <v>176193.53</v>
      </c>
      <c r="O568">
        <v>0</v>
      </c>
    </row>
    <row r="569" spans="3:15">
      <c r="C569">
        <v>5360</v>
      </c>
      <c r="E569">
        <v>91760000</v>
      </c>
      <c r="H569" t="s">
        <v>4968</v>
      </c>
      <c r="K569" s="31">
        <v>2226639.31</v>
      </c>
      <c r="M569" s="31">
        <v>2226639.31</v>
      </c>
      <c r="O569">
        <v>0</v>
      </c>
    </row>
    <row r="570" spans="3:15">
      <c r="C570">
        <v>5360</v>
      </c>
      <c r="E570">
        <v>91810000</v>
      </c>
      <c r="H570" t="s">
        <v>4375</v>
      </c>
      <c r="K570" s="31">
        <v>80830.89</v>
      </c>
      <c r="M570" s="31">
        <v>80830.89</v>
      </c>
      <c r="O570">
        <v>0</v>
      </c>
    </row>
    <row r="571" spans="3:15">
      <c r="C571">
        <v>5360</v>
      </c>
      <c r="E571">
        <v>91823000</v>
      </c>
      <c r="H571" t="s">
        <v>4373</v>
      </c>
      <c r="K571" s="31">
        <v>138605232.56999999</v>
      </c>
      <c r="M571" s="31">
        <v>138605232.56999999</v>
      </c>
      <c r="O571">
        <v>0</v>
      </c>
    </row>
    <row r="572" spans="3:15">
      <c r="C572">
        <v>5360</v>
      </c>
      <c r="E572">
        <v>91830000</v>
      </c>
      <c r="H572" t="s">
        <v>4969</v>
      </c>
      <c r="K572" s="31">
        <v>-59643.66</v>
      </c>
      <c r="M572" s="31">
        <v>-59643.66</v>
      </c>
      <c r="O572">
        <v>0</v>
      </c>
    </row>
    <row r="573" spans="3:15">
      <c r="C573">
        <v>5360</v>
      </c>
      <c r="E573">
        <v>91831000</v>
      </c>
      <c r="H573" t="s">
        <v>4970</v>
      </c>
      <c r="K573" s="31">
        <v>67967.960000000006</v>
      </c>
      <c r="M573" s="31">
        <v>67967.960000000006</v>
      </c>
      <c r="O573">
        <v>0</v>
      </c>
    </row>
    <row r="574" spans="3:15">
      <c r="C574">
        <v>5360</v>
      </c>
      <c r="E574">
        <v>91840000</v>
      </c>
      <c r="H574" t="s">
        <v>4429</v>
      </c>
      <c r="K574" s="31">
        <v>116003694.04000001</v>
      </c>
      <c r="M574" s="31">
        <v>116003694.04000001</v>
      </c>
      <c r="O574">
        <v>0</v>
      </c>
    </row>
    <row r="575" spans="3:15">
      <c r="C575">
        <v>5360</v>
      </c>
      <c r="E575">
        <v>91860000</v>
      </c>
      <c r="H575" t="s">
        <v>4971</v>
      </c>
      <c r="K575" s="31">
        <v>598849193.57000005</v>
      </c>
      <c r="M575" s="31">
        <v>598849193.57000005</v>
      </c>
      <c r="O575">
        <v>0</v>
      </c>
    </row>
    <row r="576" spans="3:15">
      <c r="C576">
        <v>5360</v>
      </c>
      <c r="E576">
        <v>91869999</v>
      </c>
      <c r="H576" t="s">
        <v>4972</v>
      </c>
      <c r="K576" s="31">
        <v>-3561128.75</v>
      </c>
      <c r="M576" s="31">
        <v>-3561128.75</v>
      </c>
      <c r="O576">
        <v>0</v>
      </c>
    </row>
    <row r="577" spans="3:15">
      <c r="C577">
        <v>5360</v>
      </c>
      <c r="E577">
        <v>91900000</v>
      </c>
      <c r="H577" t="s">
        <v>4973</v>
      </c>
      <c r="K577" s="31">
        <v>41419124.130000003</v>
      </c>
      <c r="M577" s="31">
        <v>41419124.130000003</v>
      </c>
      <c r="O577">
        <v>0</v>
      </c>
    </row>
    <row r="578" spans="3:15">
      <c r="C578">
        <v>5360</v>
      </c>
      <c r="E578">
        <v>92100000</v>
      </c>
      <c r="H578" t="s">
        <v>4974</v>
      </c>
      <c r="K578" s="31">
        <v>-34359.71</v>
      </c>
      <c r="M578" s="31">
        <v>-34359.71</v>
      </c>
      <c r="O578">
        <v>0</v>
      </c>
    </row>
    <row r="579" spans="3:15">
      <c r="C579">
        <v>5360</v>
      </c>
      <c r="E579">
        <v>92150000</v>
      </c>
      <c r="H579" t="s">
        <v>4975</v>
      </c>
      <c r="K579">
        <v>804.51</v>
      </c>
      <c r="M579">
        <v>804.51</v>
      </c>
      <c r="O579">
        <v>0</v>
      </c>
    </row>
    <row r="580" spans="3:15">
      <c r="C580">
        <v>5360</v>
      </c>
      <c r="E580">
        <v>92160000</v>
      </c>
      <c r="H580" t="s">
        <v>4519</v>
      </c>
      <c r="K580" s="31">
        <v>-924012210.5</v>
      </c>
      <c r="M580" s="31">
        <v>-924012210.5</v>
      </c>
      <c r="O580">
        <v>0</v>
      </c>
    </row>
    <row r="581" spans="3:15">
      <c r="C581">
        <v>5360</v>
      </c>
      <c r="E581">
        <v>92190000</v>
      </c>
      <c r="H581" t="s">
        <v>4976</v>
      </c>
      <c r="K581" s="31">
        <v>-2614432</v>
      </c>
      <c r="M581" s="31">
        <v>-2614432</v>
      </c>
      <c r="O581">
        <v>0</v>
      </c>
    </row>
    <row r="582" spans="3:15">
      <c r="C582">
        <v>5360</v>
      </c>
      <c r="E582">
        <v>92210000</v>
      </c>
      <c r="H582" t="s">
        <v>4532</v>
      </c>
      <c r="K582" s="31">
        <v>-49464000</v>
      </c>
      <c r="M582" s="31">
        <v>-49464000</v>
      </c>
      <c r="O582">
        <v>0</v>
      </c>
    </row>
    <row r="583" spans="3:15">
      <c r="C583">
        <v>5360</v>
      </c>
      <c r="E583">
        <v>92281000</v>
      </c>
      <c r="H583" t="s">
        <v>4779</v>
      </c>
      <c r="K583" s="31">
        <v>-104077.03</v>
      </c>
      <c r="M583" s="31">
        <v>-104077.03</v>
      </c>
      <c r="O583">
        <v>0</v>
      </c>
    </row>
    <row r="584" spans="3:15">
      <c r="C584">
        <v>5360</v>
      </c>
      <c r="E584">
        <v>92282000</v>
      </c>
      <c r="H584" t="s">
        <v>4977</v>
      </c>
      <c r="K584" s="31">
        <v>-1045221.2</v>
      </c>
      <c r="M584" s="31">
        <v>-1045221.2</v>
      </c>
      <c r="O584">
        <v>0</v>
      </c>
    </row>
    <row r="585" spans="3:15">
      <c r="C585">
        <v>5360</v>
      </c>
      <c r="E585">
        <v>92300000</v>
      </c>
      <c r="H585" t="s">
        <v>4978</v>
      </c>
      <c r="K585" s="31">
        <v>-8356862.8899999997</v>
      </c>
      <c r="M585" s="31">
        <v>-8356862.8899999997</v>
      </c>
      <c r="O585">
        <v>0</v>
      </c>
    </row>
    <row r="586" spans="3:15">
      <c r="C586">
        <v>5360</v>
      </c>
      <c r="E586">
        <v>92320000</v>
      </c>
      <c r="H586" t="s">
        <v>4609</v>
      </c>
      <c r="K586" s="31">
        <v>-64821794.549999997</v>
      </c>
      <c r="M586" s="31">
        <v>-64821794.549999997</v>
      </c>
      <c r="O586">
        <v>0</v>
      </c>
    </row>
    <row r="587" spans="3:15">
      <c r="C587">
        <v>5360</v>
      </c>
      <c r="E587">
        <v>92330000</v>
      </c>
      <c r="H587" t="s">
        <v>4979</v>
      </c>
      <c r="K587" s="31">
        <v>-493138390</v>
      </c>
      <c r="M587" s="31">
        <v>-493138390</v>
      </c>
      <c r="O587">
        <v>0</v>
      </c>
    </row>
    <row r="588" spans="3:15">
      <c r="C588">
        <v>5360</v>
      </c>
      <c r="E588">
        <v>92340000</v>
      </c>
      <c r="H588" t="s">
        <v>4624</v>
      </c>
      <c r="K588" s="31">
        <v>-391413195.02999997</v>
      </c>
      <c r="M588" s="31">
        <v>-391413195.02999997</v>
      </c>
      <c r="O588">
        <v>0</v>
      </c>
    </row>
    <row r="589" spans="3:15">
      <c r="C589">
        <v>5360</v>
      </c>
      <c r="E589">
        <v>92350000</v>
      </c>
      <c r="H589" t="s">
        <v>266</v>
      </c>
      <c r="K589" s="31">
        <v>-1840626.81</v>
      </c>
      <c r="M589" s="31">
        <v>-1840626.81</v>
      </c>
      <c r="O589">
        <v>0</v>
      </c>
    </row>
    <row r="590" spans="3:15">
      <c r="C590">
        <v>5360</v>
      </c>
      <c r="E590">
        <v>92360000</v>
      </c>
      <c r="H590" t="s">
        <v>4980</v>
      </c>
      <c r="K590" s="31">
        <v>214381032.16999999</v>
      </c>
      <c r="M590" s="31">
        <v>214381032.16999999</v>
      </c>
      <c r="O590">
        <v>0</v>
      </c>
    </row>
    <row r="591" spans="3:15">
      <c r="C591">
        <v>5360</v>
      </c>
      <c r="E591">
        <v>92370000</v>
      </c>
      <c r="H591" t="s">
        <v>4658</v>
      </c>
      <c r="K591" s="31">
        <v>-16592944.26</v>
      </c>
      <c r="M591" s="31">
        <v>-16592944.26</v>
      </c>
      <c r="O591">
        <v>0</v>
      </c>
    </row>
    <row r="592" spans="3:15">
      <c r="C592">
        <v>5360</v>
      </c>
      <c r="E592">
        <v>92410000</v>
      </c>
      <c r="H592" t="s">
        <v>4660</v>
      </c>
      <c r="K592" s="31">
        <v>41941916.409999996</v>
      </c>
      <c r="M592" s="31">
        <v>41941916.409999996</v>
      </c>
      <c r="O592">
        <v>0</v>
      </c>
    </row>
    <row r="593" spans="3:17">
      <c r="C593">
        <v>5360</v>
      </c>
      <c r="E593">
        <v>92420000</v>
      </c>
      <c r="H593" t="s">
        <v>4675</v>
      </c>
      <c r="K593" s="31">
        <v>-81304043.370000005</v>
      </c>
      <c r="M593" s="31">
        <v>-81304043.370000005</v>
      </c>
      <c r="O593">
        <v>0</v>
      </c>
    </row>
    <row r="594" spans="3:17">
      <c r="C594">
        <v>5360</v>
      </c>
      <c r="E594">
        <v>92450000</v>
      </c>
      <c r="H594" t="s">
        <v>4981</v>
      </c>
      <c r="K594" s="31">
        <v>-5232239.5599999996</v>
      </c>
      <c r="M594" s="31">
        <v>-5232239.5599999996</v>
      </c>
      <c r="O594">
        <v>0</v>
      </c>
    </row>
    <row r="595" spans="3:17">
      <c r="C595">
        <v>5360</v>
      </c>
      <c r="E595">
        <v>92520000</v>
      </c>
      <c r="H595" t="s">
        <v>4829</v>
      </c>
      <c r="K595" s="31">
        <v>-2783.23</v>
      </c>
      <c r="M595" s="31">
        <v>-2783.23</v>
      </c>
      <c r="O595">
        <v>0</v>
      </c>
    </row>
    <row r="596" spans="3:17">
      <c r="C596">
        <v>5360</v>
      </c>
      <c r="E596">
        <v>92530000</v>
      </c>
      <c r="H596" t="s">
        <v>4876</v>
      </c>
      <c r="K596" s="31">
        <v>-83568580.890000001</v>
      </c>
      <c r="M596" s="31">
        <v>-83568580.890000001</v>
      </c>
      <c r="O596">
        <v>0</v>
      </c>
    </row>
    <row r="597" spans="3:17">
      <c r="C597">
        <v>5360</v>
      </c>
      <c r="E597">
        <v>92540000</v>
      </c>
      <c r="H597" t="s">
        <v>4982</v>
      </c>
      <c r="K597" s="31">
        <v>-11372068.48</v>
      </c>
      <c r="M597" s="31">
        <v>-11372068.48</v>
      </c>
      <c r="O597">
        <v>0</v>
      </c>
    </row>
    <row r="598" spans="3:17">
      <c r="C598">
        <v>5360</v>
      </c>
      <c r="E598">
        <v>92820000</v>
      </c>
      <c r="H598" t="s">
        <v>4983</v>
      </c>
      <c r="K598" s="31">
        <v>-98506750.129999995</v>
      </c>
      <c r="M598" s="31">
        <v>-98506750.129999995</v>
      </c>
      <c r="O598">
        <v>0</v>
      </c>
    </row>
    <row r="599" spans="3:17">
      <c r="C599">
        <v>5360</v>
      </c>
      <c r="E599">
        <v>92830000</v>
      </c>
      <c r="H599" t="s">
        <v>4984</v>
      </c>
      <c r="K599" s="31">
        <v>-52115963.719999999</v>
      </c>
      <c r="M599" s="31">
        <v>-52115963.719999999</v>
      </c>
      <c r="O599">
        <v>0</v>
      </c>
    </row>
    <row r="600" spans="3:17">
      <c r="C600">
        <v>5360</v>
      </c>
      <c r="E600" t="s">
        <v>4985</v>
      </c>
      <c r="H600" t="s">
        <v>4060</v>
      </c>
      <c r="K600" s="31">
        <v>-18316888.829999998</v>
      </c>
      <c r="M600" s="31">
        <v>-18316888.829999998</v>
      </c>
      <c r="O600">
        <v>0</v>
      </c>
    </row>
    <row r="601" spans="3:17">
      <c r="C601">
        <v>5360</v>
      </c>
      <c r="E601" t="s">
        <v>4986</v>
      </c>
      <c r="H601" t="s">
        <v>4062</v>
      </c>
      <c r="K601" s="31">
        <v>769140.45</v>
      </c>
      <c r="M601" s="31">
        <v>769140.45</v>
      </c>
      <c r="O601">
        <v>0</v>
      </c>
    </row>
    <row r="602" spans="3:17">
      <c r="C602">
        <v>5360</v>
      </c>
      <c r="E602" t="s">
        <v>4987</v>
      </c>
      <c r="H602" t="s">
        <v>4066</v>
      </c>
      <c r="K602" s="31">
        <v>1280483</v>
      </c>
      <c r="M602" s="31">
        <v>1280483</v>
      </c>
      <c r="O602">
        <v>0</v>
      </c>
    </row>
    <row r="603" spans="3:17">
      <c r="C603">
        <v>5360</v>
      </c>
      <c r="E603" t="s">
        <v>4988</v>
      </c>
      <c r="H603" t="s">
        <v>4068</v>
      </c>
      <c r="K603" s="31">
        <v>20926379.210000001</v>
      </c>
      <c r="M603" s="31">
        <v>20926379.210000001</v>
      </c>
      <c r="O603">
        <v>0</v>
      </c>
    </row>
    <row r="604" spans="3:17">
      <c r="C604">
        <v>5360</v>
      </c>
      <c r="E604" t="s">
        <v>5988</v>
      </c>
      <c r="H604" t="s">
        <v>5968</v>
      </c>
      <c r="K604" s="31">
        <v>138584.16</v>
      </c>
      <c r="M604" s="31">
        <v>138584.16</v>
      </c>
      <c r="O604">
        <v>0</v>
      </c>
    </row>
    <row r="605" spans="3:17">
      <c r="C605">
        <v>5360</v>
      </c>
      <c r="E605" t="s">
        <v>4989</v>
      </c>
      <c r="H605" t="s">
        <v>4084</v>
      </c>
      <c r="K605" s="31">
        <v>25404968.489999998</v>
      </c>
      <c r="M605" s="31">
        <v>25404968.489999998</v>
      </c>
      <c r="O605">
        <v>0</v>
      </c>
    </row>
    <row r="606" spans="3:17">
      <c r="C606">
        <v>5360</v>
      </c>
      <c r="E606" t="s">
        <v>4990</v>
      </c>
      <c r="H606" t="s">
        <v>4991</v>
      </c>
      <c r="K606" s="31">
        <v>537885.05000000005</v>
      </c>
      <c r="M606" s="31">
        <v>-846890.47</v>
      </c>
      <c r="O606" s="31">
        <v>1384775.52</v>
      </c>
      <c r="Q606">
        <v>163.5</v>
      </c>
    </row>
    <row r="607" spans="3:17">
      <c r="C607">
        <v>5360</v>
      </c>
      <c r="E607" t="s">
        <v>4993</v>
      </c>
      <c r="H607" t="s">
        <v>4090</v>
      </c>
      <c r="K607" s="31">
        <v>306570.11</v>
      </c>
      <c r="M607" s="31">
        <v>1006669.84</v>
      </c>
      <c r="O607" s="31">
        <v>-700099.73</v>
      </c>
      <c r="Q607">
        <v>-69.5</v>
      </c>
    </row>
    <row r="608" spans="3:17">
      <c r="C608">
        <v>5360</v>
      </c>
      <c r="E608" t="s">
        <v>4994</v>
      </c>
      <c r="H608" t="s">
        <v>4092</v>
      </c>
      <c r="K608" s="31">
        <v>-134485.31</v>
      </c>
      <c r="M608" s="31">
        <v>-509667.51</v>
      </c>
      <c r="O608" s="31">
        <v>375182.2</v>
      </c>
      <c r="Q608">
        <v>73.599999999999994</v>
      </c>
    </row>
    <row r="609" spans="3:17">
      <c r="C609">
        <v>5360</v>
      </c>
      <c r="E609" t="s">
        <v>4995</v>
      </c>
      <c r="H609" t="s">
        <v>4080</v>
      </c>
      <c r="K609" s="31">
        <v>-904348.33</v>
      </c>
      <c r="M609" s="31">
        <v>-229595.1</v>
      </c>
      <c r="O609" s="31">
        <v>-674753.23</v>
      </c>
      <c r="Q609">
        <v>-293.89999999999998</v>
      </c>
    </row>
    <row r="610" spans="3:17">
      <c r="C610">
        <v>5360</v>
      </c>
      <c r="E610" t="s">
        <v>4997</v>
      </c>
      <c r="H610" t="s">
        <v>4998</v>
      </c>
      <c r="K610" s="31">
        <v>8401705.6199999992</v>
      </c>
      <c r="M610" s="31">
        <v>8401705.6199999992</v>
      </c>
      <c r="O610">
        <v>0</v>
      </c>
    </row>
    <row r="611" spans="3:17">
      <c r="C611">
        <v>5360</v>
      </c>
      <c r="E611" t="s">
        <v>4999</v>
      </c>
      <c r="H611" t="s">
        <v>4095</v>
      </c>
      <c r="K611" s="31">
        <v>-278533.61</v>
      </c>
      <c r="M611" s="31">
        <v>-278533.61</v>
      </c>
      <c r="O611">
        <v>0</v>
      </c>
    </row>
    <row r="612" spans="3:17">
      <c r="C612">
        <v>5360</v>
      </c>
      <c r="E612" t="s">
        <v>5000</v>
      </c>
      <c r="H612" t="s">
        <v>4170</v>
      </c>
      <c r="K612" s="31">
        <v>4456676.29</v>
      </c>
      <c r="M612" s="31">
        <v>4456676.29</v>
      </c>
      <c r="O612">
        <v>0</v>
      </c>
    </row>
    <row r="613" spans="3:17">
      <c r="C613">
        <v>5360</v>
      </c>
      <c r="E613" t="s">
        <v>5003</v>
      </c>
      <c r="H613" t="s">
        <v>4176</v>
      </c>
      <c r="K613" s="31">
        <v>-1962225.26</v>
      </c>
      <c r="M613" s="31">
        <v>-2828279.17</v>
      </c>
      <c r="O613" s="31">
        <v>866053.91</v>
      </c>
      <c r="Q613">
        <v>30.6</v>
      </c>
    </row>
    <row r="614" spans="3:17">
      <c r="C614">
        <v>5360</v>
      </c>
      <c r="E614" t="s">
        <v>5004</v>
      </c>
      <c r="H614" t="s">
        <v>4182</v>
      </c>
      <c r="K614" s="31">
        <v>904348.33</v>
      </c>
      <c r="M614" s="31">
        <v>229595.1</v>
      </c>
      <c r="O614" s="31">
        <v>674753.23</v>
      </c>
      <c r="Q614">
        <v>293.89999999999998</v>
      </c>
    </row>
    <row r="615" spans="3:17">
      <c r="C615">
        <v>5360</v>
      </c>
      <c r="E615" t="s">
        <v>5005</v>
      </c>
      <c r="H615" t="s">
        <v>4105</v>
      </c>
      <c r="K615" s="31">
        <v>126288934.37</v>
      </c>
      <c r="M615" s="31">
        <v>126288934.37</v>
      </c>
      <c r="O615">
        <v>0</v>
      </c>
    </row>
    <row r="616" spans="3:17">
      <c r="C616">
        <v>5360</v>
      </c>
      <c r="E616" t="s">
        <v>5006</v>
      </c>
      <c r="H616" t="s">
        <v>5007</v>
      </c>
      <c r="K616" s="31">
        <v>-16229.58</v>
      </c>
      <c r="M616" s="31">
        <v>-16229.58</v>
      </c>
      <c r="O616">
        <v>0</v>
      </c>
    </row>
    <row r="617" spans="3:17">
      <c r="C617">
        <v>5360</v>
      </c>
      <c r="E617" t="s">
        <v>5008</v>
      </c>
      <c r="H617" t="s">
        <v>4107</v>
      </c>
      <c r="K617" s="31">
        <v>-4729879.0599999996</v>
      </c>
      <c r="M617" s="31">
        <v>-4729879.0599999996</v>
      </c>
      <c r="O617">
        <v>0</v>
      </c>
    </row>
    <row r="618" spans="3:17">
      <c r="C618">
        <v>5360</v>
      </c>
      <c r="E618" t="s">
        <v>5009</v>
      </c>
      <c r="H618" t="s">
        <v>4111</v>
      </c>
      <c r="K618" s="31">
        <v>2712327.78</v>
      </c>
      <c r="M618" s="31">
        <v>2712327.78</v>
      </c>
      <c r="O618">
        <v>0</v>
      </c>
    </row>
    <row r="619" spans="3:17">
      <c r="C619">
        <v>5360</v>
      </c>
      <c r="E619" t="s">
        <v>5010</v>
      </c>
      <c r="H619" t="s">
        <v>4115</v>
      </c>
      <c r="K619" s="31">
        <v>-7040931.8099999996</v>
      </c>
      <c r="M619" s="31">
        <v>-7040931.8099999996</v>
      </c>
      <c r="O619">
        <v>0</v>
      </c>
    </row>
    <row r="620" spans="3:17">
      <c r="C620">
        <v>5360</v>
      </c>
      <c r="E620" t="s">
        <v>5011</v>
      </c>
      <c r="H620" t="s">
        <v>5012</v>
      </c>
      <c r="K620" s="31">
        <v>-3466469.8</v>
      </c>
      <c r="M620" s="31">
        <v>-3466469.8</v>
      </c>
      <c r="O620">
        <v>0</v>
      </c>
    </row>
    <row r="621" spans="3:17">
      <c r="C621">
        <v>5360</v>
      </c>
      <c r="E621" t="s">
        <v>5013</v>
      </c>
      <c r="H621" t="s">
        <v>4117</v>
      </c>
      <c r="K621" s="31">
        <v>-64691190.159999996</v>
      </c>
      <c r="M621" s="31">
        <v>-64691190.159999996</v>
      </c>
      <c r="O621">
        <v>0</v>
      </c>
    </row>
    <row r="622" spans="3:17">
      <c r="C622">
        <v>5360</v>
      </c>
      <c r="E622" t="s">
        <v>5014</v>
      </c>
      <c r="H622" t="s">
        <v>4148</v>
      </c>
      <c r="K622" s="31">
        <v>-8528.16</v>
      </c>
      <c r="M622" s="31">
        <v>-8528.16</v>
      </c>
      <c r="O622">
        <v>0</v>
      </c>
    </row>
    <row r="623" spans="3:17">
      <c r="C623">
        <v>5360</v>
      </c>
      <c r="E623" t="s">
        <v>5015</v>
      </c>
      <c r="H623" t="s">
        <v>4150</v>
      </c>
      <c r="K623" s="31">
        <v>-18575007.09</v>
      </c>
      <c r="M623" s="31">
        <v>-18575007.09</v>
      </c>
      <c r="O623">
        <v>0</v>
      </c>
    </row>
    <row r="624" spans="3:17">
      <c r="C624">
        <v>5360</v>
      </c>
      <c r="E624" t="s">
        <v>5016</v>
      </c>
      <c r="H624" t="s">
        <v>5017</v>
      </c>
      <c r="K624">
        <v>35.119999999999997</v>
      </c>
      <c r="M624">
        <v>35.119999999999997</v>
      </c>
      <c r="O624">
        <v>0</v>
      </c>
    </row>
    <row r="625" spans="3:17">
      <c r="C625">
        <v>5360</v>
      </c>
      <c r="E625" t="s">
        <v>5018</v>
      </c>
      <c r="H625" t="s">
        <v>4119</v>
      </c>
      <c r="K625" s="31">
        <v>14247.93</v>
      </c>
      <c r="M625" s="31">
        <v>14247.93</v>
      </c>
      <c r="O625">
        <v>0</v>
      </c>
    </row>
    <row r="626" spans="3:17">
      <c r="C626">
        <v>5360</v>
      </c>
      <c r="E626" t="s">
        <v>5021</v>
      </c>
      <c r="H626" t="s">
        <v>5022</v>
      </c>
      <c r="K626" s="31">
        <v>12287464.869999999</v>
      </c>
      <c r="M626" s="31">
        <v>24781527.109999999</v>
      </c>
      <c r="O626" s="31">
        <v>-12494062.24</v>
      </c>
      <c r="Q626">
        <v>-50.4</v>
      </c>
    </row>
    <row r="627" spans="3:17">
      <c r="C627">
        <v>5360</v>
      </c>
      <c r="E627" t="s">
        <v>5023</v>
      </c>
      <c r="H627" t="s">
        <v>5024</v>
      </c>
      <c r="K627" s="31">
        <v>16855.830000000002</v>
      </c>
      <c r="M627" s="31">
        <v>33843.599999999999</v>
      </c>
      <c r="O627" s="31">
        <v>-16987.77</v>
      </c>
      <c r="Q627">
        <v>-50.2</v>
      </c>
    </row>
    <row r="628" spans="3:17">
      <c r="C628">
        <v>5360</v>
      </c>
      <c r="E628" t="s">
        <v>5025</v>
      </c>
      <c r="H628" t="s">
        <v>4153</v>
      </c>
      <c r="K628" s="31">
        <v>-1066.02</v>
      </c>
      <c r="M628" s="31">
        <v>-2132.04</v>
      </c>
      <c r="O628" s="31">
        <v>1066.02</v>
      </c>
      <c r="Q628">
        <v>50</v>
      </c>
    </row>
    <row r="629" spans="3:17">
      <c r="C629">
        <v>5360</v>
      </c>
      <c r="E629" t="s">
        <v>5026</v>
      </c>
      <c r="H629" t="s">
        <v>4155</v>
      </c>
      <c r="K629" s="31">
        <v>-786994.22</v>
      </c>
      <c r="M629" s="31">
        <v>-1525870.69</v>
      </c>
      <c r="O629" s="31">
        <v>738876.47</v>
      </c>
      <c r="Q629">
        <v>48.4</v>
      </c>
    </row>
    <row r="630" spans="3:17">
      <c r="C630">
        <v>5360</v>
      </c>
      <c r="E630" t="s">
        <v>5027</v>
      </c>
      <c r="H630" t="s">
        <v>5028</v>
      </c>
      <c r="K630" s="31">
        <v>-1633.6</v>
      </c>
      <c r="M630" s="31">
        <v>-1633.6</v>
      </c>
      <c r="O630">
        <v>0</v>
      </c>
    </row>
    <row r="631" spans="3:17">
      <c r="C631">
        <v>5360</v>
      </c>
      <c r="E631" t="s">
        <v>5029</v>
      </c>
      <c r="H631" t="s">
        <v>4130</v>
      </c>
      <c r="K631" s="31">
        <v>-3615855.34</v>
      </c>
      <c r="M631" s="31">
        <v>-7128841.3700000001</v>
      </c>
      <c r="O631" s="31">
        <v>3512986.03</v>
      </c>
      <c r="Q631">
        <v>49.3</v>
      </c>
    </row>
    <row r="632" spans="3:17">
      <c r="C632">
        <v>5360</v>
      </c>
      <c r="E632" t="s">
        <v>5030</v>
      </c>
      <c r="H632" t="s">
        <v>4158</v>
      </c>
      <c r="K632" s="31">
        <v>130345.37</v>
      </c>
      <c r="M632" s="31">
        <v>469876.4</v>
      </c>
      <c r="O632" s="31">
        <v>-339531.03</v>
      </c>
      <c r="Q632">
        <v>-72.3</v>
      </c>
    </row>
    <row r="633" spans="3:17">
      <c r="C633">
        <v>5360</v>
      </c>
      <c r="E633" t="s">
        <v>5031</v>
      </c>
      <c r="H633" t="s">
        <v>5032</v>
      </c>
      <c r="K633" s="31">
        <v>355828.75</v>
      </c>
      <c r="M633" s="31">
        <v>355828.75</v>
      </c>
      <c r="O633">
        <v>0</v>
      </c>
    </row>
    <row r="634" spans="3:17">
      <c r="C634">
        <v>5360</v>
      </c>
      <c r="E634" t="s">
        <v>5033</v>
      </c>
      <c r="H634" t="s">
        <v>5034</v>
      </c>
      <c r="K634" s="31">
        <v>32068991.48</v>
      </c>
      <c r="M634" s="31">
        <v>32068991.48</v>
      </c>
      <c r="O634">
        <v>0</v>
      </c>
    </row>
    <row r="635" spans="3:17">
      <c r="C635">
        <v>5360</v>
      </c>
      <c r="E635" t="s">
        <v>5035</v>
      </c>
      <c r="H635" t="s">
        <v>5036</v>
      </c>
      <c r="K635" s="31">
        <v>-8631.2000000000007</v>
      </c>
      <c r="M635" s="31">
        <v>-8631.2000000000007</v>
      </c>
      <c r="O635">
        <v>0</v>
      </c>
    </row>
    <row r="636" spans="3:17">
      <c r="C636">
        <v>5360</v>
      </c>
      <c r="E636" t="s">
        <v>5037</v>
      </c>
      <c r="H636" t="s">
        <v>5038</v>
      </c>
      <c r="K636" s="31">
        <v>6579.97</v>
      </c>
      <c r="M636" s="31">
        <v>6579.97</v>
      </c>
      <c r="O636">
        <v>0</v>
      </c>
    </row>
    <row r="637" spans="3:17">
      <c r="C637">
        <v>5360</v>
      </c>
      <c r="E637" t="s">
        <v>5039</v>
      </c>
      <c r="H637" t="s">
        <v>5040</v>
      </c>
      <c r="K637" s="31">
        <v>1467845.2</v>
      </c>
      <c r="M637" s="31">
        <v>1467845.2</v>
      </c>
      <c r="O637">
        <v>0</v>
      </c>
    </row>
    <row r="638" spans="3:17">
      <c r="C638">
        <v>5360</v>
      </c>
      <c r="E638" t="s">
        <v>5041</v>
      </c>
      <c r="H638" t="s">
        <v>5042</v>
      </c>
      <c r="K638" s="31">
        <v>1005425</v>
      </c>
      <c r="M638" s="31">
        <v>4797709</v>
      </c>
      <c r="O638" s="31">
        <v>-3792284</v>
      </c>
      <c r="Q638">
        <v>-79</v>
      </c>
    </row>
    <row r="639" spans="3:17">
      <c r="C639">
        <v>5360</v>
      </c>
      <c r="E639" t="s">
        <v>5043</v>
      </c>
      <c r="H639" t="s">
        <v>5044</v>
      </c>
      <c r="K639" s="31">
        <v>-1176499.76</v>
      </c>
      <c r="M639" s="31">
        <v>-1186739.03</v>
      </c>
      <c r="O639" s="31">
        <v>10239.27</v>
      </c>
      <c r="Q639">
        <v>0.9</v>
      </c>
    </row>
    <row r="640" spans="3:17">
      <c r="C640">
        <v>5360</v>
      </c>
      <c r="E640" t="s">
        <v>5045</v>
      </c>
      <c r="H640" t="s">
        <v>5046</v>
      </c>
      <c r="K640" s="31">
        <v>63563451.859999999</v>
      </c>
      <c r="M640" s="31">
        <v>64184139.140000001</v>
      </c>
      <c r="O640" s="31">
        <v>-620687.28</v>
      </c>
      <c r="Q640">
        <v>-1</v>
      </c>
    </row>
    <row r="641" spans="3:17">
      <c r="C641">
        <v>5360</v>
      </c>
      <c r="E641" t="s">
        <v>5047</v>
      </c>
      <c r="H641" t="s">
        <v>4272</v>
      </c>
      <c r="K641" s="31">
        <v>-2638316.5</v>
      </c>
      <c r="M641" s="31">
        <v>-2638316.5</v>
      </c>
      <c r="O641">
        <v>0</v>
      </c>
    </row>
    <row r="642" spans="3:17">
      <c r="C642">
        <v>5360</v>
      </c>
      <c r="E642" t="s">
        <v>5048</v>
      </c>
      <c r="H642" t="s">
        <v>4288</v>
      </c>
      <c r="K642">
        <v>-35.549999999999997</v>
      </c>
      <c r="M642">
        <v>-35.549999999999997</v>
      </c>
      <c r="O642">
        <v>0</v>
      </c>
    </row>
    <row r="643" spans="3:17">
      <c r="C643">
        <v>5360</v>
      </c>
      <c r="E643" t="s">
        <v>5049</v>
      </c>
      <c r="H643" t="s">
        <v>4294</v>
      </c>
      <c r="K643" s="31">
        <v>-140854.06</v>
      </c>
      <c r="M643" s="31">
        <v>-156835.32</v>
      </c>
      <c r="O643" s="31">
        <v>15981.26</v>
      </c>
      <c r="Q643">
        <v>10.199999999999999</v>
      </c>
    </row>
    <row r="644" spans="3:17">
      <c r="C644">
        <v>5360</v>
      </c>
      <c r="E644" t="s">
        <v>5050</v>
      </c>
      <c r="H644" t="s">
        <v>5051</v>
      </c>
      <c r="K644" s="31">
        <v>1832468.24</v>
      </c>
      <c r="M644" s="31">
        <v>6549586.4000000004</v>
      </c>
      <c r="O644" s="31">
        <v>-4717118.16</v>
      </c>
      <c r="Q644">
        <v>-72</v>
      </c>
    </row>
    <row r="645" spans="3:17">
      <c r="C645">
        <v>5360</v>
      </c>
      <c r="E645" t="s">
        <v>5052</v>
      </c>
      <c r="H645" t="s">
        <v>5053</v>
      </c>
      <c r="K645" s="31">
        <v>19076814.629999999</v>
      </c>
      <c r="M645" s="31">
        <v>58856716.740000002</v>
      </c>
      <c r="O645" s="31">
        <v>-39779902.109999999</v>
      </c>
      <c r="Q645">
        <v>-67.599999999999994</v>
      </c>
    </row>
    <row r="646" spans="3:17">
      <c r="C646">
        <v>5360</v>
      </c>
      <c r="E646" t="s">
        <v>5054</v>
      </c>
      <c r="H646" t="s">
        <v>5055</v>
      </c>
      <c r="K646" s="31">
        <v>-426745.75</v>
      </c>
      <c r="M646" s="31">
        <v>-426745.75</v>
      </c>
      <c r="O646">
        <v>0</v>
      </c>
    </row>
    <row r="647" spans="3:17">
      <c r="C647">
        <v>5360</v>
      </c>
      <c r="E647" t="s">
        <v>5056</v>
      </c>
      <c r="H647" t="s">
        <v>5057</v>
      </c>
      <c r="K647" s="31">
        <v>1438462.87</v>
      </c>
      <c r="M647" s="31">
        <v>1438462.87</v>
      </c>
      <c r="O647">
        <v>0</v>
      </c>
    </row>
    <row r="648" spans="3:17">
      <c r="C648">
        <v>5360</v>
      </c>
      <c r="E648" t="s">
        <v>5058</v>
      </c>
      <c r="H648" t="s">
        <v>4324</v>
      </c>
      <c r="K648" s="31">
        <v>-3229117.63</v>
      </c>
      <c r="M648" s="31">
        <v>-3229117.63</v>
      </c>
      <c r="O648">
        <v>0</v>
      </c>
    </row>
    <row r="649" spans="3:17">
      <c r="C649">
        <v>5360</v>
      </c>
      <c r="E649" t="s">
        <v>5989</v>
      </c>
      <c r="H649" t="s">
        <v>4341</v>
      </c>
      <c r="K649" s="31">
        <v>1338807.75</v>
      </c>
      <c r="M649" s="31">
        <v>2622063.5</v>
      </c>
      <c r="O649" s="31">
        <v>-1283255.75</v>
      </c>
      <c r="Q649">
        <v>-48.9</v>
      </c>
    </row>
    <row r="650" spans="3:17">
      <c r="C650">
        <v>5360</v>
      </c>
      <c r="E650" t="s">
        <v>5990</v>
      </c>
      <c r="H650" t="s">
        <v>4343</v>
      </c>
      <c r="K650" s="31">
        <v>2209.5</v>
      </c>
      <c r="M650" s="31">
        <v>4419</v>
      </c>
      <c r="O650" s="31">
        <v>-2209.5</v>
      </c>
      <c r="Q650">
        <v>-50</v>
      </c>
    </row>
    <row r="651" spans="3:17">
      <c r="C651">
        <v>5360</v>
      </c>
      <c r="E651" t="s">
        <v>5059</v>
      </c>
      <c r="H651" t="s">
        <v>4405</v>
      </c>
      <c r="K651" s="31">
        <v>8856225.4900000002</v>
      </c>
      <c r="M651" s="31">
        <v>8856225.4900000002</v>
      </c>
      <c r="O651">
        <v>0</v>
      </c>
    </row>
    <row r="652" spans="3:17">
      <c r="C652">
        <v>5360</v>
      </c>
      <c r="E652" t="s">
        <v>5060</v>
      </c>
      <c r="H652" t="s">
        <v>4428</v>
      </c>
      <c r="K652" s="31">
        <v>3190493.66</v>
      </c>
      <c r="M652" s="31">
        <v>3190493.66</v>
      </c>
      <c r="O652">
        <v>0</v>
      </c>
    </row>
    <row r="653" spans="3:17">
      <c r="C653">
        <v>5360</v>
      </c>
      <c r="E653" t="s">
        <v>5061</v>
      </c>
      <c r="H653" t="s">
        <v>4423</v>
      </c>
      <c r="K653" s="31">
        <v>464828.94</v>
      </c>
      <c r="M653" s="31">
        <v>525526.31000000006</v>
      </c>
      <c r="O653" s="31">
        <v>-60697.37</v>
      </c>
      <c r="Q653">
        <v>-11.5</v>
      </c>
    </row>
    <row r="654" spans="3:17">
      <c r="C654">
        <v>5360</v>
      </c>
      <c r="E654" t="s">
        <v>5062</v>
      </c>
      <c r="H654" t="s">
        <v>5063</v>
      </c>
      <c r="K654" s="31">
        <v>5291459.32</v>
      </c>
      <c r="M654" s="31">
        <v>15650730.789999999</v>
      </c>
      <c r="O654" s="31">
        <v>-10359271.470000001</v>
      </c>
      <c r="Q654">
        <v>-66.2</v>
      </c>
    </row>
    <row r="655" spans="3:17">
      <c r="C655">
        <v>5360</v>
      </c>
      <c r="E655" t="s">
        <v>5064</v>
      </c>
      <c r="H655" t="s">
        <v>5065</v>
      </c>
      <c r="K655" s="31">
        <v>224834.93</v>
      </c>
      <c r="M655" s="31">
        <v>224834.93</v>
      </c>
      <c r="O655">
        <v>0</v>
      </c>
    </row>
    <row r="656" spans="3:17">
      <c r="C656">
        <v>5360</v>
      </c>
      <c r="E656" t="s">
        <v>5066</v>
      </c>
      <c r="H656" t="s">
        <v>4468</v>
      </c>
      <c r="K656" s="31">
        <v>928861</v>
      </c>
      <c r="M656" s="31">
        <v>928861</v>
      </c>
      <c r="O656">
        <v>0</v>
      </c>
    </row>
    <row r="657" spans="3:17">
      <c r="C657">
        <v>5360</v>
      </c>
      <c r="E657" t="s">
        <v>5067</v>
      </c>
      <c r="H657" t="s">
        <v>4470</v>
      </c>
      <c r="K657" s="31">
        <v>4834150.7699999996</v>
      </c>
      <c r="M657" s="31">
        <v>4834150.7699999996</v>
      </c>
      <c r="O657">
        <v>0</v>
      </c>
    </row>
    <row r="658" spans="3:17">
      <c r="C658">
        <v>5360</v>
      </c>
      <c r="E658" t="s">
        <v>5068</v>
      </c>
      <c r="H658" t="s">
        <v>4476</v>
      </c>
      <c r="K658" s="31">
        <v>4586672</v>
      </c>
      <c r="M658" s="31">
        <v>4586672</v>
      </c>
      <c r="O658">
        <v>0</v>
      </c>
    </row>
    <row r="659" spans="3:17">
      <c r="C659">
        <v>5360</v>
      </c>
      <c r="E659" t="s">
        <v>5069</v>
      </c>
      <c r="H659" t="s">
        <v>4478</v>
      </c>
      <c r="K659" s="31">
        <v>-476783.87</v>
      </c>
      <c r="M659" s="31">
        <v>-476783.87</v>
      </c>
      <c r="O659">
        <v>0</v>
      </c>
    </row>
    <row r="660" spans="3:17">
      <c r="C660">
        <v>5360</v>
      </c>
      <c r="E660" t="s">
        <v>5070</v>
      </c>
      <c r="H660" t="s">
        <v>4480</v>
      </c>
      <c r="K660" s="31">
        <v>-10453106</v>
      </c>
      <c r="M660" s="31">
        <v>-10453106</v>
      </c>
      <c r="O660">
        <v>0</v>
      </c>
    </row>
    <row r="661" spans="3:17">
      <c r="C661">
        <v>5360</v>
      </c>
      <c r="E661" t="s">
        <v>5071</v>
      </c>
      <c r="H661" t="s">
        <v>4482</v>
      </c>
      <c r="K661" s="31">
        <v>565554.75</v>
      </c>
      <c r="M661" s="31">
        <v>565554.75</v>
      </c>
      <c r="O661">
        <v>0</v>
      </c>
    </row>
    <row r="662" spans="3:17">
      <c r="C662">
        <v>5360</v>
      </c>
      <c r="E662" t="s">
        <v>5072</v>
      </c>
      <c r="H662" t="s">
        <v>4494</v>
      </c>
      <c r="K662" s="31">
        <v>-325367</v>
      </c>
      <c r="M662" s="31">
        <v>-325367</v>
      </c>
      <c r="O662">
        <v>0</v>
      </c>
    </row>
    <row r="663" spans="3:17">
      <c r="C663">
        <v>5360</v>
      </c>
      <c r="E663" t="s">
        <v>5073</v>
      </c>
      <c r="H663" t="s">
        <v>4503</v>
      </c>
      <c r="K663" s="31">
        <v>-1799639</v>
      </c>
      <c r="M663" s="31">
        <v>-1799639</v>
      </c>
      <c r="O663">
        <v>0</v>
      </c>
    </row>
    <row r="664" spans="3:17">
      <c r="C664">
        <v>5360</v>
      </c>
      <c r="E664" t="s">
        <v>5074</v>
      </c>
      <c r="H664" t="s">
        <v>5075</v>
      </c>
      <c r="K664" s="31">
        <v>-3660836</v>
      </c>
      <c r="M664" s="31">
        <v>-3660836</v>
      </c>
      <c r="O664">
        <v>0</v>
      </c>
    </row>
    <row r="665" spans="3:17">
      <c r="C665">
        <v>5360</v>
      </c>
      <c r="E665" t="s">
        <v>5076</v>
      </c>
      <c r="H665" t="s">
        <v>4512</v>
      </c>
      <c r="K665" s="31">
        <v>-15524.37</v>
      </c>
      <c r="M665" s="31">
        <v>-15524.37</v>
      </c>
      <c r="O665">
        <v>0</v>
      </c>
    </row>
    <row r="666" spans="3:17">
      <c r="C666">
        <v>5360</v>
      </c>
      <c r="E666" t="s">
        <v>5077</v>
      </c>
      <c r="H666" t="s">
        <v>4519</v>
      </c>
      <c r="K666" s="31">
        <v>-145595063.31</v>
      </c>
      <c r="M666" s="31">
        <v>-145595063.31</v>
      </c>
      <c r="O666">
        <v>0</v>
      </c>
    </row>
    <row r="667" spans="3:17">
      <c r="C667">
        <v>5360</v>
      </c>
      <c r="E667" t="s">
        <v>5078</v>
      </c>
      <c r="H667" t="s">
        <v>5079</v>
      </c>
      <c r="K667" s="31">
        <v>5467045.0599999996</v>
      </c>
      <c r="M667" s="31">
        <v>5467045.0599999996</v>
      </c>
      <c r="O667">
        <v>0</v>
      </c>
    </row>
    <row r="668" spans="3:17">
      <c r="C668">
        <v>5360</v>
      </c>
      <c r="E668" t="s">
        <v>5082</v>
      </c>
      <c r="H668" t="s">
        <v>5083</v>
      </c>
      <c r="K668" s="31">
        <v>-26478977.77</v>
      </c>
      <c r="M668" s="31">
        <v>-26478977.77</v>
      </c>
      <c r="O668">
        <v>0</v>
      </c>
    </row>
    <row r="669" spans="3:17">
      <c r="C669">
        <v>5360</v>
      </c>
      <c r="E669" t="s">
        <v>5991</v>
      </c>
      <c r="H669" t="s">
        <v>5970</v>
      </c>
      <c r="K669" s="31">
        <v>-498243.48</v>
      </c>
      <c r="M669" s="31">
        <v>-498243.48</v>
      </c>
      <c r="O669">
        <v>0</v>
      </c>
    </row>
    <row r="670" spans="3:17">
      <c r="C670">
        <v>5360</v>
      </c>
      <c r="E670" t="s">
        <v>5084</v>
      </c>
      <c r="H670" t="s">
        <v>4524</v>
      </c>
      <c r="K670" s="31">
        <v>2614432</v>
      </c>
      <c r="M670" s="31">
        <v>2614432</v>
      </c>
      <c r="O670">
        <v>0</v>
      </c>
    </row>
    <row r="671" spans="3:17">
      <c r="C671">
        <v>5360</v>
      </c>
      <c r="E671" t="s">
        <v>5089</v>
      </c>
      <c r="H671" t="s">
        <v>4532</v>
      </c>
      <c r="K671" s="31">
        <v>7970662.0599999996</v>
      </c>
      <c r="M671" s="31">
        <v>8053714.1200000001</v>
      </c>
      <c r="O671" s="31">
        <v>-83052.06</v>
      </c>
      <c r="Q671">
        <v>-1</v>
      </c>
    </row>
    <row r="672" spans="3:17">
      <c r="C672">
        <v>5360</v>
      </c>
      <c r="E672" t="s">
        <v>5090</v>
      </c>
      <c r="H672" t="s">
        <v>5091</v>
      </c>
      <c r="K672" s="31">
        <v>-8577346.9000000004</v>
      </c>
      <c r="M672" s="31">
        <v>-8577346.9000000004</v>
      </c>
      <c r="O672">
        <v>0</v>
      </c>
    </row>
    <row r="673" spans="3:17">
      <c r="C673">
        <v>5360</v>
      </c>
      <c r="E673" t="s">
        <v>5092</v>
      </c>
      <c r="H673" t="s">
        <v>5093</v>
      </c>
      <c r="K673" s="31">
        <v>-8252994.1900000004</v>
      </c>
      <c r="M673" s="31">
        <v>-8252994.1900000004</v>
      </c>
      <c r="O673">
        <v>0</v>
      </c>
    </row>
    <row r="674" spans="3:17">
      <c r="C674">
        <v>5360</v>
      </c>
      <c r="E674" t="s">
        <v>5094</v>
      </c>
      <c r="H674" t="s">
        <v>4813</v>
      </c>
      <c r="K674" s="31">
        <v>-4323190.53</v>
      </c>
      <c r="M674" s="31">
        <v>-4323190.53</v>
      </c>
      <c r="O674">
        <v>0</v>
      </c>
    </row>
    <row r="675" spans="3:17">
      <c r="C675">
        <v>5360</v>
      </c>
      <c r="E675" t="s">
        <v>5095</v>
      </c>
      <c r="H675" t="s">
        <v>4815</v>
      </c>
      <c r="K675" s="31">
        <v>-255434.27</v>
      </c>
      <c r="M675" s="31">
        <v>-788639.3</v>
      </c>
      <c r="O675" s="31">
        <v>533205.03</v>
      </c>
      <c r="Q675">
        <v>67.599999999999994</v>
      </c>
    </row>
    <row r="676" spans="3:17">
      <c r="C676">
        <v>5360</v>
      </c>
      <c r="E676" t="s">
        <v>5096</v>
      </c>
      <c r="H676" t="s">
        <v>4817</v>
      </c>
      <c r="K676">
        <v>0</v>
      </c>
      <c r="M676" s="31">
        <v>7952.57</v>
      </c>
      <c r="O676" s="31">
        <v>-7952.57</v>
      </c>
      <c r="Q676">
        <v>-100</v>
      </c>
    </row>
    <row r="677" spans="3:17">
      <c r="C677">
        <v>5360</v>
      </c>
      <c r="E677" t="s">
        <v>5097</v>
      </c>
      <c r="H677" t="s">
        <v>4819</v>
      </c>
      <c r="K677" s="31">
        <v>520705.34</v>
      </c>
      <c r="M677" s="31">
        <v>1018178.87</v>
      </c>
      <c r="O677" s="31">
        <v>-497473.53</v>
      </c>
      <c r="Q677">
        <v>-48.9</v>
      </c>
    </row>
    <row r="678" spans="3:17">
      <c r="C678">
        <v>5360</v>
      </c>
      <c r="E678" t="s">
        <v>5098</v>
      </c>
      <c r="H678" t="s">
        <v>4805</v>
      </c>
      <c r="K678">
        <v>-15.59</v>
      </c>
      <c r="M678">
        <v>-15.59</v>
      </c>
      <c r="O678">
        <v>0</v>
      </c>
    </row>
    <row r="679" spans="3:17">
      <c r="C679">
        <v>5360</v>
      </c>
      <c r="E679" t="s">
        <v>5099</v>
      </c>
      <c r="H679" t="s">
        <v>4546</v>
      </c>
      <c r="K679" s="31">
        <v>732371.61</v>
      </c>
      <c r="M679" s="31">
        <v>732371.61</v>
      </c>
      <c r="O679">
        <v>0</v>
      </c>
    </row>
    <row r="680" spans="3:17">
      <c r="C680">
        <v>5360</v>
      </c>
      <c r="E680" t="s">
        <v>5100</v>
      </c>
      <c r="H680" t="s">
        <v>4614</v>
      </c>
      <c r="K680" s="31">
        <v>-33966316.880000003</v>
      </c>
      <c r="M680" s="31">
        <v>-34254306.979999997</v>
      </c>
      <c r="O680" s="31">
        <v>287990.09999999998</v>
      </c>
      <c r="Q680">
        <v>0.8</v>
      </c>
    </row>
    <row r="681" spans="3:17">
      <c r="C681">
        <v>5360</v>
      </c>
      <c r="E681" t="s">
        <v>5101</v>
      </c>
      <c r="H681" t="s">
        <v>4616</v>
      </c>
      <c r="K681" s="31">
        <v>1883357.53</v>
      </c>
      <c r="M681" s="31">
        <v>1883357.53</v>
      </c>
      <c r="O681">
        <v>0</v>
      </c>
    </row>
    <row r="682" spans="3:17">
      <c r="C682">
        <v>5360</v>
      </c>
      <c r="E682" t="s">
        <v>5102</v>
      </c>
      <c r="H682" t="s">
        <v>5103</v>
      </c>
      <c r="K682" s="31">
        <v>-15808352.77</v>
      </c>
      <c r="M682" s="31">
        <v>-15808352.77</v>
      </c>
      <c r="O682">
        <v>0</v>
      </c>
    </row>
    <row r="683" spans="3:17">
      <c r="C683">
        <v>5360</v>
      </c>
      <c r="E683" t="s">
        <v>5104</v>
      </c>
      <c r="H683" t="s">
        <v>4628</v>
      </c>
      <c r="K683" s="31">
        <v>618592.41</v>
      </c>
      <c r="M683" s="31">
        <v>618592.41</v>
      </c>
      <c r="O683">
        <v>0</v>
      </c>
    </row>
    <row r="684" spans="3:17">
      <c r="C684">
        <v>5360</v>
      </c>
      <c r="E684" t="s">
        <v>5105</v>
      </c>
      <c r="H684" t="s">
        <v>4630</v>
      </c>
      <c r="K684" s="31">
        <v>12081909.74</v>
      </c>
      <c r="M684" s="31">
        <v>9728528.4900000002</v>
      </c>
      <c r="O684" s="31">
        <v>2353381.25</v>
      </c>
      <c r="Q684">
        <v>24.2</v>
      </c>
    </row>
    <row r="685" spans="3:17">
      <c r="C685">
        <v>5360</v>
      </c>
      <c r="E685" t="s">
        <v>5106</v>
      </c>
      <c r="H685" t="s">
        <v>5107</v>
      </c>
      <c r="K685" s="31">
        <v>-90186.44</v>
      </c>
      <c r="M685" s="31">
        <v>-90179.24</v>
      </c>
      <c r="O685">
        <v>-7.2</v>
      </c>
    </row>
    <row r="686" spans="3:17">
      <c r="C686">
        <v>5360</v>
      </c>
      <c r="E686" t="s">
        <v>5109</v>
      </c>
      <c r="H686" t="s">
        <v>5110</v>
      </c>
      <c r="K686" s="31">
        <v>-71839.429999999993</v>
      </c>
      <c r="M686" s="31">
        <v>-71839.429999999993</v>
      </c>
      <c r="O686">
        <v>0</v>
      </c>
    </row>
    <row r="687" spans="3:17">
      <c r="C687">
        <v>5360</v>
      </c>
      <c r="E687" t="s">
        <v>5111</v>
      </c>
      <c r="H687" t="s">
        <v>5112</v>
      </c>
      <c r="K687" s="31">
        <v>-3574.23</v>
      </c>
      <c r="M687" s="31">
        <v>-4941.09</v>
      </c>
      <c r="O687" s="31">
        <v>1366.86</v>
      </c>
      <c r="Q687">
        <v>27.7</v>
      </c>
    </row>
    <row r="688" spans="3:17">
      <c r="C688">
        <v>5360</v>
      </c>
      <c r="E688" t="s">
        <v>5113</v>
      </c>
      <c r="H688" t="s">
        <v>5114</v>
      </c>
      <c r="K688" s="31">
        <v>-19477.72</v>
      </c>
      <c r="M688" s="31">
        <v>-25818.78</v>
      </c>
      <c r="O688" s="31">
        <v>6341.06</v>
      </c>
      <c r="Q688">
        <v>24.6</v>
      </c>
    </row>
    <row r="689" spans="3:17">
      <c r="C689">
        <v>5360</v>
      </c>
      <c r="E689" t="s">
        <v>5115</v>
      </c>
      <c r="H689" t="s">
        <v>4703</v>
      </c>
      <c r="K689" s="31">
        <v>-37619</v>
      </c>
      <c r="M689" s="31">
        <v>-37619</v>
      </c>
      <c r="O689">
        <v>0</v>
      </c>
    </row>
    <row r="690" spans="3:17">
      <c r="C690">
        <v>5360</v>
      </c>
      <c r="E690" t="s">
        <v>5116</v>
      </c>
      <c r="H690" t="s">
        <v>5117</v>
      </c>
      <c r="K690" s="31">
        <v>30484.36</v>
      </c>
      <c r="M690" s="31">
        <v>61484.11</v>
      </c>
      <c r="O690" s="31">
        <v>-30999.75</v>
      </c>
      <c r="Q690">
        <v>-50.4</v>
      </c>
    </row>
    <row r="691" spans="3:17">
      <c r="C691">
        <v>5360</v>
      </c>
      <c r="E691" t="s">
        <v>5118</v>
      </c>
      <c r="H691" t="s">
        <v>5119</v>
      </c>
      <c r="K691" s="31">
        <v>49243.78</v>
      </c>
      <c r="M691" s="31">
        <v>64688.15</v>
      </c>
      <c r="O691" s="31">
        <v>-15444.37</v>
      </c>
      <c r="Q691">
        <v>-23.9</v>
      </c>
    </row>
    <row r="692" spans="3:17">
      <c r="C692">
        <v>5360</v>
      </c>
      <c r="E692" t="s">
        <v>5120</v>
      </c>
      <c r="H692" t="s">
        <v>4709</v>
      </c>
      <c r="K692" s="31">
        <v>-30631.29</v>
      </c>
      <c r="M692" s="31">
        <v>-30631.29</v>
      </c>
      <c r="O692">
        <v>0</v>
      </c>
    </row>
    <row r="693" spans="3:17">
      <c r="C693">
        <v>5360</v>
      </c>
      <c r="E693" t="s">
        <v>5121</v>
      </c>
      <c r="H693" t="s">
        <v>4711</v>
      </c>
      <c r="K693" s="31">
        <v>-20777.810000000001</v>
      </c>
      <c r="M693" s="31">
        <v>9802.92</v>
      </c>
      <c r="O693" s="31">
        <v>-30580.73</v>
      </c>
      <c r="Q693">
        <v>-312</v>
      </c>
    </row>
    <row r="694" spans="3:17">
      <c r="C694">
        <v>5360</v>
      </c>
      <c r="E694" t="s">
        <v>5122</v>
      </c>
      <c r="H694" t="s">
        <v>5123</v>
      </c>
      <c r="K694" s="31">
        <v>-30186.51</v>
      </c>
      <c r="M694" s="31">
        <v>-61072.36</v>
      </c>
      <c r="O694" s="31">
        <v>30885.85</v>
      </c>
      <c r="Q694">
        <v>50.6</v>
      </c>
    </row>
    <row r="695" spans="3:17">
      <c r="C695">
        <v>5360</v>
      </c>
      <c r="E695" t="s">
        <v>5124</v>
      </c>
      <c r="H695" t="s">
        <v>5125</v>
      </c>
      <c r="K695" s="31">
        <v>-47620.639999999999</v>
      </c>
      <c r="M695" s="31">
        <v>-62536.59</v>
      </c>
      <c r="O695" s="31">
        <v>14915.95</v>
      </c>
      <c r="Q695">
        <v>23.9</v>
      </c>
    </row>
    <row r="696" spans="3:17">
      <c r="C696">
        <v>5360</v>
      </c>
      <c r="E696" t="s">
        <v>5126</v>
      </c>
      <c r="H696" t="s">
        <v>5127</v>
      </c>
      <c r="K696" s="31">
        <v>-3716475.91</v>
      </c>
      <c r="M696" s="31">
        <v>-3716475.91</v>
      </c>
      <c r="O696">
        <v>0</v>
      </c>
    </row>
    <row r="697" spans="3:17">
      <c r="C697">
        <v>5360</v>
      </c>
      <c r="E697" t="s">
        <v>5128</v>
      </c>
      <c r="H697" t="s">
        <v>4718</v>
      </c>
      <c r="K697" s="31">
        <v>-2650007.9700000002</v>
      </c>
      <c r="M697" s="31">
        <v>-2650007.9700000002</v>
      </c>
      <c r="O697">
        <v>0</v>
      </c>
    </row>
    <row r="698" spans="3:17">
      <c r="C698">
        <v>5360</v>
      </c>
      <c r="E698" t="s">
        <v>5129</v>
      </c>
      <c r="H698" t="s">
        <v>4720</v>
      </c>
      <c r="K698" s="31">
        <v>-51135.839999999997</v>
      </c>
      <c r="M698" s="31">
        <v>-218030.54</v>
      </c>
      <c r="O698" s="31">
        <v>166894.70000000001</v>
      </c>
      <c r="Q698">
        <v>76.5</v>
      </c>
    </row>
    <row r="699" spans="3:17">
      <c r="C699">
        <v>5360</v>
      </c>
      <c r="E699" t="s">
        <v>5130</v>
      </c>
      <c r="H699" t="s">
        <v>4722</v>
      </c>
      <c r="K699" s="31">
        <v>829001.55</v>
      </c>
      <c r="M699" s="31">
        <v>1631548.54</v>
      </c>
      <c r="O699" s="31">
        <v>-802546.99</v>
      </c>
      <c r="Q699">
        <v>-49.2</v>
      </c>
    </row>
    <row r="700" spans="3:17">
      <c r="C700">
        <v>5360</v>
      </c>
      <c r="E700" t="s">
        <v>5131</v>
      </c>
      <c r="H700" t="s">
        <v>4724</v>
      </c>
      <c r="K700" s="31">
        <v>-47142.61</v>
      </c>
      <c r="M700" s="31">
        <v>-92870.11</v>
      </c>
      <c r="O700" s="31">
        <v>45727.5</v>
      </c>
      <c r="Q700">
        <v>49.2</v>
      </c>
    </row>
    <row r="701" spans="3:17">
      <c r="C701">
        <v>5360</v>
      </c>
      <c r="E701" t="s">
        <v>5132</v>
      </c>
      <c r="H701" t="s">
        <v>4726</v>
      </c>
      <c r="K701" s="31">
        <v>-520705.34</v>
      </c>
      <c r="M701" s="31">
        <v>-1018178.87</v>
      </c>
      <c r="O701" s="31">
        <v>497473.53</v>
      </c>
      <c r="Q701">
        <v>48.9</v>
      </c>
    </row>
    <row r="702" spans="3:17">
      <c r="C702">
        <v>5360</v>
      </c>
      <c r="E702" t="s">
        <v>5133</v>
      </c>
      <c r="H702" t="s">
        <v>5134</v>
      </c>
      <c r="K702" s="31">
        <v>-6715984.8799999999</v>
      </c>
      <c r="M702" s="31">
        <v>-4968194.97</v>
      </c>
      <c r="O702" s="31">
        <v>-1747789.91</v>
      </c>
      <c r="Q702">
        <v>-35.200000000000003</v>
      </c>
    </row>
    <row r="703" spans="3:17">
      <c r="C703">
        <v>5360</v>
      </c>
      <c r="E703" t="s">
        <v>5137</v>
      </c>
      <c r="H703" t="s">
        <v>5138</v>
      </c>
      <c r="K703" s="31">
        <v>-4414324.82</v>
      </c>
      <c r="M703" s="31">
        <v>-4413831.8899999997</v>
      </c>
      <c r="O703">
        <v>-492.93</v>
      </c>
    </row>
    <row r="704" spans="3:17">
      <c r="C704">
        <v>5360</v>
      </c>
      <c r="E704" t="s">
        <v>5139</v>
      </c>
      <c r="H704" t="s">
        <v>4842</v>
      </c>
      <c r="K704" s="31">
        <v>14789931.460000001</v>
      </c>
      <c r="M704" s="31">
        <v>14789931.460000001</v>
      </c>
      <c r="O704">
        <v>0</v>
      </c>
    </row>
    <row r="705" spans="3:17">
      <c r="C705">
        <v>5360</v>
      </c>
      <c r="E705" t="s">
        <v>5140</v>
      </c>
      <c r="H705" t="s">
        <v>4844</v>
      </c>
      <c r="K705" s="31">
        <v>24608865.649999999</v>
      </c>
      <c r="M705" s="31">
        <v>24608865.649999999</v>
      </c>
      <c r="O705">
        <v>0</v>
      </c>
    </row>
    <row r="706" spans="3:17">
      <c r="C706">
        <v>5360</v>
      </c>
      <c r="E706" t="s">
        <v>5141</v>
      </c>
      <c r="H706" t="s">
        <v>4846</v>
      </c>
      <c r="K706" s="31">
        <v>5849968.6500000004</v>
      </c>
      <c r="M706" s="31">
        <v>5849968.6500000004</v>
      </c>
      <c r="O706">
        <v>0</v>
      </c>
    </row>
    <row r="707" spans="3:17">
      <c r="C707">
        <v>5360</v>
      </c>
      <c r="E707" t="s">
        <v>5142</v>
      </c>
      <c r="H707" t="s">
        <v>5143</v>
      </c>
      <c r="K707" s="31">
        <v>-3399502.45</v>
      </c>
      <c r="M707" s="31">
        <v>-3399502.45</v>
      </c>
      <c r="O707">
        <v>0</v>
      </c>
    </row>
    <row r="708" spans="3:17">
      <c r="C708">
        <v>5360</v>
      </c>
      <c r="E708" t="s">
        <v>5144</v>
      </c>
      <c r="H708" t="s">
        <v>4852</v>
      </c>
      <c r="K708" s="31">
        <v>20777.810000000001</v>
      </c>
      <c r="M708" s="31">
        <v>-9802.92</v>
      </c>
      <c r="O708" s="31">
        <v>30580.73</v>
      </c>
      <c r="Q708">
        <v>312</v>
      </c>
    </row>
    <row r="709" spans="3:17">
      <c r="C709">
        <v>5360</v>
      </c>
      <c r="E709" t="s">
        <v>5145</v>
      </c>
      <c r="H709" t="s">
        <v>4868</v>
      </c>
      <c r="K709" s="31">
        <v>-200927.5</v>
      </c>
      <c r="M709" s="31">
        <v>-401667.49</v>
      </c>
      <c r="O709" s="31">
        <v>200739.99</v>
      </c>
      <c r="Q709">
        <v>50</v>
      </c>
    </row>
    <row r="710" spans="3:17">
      <c r="C710">
        <v>5360</v>
      </c>
      <c r="E710" t="s">
        <v>5146</v>
      </c>
      <c r="H710" t="s">
        <v>4870</v>
      </c>
      <c r="K710" s="31">
        <v>-1053843.75</v>
      </c>
      <c r="M710" s="31">
        <v>-1978378.5</v>
      </c>
      <c r="O710" s="31">
        <v>924534.75</v>
      </c>
      <c r="Q710">
        <v>46.7</v>
      </c>
    </row>
    <row r="711" spans="3:17">
      <c r="C711">
        <v>5360</v>
      </c>
      <c r="E711" t="s">
        <v>5147</v>
      </c>
      <c r="H711" t="s">
        <v>5148</v>
      </c>
      <c r="K711" s="31">
        <v>-178711.06</v>
      </c>
      <c r="M711" s="31">
        <v>-247054.39</v>
      </c>
      <c r="O711" s="31">
        <v>68343.33</v>
      </c>
      <c r="Q711">
        <v>27.7</v>
      </c>
    </row>
    <row r="712" spans="3:17">
      <c r="C712">
        <v>5360</v>
      </c>
      <c r="E712" t="s">
        <v>5149</v>
      </c>
      <c r="H712" t="s">
        <v>5150</v>
      </c>
      <c r="K712" s="31">
        <v>-973886.18</v>
      </c>
      <c r="M712" s="31">
        <v>-1290939.3999999999</v>
      </c>
      <c r="O712" s="31">
        <v>317053.21999999997</v>
      </c>
      <c r="Q712">
        <v>24.6</v>
      </c>
    </row>
    <row r="713" spans="3:17">
      <c r="C713">
        <v>5360</v>
      </c>
      <c r="E713" t="s">
        <v>5151</v>
      </c>
      <c r="H713" t="s">
        <v>5152</v>
      </c>
      <c r="K713" s="31">
        <v>-11154757.01</v>
      </c>
      <c r="M713" s="31">
        <v>-11154757.01</v>
      </c>
      <c r="O713">
        <v>0</v>
      </c>
    </row>
    <row r="714" spans="3:17">
      <c r="C714">
        <v>5360</v>
      </c>
      <c r="E714" t="s">
        <v>5153</v>
      </c>
      <c r="H714" t="s">
        <v>5154</v>
      </c>
      <c r="K714">
        <v>0.32</v>
      </c>
      <c r="M714">
        <v>0.32</v>
      </c>
      <c r="O714">
        <v>0</v>
      </c>
    </row>
    <row r="715" spans="3:17">
      <c r="C715">
        <v>5360</v>
      </c>
      <c r="E715" t="s">
        <v>5155</v>
      </c>
      <c r="H715" t="s">
        <v>5156</v>
      </c>
      <c r="K715" s="31">
        <v>-5576904.54</v>
      </c>
      <c r="M715" s="31">
        <v>-5581264.1100000003</v>
      </c>
      <c r="O715" s="31">
        <v>4359.57</v>
      </c>
      <c r="Q715">
        <v>0.1</v>
      </c>
    </row>
    <row r="716" spans="3:17">
      <c r="C716">
        <v>5360</v>
      </c>
      <c r="E716" t="s">
        <v>5157</v>
      </c>
      <c r="H716" t="s">
        <v>5123</v>
      </c>
      <c r="K716" s="31">
        <v>30186.51</v>
      </c>
      <c r="M716" s="31">
        <v>61072.36</v>
      </c>
      <c r="O716" s="31">
        <v>-30885.85</v>
      </c>
      <c r="Q716">
        <v>-50.6</v>
      </c>
    </row>
    <row r="717" spans="3:17">
      <c r="C717">
        <v>5360</v>
      </c>
      <c r="E717" t="s">
        <v>5158</v>
      </c>
      <c r="H717" t="s">
        <v>5159</v>
      </c>
      <c r="K717" s="31">
        <v>47620.639999999999</v>
      </c>
      <c r="M717" s="31">
        <v>62536.59</v>
      </c>
      <c r="O717" s="31">
        <v>-14915.95</v>
      </c>
      <c r="Q717">
        <v>-23.9</v>
      </c>
    </row>
    <row r="718" spans="3:17">
      <c r="C718">
        <v>5360</v>
      </c>
      <c r="E718" t="s">
        <v>5160</v>
      </c>
      <c r="H718" t="s">
        <v>4858</v>
      </c>
      <c r="K718" s="31">
        <v>-20433036.739999998</v>
      </c>
      <c r="M718" s="31">
        <v>-20433036.739999998</v>
      </c>
      <c r="O718">
        <v>0</v>
      </c>
    </row>
    <row r="719" spans="3:17">
      <c r="C719">
        <v>5360</v>
      </c>
      <c r="E719" t="s">
        <v>5163</v>
      </c>
      <c r="H719" t="s">
        <v>5164</v>
      </c>
      <c r="K719" s="31">
        <v>24309.51</v>
      </c>
      <c r="M719" s="31">
        <v>164977.5</v>
      </c>
      <c r="O719" s="31">
        <v>-140667.99</v>
      </c>
      <c r="Q719">
        <v>-85.3</v>
      </c>
    </row>
    <row r="720" spans="3:17">
      <c r="C720">
        <v>5360</v>
      </c>
      <c r="E720" t="s">
        <v>5165</v>
      </c>
      <c r="H720" t="s">
        <v>5166</v>
      </c>
      <c r="K720" s="31">
        <v>-316089.07</v>
      </c>
      <c r="M720" s="31">
        <v>-629239.09</v>
      </c>
      <c r="O720" s="31">
        <v>313150.02</v>
      </c>
      <c r="Q720">
        <v>49.8</v>
      </c>
    </row>
    <row r="721" spans="3:17">
      <c r="C721">
        <v>5360</v>
      </c>
      <c r="E721" t="s">
        <v>5167</v>
      </c>
      <c r="H721" t="s">
        <v>4912</v>
      </c>
      <c r="K721" s="31">
        <v>-4915895.6900000004</v>
      </c>
      <c r="M721" s="31">
        <v>-5464564.0199999996</v>
      </c>
      <c r="O721" s="31">
        <v>548668.32999999996</v>
      </c>
      <c r="Q721">
        <v>10</v>
      </c>
    </row>
    <row r="722" spans="3:17">
      <c r="C722">
        <v>5360</v>
      </c>
      <c r="E722" t="s">
        <v>5168</v>
      </c>
      <c r="H722" t="s">
        <v>4730</v>
      </c>
      <c r="K722" s="31">
        <v>44999298.329999998</v>
      </c>
      <c r="M722" s="31">
        <v>44999298.329999998</v>
      </c>
      <c r="O722">
        <v>0</v>
      </c>
    </row>
    <row r="723" spans="3:17">
      <c r="C723">
        <v>5360</v>
      </c>
      <c r="E723" t="s">
        <v>5169</v>
      </c>
      <c r="H723" t="s">
        <v>4732</v>
      </c>
      <c r="K723" s="31">
        <v>3526946.48</v>
      </c>
      <c r="M723" s="31">
        <v>3642166.83</v>
      </c>
      <c r="O723" s="31">
        <v>-115220.35</v>
      </c>
      <c r="Q723">
        <v>-3.2</v>
      </c>
    </row>
    <row r="724" spans="3:17">
      <c r="C724">
        <v>5360</v>
      </c>
      <c r="E724" t="s">
        <v>5170</v>
      </c>
      <c r="H724" t="s">
        <v>4734</v>
      </c>
      <c r="K724" s="31">
        <v>-998339.27</v>
      </c>
      <c r="M724" s="31">
        <v>-998339.27</v>
      </c>
      <c r="O724">
        <v>0</v>
      </c>
    </row>
    <row r="725" spans="3:17">
      <c r="C725">
        <v>5360</v>
      </c>
      <c r="E725" t="s">
        <v>5171</v>
      </c>
      <c r="H725" t="s">
        <v>5172</v>
      </c>
      <c r="K725" s="31">
        <v>16014449.6</v>
      </c>
      <c r="M725" s="31">
        <v>16014449.6</v>
      </c>
      <c r="O725">
        <v>0</v>
      </c>
    </row>
    <row r="726" spans="3:17">
      <c r="C726">
        <v>5360</v>
      </c>
      <c r="E726" t="s">
        <v>5173</v>
      </c>
      <c r="H726" t="s">
        <v>4752</v>
      </c>
      <c r="K726" s="31">
        <v>-352318.18</v>
      </c>
      <c r="M726" s="31">
        <v>-352318.18</v>
      </c>
      <c r="O726">
        <v>0</v>
      </c>
    </row>
    <row r="727" spans="3:17">
      <c r="C727">
        <v>5360</v>
      </c>
      <c r="E727" t="s">
        <v>5174</v>
      </c>
      <c r="H727" t="s">
        <v>4756</v>
      </c>
      <c r="K727" s="31">
        <v>-1173314.77</v>
      </c>
      <c r="M727" s="31">
        <v>-1173314.77</v>
      </c>
      <c r="O727">
        <v>0</v>
      </c>
    </row>
    <row r="728" spans="3:17">
      <c r="C728">
        <v>5360</v>
      </c>
      <c r="E728" t="s">
        <v>5175</v>
      </c>
      <c r="H728" t="s">
        <v>4758</v>
      </c>
      <c r="K728">
        <v>5</v>
      </c>
      <c r="M728">
        <v>5</v>
      </c>
      <c r="O728">
        <v>0</v>
      </c>
    </row>
    <row r="729" spans="3:17">
      <c r="C729">
        <v>5360</v>
      </c>
      <c r="E729" t="s">
        <v>5176</v>
      </c>
      <c r="H729" t="s">
        <v>4760</v>
      </c>
      <c r="K729" s="31">
        <v>-477225.75</v>
      </c>
      <c r="M729" s="31">
        <v>-477225.75</v>
      </c>
      <c r="O729">
        <v>0</v>
      </c>
    </row>
    <row r="730" spans="3:17">
      <c r="C730">
        <v>5360</v>
      </c>
      <c r="E730" t="s">
        <v>5177</v>
      </c>
      <c r="H730" t="s">
        <v>4762</v>
      </c>
      <c r="K730" s="31">
        <v>-909043.74</v>
      </c>
      <c r="M730" s="31">
        <v>-909043.74</v>
      </c>
      <c r="O730">
        <v>0</v>
      </c>
    </row>
    <row r="731" spans="3:17">
      <c r="C731">
        <v>5360</v>
      </c>
      <c r="E731" t="s">
        <v>5178</v>
      </c>
      <c r="H731" t="s">
        <v>4764</v>
      </c>
      <c r="K731" s="31">
        <v>19542408.370000001</v>
      </c>
      <c r="M731" s="31">
        <v>19542408.370000001</v>
      </c>
      <c r="O731">
        <v>0</v>
      </c>
    </row>
    <row r="732" spans="3:17">
      <c r="C732">
        <v>5360</v>
      </c>
      <c r="E732" t="s">
        <v>5179</v>
      </c>
      <c r="H732" t="s">
        <v>4766</v>
      </c>
      <c r="K732" s="31">
        <v>-88329</v>
      </c>
      <c r="M732" s="31">
        <v>-88329</v>
      </c>
      <c r="O732">
        <v>0</v>
      </c>
    </row>
    <row r="733" spans="3:17">
      <c r="C733">
        <v>5360</v>
      </c>
      <c r="E733" t="s">
        <v>5180</v>
      </c>
      <c r="H733" t="s">
        <v>5181</v>
      </c>
      <c r="K733" s="31">
        <v>-8430367.5999999996</v>
      </c>
      <c r="M733" s="31">
        <v>-16455853.01</v>
      </c>
      <c r="O733" s="31">
        <v>8025485.4100000001</v>
      </c>
      <c r="Q733">
        <v>48.8</v>
      </c>
    </row>
    <row r="734" spans="3:17">
      <c r="C734">
        <v>5360</v>
      </c>
      <c r="E734" t="s">
        <v>5182</v>
      </c>
      <c r="H734" t="s">
        <v>5183</v>
      </c>
      <c r="K734" s="31">
        <v>788060.24</v>
      </c>
      <c r="M734" s="31">
        <v>1528002.73</v>
      </c>
      <c r="O734" s="31">
        <v>-739942.49</v>
      </c>
      <c r="Q734">
        <v>-48.4</v>
      </c>
    </row>
    <row r="735" spans="3:17">
      <c r="C735">
        <v>5360</v>
      </c>
      <c r="E735" t="s">
        <v>5184</v>
      </c>
      <c r="H735" t="s">
        <v>5185</v>
      </c>
      <c r="K735" s="31">
        <v>169174</v>
      </c>
      <c r="M735" s="31">
        <v>335485.11</v>
      </c>
      <c r="O735" s="31">
        <v>-166311.10999999999</v>
      </c>
      <c r="Q735">
        <v>-49.6</v>
      </c>
    </row>
    <row r="736" spans="3:17">
      <c r="C736">
        <v>5360</v>
      </c>
      <c r="E736" t="s">
        <v>5186</v>
      </c>
      <c r="H736" t="s">
        <v>5187</v>
      </c>
      <c r="K736" s="31">
        <v>-16855.830000000002</v>
      </c>
      <c r="M736" s="31">
        <v>-33843.599999999999</v>
      </c>
      <c r="O736" s="31">
        <v>16987.77</v>
      </c>
      <c r="Q736">
        <v>50.2</v>
      </c>
    </row>
    <row r="737" spans="3:17">
      <c r="C737">
        <v>5360</v>
      </c>
      <c r="E737" t="s">
        <v>5188</v>
      </c>
      <c r="H737" t="s">
        <v>5181</v>
      </c>
      <c r="K737" s="31">
        <v>-3857097.27</v>
      </c>
      <c r="M737" s="31">
        <v>-8325674.0999999996</v>
      </c>
      <c r="O737" s="31">
        <v>4468576.83</v>
      </c>
      <c r="Q737">
        <v>53.7</v>
      </c>
    </row>
    <row r="738" spans="3:17">
      <c r="C738">
        <v>5360</v>
      </c>
      <c r="E738" t="s">
        <v>5189</v>
      </c>
      <c r="H738" t="s">
        <v>5190</v>
      </c>
      <c r="K738">
        <v>0</v>
      </c>
      <c r="M738" s="31">
        <v>-20444.38</v>
      </c>
      <c r="O738" s="31">
        <v>20444.38</v>
      </c>
      <c r="Q738">
        <v>100</v>
      </c>
    </row>
    <row r="739" spans="3:17">
      <c r="C739">
        <v>5360</v>
      </c>
      <c r="E739" t="s">
        <v>5191</v>
      </c>
      <c r="H739" t="s">
        <v>5192</v>
      </c>
      <c r="K739">
        <v>238.63</v>
      </c>
      <c r="M739">
        <v>534.97</v>
      </c>
      <c r="O739">
        <v>-296.33999999999997</v>
      </c>
      <c r="Q739">
        <v>-55.4</v>
      </c>
    </row>
    <row r="740" spans="3:17">
      <c r="C740">
        <v>5360</v>
      </c>
      <c r="E740" t="s">
        <v>5193</v>
      </c>
      <c r="H740" t="s">
        <v>5194</v>
      </c>
      <c r="K740" s="31">
        <v>149182.48000000001</v>
      </c>
      <c r="M740" s="31">
        <v>-2214554.4300000002</v>
      </c>
      <c r="O740" s="31">
        <v>2363736.91</v>
      </c>
      <c r="Q740">
        <v>106.7</v>
      </c>
    </row>
    <row r="741" spans="3:17">
      <c r="C741">
        <v>5360</v>
      </c>
      <c r="E741" t="s">
        <v>5195</v>
      </c>
      <c r="H741" t="s">
        <v>5196</v>
      </c>
      <c r="K741" s="31">
        <v>-70888.92</v>
      </c>
      <c r="M741" s="31">
        <v>-141769.45000000001</v>
      </c>
      <c r="O741" s="31">
        <v>70880.53</v>
      </c>
      <c r="Q741">
        <v>50</v>
      </c>
    </row>
    <row r="742" spans="3:17">
      <c r="C742">
        <v>5360</v>
      </c>
      <c r="E742" t="s">
        <v>5197</v>
      </c>
      <c r="H742" t="s">
        <v>5198</v>
      </c>
      <c r="K742">
        <v>372.64</v>
      </c>
      <c r="M742" s="31">
        <v>1809.84</v>
      </c>
      <c r="O742" s="31">
        <v>-1437.2</v>
      </c>
      <c r="Q742">
        <v>-79.400000000000006</v>
      </c>
    </row>
    <row r="743" spans="3:17">
      <c r="C743">
        <v>5360</v>
      </c>
      <c r="E743" t="s">
        <v>5201</v>
      </c>
      <c r="H743" t="s">
        <v>5202</v>
      </c>
      <c r="K743" s="31">
        <v>-2469384</v>
      </c>
      <c r="M743" s="31">
        <v>-4710175.99</v>
      </c>
      <c r="O743" s="31">
        <v>2240791.9900000002</v>
      </c>
      <c r="Q743">
        <v>47.6</v>
      </c>
    </row>
    <row r="744" spans="3:17">
      <c r="C744">
        <v>5360</v>
      </c>
      <c r="E744" t="s">
        <v>5203</v>
      </c>
      <c r="H744" t="s">
        <v>5204</v>
      </c>
      <c r="K744" s="31">
        <v>518305.19</v>
      </c>
      <c r="M744" s="31">
        <v>883912.16</v>
      </c>
      <c r="O744" s="31">
        <v>-365606.97</v>
      </c>
      <c r="Q744">
        <v>-41.4</v>
      </c>
    </row>
    <row r="745" spans="3:17">
      <c r="C745">
        <v>5360</v>
      </c>
      <c r="E745" t="s">
        <v>5992</v>
      </c>
      <c r="H745" t="s">
        <v>5993</v>
      </c>
      <c r="K745">
        <v>0</v>
      </c>
      <c r="M745" s="31">
        <v>-2001.34</v>
      </c>
      <c r="O745" s="31">
        <v>2001.34</v>
      </c>
      <c r="Q745">
        <v>100</v>
      </c>
    </row>
    <row r="746" spans="3:17">
      <c r="C746">
        <v>5360</v>
      </c>
      <c r="E746" t="s">
        <v>5209</v>
      </c>
      <c r="H746" t="s">
        <v>5210</v>
      </c>
      <c r="K746" s="31">
        <v>-111749.57</v>
      </c>
      <c r="M746" s="31">
        <v>-111749.57</v>
      </c>
      <c r="O746">
        <v>0</v>
      </c>
    </row>
    <row r="747" spans="3:17">
      <c r="C747">
        <v>5360</v>
      </c>
      <c r="E747" t="s">
        <v>5211</v>
      </c>
      <c r="H747" t="s">
        <v>5212</v>
      </c>
      <c r="K747" s="31">
        <v>-106591.85</v>
      </c>
      <c r="M747" s="31">
        <v>-106591.85</v>
      </c>
      <c r="O747">
        <v>0</v>
      </c>
    </row>
    <row r="748" spans="3:17">
      <c r="C748">
        <v>5360</v>
      </c>
      <c r="E748" t="s">
        <v>5994</v>
      </c>
      <c r="H748" t="s">
        <v>5922</v>
      </c>
      <c r="K748" s="31">
        <v>-390109.25</v>
      </c>
      <c r="M748" s="31">
        <v>-823750.01</v>
      </c>
      <c r="O748" s="31">
        <v>433640.76</v>
      </c>
      <c r="Q748">
        <v>52.6</v>
      </c>
    </row>
    <row r="749" spans="3:17">
      <c r="C749">
        <v>5360</v>
      </c>
      <c r="E749" t="s">
        <v>5995</v>
      </c>
      <c r="H749" t="s">
        <v>5924</v>
      </c>
      <c r="K749">
        <v>0</v>
      </c>
      <c r="M749" s="31">
        <v>-14112.76</v>
      </c>
      <c r="O749" s="31">
        <v>14112.76</v>
      </c>
      <c r="Q749">
        <v>100</v>
      </c>
    </row>
    <row r="750" spans="3:17">
      <c r="C750">
        <v>5360</v>
      </c>
      <c r="E750" t="s">
        <v>5996</v>
      </c>
      <c r="H750" t="s">
        <v>5928</v>
      </c>
      <c r="K750">
        <v>0</v>
      </c>
      <c r="M750" s="31">
        <v>209750.08</v>
      </c>
      <c r="O750" s="31">
        <v>-209750.08</v>
      </c>
      <c r="Q750">
        <v>-100</v>
      </c>
    </row>
    <row r="751" spans="3:17">
      <c r="C751">
        <v>5360</v>
      </c>
      <c r="E751" t="s">
        <v>5213</v>
      </c>
      <c r="H751" t="s">
        <v>5214</v>
      </c>
      <c r="K751" s="31">
        <v>-83052.06</v>
      </c>
      <c r="M751" s="31">
        <v>-166104.12</v>
      </c>
      <c r="O751" s="31">
        <v>83052.06</v>
      </c>
      <c r="Q751">
        <v>50</v>
      </c>
    </row>
    <row r="752" spans="3:17">
      <c r="C752">
        <v>5360</v>
      </c>
      <c r="E752" t="s">
        <v>5215</v>
      </c>
      <c r="H752" t="s">
        <v>5216</v>
      </c>
      <c r="K752" s="31">
        <v>2542505.5</v>
      </c>
      <c r="M752" s="31">
        <v>4784596.5</v>
      </c>
      <c r="O752" s="31">
        <v>-2242091</v>
      </c>
      <c r="Q752">
        <v>-46.9</v>
      </c>
    </row>
    <row r="753" spans="3:17">
      <c r="C753">
        <v>5360</v>
      </c>
      <c r="E753" t="s">
        <v>5217</v>
      </c>
      <c r="H753" t="s">
        <v>5218</v>
      </c>
      <c r="K753" s="31">
        <v>36615.25</v>
      </c>
      <c r="M753" s="31">
        <v>72204.36</v>
      </c>
      <c r="O753" s="31">
        <v>-35589.11</v>
      </c>
      <c r="Q753">
        <v>-49.3</v>
      </c>
    </row>
    <row r="754" spans="3:17">
      <c r="C754">
        <v>5360</v>
      </c>
      <c r="E754" t="s">
        <v>5219</v>
      </c>
      <c r="H754" t="s">
        <v>5220</v>
      </c>
      <c r="K754" s="31">
        <v>79743.12</v>
      </c>
      <c r="M754" s="31">
        <v>158815.4</v>
      </c>
      <c r="O754" s="31">
        <v>-79072.28</v>
      </c>
      <c r="Q754">
        <v>-49.8</v>
      </c>
    </row>
    <row r="755" spans="3:17">
      <c r="C755">
        <v>5360</v>
      </c>
      <c r="E755" t="s">
        <v>5221</v>
      </c>
      <c r="H755" t="s">
        <v>5222</v>
      </c>
      <c r="K755" s="31">
        <v>70888.92</v>
      </c>
      <c r="M755" s="31">
        <v>141769.45000000001</v>
      </c>
      <c r="O755" s="31">
        <v>-70880.53</v>
      </c>
      <c r="Q755">
        <v>-50</v>
      </c>
    </row>
    <row r="756" spans="3:17">
      <c r="C756">
        <v>5360</v>
      </c>
      <c r="E756" t="s">
        <v>5223</v>
      </c>
      <c r="H756" t="s">
        <v>5224</v>
      </c>
      <c r="K756" s="31">
        <v>1945.17</v>
      </c>
      <c r="M756" s="31">
        <v>3922.47</v>
      </c>
      <c r="O756" s="31">
        <v>-1977.3</v>
      </c>
      <c r="Q756">
        <v>-50.4</v>
      </c>
    </row>
    <row r="757" spans="3:17">
      <c r="C757">
        <v>5360</v>
      </c>
      <c r="E757" t="s">
        <v>5225</v>
      </c>
      <c r="H757" t="s">
        <v>5226</v>
      </c>
      <c r="K757" s="31">
        <v>316089.07</v>
      </c>
      <c r="M757" s="31">
        <v>629239.09</v>
      </c>
      <c r="O757" s="31">
        <v>-313150.02</v>
      </c>
      <c r="Q757">
        <v>-49.8</v>
      </c>
    </row>
    <row r="758" spans="3:17">
      <c r="C758">
        <v>5360</v>
      </c>
      <c r="E758" t="s">
        <v>5230</v>
      </c>
      <c r="H758" t="s">
        <v>3532</v>
      </c>
      <c r="K758" s="31">
        <v>-7072.28</v>
      </c>
      <c r="M758" s="31">
        <v>-14856.61</v>
      </c>
      <c r="O758" s="31">
        <v>7784.33</v>
      </c>
      <c r="Q758">
        <v>52.4</v>
      </c>
    </row>
    <row r="759" spans="3:17">
      <c r="C759">
        <v>5360</v>
      </c>
      <c r="E759" t="s">
        <v>5232</v>
      </c>
      <c r="H759" t="s">
        <v>5233</v>
      </c>
      <c r="K759" s="31">
        <v>-30484.36</v>
      </c>
      <c r="M759" s="31">
        <v>-61484.11</v>
      </c>
      <c r="O759" s="31">
        <v>30999.75</v>
      </c>
      <c r="Q759">
        <v>50.4</v>
      </c>
    </row>
    <row r="760" spans="3:17">
      <c r="C760">
        <v>5360</v>
      </c>
      <c r="E760" t="s">
        <v>5234</v>
      </c>
      <c r="H760" t="s">
        <v>5235</v>
      </c>
      <c r="K760" s="31">
        <v>-14139.94</v>
      </c>
      <c r="M760" s="31">
        <v>-30084.44</v>
      </c>
      <c r="O760" s="31">
        <v>15944.5</v>
      </c>
      <c r="Q760">
        <v>53</v>
      </c>
    </row>
    <row r="761" spans="3:17">
      <c r="C761">
        <v>5360</v>
      </c>
      <c r="E761" t="s">
        <v>5236</v>
      </c>
      <c r="H761" t="s">
        <v>5237</v>
      </c>
      <c r="K761" s="31">
        <v>385423.8</v>
      </c>
      <c r="M761" s="31">
        <v>855099.34</v>
      </c>
      <c r="O761" s="31">
        <v>-469675.54</v>
      </c>
      <c r="Q761">
        <v>-54.9</v>
      </c>
    </row>
    <row r="762" spans="3:17">
      <c r="C762">
        <v>5360</v>
      </c>
      <c r="E762" t="s">
        <v>5238</v>
      </c>
      <c r="H762" t="s">
        <v>5239</v>
      </c>
      <c r="K762">
        <v>72.39</v>
      </c>
      <c r="M762">
        <v>77.680000000000007</v>
      </c>
      <c r="O762">
        <v>-5.29</v>
      </c>
      <c r="Q762">
        <v>-6.8</v>
      </c>
    </row>
    <row r="763" spans="3:17">
      <c r="C763">
        <v>5360</v>
      </c>
      <c r="E763" t="s">
        <v>5240</v>
      </c>
      <c r="H763" t="s">
        <v>5241</v>
      </c>
      <c r="K763" s="31">
        <v>40208.04</v>
      </c>
      <c r="M763" s="31">
        <v>31606.38</v>
      </c>
      <c r="O763" s="31">
        <v>8601.66</v>
      </c>
      <c r="Q763">
        <v>27.2</v>
      </c>
    </row>
    <row r="764" spans="3:17">
      <c r="C764">
        <v>5360</v>
      </c>
      <c r="E764" t="s">
        <v>5242</v>
      </c>
      <c r="H764" t="s">
        <v>5243</v>
      </c>
      <c r="K764">
        <v>179.01</v>
      </c>
      <c r="M764">
        <v>267.25</v>
      </c>
      <c r="O764">
        <v>-88.24</v>
      </c>
      <c r="Q764">
        <v>-33</v>
      </c>
    </row>
    <row r="765" spans="3:17">
      <c r="C765">
        <v>5360</v>
      </c>
      <c r="E765" t="s">
        <v>5244</v>
      </c>
      <c r="H765" t="s">
        <v>5245</v>
      </c>
      <c r="K765" s="31">
        <v>234990.57</v>
      </c>
      <c r="M765" s="31">
        <v>589248.29</v>
      </c>
      <c r="O765" s="31">
        <v>-354257.72</v>
      </c>
      <c r="Q765">
        <v>-60.1</v>
      </c>
    </row>
    <row r="766" spans="3:17">
      <c r="C766">
        <v>5360</v>
      </c>
      <c r="E766" t="s">
        <v>5246</v>
      </c>
      <c r="H766" t="s">
        <v>5247</v>
      </c>
      <c r="K766">
        <v>37.47</v>
      </c>
      <c r="M766">
        <v>456.04</v>
      </c>
      <c r="O766">
        <v>-418.57</v>
      </c>
      <c r="Q766">
        <v>-91.8</v>
      </c>
    </row>
    <row r="767" spans="3:17">
      <c r="C767">
        <v>5360</v>
      </c>
      <c r="E767" t="s">
        <v>5250</v>
      </c>
      <c r="H767" t="s">
        <v>5251</v>
      </c>
      <c r="K767" s="31">
        <v>7756.87</v>
      </c>
      <c r="M767" s="31">
        <v>9824.25</v>
      </c>
      <c r="O767" s="31">
        <v>-2067.38</v>
      </c>
      <c r="Q767">
        <v>-21</v>
      </c>
    </row>
    <row r="768" spans="3:17">
      <c r="C768">
        <v>5360</v>
      </c>
      <c r="E768" t="s">
        <v>5252</v>
      </c>
      <c r="H768" t="s">
        <v>5253</v>
      </c>
      <c r="K768">
        <v>28.84</v>
      </c>
      <c r="M768">
        <v>42.98</v>
      </c>
      <c r="O768">
        <v>-14.14</v>
      </c>
      <c r="Q768">
        <v>-32.9</v>
      </c>
    </row>
    <row r="769" spans="3:17">
      <c r="C769">
        <v>5360</v>
      </c>
      <c r="E769" t="s">
        <v>5254</v>
      </c>
      <c r="H769" t="s">
        <v>5255</v>
      </c>
      <c r="K769" s="31">
        <v>18991.55</v>
      </c>
      <c r="M769" s="31">
        <v>40624.22</v>
      </c>
      <c r="O769" s="31">
        <v>-21632.67</v>
      </c>
      <c r="Q769">
        <v>-53.3</v>
      </c>
    </row>
    <row r="770" spans="3:17">
      <c r="C770">
        <v>5360</v>
      </c>
      <c r="E770" t="s">
        <v>5997</v>
      </c>
      <c r="H770" t="s">
        <v>5539</v>
      </c>
      <c r="K770">
        <v>2.56</v>
      </c>
      <c r="M770">
        <v>14.98</v>
      </c>
      <c r="O770">
        <v>-12.42</v>
      </c>
      <c r="Q770">
        <v>-82.9</v>
      </c>
    </row>
    <row r="771" spans="3:17">
      <c r="C771">
        <v>5360</v>
      </c>
      <c r="E771" t="s">
        <v>5256</v>
      </c>
      <c r="H771" t="s">
        <v>5257</v>
      </c>
      <c r="K771" s="31">
        <v>122632.13</v>
      </c>
      <c r="M771" s="31">
        <v>282006.13</v>
      </c>
      <c r="O771" s="31">
        <v>-159374</v>
      </c>
      <c r="Q771">
        <v>-56.5</v>
      </c>
    </row>
    <row r="772" spans="3:17">
      <c r="C772">
        <v>5360</v>
      </c>
      <c r="E772" t="s">
        <v>5258</v>
      </c>
      <c r="H772" t="s">
        <v>5259</v>
      </c>
      <c r="K772">
        <v>49.06</v>
      </c>
      <c r="M772">
        <v>144.01</v>
      </c>
      <c r="O772">
        <v>-94.95</v>
      </c>
      <c r="Q772">
        <v>-65.900000000000006</v>
      </c>
    </row>
    <row r="773" spans="3:17">
      <c r="C773">
        <v>5360</v>
      </c>
      <c r="E773" t="s">
        <v>5260</v>
      </c>
      <c r="H773" t="s">
        <v>5261</v>
      </c>
      <c r="K773" s="31">
        <v>267992.27</v>
      </c>
      <c r="M773" s="31">
        <v>532116.09</v>
      </c>
      <c r="O773" s="31">
        <v>-264123.82</v>
      </c>
      <c r="Q773">
        <v>-49.6</v>
      </c>
    </row>
    <row r="774" spans="3:17">
      <c r="C774">
        <v>5360</v>
      </c>
      <c r="E774" t="s">
        <v>5262</v>
      </c>
      <c r="H774" t="s">
        <v>5263</v>
      </c>
      <c r="K774">
        <v>7.62</v>
      </c>
      <c r="M774">
        <v>18.350000000000001</v>
      </c>
      <c r="O774">
        <v>-10.73</v>
      </c>
      <c r="Q774">
        <v>-58.5</v>
      </c>
    </row>
    <row r="775" spans="3:17">
      <c r="C775">
        <v>5360</v>
      </c>
      <c r="E775" t="s">
        <v>5264</v>
      </c>
      <c r="H775" t="s">
        <v>5265</v>
      </c>
      <c r="K775" s="31">
        <v>-3372.51</v>
      </c>
      <c r="M775" s="31">
        <v>-12372.8</v>
      </c>
      <c r="O775" s="31">
        <v>9000.2900000000009</v>
      </c>
      <c r="Q775">
        <v>72.7</v>
      </c>
    </row>
    <row r="776" spans="3:17">
      <c r="C776">
        <v>5360</v>
      </c>
      <c r="E776" t="s">
        <v>5266</v>
      </c>
      <c r="H776" t="s">
        <v>5267</v>
      </c>
      <c r="K776">
        <v>0.33</v>
      </c>
      <c r="M776">
        <v>0.56000000000000005</v>
      </c>
      <c r="O776">
        <v>-0.23</v>
      </c>
      <c r="Q776">
        <v>-41.1</v>
      </c>
    </row>
    <row r="777" spans="3:17">
      <c r="C777">
        <v>5360</v>
      </c>
      <c r="E777" t="s">
        <v>5268</v>
      </c>
      <c r="H777" t="s">
        <v>5269</v>
      </c>
      <c r="K777" s="31">
        <v>86865.36</v>
      </c>
      <c r="M777" s="31">
        <v>264202.61</v>
      </c>
      <c r="O777" s="31">
        <v>-177337.25</v>
      </c>
      <c r="Q777">
        <v>-67.099999999999994</v>
      </c>
    </row>
    <row r="778" spans="3:17">
      <c r="C778">
        <v>5360</v>
      </c>
      <c r="E778" t="s">
        <v>5270</v>
      </c>
      <c r="H778" t="s">
        <v>5271</v>
      </c>
      <c r="K778">
        <v>37.25</v>
      </c>
      <c r="M778">
        <v>115.84</v>
      </c>
      <c r="O778">
        <v>-78.59</v>
      </c>
      <c r="Q778">
        <v>-67.8</v>
      </c>
    </row>
    <row r="779" spans="3:17">
      <c r="C779">
        <v>5360</v>
      </c>
      <c r="E779" t="s">
        <v>5272</v>
      </c>
      <c r="H779" t="s">
        <v>5273</v>
      </c>
      <c r="K779" s="31">
        <v>13894.3</v>
      </c>
      <c r="M779" s="31">
        <v>29774.5</v>
      </c>
      <c r="O779" s="31">
        <v>-15880.2</v>
      </c>
      <c r="Q779">
        <v>-53.3</v>
      </c>
    </row>
    <row r="780" spans="3:17">
      <c r="C780">
        <v>5360</v>
      </c>
      <c r="E780" t="s">
        <v>5274</v>
      </c>
      <c r="H780" t="s">
        <v>5275</v>
      </c>
      <c r="K780">
        <v>2.63</v>
      </c>
      <c r="M780">
        <v>6.82</v>
      </c>
      <c r="O780">
        <v>-4.1900000000000004</v>
      </c>
      <c r="Q780">
        <v>-61.4</v>
      </c>
    </row>
    <row r="781" spans="3:17">
      <c r="C781">
        <v>5360</v>
      </c>
      <c r="E781" t="s">
        <v>5276</v>
      </c>
      <c r="H781" t="s">
        <v>5277</v>
      </c>
      <c r="K781" s="31">
        <v>-107884.32</v>
      </c>
      <c r="M781" s="31">
        <v>-12964.7</v>
      </c>
      <c r="O781" s="31">
        <v>-94919.62</v>
      </c>
      <c r="Q781">
        <v>-732.1</v>
      </c>
    </row>
    <row r="782" spans="3:17">
      <c r="C782">
        <v>5360</v>
      </c>
      <c r="E782" t="s">
        <v>5278</v>
      </c>
      <c r="H782" t="s">
        <v>5279</v>
      </c>
      <c r="K782">
        <v>22.84</v>
      </c>
      <c r="M782">
        <v>56.48</v>
      </c>
      <c r="O782">
        <v>-33.64</v>
      </c>
      <c r="Q782">
        <v>-59.6</v>
      </c>
    </row>
    <row r="783" spans="3:17">
      <c r="C783">
        <v>5360</v>
      </c>
      <c r="E783" t="s">
        <v>5280</v>
      </c>
      <c r="H783" t="s">
        <v>5281</v>
      </c>
      <c r="K783" s="31">
        <v>39070.089999999997</v>
      </c>
      <c r="M783" s="31">
        <v>82124.37</v>
      </c>
      <c r="O783" s="31">
        <v>-43054.28</v>
      </c>
      <c r="Q783">
        <v>-52.4</v>
      </c>
    </row>
    <row r="784" spans="3:17">
      <c r="C784">
        <v>5360</v>
      </c>
      <c r="E784" t="s">
        <v>5282</v>
      </c>
      <c r="H784" t="s">
        <v>5283</v>
      </c>
      <c r="K784">
        <v>20.04</v>
      </c>
      <c r="M784">
        <v>65.7</v>
      </c>
      <c r="O784">
        <v>-45.66</v>
      </c>
      <c r="Q784">
        <v>-69.5</v>
      </c>
    </row>
    <row r="785" spans="3:17">
      <c r="C785">
        <v>5360</v>
      </c>
      <c r="E785" t="s">
        <v>5284</v>
      </c>
      <c r="H785" t="s">
        <v>5285</v>
      </c>
      <c r="K785" s="31">
        <v>22338.14</v>
      </c>
      <c r="M785" s="31">
        <v>24834.31</v>
      </c>
      <c r="O785" s="31">
        <v>-2496.17</v>
      </c>
      <c r="Q785">
        <v>-10.1</v>
      </c>
    </row>
    <row r="786" spans="3:17">
      <c r="C786">
        <v>5360</v>
      </c>
      <c r="E786" t="s">
        <v>5286</v>
      </c>
      <c r="H786" t="s">
        <v>5287</v>
      </c>
      <c r="K786">
        <v>2.91</v>
      </c>
      <c r="M786">
        <v>9.1199999999999992</v>
      </c>
      <c r="O786">
        <v>-6.21</v>
      </c>
      <c r="Q786">
        <v>-68.099999999999994</v>
      </c>
    </row>
    <row r="787" spans="3:17">
      <c r="C787">
        <v>5360</v>
      </c>
      <c r="E787" t="s">
        <v>5288</v>
      </c>
      <c r="H787" t="s">
        <v>5289</v>
      </c>
      <c r="K787" s="31">
        <v>64427.73</v>
      </c>
      <c r="M787" s="31">
        <v>146962.18</v>
      </c>
      <c r="O787" s="31">
        <v>-82534.45</v>
      </c>
      <c r="Q787">
        <v>-56.2</v>
      </c>
    </row>
    <row r="788" spans="3:17">
      <c r="C788">
        <v>5360</v>
      </c>
      <c r="E788" t="s">
        <v>5290</v>
      </c>
      <c r="H788" t="s">
        <v>5291</v>
      </c>
      <c r="K788">
        <v>29.41</v>
      </c>
      <c r="M788">
        <v>88.49</v>
      </c>
      <c r="O788">
        <v>-59.08</v>
      </c>
      <c r="Q788">
        <v>-66.8</v>
      </c>
    </row>
    <row r="789" spans="3:17">
      <c r="C789">
        <v>5360</v>
      </c>
      <c r="E789" t="s">
        <v>5292</v>
      </c>
      <c r="H789" t="s">
        <v>5293</v>
      </c>
      <c r="K789" s="31">
        <v>2347.4</v>
      </c>
      <c r="M789" s="31">
        <v>7697.08</v>
      </c>
      <c r="O789" s="31">
        <v>-5349.68</v>
      </c>
      <c r="Q789">
        <v>-69.5</v>
      </c>
    </row>
    <row r="790" spans="3:17">
      <c r="C790">
        <v>5360</v>
      </c>
      <c r="E790" t="s">
        <v>5294</v>
      </c>
      <c r="H790" t="s">
        <v>5295</v>
      </c>
      <c r="K790" s="31">
        <v>63939.35</v>
      </c>
      <c r="M790" s="31">
        <v>126458.72</v>
      </c>
      <c r="O790" s="31">
        <v>-62519.37</v>
      </c>
      <c r="Q790">
        <v>-49.4</v>
      </c>
    </row>
    <row r="791" spans="3:17">
      <c r="C791">
        <v>5360</v>
      </c>
      <c r="E791" t="s">
        <v>5298</v>
      </c>
      <c r="H791" t="s">
        <v>5299</v>
      </c>
      <c r="K791" s="31">
        <v>265456.84999999998</v>
      </c>
      <c r="M791" s="31">
        <v>421747.54</v>
      </c>
      <c r="O791" s="31">
        <v>-156290.69</v>
      </c>
      <c r="Q791">
        <v>-37.1</v>
      </c>
    </row>
    <row r="792" spans="3:17">
      <c r="C792">
        <v>5360</v>
      </c>
      <c r="E792" t="s">
        <v>5300</v>
      </c>
      <c r="H792" t="s">
        <v>5301</v>
      </c>
      <c r="K792" s="31">
        <v>42400.62</v>
      </c>
      <c r="M792" s="31">
        <v>66535.53</v>
      </c>
      <c r="O792" s="31">
        <v>-24134.91</v>
      </c>
      <c r="Q792">
        <v>-36.299999999999997</v>
      </c>
    </row>
    <row r="793" spans="3:17">
      <c r="C793">
        <v>5360</v>
      </c>
      <c r="E793" t="s">
        <v>5302</v>
      </c>
      <c r="H793" t="s">
        <v>5303</v>
      </c>
      <c r="K793" s="31">
        <v>589982.68000000005</v>
      </c>
      <c r="M793" s="31">
        <v>131720.59</v>
      </c>
      <c r="O793" s="31">
        <v>458262.09</v>
      </c>
      <c r="Q793">
        <v>347.9</v>
      </c>
    </row>
    <row r="794" spans="3:17">
      <c r="C794">
        <v>5360</v>
      </c>
      <c r="E794" t="s">
        <v>5998</v>
      </c>
      <c r="H794" t="s">
        <v>5999</v>
      </c>
      <c r="K794">
        <v>-23.36</v>
      </c>
      <c r="M794">
        <v>-50.54</v>
      </c>
      <c r="O794">
        <v>27.18</v>
      </c>
      <c r="Q794">
        <v>53.8</v>
      </c>
    </row>
    <row r="795" spans="3:17">
      <c r="C795">
        <v>5360</v>
      </c>
      <c r="E795" t="s">
        <v>5306</v>
      </c>
      <c r="H795" t="s">
        <v>5307</v>
      </c>
      <c r="K795" s="31">
        <v>1196975.49</v>
      </c>
      <c r="M795" s="31">
        <v>3517027.25</v>
      </c>
      <c r="O795" s="31">
        <v>-2320051.7599999998</v>
      </c>
      <c r="Q795">
        <v>-66</v>
      </c>
    </row>
    <row r="796" spans="3:17">
      <c r="C796">
        <v>5360</v>
      </c>
      <c r="E796" t="s">
        <v>5310</v>
      </c>
      <c r="H796" t="s">
        <v>5311</v>
      </c>
      <c r="K796" s="31">
        <v>484953.83</v>
      </c>
      <c r="M796" s="31">
        <v>1302704.67</v>
      </c>
      <c r="O796" s="31">
        <v>-817750.84</v>
      </c>
      <c r="Q796">
        <v>-62.8</v>
      </c>
    </row>
    <row r="797" spans="3:17">
      <c r="C797">
        <v>5360</v>
      </c>
      <c r="E797" t="s">
        <v>5312</v>
      </c>
      <c r="H797" t="s">
        <v>5313</v>
      </c>
      <c r="K797">
        <v>46.69</v>
      </c>
      <c r="M797">
        <v>157.03</v>
      </c>
      <c r="O797">
        <v>-110.34</v>
      </c>
      <c r="Q797">
        <v>-70.3</v>
      </c>
    </row>
    <row r="798" spans="3:17">
      <c r="C798">
        <v>5360</v>
      </c>
      <c r="E798" t="s">
        <v>5314</v>
      </c>
      <c r="H798" t="s">
        <v>5315</v>
      </c>
      <c r="K798" s="31">
        <v>1223.67</v>
      </c>
      <c r="M798" s="31">
        <v>3236.07</v>
      </c>
      <c r="O798" s="31">
        <v>-2012.4</v>
      </c>
      <c r="Q798">
        <v>-62.2</v>
      </c>
    </row>
    <row r="799" spans="3:17">
      <c r="C799">
        <v>5360</v>
      </c>
      <c r="E799" t="s">
        <v>5316</v>
      </c>
      <c r="H799" t="s">
        <v>5317</v>
      </c>
      <c r="K799">
        <v>637.4</v>
      </c>
      <c r="M799">
        <v>901.91</v>
      </c>
      <c r="O799">
        <v>-264.51</v>
      </c>
      <c r="Q799">
        <v>-29.3</v>
      </c>
    </row>
    <row r="800" spans="3:17">
      <c r="C800">
        <v>5360</v>
      </c>
      <c r="E800" t="s">
        <v>5318</v>
      </c>
      <c r="H800" t="s">
        <v>5319</v>
      </c>
      <c r="K800" s="31">
        <v>576225.47</v>
      </c>
      <c r="M800" s="31">
        <v>1585370.68</v>
      </c>
      <c r="O800" s="31">
        <v>-1009145.21</v>
      </c>
      <c r="Q800">
        <v>-63.7</v>
      </c>
    </row>
    <row r="801" spans="3:17">
      <c r="C801">
        <v>5360</v>
      </c>
      <c r="E801" t="s">
        <v>5320</v>
      </c>
      <c r="H801" t="s">
        <v>5321</v>
      </c>
      <c r="K801" s="31">
        <v>35967.019999999997</v>
      </c>
      <c r="M801" s="31">
        <v>112762.92</v>
      </c>
      <c r="O801" s="31">
        <v>-76795.899999999994</v>
      </c>
      <c r="Q801">
        <v>-68.099999999999994</v>
      </c>
    </row>
    <row r="802" spans="3:17">
      <c r="C802">
        <v>5360</v>
      </c>
      <c r="E802" t="s">
        <v>5322</v>
      </c>
      <c r="H802" t="s">
        <v>5323</v>
      </c>
      <c r="K802" s="31">
        <v>10440.85</v>
      </c>
      <c r="M802" s="31">
        <v>26552.25</v>
      </c>
      <c r="O802" s="31">
        <v>-16111.4</v>
      </c>
      <c r="Q802">
        <v>-60.7</v>
      </c>
    </row>
    <row r="803" spans="3:17">
      <c r="C803">
        <v>5360</v>
      </c>
      <c r="E803" t="s">
        <v>5324</v>
      </c>
      <c r="H803" t="s">
        <v>5325</v>
      </c>
      <c r="K803" s="31">
        <v>2504.73</v>
      </c>
      <c r="M803" s="31">
        <v>2706.71</v>
      </c>
      <c r="O803">
        <v>-201.98</v>
      </c>
      <c r="Q803">
        <v>-7.5</v>
      </c>
    </row>
    <row r="804" spans="3:17">
      <c r="C804">
        <v>5360</v>
      </c>
      <c r="E804" t="s">
        <v>5326</v>
      </c>
      <c r="H804" t="s">
        <v>5327</v>
      </c>
      <c r="K804" s="31">
        <v>1483.34</v>
      </c>
      <c r="M804" s="31">
        <v>3612.76</v>
      </c>
      <c r="O804" s="31">
        <v>-2129.42</v>
      </c>
      <c r="Q804">
        <v>-58.9</v>
      </c>
    </row>
    <row r="805" spans="3:17">
      <c r="C805">
        <v>5360</v>
      </c>
      <c r="E805" t="s">
        <v>5328</v>
      </c>
      <c r="H805" t="s">
        <v>5329</v>
      </c>
      <c r="K805" s="31">
        <v>3746.2</v>
      </c>
      <c r="M805" s="31">
        <v>2013.15</v>
      </c>
      <c r="O805" s="31">
        <v>1733.05</v>
      </c>
      <c r="Q805">
        <v>86.1</v>
      </c>
    </row>
    <row r="806" spans="3:17">
      <c r="C806">
        <v>5360</v>
      </c>
      <c r="E806" t="s">
        <v>5330</v>
      </c>
      <c r="H806" t="s">
        <v>5331</v>
      </c>
      <c r="K806">
        <v>79.41</v>
      </c>
      <c r="M806">
        <v>178</v>
      </c>
      <c r="O806">
        <v>-98.59</v>
      </c>
      <c r="Q806">
        <v>-55.4</v>
      </c>
    </row>
    <row r="807" spans="3:17">
      <c r="C807">
        <v>5360</v>
      </c>
      <c r="E807" t="s">
        <v>5332</v>
      </c>
      <c r="H807" t="s">
        <v>5333</v>
      </c>
      <c r="K807" s="31">
        <v>96209.29</v>
      </c>
      <c r="M807" s="31">
        <v>102621.14</v>
      </c>
      <c r="O807" s="31">
        <v>-6411.85</v>
      </c>
      <c r="Q807">
        <v>-6.2</v>
      </c>
    </row>
    <row r="808" spans="3:17">
      <c r="C808">
        <v>5360</v>
      </c>
      <c r="E808" t="s">
        <v>5334</v>
      </c>
      <c r="H808" t="s">
        <v>5335</v>
      </c>
      <c r="K808" s="31">
        <v>-814706.89</v>
      </c>
      <c r="M808" s="31">
        <v>-1580854.09</v>
      </c>
      <c r="O808" s="31">
        <v>766147.2</v>
      </c>
      <c r="Q808">
        <v>48.5</v>
      </c>
    </row>
    <row r="809" spans="3:17">
      <c r="C809">
        <v>5360</v>
      </c>
      <c r="E809" t="s">
        <v>5336</v>
      </c>
      <c r="H809" t="s">
        <v>5337</v>
      </c>
      <c r="K809" s="31">
        <v>-173701.24</v>
      </c>
      <c r="M809" s="31">
        <v>-353587.97</v>
      </c>
      <c r="O809" s="31">
        <v>179886.73</v>
      </c>
      <c r="Q809">
        <v>50.9</v>
      </c>
    </row>
    <row r="810" spans="3:17">
      <c r="C810">
        <v>5360</v>
      </c>
      <c r="E810" t="s">
        <v>5338</v>
      </c>
      <c r="H810" t="s">
        <v>5339</v>
      </c>
      <c r="K810" s="31">
        <v>31323.32</v>
      </c>
      <c r="M810" s="31">
        <v>-429651.35</v>
      </c>
      <c r="O810" s="31">
        <v>460974.67</v>
      </c>
      <c r="Q810">
        <v>107.3</v>
      </c>
    </row>
    <row r="811" spans="3:17">
      <c r="C811">
        <v>5360</v>
      </c>
      <c r="E811" t="s">
        <v>5342</v>
      </c>
      <c r="H811" t="s">
        <v>5343</v>
      </c>
      <c r="K811" s="31">
        <v>-8309.7099999999991</v>
      </c>
      <c r="M811" s="31">
        <v>-17885.55</v>
      </c>
      <c r="O811" s="31">
        <v>9575.84</v>
      </c>
      <c r="Q811">
        <v>53.5</v>
      </c>
    </row>
    <row r="812" spans="3:17">
      <c r="C812">
        <v>5360</v>
      </c>
      <c r="E812" t="s">
        <v>6000</v>
      </c>
      <c r="H812" t="s">
        <v>5792</v>
      </c>
      <c r="K812">
        <v>-16.36</v>
      </c>
      <c r="M812">
        <v>-6.36</v>
      </c>
      <c r="O812">
        <v>-10</v>
      </c>
      <c r="Q812">
        <v>-157.19999999999999</v>
      </c>
    </row>
    <row r="813" spans="3:17">
      <c r="C813">
        <v>5360</v>
      </c>
      <c r="E813" t="s">
        <v>5344</v>
      </c>
      <c r="H813" t="s">
        <v>5345</v>
      </c>
      <c r="K813">
        <v>123.33</v>
      </c>
      <c r="M813">
        <v>123.33</v>
      </c>
      <c r="O813">
        <v>0</v>
      </c>
    </row>
    <row r="814" spans="3:17">
      <c r="C814">
        <v>5360</v>
      </c>
      <c r="E814" t="s">
        <v>6001</v>
      </c>
      <c r="H814" t="s">
        <v>6002</v>
      </c>
      <c r="K814" s="31">
        <v>-4069</v>
      </c>
      <c r="M814" s="31">
        <v>-4069</v>
      </c>
      <c r="O814">
        <v>0</v>
      </c>
    </row>
    <row r="815" spans="3:17">
      <c r="C815">
        <v>5360</v>
      </c>
      <c r="E815" t="s">
        <v>5346</v>
      </c>
      <c r="H815" t="s">
        <v>5347</v>
      </c>
      <c r="K815">
        <v>673.35</v>
      </c>
      <c r="M815" s="31">
        <v>1486.17</v>
      </c>
      <c r="O815">
        <v>-812.82</v>
      </c>
      <c r="Q815">
        <v>-54.7</v>
      </c>
    </row>
    <row r="816" spans="3:17">
      <c r="C816">
        <v>5360</v>
      </c>
      <c r="E816" t="s">
        <v>5350</v>
      </c>
      <c r="H816" t="s">
        <v>5351</v>
      </c>
      <c r="K816">
        <v>350.43</v>
      </c>
      <c r="M816">
        <v>525.01</v>
      </c>
      <c r="O816">
        <v>-174.58</v>
      </c>
      <c r="Q816">
        <v>-33.299999999999997</v>
      </c>
    </row>
    <row r="817" spans="3:17">
      <c r="C817">
        <v>5360</v>
      </c>
      <c r="E817" t="s">
        <v>5352</v>
      </c>
      <c r="H817" t="s">
        <v>5353</v>
      </c>
      <c r="K817">
        <v>3.92</v>
      </c>
      <c r="M817">
        <v>6.14</v>
      </c>
      <c r="O817">
        <v>-2.2200000000000002</v>
      </c>
      <c r="Q817">
        <v>-36.200000000000003</v>
      </c>
    </row>
    <row r="818" spans="3:17">
      <c r="C818">
        <v>5360</v>
      </c>
      <c r="E818" t="s">
        <v>5354</v>
      </c>
      <c r="H818" t="s">
        <v>5355</v>
      </c>
      <c r="K818" s="31">
        <v>-1158356.02</v>
      </c>
      <c r="M818" s="31">
        <v>-1148116.75</v>
      </c>
      <c r="O818" s="31">
        <v>-10239.27</v>
      </c>
      <c r="Q818">
        <v>-0.9</v>
      </c>
    </row>
    <row r="819" spans="3:17">
      <c r="C819">
        <v>5360</v>
      </c>
      <c r="E819" t="s">
        <v>5358</v>
      </c>
      <c r="H819" t="s">
        <v>5359</v>
      </c>
      <c r="K819" s="31">
        <v>120049.64</v>
      </c>
      <c r="M819" s="31">
        <v>265496.89</v>
      </c>
      <c r="O819" s="31">
        <v>-145447.25</v>
      </c>
      <c r="Q819">
        <v>-54.8</v>
      </c>
    </row>
    <row r="820" spans="3:17">
      <c r="C820">
        <v>5360</v>
      </c>
      <c r="E820" t="s">
        <v>5362</v>
      </c>
      <c r="H820" t="s">
        <v>5363</v>
      </c>
      <c r="K820">
        <v>194.11</v>
      </c>
      <c r="M820">
        <v>707.1</v>
      </c>
      <c r="O820">
        <v>-512.99</v>
      </c>
      <c r="Q820">
        <v>-72.5</v>
      </c>
    </row>
    <row r="821" spans="3:17">
      <c r="C821">
        <v>5360</v>
      </c>
      <c r="E821" t="s">
        <v>5366</v>
      </c>
      <c r="H821" t="s">
        <v>5367</v>
      </c>
      <c r="K821" s="31">
        <v>-22843941.09</v>
      </c>
      <c r="M821" s="31">
        <v>-78518829.010000005</v>
      </c>
      <c r="O821" s="31">
        <v>55674887.920000002</v>
      </c>
      <c r="Q821">
        <v>70.900000000000006</v>
      </c>
    </row>
    <row r="822" spans="3:17">
      <c r="C822">
        <v>5360</v>
      </c>
      <c r="E822" t="s">
        <v>5368</v>
      </c>
      <c r="H822" t="s">
        <v>5187</v>
      </c>
      <c r="K822" s="31">
        <v>238068.24</v>
      </c>
      <c r="M822" s="31">
        <v>478906.77</v>
      </c>
      <c r="O822" s="31">
        <v>-240838.53</v>
      </c>
      <c r="Q822">
        <v>-50.3</v>
      </c>
    </row>
    <row r="823" spans="3:17">
      <c r="C823">
        <v>5360</v>
      </c>
      <c r="E823" t="s">
        <v>5369</v>
      </c>
      <c r="H823" t="s">
        <v>5370</v>
      </c>
      <c r="K823" s="31">
        <v>20761.259999999998</v>
      </c>
      <c r="M823" s="31">
        <v>41522.519999999997</v>
      </c>
      <c r="O823" s="31">
        <v>-20761.259999999998</v>
      </c>
      <c r="Q823">
        <v>-50</v>
      </c>
    </row>
    <row r="824" spans="3:17">
      <c r="C824">
        <v>5360</v>
      </c>
      <c r="E824" t="s">
        <v>5371</v>
      </c>
      <c r="H824" t="s">
        <v>5181</v>
      </c>
      <c r="K824" s="31">
        <v>11992046.35</v>
      </c>
      <c r="M824" s="31">
        <v>24385307.460000001</v>
      </c>
      <c r="O824" s="31">
        <v>-12393261.109999999</v>
      </c>
      <c r="Q824">
        <v>-50.8</v>
      </c>
    </row>
    <row r="825" spans="3:17">
      <c r="C825">
        <v>5360</v>
      </c>
      <c r="E825" t="s">
        <v>5372</v>
      </c>
      <c r="H825" t="s">
        <v>5190</v>
      </c>
      <c r="K825" s="31">
        <v>1038.6300000000001</v>
      </c>
      <c r="M825" s="31">
        <v>2077.2600000000002</v>
      </c>
      <c r="O825" s="31">
        <v>-1038.6300000000001</v>
      </c>
      <c r="Q825">
        <v>-50</v>
      </c>
    </row>
    <row r="826" spans="3:17">
      <c r="C826">
        <v>5360</v>
      </c>
      <c r="E826" t="s">
        <v>5373</v>
      </c>
      <c r="H826" t="s">
        <v>5374</v>
      </c>
      <c r="K826" s="31">
        <v>-191467.31</v>
      </c>
      <c r="M826" s="31">
        <v>-397684.85</v>
      </c>
      <c r="O826" s="31">
        <v>206217.54</v>
      </c>
      <c r="Q826">
        <v>51.9</v>
      </c>
    </row>
    <row r="827" spans="3:17">
      <c r="C827">
        <v>5360</v>
      </c>
      <c r="E827" t="s">
        <v>5375</v>
      </c>
      <c r="H827" t="s">
        <v>5376</v>
      </c>
      <c r="K827" s="31">
        <v>225227.42</v>
      </c>
      <c r="M827" s="31">
        <v>465182.47</v>
      </c>
      <c r="O827" s="31">
        <v>-239955.05</v>
      </c>
      <c r="Q827">
        <v>-51.6</v>
      </c>
    </row>
    <row r="828" spans="3:17">
      <c r="C828">
        <v>5360</v>
      </c>
      <c r="E828" t="s">
        <v>5377</v>
      </c>
      <c r="H828" t="s">
        <v>5378</v>
      </c>
      <c r="K828" s="31">
        <v>18646.11</v>
      </c>
      <c r="M828" s="31">
        <v>20938.54</v>
      </c>
      <c r="O828" s="31">
        <v>-2292.4299999999998</v>
      </c>
      <c r="Q828">
        <v>-10.9</v>
      </c>
    </row>
    <row r="829" spans="3:17">
      <c r="C829">
        <v>5360</v>
      </c>
      <c r="E829" t="s">
        <v>5379</v>
      </c>
      <c r="H829" t="s">
        <v>5380</v>
      </c>
      <c r="K829" s="31">
        <v>-1409227.67</v>
      </c>
      <c r="M829" s="31">
        <v>-2895893.46</v>
      </c>
      <c r="O829" s="31">
        <v>1486665.79</v>
      </c>
      <c r="Q829">
        <v>51.3</v>
      </c>
    </row>
    <row r="830" spans="3:17">
      <c r="C830">
        <v>5360</v>
      </c>
      <c r="E830" t="s">
        <v>5381</v>
      </c>
      <c r="H830" t="s">
        <v>5382</v>
      </c>
      <c r="K830" s="31">
        <v>1409227.67</v>
      </c>
      <c r="M830" s="31">
        <v>2895893.46</v>
      </c>
      <c r="O830" s="31">
        <v>-1486665.79</v>
      </c>
      <c r="Q830">
        <v>-51.3</v>
      </c>
    </row>
    <row r="831" spans="3:17">
      <c r="C831">
        <v>5360</v>
      </c>
      <c r="E831" t="s">
        <v>5385</v>
      </c>
      <c r="H831" t="s">
        <v>5386</v>
      </c>
      <c r="K831" s="31">
        <v>-368640.34</v>
      </c>
      <c r="M831" s="31">
        <v>-303027.03000000003</v>
      </c>
      <c r="O831" s="31">
        <v>-65613.31</v>
      </c>
      <c r="Q831">
        <v>-21.7</v>
      </c>
    </row>
    <row r="832" spans="3:17">
      <c r="C832">
        <v>5360</v>
      </c>
      <c r="E832" t="s">
        <v>5387</v>
      </c>
      <c r="H832" t="s">
        <v>5388</v>
      </c>
      <c r="K832" s="31">
        <v>-357801.75</v>
      </c>
      <c r="M832" s="31">
        <v>-1290181.3999999999</v>
      </c>
      <c r="O832" s="31">
        <v>932379.65</v>
      </c>
      <c r="Q832">
        <v>72.3</v>
      </c>
    </row>
    <row r="833" spans="3:17">
      <c r="C833">
        <v>5360</v>
      </c>
      <c r="E833" t="s">
        <v>5389</v>
      </c>
      <c r="H833" t="s">
        <v>5390</v>
      </c>
      <c r="K833" s="31">
        <v>-25645.21</v>
      </c>
      <c r="M833" s="31">
        <v>-55500.43</v>
      </c>
      <c r="O833" s="31">
        <v>29855.22</v>
      </c>
      <c r="Q833">
        <v>53.8</v>
      </c>
    </row>
    <row r="834" spans="3:17">
      <c r="C834">
        <v>5360</v>
      </c>
      <c r="E834" t="s">
        <v>5391</v>
      </c>
      <c r="H834" t="s">
        <v>5392</v>
      </c>
      <c r="K834" s="31">
        <v>606439.97</v>
      </c>
      <c r="M834" s="31">
        <v>1423397.28</v>
      </c>
      <c r="O834" s="31">
        <v>-816957.31</v>
      </c>
      <c r="Q834">
        <v>-57.4</v>
      </c>
    </row>
    <row r="835" spans="3:17">
      <c r="C835">
        <v>5360</v>
      </c>
      <c r="E835" t="s">
        <v>5393</v>
      </c>
      <c r="H835" t="s">
        <v>5394</v>
      </c>
      <c r="K835">
        <v>887.3</v>
      </c>
      <c r="M835">
        <v>935.81</v>
      </c>
      <c r="O835">
        <v>-48.51</v>
      </c>
      <c r="Q835">
        <v>-5.2</v>
      </c>
    </row>
    <row r="836" spans="3:17">
      <c r="C836">
        <v>5360</v>
      </c>
      <c r="E836" t="s">
        <v>5395</v>
      </c>
      <c r="H836" t="s">
        <v>5194</v>
      </c>
      <c r="K836" s="31">
        <v>6877877.8899999997</v>
      </c>
      <c r="M836" s="31">
        <v>17379607.16</v>
      </c>
      <c r="O836" s="31">
        <v>-10501729.27</v>
      </c>
      <c r="Q836">
        <v>-60.4</v>
      </c>
    </row>
    <row r="837" spans="3:17">
      <c r="C837">
        <v>5360</v>
      </c>
      <c r="E837" t="s">
        <v>5396</v>
      </c>
      <c r="H837" t="s">
        <v>5397</v>
      </c>
      <c r="K837">
        <v>991.79</v>
      </c>
      <c r="M837" s="31">
        <v>2058.86</v>
      </c>
      <c r="O837" s="31">
        <v>-1067.07</v>
      </c>
      <c r="Q837">
        <v>-51.8</v>
      </c>
    </row>
    <row r="838" spans="3:17">
      <c r="C838">
        <v>5360</v>
      </c>
      <c r="E838" t="s">
        <v>5400</v>
      </c>
      <c r="H838" t="s">
        <v>5401</v>
      </c>
      <c r="K838" s="31">
        <v>4624.1499999999996</v>
      </c>
      <c r="M838" s="31">
        <v>4731.6499999999996</v>
      </c>
      <c r="O838">
        <v>-107.5</v>
      </c>
      <c r="Q838">
        <v>-2.2999999999999998</v>
      </c>
    </row>
    <row r="839" spans="3:17">
      <c r="C839">
        <v>5360</v>
      </c>
      <c r="E839" t="s">
        <v>5402</v>
      </c>
      <c r="H839" t="s">
        <v>5403</v>
      </c>
      <c r="K839" s="31">
        <v>2493514.69</v>
      </c>
      <c r="M839" s="31">
        <v>4634064.05</v>
      </c>
      <c r="O839" s="31">
        <v>-2140549.36</v>
      </c>
      <c r="Q839">
        <v>-46.2</v>
      </c>
    </row>
    <row r="840" spans="3:17">
      <c r="C840">
        <v>5360</v>
      </c>
      <c r="E840" t="s">
        <v>5404</v>
      </c>
      <c r="H840" t="s">
        <v>5196</v>
      </c>
      <c r="K840" s="31">
        <v>70888.92</v>
      </c>
      <c r="M840" s="31">
        <v>141769.45000000001</v>
      </c>
      <c r="O840" s="31">
        <v>-70880.53</v>
      </c>
      <c r="Q840">
        <v>-50</v>
      </c>
    </row>
    <row r="841" spans="3:17">
      <c r="C841">
        <v>5360</v>
      </c>
      <c r="E841" t="s">
        <v>5407</v>
      </c>
      <c r="H841" t="s">
        <v>5200</v>
      </c>
      <c r="K841" s="31">
        <v>-210592.78</v>
      </c>
      <c r="M841" s="31">
        <v>-539790.42000000004</v>
      </c>
      <c r="O841" s="31">
        <v>329197.64</v>
      </c>
      <c r="Q841">
        <v>61</v>
      </c>
    </row>
    <row r="842" spans="3:17">
      <c r="C842">
        <v>5360</v>
      </c>
      <c r="E842" t="s">
        <v>5408</v>
      </c>
      <c r="H842" t="s">
        <v>5409</v>
      </c>
      <c r="K842" s="31">
        <v>172910.34</v>
      </c>
      <c r="M842" s="31">
        <v>491662.59</v>
      </c>
      <c r="O842" s="31">
        <v>-318752.25</v>
      </c>
      <c r="Q842">
        <v>-64.8</v>
      </c>
    </row>
    <row r="843" spans="3:17">
      <c r="C843">
        <v>5360</v>
      </c>
      <c r="E843" t="s">
        <v>6003</v>
      </c>
      <c r="H843" t="s">
        <v>6004</v>
      </c>
      <c r="K843">
        <v>0</v>
      </c>
      <c r="M843" s="31">
        <v>-1026.9100000000001</v>
      </c>
      <c r="O843" s="31">
        <v>1026.9100000000001</v>
      </c>
      <c r="Q843">
        <v>100</v>
      </c>
    </row>
    <row r="844" spans="3:17">
      <c r="C844">
        <v>5360</v>
      </c>
      <c r="E844" t="s">
        <v>5410</v>
      </c>
      <c r="H844" t="s">
        <v>5411</v>
      </c>
      <c r="K844" s="31">
        <v>116486.72</v>
      </c>
      <c r="M844" s="31">
        <v>239157.07</v>
      </c>
      <c r="O844" s="31">
        <v>-122670.35</v>
      </c>
      <c r="Q844">
        <v>-51.3</v>
      </c>
    </row>
    <row r="845" spans="3:17">
      <c r="C845">
        <v>5360</v>
      </c>
      <c r="E845" t="s">
        <v>5412</v>
      </c>
      <c r="H845" t="s">
        <v>5413</v>
      </c>
      <c r="K845" s="31">
        <v>-34145.31</v>
      </c>
      <c r="M845" s="31">
        <v>-68290.62</v>
      </c>
      <c r="O845" s="31">
        <v>34145.31</v>
      </c>
      <c r="Q845">
        <v>50</v>
      </c>
    </row>
    <row r="846" spans="3:17">
      <c r="C846">
        <v>5360</v>
      </c>
      <c r="E846" t="s">
        <v>5414</v>
      </c>
      <c r="H846" t="s">
        <v>5415</v>
      </c>
      <c r="K846">
        <v>6.73</v>
      </c>
      <c r="M846">
        <v>51.04</v>
      </c>
      <c r="O846">
        <v>-44.31</v>
      </c>
      <c r="Q846">
        <v>-86.8</v>
      </c>
    </row>
    <row r="847" spans="3:17">
      <c r="C847">
        <v>5360</v>
      </c>
      <c r="E847" t="s">
        <v>5416</v>
      </c>
      <c r="H847" t="s">
        <v>5204</v>
      </c>
      <c r="K847" s="31">
        <v>-518534.3</v>
      </c>
      <c r="M847" s="31">
        <v>-884141.27</v>
      </c>
      <c r="O847" s="31">
        <v>365606.97</v>
      </c>
      <c r="Q847">
        <v>41.4</v>
      </c>
    </row>
    <row r="848" spans="3:17">
      <c r="C848">
        <v>5360</v>
      </c>
      <c r="E848" t="s">
        <v>5417</v>
      </c>
      <c r="H848" t="s">
        <v>5418</v>
      </c>
      <c r="K848">
        <v>229.11</v>
      </c>
      <c r="M848">
        <v>229.11</v>
      </c>
      <c r="O848">
        <v>0</v>
      </c>
    </row>
    <row r="849" spans="3:17">
      <c r="C849">
        <v>5360</v>
      </c>
      <c r="E849" t="s">
        <v>5423</v>
      </c>
      <c r="H849" t="s">
        <v>5206</v>
      </c>
      <c r="K849">
        <v>-168.12</v>
      </c>
      <c r="M849">
        <v>-322.86</v>
      </c>
      <c r="O849">
        <v>154.74</v>
      </c>
      <c r="Q849">
        <v>47.9</v>
      </c>
    </row>
    <row r="850" spans="3:17">
      <c r="C850">
        <v>5360</v>
      </c>
      <c r="E850" t="s">
        <v>5424</v>
      </c>
      <c r="H850" t="s">
        <v>5425</v>
      </c>
      <c r="K850" s="31">
        <v>20078.12</v>
      </c>
      <c r="M850" s="31">
        <v>20078.12</v>
      </c>
      <c r="O850">
        <v>0</v>
      </c>
    </row>
    <row r="851" spans="3:17">
      <c r="C851">
        <v>5360</v>
      </c>
      <c r="E851" t="s">
        <v>5426</v>
      </c>
      <c r="H851" t="s">
        <v>5425</v>
      </c>
      <c r="K851" s="31">
        <v>19151.43</v>
      </c>
      <c r="M851" s="31">
        <v>19151.43</v>
      </c>
      <c r="O851">
        <v>0</v>
      </c>
    </row>
    <row r="852" spans="3:17">
      <c r="C852">
        <v>5360</v>
      </c>
      <c r="E852" t="s">
        <v>5429</v>
      </c>
      <c r="H852" t="s">
        <v>5430</v>
      </c>
      <c r="K852">
        <v>-44.92</v>
      </c>
      <c r="M852">
        <v>-44.92</v>
      </c>
      <c r="O852">
        <v>0</v>
      </c>
    </row>
    <row r="853" spans="3:17">
      <c r="C853">
        <v>5360</v>
      </c>
      <c r="E853" t="s">
        <v>5436</v>
      </c>
      <c r="H853" t="s">
        <v>5437</v>
      </c>
      <c r="K853" s="31">
        <v>29727.26</v>
      </c>
      <c r="M853" s="31">
        <v>112023.67999999999</v>
      </c>
      <c r="O853" s="31">
        <v>-82296.42</v>
      </c>
      <c r="Q853">
        <v>-73.5</v>
      </c>
    </row>
    <row r="854" spans="3:17">
      <c r="C854">
        <v>5360</v>
      </c>
      <c r="E854" t="s">
        <v>5438</v>
      </c>
      <c r="H854" t="s">
        <v>5439</v>
      </c>
      <c r="K854">
        <v>150.63</v>
      </c>
      <c r="M854">
        <v>243.92</v>
      </c>
      <c r="O854">
        <v>-93.29</v>
      </c>
      <c r="Q854">
        <v>-38.200000000000003</v>
      </c>
    </row>
    <row r="855" spans="3:17">
      <c r="C855">
        <v>5360</v>
      </c>
      <c r="E855" t="s">
        <v>6005</v>
      </c>
      <c r="H855" t="s">
        <v>5993</v>
      </c>
      <c r="K855">
        <v>885.31</v>
      </c>
      <c r="M855" s="31">
        <v>1976.18</v>
      </c>
      <c r="O855" s="31">
        <v>-1090.8699999999999</v>
      </c>
      <c r="Q855">
        <v>-55.2</v>
      </c>
    </row>
    <row r="856" spans="3:17">
      <c r="C856">
        <v>5360</v>
      </c>
      <c r="E856" t="s">
        <v>5440</v>
      </c>
      <c r="H856" t="s">
        <v>312</v>
      </c>
      <c r="K856" s="31">
        <v>1200</v>
      </c>
      <c r="M856" s="31">
        <v>21200</v>
      </c>
      <c r="O856" s="31">
        <v>-20000</v>
      </c>
      <c r="Q856">
        <v>-94.3</v>
      </c>
    </row>
    <row r="857" spans="3:17">
      <c r="C857">
        <v>5360</v>
      </c>
      <c r="E857" t="s">
        <v>5443</v>
      </c>
      <c r="H857" t="s">
        <v>5444</v>
      </c>
      <c r="K857" s="31">
        <v>1004.19</v>
      </c>
      <c r="M857" s="31">
        <v>1789.38</v>
      </c>
      <c r="O857">
        <v>-785.19</v>
      </c>
      <c r="Q857">
        <v>-43.9</v>
      </c>
    </row>
    <row r="858" spans="3:17">
      <c r="C858">
        <v>5360</v>
      </c>
      <c r="E858" t="s">
        <v>5445</v>
      </c>
      <c r="H858" t="s">
        <v>322</v>
      </c>
      <c r="K858">
        <v>53.12</v>
      </c>
      <c r="M858" s="31">
        <v>321524.31</v>
      </c>
      <c r="O858" s="31">
        <v>-321471.19</v>
      </c>
      <c r="Q858">
        <v>-100</v>
      </c>
    </row>
    <row r="859" spans="3:17">
      <c r="C859">
        <v>5360</v>
      </c>
      <c r="E859" t="s">
        <v>5446</v>
      </c>
      <c r="H859" t="s">
        <v>5447</v>
      </c>
      <c r="K859">
        <v>-49.1</v>
      </c>
      <c r="M859">
        <v>-220.29</v>
      </c>
      <c r="O859">
        <v>171.19</v>
      </c>
      <c r="Q859">
        <v>77.7</v>
      </c>
    </row>
    <row r="860" spans="3:17">
      <c r="C860">
        <v>5360</v>
      </c>
      <c r="E860" t="s">
        <v>5448</v>
      </c>
      <c r="H860" t="s">
        <v>5449</v>
      </c>
      <c r="K860">
        <v>801.38</v>
      </c>
      <c r="M860" s="31">
        <v>6709.82</v>
      </c>
      <c r="O860" s="31">
        <v>-5908.44</v>
      </c>
      <c r="Q860">
        <v>-88.1</v>
      </c>
    </row>
    <row r="861" spans="3:17">
      <c r="C861">
        <v>5360</v>
      </c>
      <c r="E861" t="s">
        <v>5450</v>
      </c>
      <c r="H861" t="s">
        <v>5210</v>
      </c>
      <c r="K861" s="31">
        <v>111749.58</v>
      </c>
      <c r="M861" s="31">
        <v>111749.58</v>
      </c>
      <c r="O861">
        <v>0</v>
      </c>
    </row>
    <row r="862" spans="3:17">
      <c r="C862">
        <v>5360</v>
      </c>
      <c r="E862" t="s">
        <v>5451</v>
      </c>
      <c r="H862" t="s">
        <v>5212</v>
      </c>
      <c r="K862" s="31">
        <v>106591.85</v>
      </c>
      <c r="M862" s="31">
        <v>106591.85</v>
      </c>
      <c r="O862">
        <v>0</v>
      </c>
    </row>
    <row r="863" spans="3:17">
      <c r="C863">
        <v>5360</v>
      </c>
      <c r="E863" t="s">
        <v>6006</v>
      </c>
      <c r="H863" t="s">
        <v>5922</v>
      </c>
      <c r="K863" s="31">
        <v>390109.25</v>
      </c>
      <c r="M863" s="31">
        <v>823750.01</v>
      </c>
      <c r="O863" s="31">
        <v>-433640.76</v>
      </c>
      <c r="Q863">
        <v>-52.6</v>
      </c>
    </row>
    <row r="864" spans="3:17">
      <c r="C864">
        <v>5360</v>
      </c>
      <c r="E864" t="s">
        <v>6007</v>
      </c>
      <c r="H864" t="s">
        <v>5924</v>
      </c>
      <c r="K864" s="31">
        <v>-18680.13</v>
      </c>
      <c r="M864" s="31">
        <v>14104.8</v>
      </c>
      <c r="O864" s="31">
        <v>-32784.93</v>
      </c>
      <c r="Q864">
        <v>-232.4</v>
      </c>
    </row>
    <row r="865" spans="3:17">
      <c r="C865">
        <v>5360</v>
      </c>
      <c r="E865" t="s">
        <v>6008</v>
      </c>
      <c r="H865" t="s">
        <v>5926</v>
      </c>
      <c r="K865" s="31">
        <v>-230741.75</v>
      </c>
      <c r="M865" s="31">
        <v>-502893.01</v>
      </c>
      <c r="O865" s="31">
        <v>272151.26</v>
      </c>
      <c r="Q865">
        <v>54.1</v>
      </c>
    </row>
    <row r="866" spans="3:17">
      <c r="C866">
        <v>5360</v>
      </c>
      <c r="E866" t="s">
        <v>6009</v>
      </c>
      <c r="H866" t="s">
        <v>5928</v>
      </c>
      <c r="K866" s="31">
        <v>-73106</v>
      </c>
      <c r="M866" s="31">
        <v>-207452.72</v>
      </c>
      <c r="O866" s="31">
        <v>134346.72</v>
      </c>
      <c r="Q866">
        <v>64.8</v>
      </c>
    </row>
    <row r="867" spans="3:17">
      <c r="C867">
        <v>5360</v>
      </c>
      <c r="E867" t="s">
        <v>5452</v>
      </c>
      <c r="H867" t="s">
        <v>950</v>
      </c>
      <c r="K867" s="31">
        <v>359187.5</v>
      </c>
      <c r="M867" s="31">
        <v>719156.25</v>
      </c>
      <c r="O867" s="31">
        <v>-359968.75</v>
      </c>
      <c r="Q867">
        <v>-50.1</v>
      </c>
    </row>
    <row r="868" spans="3:17">
      <c r="C868">
        <v>5360</v>
      </c>
      <c r="E868" t="s">
        <v>5453</v>
      </c>
      <c r="H868" t="s">
        <v>5454</v>
      </c>
      <c r="K868" s="31">
        <v>2949.62</v>
      </c>
      <c r="M868" s="31">
        <v>5931.65</v>
      </c>
      <c r="O868" s="31">
        <v>-2982.03</v>
      </c>
      <c r="Q868">
        <v>-50.3</v>
      </c>
    </row>
    <row r="869" spans="3:17">
      <c r="C869">
        <v>5360</v>
      </c>
      <c r="E869" t="s">
        <v>5455</v>
      </c>
      <c r="H869" t="s">
        <v>120</v>
      </c>
      <c r="K869" s="31">
        <v>2054.2399999999998</v>
      </c>
      <c r="M869" s="31">
        <v>4576.09</v>
      </c>
      <c r="O869" s="31">
        <v>-2521.85</v>
      </c>
      <c r="Q869">
        <v>-55.1</v>
      </c>
    </row>
    <row r="870" spans="3:17">
      <c r="C870">
        <v>5360</v>
      </c>
      <c r="E870" t="s">
        <v>5456</v>
      </c>
      <c r="H870" t="s">
        <v>5457</v>
      </c>
      <c r="K870" s="31">
        <v>1465.69</v>
      </c>
      <c r="M870" s="31">
        <v>2975.46</v>
      </c>
      <c r="O870" s="31">
        <v>-1509.77</v>
      </c>
      <c r="Q870">
        <v>-50.7</v>
      </c>
    </row>
    <row r="871" spans="3:17">
      <c r="C871">
        <v>5360</v>
      </c>
      <c r="E871" t="s">
        <v>5458</v>
      </c>
      <c r="H871" t="s">
        <v>5226</v>
      </c>
      <c r="K871" s="31">
        <v>18220.96</v>
      </c>
      <c r="M871" s="31">
        <v>36510.32</v>
      </c>
      <c r="O871" s="31">
        <v>-18289.36</v>
      </c>
      <c r="Q871">
        <v>-50.1</v>
      </c>
    </row>
    <row r="872" spans="3:17">
      <c r="C872">
        <v>5360</v>
      </c>
      <c r="E872" t="s">
        <v>5459</v>
      </c>
      <c r="H872" t="s">
        <v>5460</v>
      </c>
      <c r="K872" s="31">
        <v>2542.83</v>
      </c>
      <c r="M872" s="31">
        <v>5095.2299999999996</v>
      </c>
      <c r="O872" s="31">
        <v>-2552.4</v>
      </c>
      <c r="Q872">
        <v>-50.1</v>
      </c>
    </row>
    <row r="873" spans="3:17">
      <c r="C873">
        <v>5360</v>
      </c>
      <c r="E873" t="s">
        <v>5461</v>
      </c>
      <c r="H873" t="s">
        <v>5462</v>
      </c>
      <c r="K873" s="31">
        <v>-208041.74</v>
      </c>
      <c r="M873" s="31">
        <v>-355490.48</v>
      </c>
      <c r="O873" s="31">
        <v>147448.74</v>
      </c>
      <c r="Q873">
        <v>41.5</v>
      </c>
    </row>
    <row r="874" spans="3:17">
      <c r="C874">
        <v>5360</v>
      </c>
      <c r="E874" t="s">
        <v>5463</v>
      </c>
      <c r="H874" t="s">
        <v>5464</v>
      </c>
      <c r="K874">
        <v>-189.6</v>
      </c>
      <c r="M874">
        <v>-189.6</v>
      </c>
      <c r="O874">
        <v>0</v>
      </c>
    </row>
    <row r="875" spans="3:17">
      <c r="C875">
        <v>5360</v>
      </c>
      <c r="E875" t="s">
        <v>3670</v>
      </c>
      <c r="H875" t="s">
        <v>3604</v>
      </c>
      <c r="K875" s="31">
        <v>-22379825.039999999</v>
      </c>
      <c r="M875" s="31">
        <v>-39506840.479999997</v>
      </c>
      <c r="O875" s="31">
        <v>17127015.440000001</v>
      </c>
      <c r="Q875">
        <v>43.4</v>
      </c>
    </row>
    <row r="876" spans="3:17">
      <c r="C876">
        <v>5360</v>
      </c>
      <c r="E876" t="s">
        <v>5468</v>
      </c>
      <c r="H876" t="s">
        <v>5469</v>
      </c>
      <c r="K876" s="31">
        <v>-21333427.940000001</v>
      </c>
      <c r="M876" s="31">
        <v>-28162882.780000001</v>
      </c>
      <c r="O876" s="31">
        <v>6829454.8399999999</v>
      </c>
      <c r="Q876">
        <v>24.2</v>
      </c>
    </row>
    <row r="877" spans="3:17">
      <c r="C877">
        <v>5360</v>
      </c>
      <c r="E877" t="s">
        <v>5470</v>
      </c>
      <c r="H877" t="s">
        <v>1084</v>
      </c>
      <c r="K877" s="31">
        <v>-1888370.4</v>
      </c>
      <c r="M877" s="31">
        <v>-2694960.25</v>
      </c>
      <c r="O877" s="31">
        <v>806589.85</v>
      </c>
      <c r="Q877">
        <v>29.9</v>
      </c>
    </row>
    <row r="878" spans="3:17">
      <c r="C878">
        <v>5360</v>
      </c>
      <c r="E878" t="s">
        <v>5471</v>
      </c>
      <c r="H878" t="s">
        <v>5472</v>
      </c>
      <c r="K878" s="31">
        <v>-17135269.739999998</v>
      </c>
      <c r="M878" s="31">
        <v>-25426201.809999999</v>
      </c>
      <c r="O878" s="31">
        <v>8290932.0700000003</v>
      </c>
      <c r="Q878">
        <v>32.6</v>
      </c>
    </row>
    <row r="879" spans="3:17">
      <c r="C879">
        <v>5360</v>
      </c>
      <c r="E879" t="s">
        <v>5473</v>
      </c>
      <c r="H879" t="s">
        <v>5474</v>
      </c>
      <c r="K879" s="31">
        <v>-511894.71</v>
      </c>
      <c r="M879" s="31">
        <v>-753254.27</v>
      </c>
      <c r="O879" s="31">
        <v>241359.56</v>
      </c>
      <c r="Q879">
        <v>32</v>
      </c>
    </row>
    <row r="880" spans="3:17">
      <c r="C880">
        <v>5360</v>
      </c>
      <c r="E880" t="s">
        <v>5475</v>
      </c>
      <c r="H880" t="s">
        <v>5476</v>
      </c>
      <c r="K880" s="31">
        <v>-974284.95</v>
      </c>
      <c r="M880" s="31">
        <v>-2895532.03</v>
      </c>
      <c r="O880" s="31">
        <v>1921247.08</v>
      </c>
      <c r="Q880">
        <v>66.400000000000006</v>
      </c>
    </row>
    <row r="881" spans="3:17">
      <c r="C881">
        <v>5360</v>
      </c>
      <c r="E881" t="s">
        <v>5477</v>
      </c>
      <c r="H881" t="s">
        <v>5478</v>
      </c>
      <c r="K881" s="31">
        <v>12273.78</v>
      </c>
      <c r="M881" s="31">
        <v>17542.93</v>
      </c>
      <c r="O881" s="31">
        <v>-5269.15</v>
      </c>
      <c r="Q881">
        <v>-30</v>
      </c>
    </row>
    <row r="882" spans="3:17">
      <c r="C882">
        <v>5360</v>
      </c>
      <c r="E882" t="s">
        <v>3664</v>
      </c>
      <c r="H882" t="s">
        <v>3605</v>
      </c>
      <c r="K882" s="31">
        <v>-11210755.01</v>
      </c>
      <c r="M882" s="31">
        <v>-19653438.469999999</v>
      </c>
      <c r="O882" s="31">
        <v>8442683.4600000009</v>
      </c>
      <c r="Q882">
        <v>43</v>
      </c>
    </row>
    <row r="883" spans="3:17">
      <c r="C883">
        <v>5360</v>
      </c>
      <c r="E883" t="s">
        <v>5479</v>
      </c>
      <c r="H883" t="s">
        <v>5480</v>
      </c>
      <c r="K883" s="31">
        <v>-82874.850000000006</v>
      </c>
      <c r="M883" s="31">
        <v>-102859.46</v>
      </c>
      <c r="O883" s="31">
        <v>19984.61</v>
      </c>
      <c r="Q883">
        <v>19.399999999999999</v>
      </c>
    </row>
    <row r="884" spans="3:17">
      <c r="C884">
        <v>5360</v>
      </c>
      <c r="E884" t="s">
        <v>5481</v>
      </c>
      <c r="H884" t="s">
        <v>5482</v>
      </c>
      <c r="K884" s="31">
        <v>-283913</v>
      </c>
      <c r="M884" s="31">
        <v>-465784.58</v>
      </c>
      <c r="O884" s="31">
        <v>181871.58</v>
      </c>
      <c r="Q884">
        <v>39</v>
      </c>
    </row>
    <row r="885" spans="3:17">
      <c r="C885">
        <v>5360</v>
      </c>
      <c r="E885" t="s">
        <v>5483</v>
      </c>
      <c r="H885" t="s">
        <v>295</v>
      </c>
      <c r="K885" s="31">
        <v>-517190.40000000002</v>
      </c>
      <c r="M885" s="31">
        <v>-1034380.8</v>
      </c>
      <c r="O885" s="31">
        <v>517190.40000000002</v>
      </c>
      <c r="Q885">
        <v>50</v>
      </c>
    </row>
    <row r="886" spans="3:17">
      <c r="C886">
        <v>5360</v>
      </c>
      <c r="E886" t="s">
        <v>1763</v>
      </c>
      <c r="H886" t="s">
        <v>3532</v>
      </c>
      <c r="K886" s="31">
        <v>-1101889.68</v>
      </c>
      <c r="M886" s="31">
        <v>-3025311.44</v>
      </c>
      <c r="O886" s="31">
        <v>1923421.76</v>
      </c>
      <c r="Q886">
        <v>63.6</v>
      </c>
    </row>
    <row r="887" spans="3:17">
      <c r="C887">
        <v>5360</v>
      </c>
      <c r="E887" t="s">
        <v>1937</v>
      </c>
      <c r="H887" t="s">
        <v>5484</v>
      </c>
      <c r="K887">
        <v>306.72000000000003</v>
      </c>
      <c r="M887">
        <v>306.72000000000003</v>
      </c>
      <c r="O887">
        <v>0</v>
      </c>
    </row>
    <row r="888" spans="3:17">
      <c r="C888">
        <v>5360</v>
      </c>
      <c r="E888" t="s">
        <v>1770</v>
      </c>
      <c r="H888" t="s">
        <v>1365</v>
      </c>
      <c r="K888" s="31">
        <v>1112525.0900000001</v>
      </c>
      <c r="M888" s="31">
        <v>1421336.13</v>
      </c>
      <c r="O888" s="31">
        <v>-308811.03999999998</v>
      </c>
      <c r="Q888">
        <v>-21.7</v>
      </c>
    </row>
    <row r="889" spans="3:17">
      <c r="C889">
        <v>5360</v>
      </c>
      <c r="E889" t="s">
        <v>2062</v>
      </c>
      <c r="H889" t="s">
        <v>1369</v>
      </c>
      <c r="K889" s="31">
        <v>-279556.28999999998</v>
      </c>
      <c r="M889" s="31">
        <v>-419563.73</v>
      </c>
      <c r="O889" s="31">
        <v>140007.44</v>
      </c>
      <c r="Q889">
        <v>33.4</v>
      </c>
    </row>
    <row r="890" spans="3:17">
      <c r="C890">
        <v>5360</v>
      </c>
      <c r="E890" t="s">
        <v>3535</v>
      </c>
      <c r="H890" t="s">
        <v>5485</v>
      </c>
      <c r="K890" s="31">
        <v>279556.28999999998</v>
      </c>
      <c r="M890" s="31">
        <v>354101.69</v>
      </c>
      <c r="O890" s="31">
        <v>-74545.399999999994</v>
      </c>
      <c r="Q890">
        <v>-21.1</v>
      </c>
    </row>
    <row r="891" spans="3:17">
      <c r="C891">
        <v>5360</v>
      </c>
      <c r="E891" t="s">
        <v>6010</v>
      </c>
      <c r="H891" t="s">
        <v>6011</v>
      </c>
      <c r="K891" s="31">
        <v>2364685.6</v>
      </c>
      <c r="M891">
        <v>0</v>
      </c>
      <c r="O891" s="31">
        <v>2364685.6</v>
      </c>
    </row>
    <row r="892" spans="3:17">
      <c r="C892">
        <v>5360</v>
      </c>
      <c r="E892" t="s">
        <v>5486</v>
      </c>
      <c r="H892" t="s">
        <v>5237</v>
      </c>
      <c r="K892" s="31">
        <v>5935127</v>
      </c>
      <c r="M892" s="31">
        <v>11911164.279999999</v>
      </c>
      <c r="O892" s="31">
        <v>-5976037.2800000003</v>
      </c>
      <c r="Q892">
        <v>-50.2</v>
      </c>
    </row>
    <row r="893" spans="3:17">
      <c r="C893">
        <v>5360</v>
      </c>
      <c r="E893" t="s">
        <v>5487</v>
      </c>
      <c r="H893" t="s">
        <v>5488</v>
      </c>
      <c r="K893" s="31">
        <v>-3309453.01</v>
      </c>
      <c r="M893" s="31">
        <v>-6969864.1900000004</v>
      </c>
      <c r="O893" s="31">
        <v>3660411.18</v>
      </c>
      <c r="Q893">
        <v>52.5</v>
      </c>
    </row>
    <row r="894" spans="3:17">
      <c r="C894">
        <v>5360</v>
      </c>
      <c r="E894" t="s">
        <v>5489</v>
      </c>
      <c r="H894" t="s">
        <v>5490</v>
      </c>
      <c r="K894" s="31">
        <v>-342602.04</v>
      </c>
      <c r="M894" s="31">
        <v>-662506.99</v>
      </c>
      <c r="O894" s="31">
        <v>319904.95</v>
      </c>
      <c r="Q894">
        <v>48.3</v>
      </c>
    </row>
    <row r="895" spans="3:17">
      <c r="C895">
        <v>5360</v>
      </c>
      <c r="E895" t="s">
        <v>5491</v>
      </c>
      <c r="H895" t="s">
        <v>5492</v>
      </c>
      <c r="K895" s="31">
        <v>779262.01</v>
      </c>
      <c r="M895" s="31">
        <v>1647031.28</v>
      </c>
      <c r="O895" s="31">
        <v>-867769.27</v>
      </c>
      <c r="Q895">
        <v>-52.7</v>
      </c>
    </row>
    <row r="896" spans="3:17">
      <c r="C896">
        <v>5360</v>
      </c>
      <c r="E896" t="s">
        <v>5493</v>
      </c>
      <c r="H896" t="s">
        <v>5494</v>
      </c>
      <c r="K896" s="31">
        <v>2725.37</v>
      </c>
      <c r="M896" s="31">
        <v>-66304.14</v>
      </c>
      <c r="O896" s="31">
        <v>69029.509999999995</v>
      </c>
      <c r="Q896">
        <v>104.1</v>
      </c>
    </row>
    <row r="897" spans="3:17">
      <c r="C897">
        <v>5360</v>
      </c>
      <c r="E897" t="s">
        <v>5495</v>
      </c>
      <c r="H897" t="s">
        <v>5241</v>
      </c>
      <c r="K897" s="31">
        <v>477868.67</v>
      </c>
      <c r="M897" s="31">
        <v>900167</v>
      </c>
      <c r="O897" s="31">
        <v>-422298.33</v>
      </c>
      <c r="Q897">
        <v>-46.9</v>
      </c>
    </row>
    <row r="898" spans="3:17">
      <c r="C898">
        <v>5360</v>
      </c>
      <c r="E898" t="s">
        <v>5496</v>
      </c>
      <c r="H898" t="s">
        <v>5497</v>
      </c>
      <c r="K898" s="31">
        <v>-2569951.9300000002</v>
      </c>
      <c r="M898" s="31">
        <v>-4964194.38</v>
      </c>
      <c r="O898" s="31">
        <v>2394242.4500000002</v>
      </c>
      <c r="Q898">
        <v>48.2</v>
      </c>
    </row>
    <row r="899" spans="3:17">
      <c r="C899">
        <v>5360</v>
      </c>
      <c r="E899" t="s">
        <v>5498</v>
      </c>
      <c r="H899" t="s">
        <v>5499</v>
      </c>
      <c r="K899" s="31">
        <v>-74066.17</v>
      </c>
      <c r="M899" s="31">
        <v>-124977.93</v>
      </c>
      <c r="O899" s="31">
        <v>50911.76</v>
      </c>
      <c r="Q899">
        <v>40.700000000000003</v>
      </c>
    </row>
    <row r="900" spans="3:17">
      <c r="C900">
        <v>5360</v>
      </c>
      <c r="E900" t="s">
        <v>5500</v>
      </c>
      <c r="H900" t="s">
        <v>5501</v>
      </c>
      <c r="K900" s="31">
        <v>5940194.8399999999</v>
      </c>
      <c r="M900" s="31">
        <v>11724167.32</v>
      </c>
      <c r="O900" s="31">
        <v>-5783972.4800000004</v>
      </c>
      <c r="Q900">
        <v>-49.3</v>
      </c>
    </row>
    <row r="901" spans="3:17">
      <c r="C901">
        <v>5360</v>
      </c>
      <c r="E901" t="s">
        <v>5502</v>
      </c>
      <c r="H901" t="s">
        <v>5245</v>
      </c>
      <c r="K901" s="31">
        <v>2796895.58</v>
      </c>
      <c r="M901" s="31">
        <v>5901082.3200000003</v>
      </c>
      <c r="O901" s="31">
        <v>-3104186.74</v>
      </c>
      <c r="Q901">
        <v>-52.6</v>
      </c>
    </row>
    <row r="902" spans="3:17">
      <c r="C902">
        <v>5360</v>
      </c>
      <c r="E902" t="s">
        <v>5503</v>
      </c>
      <c r="H902" t="s">
        <v>5504</v>
      </c>
      <c r="K902" s="31">
        <v>-1766098.29</v>
      </c>
      <c r="M902" s="31">
        <v>-3891723.75</v>
      </c>
      <c r="O902" s="31">
        <v>2125625.46</v>
      </c>
      <c r="Q902">
        <v>54.6</v>
      </c>
    </row>
    <row r="903" spans="3:17">
      <c r="C903">
        <v>5360</v>
      </c>
      <c r="E903" t="s">
        <v>5505</v>
      </c>
      <c r="H903" t="s">
        <v>5506</v>
      </c>
      <c r="K903" s="31">
        <v>-43538.18</v>
      </c>
      <c r="M903" s="31">
        <v>-86928.59</v>
      </c>
      <c r="O903" s="31">
        <v>43390.41</v>
      </c>
      <c r="Q903">
        <v>49.9</v>
      </c>
    </row>
    <row r="904" spans="3:17">
      <c r="C904">
        <v>5360</v>
      </c>
      <c r="E904" t="s">
        <v>5507</v>
      </c>
      <c r="H904" t="s">
        <v>5508</v>
      </c>
      <c r="K904" s="31">
        <v>280283.24</v>
      </c>
      <c r="M904" s="31">
        <v>633041.17000000004</v>
      </c>
      <c r="O904" s="31">
        <v>-352757.93</v>
      </c>
      <c r="Q904">
        <v>-55.7</v>
      </c>
    </row>
    <row r="905" spans="3:17">
      <c r="C905">
        <v>5360</v>
      </c>
      <c r="E905" t="s">
        <v>5509</v>
      </c>
      <c r="H905" t="s">
        <v>5249</v>
      </c>
      <c r="K905" s="31">
        <v>1427.96</v>
      </c>
      <c r="M905" s="31">
        <v>1427.96</v>
      </c>
      <c r="O905">
        <v>0</v>
      </c>
    </row>
    <row r="906" spans="3:17">
      <c r="C906">
        <v>5360</v>
      </c>
      <c r="E906" t="s">
        <v>5510</v>
      </c>
      <c r="H906" t="s">
        <v>5511</v>
      </c>
      <c r="K906">
        <v>-93.05</v>
      </c>
      <c r="M906">
        <v>-97.08</v>
      </c>
      <c r="O906">
        <v>4.03</v>
      </c>
      <c r="Q906">
        <v>4.2</v>
      </c>
    </row>
    <row r="907" spans="3:17">
      <c r="C907">
        <v>5360</v>
      </c>
      <c r="E907" t="s">
        <v>5514</v>
      </c>
      <c r="H907" t="s">
        <v>5515</v>
      </c>
      <c r="K907" s="31">
        <v>47803.44</v>
      </c>
      <c r="M907" s="31">
        <v>94141.440000000002</v>
      </c>
      <c r="O907" s="31">
        <v>-46338</v>
      </c>
      <c r="Q907">
        <v>-49.2</v>
      </c>
    </row>
    <row r="908" spans="3:17">
      <c r="C908">
        <v>5360</v>
      </c>
      <c r="E908" t="s">
        <v>5516</v>
      </c>
      <c r="H908" t="s">
        <v>5251</v>
      </c>
      <c r="K908" s="31">
        <v>805997.81</v>
      </c>
      <c r="M908" s="31">
        <v>849710.26</v>
      </c>
      <c r="O908" s="31">
        <v>-43712.45</v>
      </c>
      <c r="Q908">
        <v>-5.0999999999999996</v>
      </c>
    </row>
    <row r="909" spans="3:17">
      <c r="C909">
        <v>5360</v>
      </c>
      <c r="E909" t="s">
        <v>5517</v>
      </c>
      <c r="H909" t="s">
        <v>5518</v>
      </c>
      <c r="K909" s="31">
        <v>-403449.37</v>
      </c>
      <c r="M909" s="31">
        <v>-769731.23</v>
      </c>
      <c r="O909" s="31">
        <v>366281.86</v>
      </c>
      <c r="Q909">
        <v>47.6</v>
      </c>
    </row>
    <row r="910" spans="3:17">
      <c r="C910">
        <v>5360</v>
      </c>
      <c r="E910" t="s">
        <v>5519</v>
      </c>
      <c r="H910" t="s">
        <v>5520</v>
      </c>
      <c r="K910">
        <v>-685.88</v>
      </c>
      <c r="M910" s="31">
        <v>-1376.36</v>
      </c>
      <c r="O910">
        <v>690.48</v>
      </c>
      <c r="Q910">
        <v>50.2</v>
      </c>
    </row>
    <row r="911" spans="3:17">
      <c r="C911">
        <v>5360</v>
      </c>
      <c r="E911" t="s">
        <v>5521</v>
      </c>
      <c r="H911" t="s">
        <v>5522</v>
      </c>
      <c r="K911" s="31">
        <v>190567.15</v>
      </c>
      <c r="M911" s="31">
        <v>1085954.07</v>
      </c>
      <c r="O911" s="31">
        <v>-895386.92</v>
      </c>
      <c r="Q911">
        <v>-82.5</v>
      </c>
    </row>
    <row r="912" spans="3:17">
      <c r="C912">
        <v>5360</v>
      </c>
      <c r="E912" t="s">
        <v>5525</v>
      </c>
      <c r="H912" t="s">
        <v>5526</v>
      </c>
      <c r="K912" s="31">
        <v>8120.99</v>
      </c>
      <c r="M912" s="31">
        <v>21675.27</v>
      </c>
      <c r="O912" s="31">
        <v>-13554.28</v>
      </c>
      <c r="Q912">
        <v>-62.5</v>
      </c>
    </row>
    <row r="913" spans="3:17">
      <c r="C913">
        <v>5360</v>
      </c>
      <c r="E913" t="s">
        <v>5529</v>
      </c>
      <c r="H913" t="s">
        <v>5530</v>
      </c>
      <c r="K913" s="31">
        <v>25074.61</v>
      </c>
      <c r="M913" s="31">
        <v>27260.09</v>
      </c>
      <c r="O913" s="31">
        <v>-2185.48</v>
      </c>
      <c r="Q913">
        <v>-8</v>
      </c>
    </row>
    <row r="914" spans="3:17">
      <c r="C914">
        <v>5360</v>
      </c>
      <c r="E914" t="s">
        <v>5531</v>
      </c>
      <c r="H914" t="s">
        <v>5532</v>
      </c>
      <c r="K914" s="31">
        <v>26568.92</v>
      </c>
      <c r="M914" s="31">
        <v>45301.3</v>
      </c>
      <c r="O914" s="31">
        <v>-18732.38</v>
      </c>
      <c r="Q914">
        <v>-41.4</v>
      </c>
    </row>
    <row r="915" spans="3:17">
      <c r="C915">
        <v>5360</v>
      </c>
      <c r="E915" t="s">
        <v>5533</v>
      </c>
      <c r="H915" t="s">
        <v>5255</v>
      </c>
      <c r="K915" s="31">
        <v>346115.8</v>
      </c>
      <c r="M915" s="31">
        <v>656467.64</v>
      </c>
      <c r="O915" s="31">
        <v>-310351.84000000003</v>
      </c>
      <c r="Q915">
        <v>-47.3</v>
      </c>
    </row>
    <row r="916" spans="3:17">
      <c r="C916">
        <v>5360</v>
      </c>
      <c r="E916" t="s">
        <v>5534</v>
      </c>
      <c r="H916" t="s">
        <v>5535</v>
      </c>
      <c r="K916" s="31">
        <v>-176196.66</v>
      </c>
      <c r="M916" s="31">
        <v>-375813.09</v>
      </c>
      <c r="O916" s="31">
        <v>199616.43</v>
      </c>
      <c r="Q916">
        <v>53.1</v>
      </c>
    </row>
    <row r="917" spans="3:17">
      <c r="C917">
        <v>5360</v>
      </c>
      <c r="E917" t="s">
        <v>5536</v>
      </c>
      <c r="H917" t="s">
        <v>5537</v>
      </c>
      <c r="K917" s="31">
        <v>-9487.14</v>
      </c>
      <c r="M917" s="31">
        <v>-19631.52</v>
      </c>
      <c r="O917" s="31">
        <v>10144.379999999999</v>
      </c>
      <c r="Q917">
        <v>51.7</v>
      </c>
    </row>
    <row r="918" spans="3:17">
      <c r="C918">
        <v>5360</v>
      </c>
      <c r="E918" t="s">
        <v>5538</v>
      </c>
      <c r="H918" t="s">
        <v>5539</v>
      </c>
      <c r="K918" s="31">
        <v>-15101.2</v>
      </c>
      <c r="M918" s="31">
        <v>20349.71</v>
      </c>
      <c r="O918" s="31">
        <v>-35450.910000000003</v>
      </c>
      <c r="Q918">
        <v>-174.2</v>
      </c>
    </row>
    <row r="919" spans="3:17">
      <c r="C919">
        <v>5360</v>
      </c>
      <c r="E919" t="s">
        <v>5542</v>
      </c>
      <c r="H919" t="s">
        <v>5257</v>
      </c>
      <c r="K919" s="31">
        <v>1825932.31</v>
      </c>
      <c r="M919" s="31">
        <v>3859981.77</v>
      </c>
      <c r="O919" s="31">
        <v>-2034049.46</v>
      </c>
      <c r="Q919">
        <v>-52.7</v>
      </c>
    </row>
    <row r="920" spans="3:17">
      <c r="C920">
        <v>5360</v>
      </c>
      <c r="E920" t="s">
        <v>5543</v>
      </c>
      <c r="H920" t="s">
        <v>5544</v>
      </c>
      <c r="K920" s="31">
        <v>-1398212.28</v>
      </c>
      <c r="M920" s="31">
        <v>-3088855.01</v>
      </c>
      <c r="O920" s="31">
        <v>1690642.73</v>
      </c>
      <c r="Q920">
        <v>54.7</v>
      </c>
    </row>
    <row r="921" spans="3:17">
      <c r="C921">
        <v>5360</v>
      </c>
      <c r="E921" t="s">
        <v>5545</v>
      </c>
      <c r="H921" t="s">
        <v>5546</v>
      </c>
      <c r="K921" s="31">
        <v>-54898.68</v>
      </c>
      <c r="M921" s="31">
        <v>-119925.41</v>
      </c>
      <c r="O921" s="31">
        <v>65026.73</v>
      </c>
      <c r="Q921">
        <v>54.2</v>
      </c>
    </row>
    <row r="922" spans="3:17">
      <c r="C922">
        <v>5360</v>
      </c>
      <c r="E922" t="s">
        <v>5547</v>
      </c>
      <c r="H922" t="s">
        <v>5548</v>
      </c>
      <c r="K922" s="31">
        <v>993171.52</v>
      </c>
      <c r="M922" s="31">
        <v>2272659.52</v>
      </c>
      <c r="O922" s="31">
        <v>-1279488</v>
      </c>
      <c r="Q922">
        <v>-56.3</v>
      </c>
    </row>
    <row r="923" spans="3:17">
      <c r="C923">
        <v>5360</v>
      </c>
      <c r="E923" t="s">
        <v>5549</v>
      </c>
      <c r="H923" t="s">
        <v>5261</v>
      </c>
      <c r="K923" s="31">
        <v>618044.78</v>
      </c>
      <c r="M923" s="31">
        <v>1191288.52</v>
      </c>
      <c r="O923" s="31">
        <v>-573243.74</v>
      </c>
      <c r="Q923">
        <v>-48.1</v>
      </c>
    </row>
    <row r="924" spans="3:17">
      <c r="C924">
        <v>5360</v>
      </c>
      <c r="E924" t="s">
        <v>5550</v>
      </c>
      <c r="H924" t="s">
        <v>5551</v>
      </c>
      <c r="K924" s="31">
        <v>-530698.15</v>
      </c>
      <c r="M924" s="31">
        <v>-1029296.93</v>
      </c>
      <c r="O924" s="31">
        <v>498598.78</v>
      </c>
      <c r="Q924">
        <v>48.4</v>
      </c>
    </row>
    <row r="925" spans="3:17">
      <c r="C925">
        <v>5360</v>
      </c>
      <c r="E925" t="s">
        <v>5552</v>
      </c>
      <c r="H925" t="s">
        <v>5553</v>
      </c>
      <c r="K925" s="31">
        <v>-9626.42</v>
      </c>
      <c r="M925" s="31">
        <v>-19553.32</v>
      </c>
      <c r="O925" s="31">
        <v>9926.9</v>
      </c>
      <c r="Q925">
        <v>50.8</v>
      </c>
    </row>
    <row r="926" spans="3:17">
      <c r="C926">
        <v>5360</v>
      </c>
      <c r="E926" t="s">
        <v>5554</v>
      </c>
      <c r="H926" t="s">
        <v>5263</v>
      </c>
      <c r="K926" s="31">
        <v>148201.03</v>
      </c>
      <c r="M926" s="31">
        <v>292562.46999999997</v>
      </c>
      <c r="O926" s="31">
        <v>-144361.44</v>
      </c>
      <c r="Q926">
        <v>-49.3</v>
      </c>
    </row>
    <row r="927" spans="3:17">
      <c r="C927">
        <v>5360</v>
      </c>
      <c r="E927" t="s">
        <v>5555</v>
      </c>
      <c r="H927" t="s">
        <v>5265</v>
      </c>
      <c r="K927" s="31">
        <v>64786.44</v>
      </c>
      <c r="M927">
        <v>-488.3</v>
      </c>
      <c r="O927" s="31">
        <v>65274.74</v>
      </c>
      <c r="Q927">
        <v>13367.8</v>
      </c>
    </row>
    <row r="928" spans="3:17">
      <c r="C928">
        <v>5360</v>
      </c>
      <c r="E928" t="s">
        <v>5556</v>
      </c>
      <c r="H928" t="s">
        <v>5557</v>
      </c>
      <c r="K928" s="31">
        <v>-60854.25</v>
      </c>
      <c r="M928" s="31">
        <v>-49931.07</v>
      </c>
      <c r="O928" s="31">
        <v>-10923.18</v>
      </c>
      <c r="Q928">
        <v>-21.9</v>
      </c>
    </row>
    <row r="929" spans="3:17">
      <c r="C929">
        <v>5360</v>
      </c>
      <c r="E929" t="s">
        <v>5558</v>
      </c>
      <c r="H929" t="s">
        <v>5559</v>
      </c>
      <c r="K929" s="31">
        <v>1270.19</v>
      </c>
      <c r="M929" s="31">
        <v>4974.88</v>
      </c>
      <c r="O929" s="31">
        <v>-3704.69</v>
      </c>
      <c r="Q929">
        <v>-74.5</v>
      </c>
    </row>
    <row r="930" spans="3:17">
      <c r="C930">
        <v>5360</v>
      </c>
      <c r="E930" t="s">
        <v>5561</v>
      </c>
      <c r="H930" t="s">
        <v>5267</v>
      </c>
      <c r="K930" s="31">
        <v>5935.03</v>
      </c>
      <c r="M930" s="31">
        <v>19835.189999999999</v>
      </c>
      <c r="O930" s="31">
        <v>-13900.16</v>
      </c>
      <c r="Q930">
        <v>-70.099999999999994</v>
      </c>
    </row>
    <row r="931" spans="3:17">
      <c r="C931">
        <v>5360</v>
      </c>
      <c r="E931" t="s">
        <v>5562</v>
      </c>
      <c r="H931" t="s">
        <v>5269</v>
      </c>
      <c r="K931" s="31">
        <v>1283323.78</v>
      </c>
      <c r="M931" s="31">
        <v>3552228.97</v>
      </c>
      <c r="O931" s="31">
        <v>-2268905.19</v>
      </c>
      <c r="Q931">
        <v>-63.9</v>
      </c>
    </row>
    <row r="932" spans="3:17">
      <c r="C932">
        <v>5360</v>
      </c>
      <c r="E932" t="s">
        <v>5563</v>
      </c>
      <c r="H932" t="s">
        <v>5564</v>
      </c>
      <c r="K932" s="31">
        <v>-4873165.6399999997</v>
      </c>
      <c r="M932" s="31">
        <v>-11375302.060000001</v>
      </c>
      <c r="O932" s="31">
        <v>6502136.4199999999</v>
      </c>
      <c r="Q932">
        <v>57.2</v>
      </c>
    </row>
    <row r="933" spans="3:17">
      <c r="C933">
        <v>5360</v>
      </c>
      <c r="E933" t="s">
        <v>5565</v>
      </c>
      <c r="H933" t="s">
        <v>5566</v>
      </c>
      <c r="K933" s="31">
        <v>-35746.199999999997</v>
      </c>
      <c r="M933" s="31">
        <v>-106733.98</v>
      </c>
      <c r="O933" s="31">
        <v>70987.78</v>
      </c>
      <c r="Q933">
        <v>66.5</v>
      </c>
    </row>
    <row r="934" spans="3:17">
      <c r="C934">
        <v>5360</v>
      </c>
      <c r="E934" t="s">
        <v>5567</v>
      </c>
      <c r="H934" t="s">
        <v>5271</v>
      </c>
      <c r="K934" s="31">
        <v>4740122.83</v>
      </c>
      <c r="M934" s="31">
        <v>10592386.76</v>
      </c>
      <c r="O934" s="31">
        <v>-5852263.9299999997</v>
      </c>
      <c r="Q934">
        <v>-55.2</v>
      </c>
    </row>
    <row r="935" spans="3:17">
      <c r="C935">
        <v>5360</v>
      </c>
      <c r="E935" t="s">
        <v>5568</v>
      </c>
      <c r="H935" t="s">
        <v>5273</v>
      </c>
      <c r="K935" s="31">
        <v>180374.88</v>
      </c>
      <c r="M935" s="31">
        <v>393929.56</v>
      </c>
      <c r="O935" s="31">
        <v>-213554.68</v>
      </c>
      <c r="Q935">
        <v>-54.2</v>
      </c>
    </row>
    <row r="936" spans="3:17">
      <c r="C936">
        <v>5360</v>
      </c>
      <c r="E936" t="s">
        <v>5569</v>
      </c>
      <c r="H936" t="s">
        <v>5570</v>
      </c>
      <c r="K936" s="31">
        <v>-540341.05000000005</v>
      </c>
      <c r="M936" s="31">
        <v>-1133332.47</v>
      </c>
      <c r="O936" s="31">
        <v>592991.42000000004</v>
      </c>
      <c r="Q936">
        <v>52.3</v>
      </c>
    </row>
    <row r="937" spans="3:17">
      <c r="C937">
        <v>5360</v>
      </c>
      <c r="E937" t="s">
        <v>5571</v>
      </c>
      <c r="H937" t="s">
        <v>5572</v>
      </c>
      <c r="K937" s="31">
        <v>-6419.97</v>
      </c>
      <c r="M937" s="31">
        <v>-13129.52</v>
      </c>
      <c r="O937" s="31">
        <v>6709.55</v>
      </c>
      <c r="Q937">
        <v>51.1</v>
      </c>
    </row>
    <row r="938" spans="3:17">
      <c r="C938">
        <v>5360</v>
      </c>
      <c r="E938" t="s">
        <v>5573</v>
      </c>
      <c r="H938" t="s">
        <v>5574</v>
      </c>
      <c r="K938" s="31">
        <v>479678.26</v>
      </c>
      <c r="M938" s="31">
        <v>977360.91</v>
      </c>
      <c r="O938" s="31">
        <v>-497682.65</v>
      </c>
      <c r="Q938">
        <v>-50.9</v>
      </c>
    </row>
    <row r="939" spans="3:17">
      <c r="C939">
        <v>5360</v>
      </c>
      <c r="E939" t="s">
        <v>5575</v>
      </c>
      <c r="H939" t="s">
        <v>5576</v>
      </c>
      <c r="K939" s="31">
        <v>1376.49</v>
      </c>
      <c r="M939" s="31">
        <v>1376.49</v>
      </c>
      <c r="O939">
        <v>0</v>
      </c>
    </row>
    <row r="940" spans="3:17">
      <c r="C940">
        <v>5360</v>
      </c>
      <c r="E940" t="s">
        <v>5578</v>
      </c>
      <c r="H940" t="s">
        <v>5579</v>
      </c>
      <c r="K940" s="31">
        <v>-9143.9699999999993</v>
      </c>
      <c r="M940" s="31">
        <v>-22740.66</v>
      </c>
      <c r="O940" s="31">
        <v>13596.69</v>
      </c>
      <c r="Q940">
        <v>59.8</v>
      </c>
    </row>
    <row r="941" spans="3:17">
      <c r="C941">
        <v>5360</v>
      </c>
      <c r="E941" t="s">
        <v>5580</v>
      </c>
      <c r="H941" t="s">
        <v>5581</v>
      </c>
      <c r="K941" s="31">
        <v>86086</v>
      </c>
      <c r="M941" s="31">
        <v>136274.98000000001</v>
      </c>
      <c r="O941" s="31">
        <v>-50188.98</v>
      </c>
      <c r="Q941">
        <v>-36.799999999999997</v>
      </c>
    </row>
    <row r="942" spans="3:17">
      <c r="C942">
        <v>5360</v>
      </c>
      <c r="E942" t="s">
        <v>5582</v>
      </c>
      <c r="H942" t="s">
        <v>5277</v>
      </c>
      <c r="K942" s="31">
        <v>2069767.58</v>
      </c>
      <c r="M942" s="31">
        <v>3865289.46</v>
      </c>
      <c r="O942" s="31">
        <v>-1795521.88</v>
      </c>
      <c r="Q942">
        <v>-46.5</v>
      </c>
    </row>
    <row r="943" spans="3:17">
      <c r="C943">
        <v>5360</v>
      </c>
      <c r="E943" t="s">
        <v>5583</v>
      </c>
      <c r="H943" t="s">
        <v>5584</v>
      </c>
      <c r="K943" s="31">
        <v>-1788554.23</v>
      </c>
      <c r="M943" s="31">
        <v>-3310188.18</v>
      </c>
      <c r="O943" s="31">
        <v>1521633.95</v>
      </c>
      <c r="Q943">
        <v>46</v>
      </c>
    </row>
    <row r="944" spans="3:17">
      <c r="C944">
        <v>5360</v>
      </c>
      <c r="E944" t="s">
        <v>5585</v>
      </c>
      <c r="H944" t="s">
        <v>5586</v>
      </c>
      <c r="K944" s="31">
        <v>-30899.19</v>
      </c>
      <c r="M944" s="31">
        <v>-64877.23</v>
      </c>
      <c r="O944" s="31">
        <v>33978.04</v>
      </c>
      <c r="Q944">
        <v>52.4</v>
      </c>
    </row>
    <row r="945" spans="3:17">
      <c r="C945">
        <v>5360</v>
      </c>
      <c r="E945" t="s">
        <v>5587</v>
      </c>
      <c r="H945" t="s">
        <v>5279</v>
      </c>
      <c r="K945" s="31">
        <v>471898.46</v>
      </c>
      <c r="M945" s="31">
        <v>917733.61</v>
      </c>
      <c r="O945" s="31">
        <v>-445835.15</v>
      </c>
      <c r="Q945">
        <v>-48.6</v>
      </c>
    </row>
    <row r="946" spans="3:17">
      <c r="C946">
        <v>5360</v>
      </c>
      <c r="E946" t="s">
        <v>5588</v>
      </c>
      <c r="H946" t="s">
        <v>5281</v>
      </c>
      <c r="K946" s="31">
        <v>1834172.58</v>
      </c>
      <c r="M946" s="31">
        <v>3528595.34</v>
      </c>
      <c r="O946" s="31">
        <v>-1694422.76</v>
      </c>
      <c r="Q946">
        <v>-48</v>
      </c>
    </row>
    <row r="947" spans="3:17">
      <c r="C947">
        <v>5360</v>
      </c>
      <c r="E947" t="s">
        <v>5589</v>
      </c>
      <c r="H947" t="s">
        <v>5590</v>
      </c>
      <c r="K947" s="31">
        <v>-1798573.05</v>
      </c>
      <c r="M947" s="31">
        <v>-3514961.43</v>
      </c>
      <c r="O947" s="31">
        <v>1716388.38</v>
      </c>
      <c r="Q947">
        <v>48.8</v>
      </c>
    </row>
    <row r="948" spans="3:17">
      <c r="C948">
        <v>5360</v>
      </c>
      <c r="E948" t="s">
        <v>5591</v>
      </c>
      <c r="H948" t="s">
        <v>5592</v>
      </c>
      <c r="K948" s="31">
        <v>-16695.97</v>
      </c>
      <c r="M948" s="31">
        <v>-34672.06</v>
      </c>
      <c r="O948" s="31">
        <v>17976.09</v>
      </c>
      <c r="Q948">
        <v>51.8</v>
      </c>
    </row>
    <row r="949" spans="3:17">
      <c r="C949">
        <v>5360</v>
      </c>
      <c r="E949" t="s">
        <v>5593</v>
      </c>
      <c r="H949" t="s">
        <v>5594</v>
      </c>
      <c r="K949" s="31">
        <v>526008.96</v>
      </c>
      <c r="M949" s="31">
        <v>1175043</v>
      </c>
      <c r="O949" s="31">
        <v>-649034.04</v>
      </c>
      <c r="Q949">
        <v>-55.2</v>
      </c>
    </row>
    <row r="950" spans="3:17">
      <c r="C950">
        <v>5360</v>
      </c>
      <c r="E950" t="s">
        <v>5595</v>
      </c>
      <c r="H950" t="s">
        <v>5285</v>
      </c>
      <c r="K950" s="31">
        <v>395464.61</v>
      </c>
      <c r="M950" s="31">
        <v>420154.31</v>
      </c>
      <c r="O950" s="31">
        <v>-24689.7</v>
      </c>
      <c r="Q950">
        <v>-5.9</v>
      </c>
    </row>
    <row r="951" spans="3:17">
      <c r="C951">
        <v>5360</v>
      </c>
      <c r="E951" t="s">
        <v>5596</v>
      </c>
      <c r="H951" t="s">
        <v>5597</v>
      </c>
      <c r="K951" s="31">
        <v>-565044.32999999996</v>
      </c>
      <c r="M951" s="31">
        <v>-815593.32</v>
      </c>
      <c r="O951" s="31">
        <v>250548.99</v>
      </c>
      <c r="Q951">
        <v>30.7</v>
      </c>
    </row>
    <row r="952" spans="3:17">
      <c r="C952">
        <v>5360</v>
      </c>
      <c r="E952" t="s">
        <v>5598</v>
      </c>
      <c r="H952" t="s">
        <v>5599</v>
      </c>
      <c r="K952" s="31">
        <v>-9337.08</v>
      </c>
      <c r="M952" s="31">
        <v>-8384.06</v>
      </c>
      <c r="O952">
        <v>-953.02</v>
      </c>
      <c r="Q952">
        <v>-11.4</v>
      </c>
    </row>
    <row r="953" spans="3:17">
      <c r="C953">
        <v>5360</v>
      </c>
      <c r="E953" t="s">
        <v>5600</v>
      </c>
      <c r="H953" t="s">
        <v>5287</v>
      </c>
      <c r="K953" s="31">
        <v>254564.48000000001</v>
      </c>
      <c r="M953" s="31">
        <v>506724.92</v>
      </c>
      <c r="O953" s="31">
        <v>-252160.44</v>
      </c>
      <c r="Q953">
        <v>-49.8</v>
      </c>
    </row>
    <row r="954" spans="3:17">
      <c r="C954">
        <v>5360</v>
      </c>
      <c r="E954" t="s">
        <v>5601</v>
      </c>
      <c r="H954" t="s">
        <v>5289</v>
      </c>
      <c r="K954" s="31">
        <v>849644.07</v>
      </c>
      <c r="M954" s="31">
        <v>1786573.12</v>
      </c>
      <c r="O954" s="31">
        <v>-936929.05</v>
      </c>
      <c r="Q954">
        <v>-52.4</v>
      </c>
    </row>
    <row r="955" spans="3:17">
      <c r="C955">
        <v>5360</v>
      </c>
      <c r="E955" t="s">
        <v>5605</v>
      </c>
      <c r="H955" t="s">
        <v>5606</v>
      </c>
      <c r="K955">
        <v>-82.76</v>
      </c>
      <c r="M955">
        <v>-82.76</v>
      </c>
      <c r="O955">
        <v>0</v>
      </c>
    </row>
    <row r="956" spans="3:17">
      <c r="C956">
        <v>5360</v>
      </c>
      <c r="E956" t="s">
        <v>5607</v>
      </c>
      <c r="H956" t="s">
        <v>5608</v>
      </c>
      <c r="K956" s="31">
        <v>517840.83</v>
      </c>
      <c r="M956" s="31">
        <v>883447.8</v>
      </c>
      <c r="O956" s="31">
        <v>-365606.97</v>
      </c>
      <c r="Q956">
        <v>-41.4</v>
      </c>
    </row>
    <row r="957" spans="3:17">
      <c r="C957">
        <v>5360</v>
      </c>
      <c r="E957" t="s">
        <v>5609</v>
      </c>
      <c r="H957" t="s">
        <v>5610</v>
      </c>
      <c r="K957" s="31">
        <v>-517840.83</v>
      </c>
      <c r="M957" s="31">
        <v>-883447.8</v>
      </c>
      <c r="O957" s="31">
        <v>365606.97</v>
      </c>
      <c r="Q957">
        <v>41.4</v>
      </c>
    </row>
    <row r="958" spans="3:17">
      <c r="C958">
        <v>5360</v>
      </c>
      <c r="E958" t="s">
        <v>5613</v>
      </c>
      <c r="H958" t="s">
        <v>5608</v>
      </c>
      <c r="K958" s="31">
        <v>208041.74</v>
      </c>
      <c r="M958" s="31">
        <v>355490.48</v>
      </c>
      <c r="O958" s="31">
        <v>-147448.74</v>
      </c>
      <c r="Q958">
        <v>-41.5</v>
      </c>
    </row>
    <row r="959" spans="3:17">
      <c r="C959">
        <v>5360</v>
      </c>
      <c r="E959" t="s">
        <v>5614</v>
      </c>
      <c r="H959" t="s">
        <v>5615</v>
      </c>
      <c r="K959" s="31">
        <v>-208041.74</v>
      </c>
      <c r="M959" s="31">
        <v>-355490.48</v>
      </c>
      <c r="O959" s="31">
        <v>147448.74</v>
      </c>
      <c r="Q959">
        <v>41.5</v>
      </c>
    </row>
    <row r="960" spans="3:17">
      <c r="C960">
        <v>5360</v>
      </c>
      <c r="E960" t="s">
        <v>5618</v>
      </c>
      <c r="H960" t="s">
        <v>5619</v>
      </c>
      <c r="K960" s="31">
        <v>173189.34</v>
      </c>
      <c r="M960" s="31">
        <v>290003.84999999998</v>
      </c>
      <c r="O960" s="31">
        <v>-116814.51</v>
      </c>
      <c r="Q960">
        <v>-40.299999999999997</v>
      </c>
    </row>
    <row r="961" spans="3:17">
      <c r="C961">
        <v>5360</v>
      </c>
      <c r="E961" t="s">
        <v>5620</v>
      </c>
      <c r="H961" t="s">
        <v>5621</v>
      </c>
      <c r="K961" s="31">
        <v>-53459.83</v>
      </c>
      <c r="M961" s="31">
        <v>-114720.17</v>
      </c>
      <c r="O961" s="31">
        <v>61260.34</v>
      </c>
      <c r="Q961">
        <v>53.4</v>
      </c>
    </row>
    <row r="962" spans="3:17">
      <c r="C962">
        <v>5360</v>
      </c>
      <c r="E962" t="s">
        <v>5622</v>
      </c>
      <c r="H962" t="s">
        <v>5623</v>
      </c>
      <c r="K962" s="31">
        <v>-88966.44</v>
      </c>
      <c r="M962" s="31">
        <v>-150112.95999999999</v>
      </c>
      <c r="O962" s="31">
        <v>61146.52</v>
      </c>
      <c r="Q962">
        <v>40.700000000000003</v>
      </c>
    </row>
    <row r="963" spans="3:17">
      <c r="C963">
        <v>5360</v>
      </c>
      <c r="E963" t="s">
        <v>5624</v>
      </c>
      <c r="H963" t="s">
        <v>5625</v>
      </c>
      <c r="K963" s="31">
        <v>-4759.57</v>
      </c>
      <c r="M963" s="31">
        <v>9624.33</v>
      </c>
      <c r="O963" s="31">
        <v>-14383.9</v>
      </c>
      <c r="Q963">
        <v>-149.5</v>
      </c>
    </row>
    <row r="964" spans="3:17">
      <c r="C964">
        <v>5360</v>
      </c>
      <c r="E964" t="s">
        <v>5626</v>
      </c>
      <c r="H964" t="s">
        <v>5295</v>
      </c>
      <c r="K964" s="31">
        <v>2021970.07</v>
      </c>
      <c r="M964" s="31">
        <v>4522484.58</v>
      </c>
      <c r="O964" s="31">
        <v>-2500514.5099999998</v>
      </c>
      <c r="Q964">
        <v>-55.3</v>
      </c>
    </row>
    <row r="965" spans="3:17">
      <c r="C965">
        <v>5360</v>
      </c>
      <c r="E965" t="s">
        <v>5627</v>
      </c>
      <c r="H965" t="s">
        <v>5628</v>
      </c>
      <c r="K965" s="31">
        <v>-1840716.67</v>
      </c>
      <c r="M965" s="31">
        <v>-4258915.1100000003</v>
      </c>
      <c r="O965" s="31">
        <v>2418198.44</v>
      </c>
      <c r="Q965">
        <v>56.8</v>
      </c>
    </row>
    <row r="966" spans="3:17">
      <c r="C966">
        <v>5360</v>
      </c>
      <c r="E966" t="s">
        <v>5629</v>
      </c>
      <c r="H966" t="s">
        <v>5630</v>
      </c>
      <c r="K966">
        <v>-454.31</v>
      </c>
      <c r="M966">
        <v>-674.46</v>
      </c>
      <c r="O966">
        <v>220.15</v>
      </c>
      <c r="Q966">
        <v>32.6</v>
      </c>
    </row>
    <row r="967" spans="3:17">
      <c r="C967">
        <v>5360</v>
      </c>
      <c r="E967" t="s">
        <v>5631</v>
      </c>
      <c r="H967" t="s">
        <v>5297</v>
      </c>
      <c r="K967" s="31">
        <v>53563.21</v>
      </c>
      <c r="M967" s="31">
        <v>94068.77</v>
      </c>
      <c r="O967" s="31">
        <v>-40505.56</v>
      </c>
      <c r="Q967">
        <v>-43.1</v>
      </c>
    </row>
    <row r="968" spans="3:17">
      <c r="C968">
        <v>5360</v>
      </c>
      <c r="E968" t="s">
        <v>5632</v>
      </c>
      <c r="H968" t="s">
        <v>5633</v>
      </c>
      <c r="K968" s="31">
        <v>128392.96000000001</v>
      </c>
      <c r="M968" s="31">
        <v>191049.7</v>
      </c>
      <c r="O968" s="31">
        <v>-62656.74</v>
      </c>
      <c r="Q968">
        <v>-32.799999999999997</v>
      </c>
    </row>
    <row r="969" spans="3:17">
      <c r="C969">
        <v>5360</v>
      </c>
      <c r="E969" t="s">
        <v>5634</v>
      </c>
      <c r="H969" t="s">
        <v>5635</v>
      </c>
      <c r="K969" s="31">
        <v>-9112.1</v>
      </c>
      <c r="M969" s="31">
        <v>-18697.53</v>
      </c>
      <c r="O969" s="31">
        <v>9585.43</v>
      </c>
      <c r="Q969">
        <v>51.3</v>
      </c>
    </row>
    <row r="970" spans="3:17">
      <c r="C970">
        <v>5360</v>
      </c>
      <c r="E970" t="s">
        <v>5636</v>
      </c>
      <c r="H970" t="s">
        <v>5637</v>
      </c>
      <c r="K970" s="31">
        <v>5031.97</v>
      </c>
      <c r="M970" s="31">
        <v>10223.030000000001</v>
      </c>
      <c r="O970" s="31">
        <v>-5191.0600000000004</v>
      </c>
      <c r="Q970">
        <v>-50.8</v>
      </c>
    </row>
    <row r="971" spans="3:17">
      <c r="C971">
        <v>5360</v>
      </c>
      <c r="E971" t="s">
        <v>5638</v>
      </c>
      <c r="H971" t="s">
        <v>5639</v>
      </c>
      <c r="K971" s="31">
        <v>3349.1</v>
      </c>
      <c r="M971" s="31">
        <v>3349.1</v>
      </c>
      <c r="O971">
        <v>0</v>
      </c>
    </row>
    <row r="972" spans="3:17">
      <c r="C972">
        <v>5360</v>
      </c>
      <c r="E972" t="s">
        <v>5640</v>
      </c>
      <c r="H972" t="s">
        <v>5641</v>
      </c>
      <c r="K972">
        <v>-70.66</v>
      </c>
      <c r="M972">
        <v>-120.13</v>
      </c>
      <c r="O972">
        <v>49.47</v>
      </c>
      <c r="Q972">
        <v>41.2</v>
      </c>
    </row>
    <row r="973" spans="3:17">
      <c r="C973">
        <v>5360</v>
      </c>
      <c r="E973" t="s">
        <v>5642</v>
      </c>
      <c r="H973" t="s">
        <v>5643</v>
      </c>
      <c r="K973">
        <v>70.66</v>
      </c>
      <c r="M973">
        <v>120.13</v>
      </c>
      <c r="O973">
        <v>-49.47</v>
      </c>
      <c r="Q973">
        <v>-41.2</v>
      </c>
    </row>
    <row r="974" spans="3:17">
      <c r="C974">
        <v>5360</v>
      </c>
      <c r="E974" t="s">
        <v>5644</v>
      </c>
      <c r="H974" t="s">
        <v>5645</v>
      </c>
      <c r="K974" s="31">
        <v>49847.45</v>
      </c>
      <c r="M974" s="31">
        <v>101886.65</v>
      </c>
      <c r="O974" s="31">
        <v>-52039.199999999997</v>
      </c>
      <c r="Q974">
        <v>-51.1</v>
      </c>
    </row>
    <row r="975" spans="3:17">
      <c r="C975">
        <v>5360</v>
      </c>
      <c r="E975" t="s">
        <v>5646</v>
      </c>
      <c r="H975" t="s">
        <v>5647</v>
      </c>
      <c r="K975" s="31">
        <v>1650.98</v>
      </c>
      <c r="M975" s="31">
        <v>1659.33</v>
      </c>
      <c r="O975">
        <v>-8.35</v>
      </c>
      <c r="Q975">
        <v>-0.5</v>
      </c>
    </row>
    <row r="976" spans="3:17">
      <c r="C976">
        <v>5360</v>
      </c>
      <c r="E976" t="s">
        <v>5648</v>
      </c>
      <c r="H976" t="s">
        <v>5649</v>
      </c>
      <c r="K976" s="31">
        <v>-23641.18</v>
      </c>
      <c r="M976" s="31">
        <v>-43618.3</v>
      </c>
      <c r="O976" s="31">
        <v>19977.12</v>
      </c>
      <c r="Q976">
        <v>45.8</v>
      </c>
    </row>
    <row r="977" spans="3:17">
      <c r="C977">
        <v>5360</v>
      </c>
      <c r="E977" t="s">
        <v>5650</v>
      </c>
      <c r="H977" t="s">
        <v>5651</v>
      </c>
      <c r="K977" s="31">
        <v>-27865.3</v>
      </c>
      <c r="M977" s="31">
        <v>-59951.14</v>
      </c>
      <c r="O977" s="31">
        <v>32085.84</v>
      </c>
      <c r="Q977">
        <v>53.5</v>
      </c>
    </row>
    <row r="978" spans="3:17">
      <c r="C978">
        <v>5360</v>
      </c>
      <c r="E978" t="s">
        <v>5652</v>
      </c>
      <c r="H978" t="s">
        <v>5653</v>
      </c>
      <c r="K978">
        <v>8.0500000000000007</v>
      </c>
      <c r="M978">
        <v>23.46</v>
      </c>
      <c r="O978">
        <v>-15.41</v>
      </c>
      <c r="Q978">
        <v>-65.7</v>
      </c>
    </row>
    <row r="979" spans="3:17">
      <c r="C979">
        <v>5360</v>
      </c>
      <c r="E979" t="s">
        <v>5654</v>
      </c>
      <c r="H979" t="s">
        <v>5299</v>
      </c>
      <c r="K979" s="31">
        <v>3464076.81</v>
      </c>
      <c r="M979" s="31">
        <v>6229165.8600000003</v>
      </c>
      <c r="O979" s="31">
        <v>-2765089.05</v>
      </c>
      <c r="Q979">
        <v>-44.4</v>
      </c>
    </row>
    <row r="980" spans="3:17">
      <c r="C980">
        <v>5360</v>
      </c>
      <c r="E980" t="s">
        <v>5655</v>
      </c>
      <c r="H980" t="s">
        <v>5656</v>
      </c>
      <c r="K980" s="31">
        <v>-3146352.29</v>
      </c>
      <c r="M980" s="31">
        <v>-5627331.0999999996</v>
      </c>
      <c r="O980" s="31">
        <v>2480978.81</v>
      </c>
      <c r="Q980">
        <v>44.1</v>
      </c>
    </row>
    <row r="981" spans="3:17">
      <c r="C981">
        <v>5360</v>
      </c>
      <c r="E981" t="s">
        <v>5657</v>
      </c>
      <c r="H981" t="s">
        <v>5658</v>
      </c>
      <c r="K981" s="31">
        <v>10583.67</v>
      </c>
      <c r="M981" s="31">
        <v>19010.09</v>
      </c>
      <c r="O981" s="31">
        <v>-8426.42</v>
      </c>
      <c r="Q981">
        <v>-44.3</v>
      </c>
    </row>
    <row r="982" spans="3:17">
      <c r="C982">
        <v>5360</v>
      </c>
      <c r="E982" t="s">
        <v>5661</v>
      </c>
      <c r="H982" t="s">
        <v>5662</v>
      </c>
      <c r="K982">
        <v>-20.87</v>
      </c>
      <c r="M982">
        <v>-20.87</v>
      </c>
      <c r="O982">
        <v>0</v>
      </c>
    </row>
    <row r="983" spans="3:17">
      <c r="C983">
        <v>5360</v>
      </c>
      <c r="E983" t="s">
        <v>6012</v>
      </c>
      <c r="H983" t="s">
        <v>6013</v>
      </c>
      <c r="K983">
        <v>20.87</v>
      </c>
      <c r="M983">
        <v>20.87</v>
      </c>
      <c r="O983">
        <v>0</v>
      </c>
    </row>
    <row r="984" spans="3:17">
      <c r="C984">
        <v>5360</v>
      </c>
      <c r="E984" t="s">
        <v>5663</v>
      </c>
      <c r="H984" t="s">
        <v>5301</v>
      </c>
      <c r="K984" s="31">
        <v>470034.61</v>
      </c>
      <c r="M984" s="31">
        <v>852394.58</v>
      </c>
      <c r="O984" s="31">
        <v>-382359.97</v>
      </c>
      <c r="Q984">
        <v>-44.9</v>
      </c>
    </row>
    <row r="985" spans="3:17">
      <c r="C985">
        <v>5360</v>
      </c>
      <c r="E985" t="s">
        <v>5664</v>
      </c>
      <c r="H985" t="s">
        <v>5665</v>
      </c>
      <c r="K985" s="31">
        <v>-426820.71</v>
      </c>
      <c r="M985" s="31">
        <v>-762897.03</v>
      </c>
      <c r="O985" s="31">
        <v>336076.32</v>
      </c>
      <c r="Q985">
        <v>44.1</v>
      </c>
    </row>
    <row r="986" spans="3:17">
      <c r="C986">
        <v>5360</v>
      </c>
      <c r="E986" t="s">
        <v>5666</v>
      </c>
      <c r="H986" t="s">
        <v>5667</v>
      </c>
      <c r="K986">
        <v>61.28</v>
      </c>
      <c r="M986">
        <v>422.36</v>
      </c>
      <c r="O986">
        <v>-361.08</v>
      </c>
      <c r="Q986">
        <v>-85.5</v>
      </c>
    </row>
    <row r="987" spans="3:17">
      <c r="C987">
        <v>5360</v>
      </c>
      <c r="E987" t="s">
        <v>5668</v>
      </c>
      <c r="H987" t="s">
        <v>5303</v>
      </c>
      <c r="K987" s="31">
        <v>7447014.4699999997</v>
      </c>
      <c r="M987" s="31">
        <v>7488653.1500000004</v>
      </c>
      <c r="O987" s="31">
        <v>-41638.68</v>
      </c>
      <c r="Q987">
        <v>-0.6</v>
      </c>
    </row>
    <row r="988" spans="3:17">
      <c r="C988">
        <v>5360</v>
      </c>
      <c r="E988" t="s">
        <v>5669</v>
      </c>
      <c r="H988" t="s">
        <v>5670</v>
      </c>
      <c r="K988" s="31">
        <v>-7492678.2599999998</v>
      </c>
      <c r="M988" s="31">
        <v>-7542093.8499999996</v>
      </c>
      <c r="O988" s="31">
        <v>49415.59</v>
      </c>
      <c r="Q988">
        <v>0.7</v>
      </c>
    </row>
    <row r="989" spans="3:17">
      <c r="C989">
        <v>5360</v>
      </c>
      <c r="E989" t="s">
        <v>5673</v>
      </c>
      <c r="H989" t="s">
        <v>5305</v>
      </c>
      <c r="K989" s="31">
        <v>-9608.01</v>
      </c>
      <c r="M989" s="31">
        <v>-15384.26</v>
      </c>
      <c r="O989" s="31">
        <v>5776.25</v>
      </c>
      <c r="Q989">
        <v>37.5</v>
      </c>
    </row>
    <row r="990" spans="3:17">
      <c r="C990">
        <v>5360</v>
      </c>
      <c r="E990" t="s">
        <v>5674</v>
      </c>
      <c r="H990" t="s">
        <v>5675</v>
      </c>
      <c r="K990" s="31">
        <v>13516.68</v>
      </c>
      <c r="M990" s="31">
        <v>22258.73</v>
      </c>
      <c r="O990" s="31">
        <v>-8742.0499999999993</v>
      </c>
      <c r="Q990">
        <v>-39.299999999999997</v>
      </c>
    </row>
    <row r="991" spans="3:17">
      <c r="C991">
        <v>5360</v>
      </c>
      <c r="E991" t="s">
        <v>5676</v>
      </c>
      <c r="H991" t="s">
        <v>5677</v>
      </c>
      <c r="K991" s="31">
        <v>121509.58</v>
      </c>
      <c r="M991" s="31">
        <v>126125.04</v>
      </c>
      <c r="O991" s="31">
        <v>-4615.46</v>
      </c>
      <c r="Q991">
        <v>-3.7</v>
      </c>
    </row>
    <row r="992" spans="3:17">
      <c r="C992">
        <v>5360</v>
      </c>
      <c r="E992" t="s">
        <v>5678</v>
      </c>
      <c r="H992" t="s">
        <v>5679</v>
      </c>
      <c r="K992" s="31">
        <v>13605257.939999999</v>
      </c>
      <c r="M992" s="31">
        <v>31191778.879999999</v>
      </c>
      <c r="O992" s="31">
        <v>-17586520.940000001</v>
      </c>
      <c r="Q992">
        <v>-56.4</v>
      </c>
    </row>
    <row r="993" spans="3:17">
      <c r="C993">
        <v>5360</v>
      </c>
      <c r="E993" t="s">
        <v>5680</v>
      </c>
      <c r="H993" t="s">
        <v>5681</v>
      </c>
      <c r="K993" s="31">
        <v>-12636820.119999999</v>
      </c>
      <c r="M993" s="31">
        <v>-29279509.370000001</v>
      </c>
      <c r="O993" s="31">
        <v>16642689.25</v>
      </c>
      <c r="Q993">
        <v>56.8</v>
      </c>
    </row>
    <row r="994" spans="3:17">
      <c r="C994">
        <v>5360</v>
      </c>
      <c r="E994" t="s">
        <v>5684</v>
      </c>
      <c r="H994" t="s">
        <v>5685</v>
      </c>
      <c r="K994" s="31">
        <v>65740.72</v>
      </c>
      <c r="M994" s="31">
        <v>372898.59</v>
      </c>
      <c r="O994" s="31">
        <v>-307157.87</v>
      </c>
      <c r="Q994">
        <v>-82.4</v>
      </c>
    </row>
    <row r="995" spans="3:17">
      <c r="C995">
        <v>5360</v>
      </c>
      <c r="E995" t="s">
        <v>5686</v>
      </c>
      <c r="H995" t="s">
        <v>5311</v>
      </c>
      <c r="K995" s="31">
        <v>10851116.34</v>
      </c>
      <c r="M995" s="31">
        <v>21613131.710000001</v>
      </c>
      <c r="O995" s="31">
        <v>-10762015.369999999</v>
      </c>
      <c r="Q995">
        <v>-49.8</v>
      </c>
    </row>
    <row r="996" spans="3:17">
      <c r="C996">
        <v>5360</v>
      </c>
      <c r="E996" t="s">
        <v>5687</v>
      </c>
      <c r="H996" t="s">
        <v>5688</v>
      </c>
      <c r="K996" s="31">
        <v>-2331003.5</v>
      </c>
      <c r="M996" s="31">
        <v>-8051634.46</v>
      </c>
      <c r="O996" s="31">
        <v>5720630.96</v>
      </c>
      <c r="Q996">
        <v>71</v>
      </c>
    </row>
    <row r="997" spans="3:17">
      <c r="C997">
        <v>5360</v>
      </c>
      <c r="E997" t="s">
        <v>5689</v>
      </c>
      <c r="H997" t="s">
        <v>5690</v>
      </c>
      <c r="K997" s="31">
        <v>-293902.78000000003</v>
      </c>
      <c r="M997" s="31">
        <v>-865631.02</v>
      </c>
      <c r="O997" s="31">
        <v>571728.24</v>
      </c>
      <c r="Q997">
        <v>66</v>
      </c>
    </row>
    <row r="998" spans="3:17">
      <c r="C998">
        <v>5360</v>
      </c>
      <c r="E998" t="s">
        <v>5691</v>
      </c>
      <c r="H998" t="s">
        <v>5692</v>
      </c>
      <c r="K998" s="31">
        <v>697879.43</v>
      </c>
      <c r="M998" s="31">
        <v>1885026.57</v>
      </c>
      <c r="O998" s="31">
        <v>-1187147.1399999999</v>
      </c>
      <c r="Q998">
        <v>-63</v>
      </c>
    </row>
    <row r="999" spans="3:17">
      <c r="C999">
        <v>5360</v>
      </c>
      <c r="E999" t="s">
        <v>5693</v>
      </c>
      <c r="H999" t="s">
        <v>5315</v>
      </c>
      <c r="K999" s="31">
        <v>223968.8</v>
      </c>
      <c r="M999" s="31">
        <v>508611.95</v>
      </c>
      <c r="O999" s="31">
        <v>-284643.15000000002</v>
      </c>
      <c r="Q999">
        <v>-56</v>
      </c>
    </row>
    <row r="1000" spans="3:17">
      <c r="C1000">
        <v>5360</v>
      </c>
      <c r="E1000" t="s">
        <v>5694</v>
      </c>
      <c r="H1000" t="s">
        <v>5695</v>
      </c>
      <c r="K1000" s="31">
        <v>-341430.92</v>
      </c>
      <c r="M1000" s="31">
        <v>-749748</v>
      </c>
      <c r="O1000" s="31">
        <v>408317.08</v>
      </c>
      <c r="Q1000">
        <v>54.5</v>
      </c>
    </row>
    <row r="1001" spans="3:17">
      <c r="C1001">
        <v>5360</v>
      </c>
      <c r="E1001" t="s">
        <v>5696</v>
      </c>
      <c r="H1001" t="s">
        <v>5317</v>
      </c>
      <c r="K1001" s="31">
        <v>402562.73</v>
      </c>
      <c r="M1001" s="31">
        <v>891118.65</v>
      </c>
      <c r="O1001" s="31">
        <v>-488555.92</v>
      </c>
      <c r="Q1001">
        <v>-54.8</v>
      </c>
    </row>
    <row r="1002" spans="3:17">
      <c r="C1002">
        <v>5360</v>
      </c>
      <c r="E1002" t="s">
        <v>5697</v>
      </c>
      <c r="H1002" t="s">
        <v>5319</v>
      </c>
      <c r="K1002" s="31">
        <v>3130762.5</v>
      </c>
      <c r="M1002" s="31">
        <v>8159758.7400000002</v>
      </c>
      <c r="O1002" s="31">
        <v>-5028996.24</v>
      </c>
      <c r="Q1002">
        <v>-61.6</v>
      </c>
    </row>
    <row r="1003" spans="3:17">
      <c r="C1003">
        <v>5360</v>
      </c>
      <c r="E1003" t="s">
        <v>5698</v>
      </c>
      <c r="H1003" t="s">
        <v>5699</v>
      </c>
      <c r="K1003" s="31">
        <v>-2927768.76</v>
      </c>
      <c r="M1003" s="31">
        <v>-7778584.4000000004</v>
      </c>
      <c r="O1003" s="31">
        <v>4850815.6399999997</v>
      </c>
      <c r="Q1003">
        <v>62.4</v>
      </c>
    </row>
    <row r="1004" spans="3:17">
      <c r="C1004">
        <v>5360</v>
      </c>
      <c r="E1004" t="s">
        <v>5702</v>
      </c>
      <c r="H1004" t="s">
        <v>5321</v>
      </c>
      <c r="K1004" s="31">
        <v>105471.18</v>
      </c>
      <c r="M1004" s="31">
        <v>289774.84999999998</v>
      </c>
      <c r="O1004" s="31">
        <v>-184303.67</v>
      </c>
      <c r="Q1004">
        <v>-63.6</v>
      </c>
    </row>
    <row r="1005" spans="3:17">
      <c r="C1005">
        <v>5360</v>
      </c>
      <c r="E1005" t="s">
        <v>5703</v>
      </c>
      <c r="H1005" t="s">
        <v>5704</v>
      </c>
      <c r="K1005" s="31">
        <v>-92236.51</v>
      </c>
      <c r="M1005" s="31">
        <v>-253974.51</v>
      </c>
      <c r="O1005" s="31">
        <v>161738</v>
      </c>
      <c r="Q1005">
        <v>63.7</v>
      </c>
    </row>
    <row r="1006" spans="3:17">
      <c r="C1006">
        <v>5360</v>
      </c>
      <c r="E1006" t="s">
        <v>5707</v>
      </c>
      <c r="H1006" t="s">
        <v>5323</v>
      </c>
      <c r="K1006" s="31">
        <v>775048.47</v>
      </c>
      <c r="M1006" s="31">
        <v>1591772.7</v>
      </c>
      <c r="O1006" s="31">
        <v>-816724.23</v>
      </c>
      <c r="Q1006">
        <v>-51.3</v>
      </c>
    </row>
    <row r="1007" spans="3:17">
      <c r="C1007">
        <v>5360</v>
      </c>
      <c r="E1007" t="s">
        <v>5708</v>
      </c>
      <c r="H1007" t="s">
        <v>5709</v>
      </c>
      <c r="K1007" s="31">
        <v>-1307154.03</v>
      </c>
      <c r="M1007" s="31">
        <v>-2548925.06</v>
      </c>
      <c r="O1007" s="31">
        <v>1241771.03</v>
      </c>
      <c r="Q1007">
        <v>48.7</v>
      </c>
    </row>
    <row r="1008" spans="3:17">
      <c r="C1008">
        <v>5360</v>
      </c>
      <c r="E1008" t="s">
        <v>5710</v>
      </c>
      <c r="H1008" t="s">
        <v>5325</v>
      </c>
      <c r="K1008" s="31">
        <v>1381986.32</v>
      </c>
      <c r="M1008" s="31">
        <v>2277138.1800000002</v>
      </c>
      <c r="O1008" s="31">
        <v>-895151.86</v>
      </c>
      <c r="Q1008">
        <v>-39.299999999999997</v>
      </c>
    </row>
    <row r="1009" spans="3:17">
      <c r="C1009">
        <v>5360</v>
      </c>
      <c r="E1009" t="s">
        <v>5711</v>
      </c>
      <c r="H1009" t="s">
        <v>5327</v>
      </c>
      <c r="K1009" s="31">
        <v>34684.199999999997</v>
      </c>
      <c r="M1009" s="31">
        <v>60998.43</v>
      </c>
      <c r="O1009" s="31">
        <v>-26314.23</v>
      </c>
      <c r="Q1009">
        <v>-43.1</v>
      </c>
    </row>
    <row r="1010" spans="3:17">
      <c r="C1010">
        <v>5360</v>
      </c>
      <c r="E1010" t="s">
        <v>5712</v>
      </c>
      <c r="H1010" t="s">
        <v>5713</v>
      </c>
      <c r="K1010" s="31">
        <v>-1298.95</v>
      </c>
      <c r="M1010" s="31">
        <v>5296.72</v>
      </c>
      <c r="O1010" s="31">
        <v>-6595.67</v>
      </c>
      <c r="Q1010">
        <v>-124.5</v>
      </c>
    </row>
    <row r="1011" spans="3:17">
      <c r="C1011">
        <v>5360</v>
      </c>
      <c r="E1011" t="s">
        <v>5714</v>
      </c>
      <c r="H1011" t="s">
        <v>5715</v>
      </c>
      <c r="K1011" s="31">
        <v>53575.65</v>
      </c>
      <c r="M1011" s="31">
        <v>218172.41</v>
      </c>
      <c r="O1011" s="31">
        <v>-164596.76</v>
      </c>
      <c r="Q1011">
        <v>-75.400000000000006</v>
      </c>
    </row>
    <row r="1012" spans="3:17">
      <c r="C1012">
        <v>5360</v>
      </c>
      <c r="E1012" t="s">
        <v>5716</v>
      </c>
      <c r="H1012" t="s">
        <v>5717</v>
      </c>
      <c r="K1012" s="31">
        <v>2328655.6</v>
      </c>
      <c r="M1012" s="31">
        <v>4765778.2300000004</v>
      </c>
      <c r="O1012" s="31">
        <v>-2437122.63</v>
      </c>
      <c r="Q1012">
        <v>-51.1</v>
      </c>
    </row>
    <row r="1013" spans="3:17">
      <c r="C1013">
        <v>5360</v>
      </c>
      <c r="E1013" t="s">
        <v>5718</v>
      </c>
      <c r="H1013" t="s">
        <v>5719</v>
      </c>
      <c r="K1013" s="31">
        <v>-52768.21</v>
      </c>
      <c r="M1013" s="31">
        <v>-63258.73</v>
      </c>
      <c r="O1013" s="31">
        <v>10490.52</v>
      </c>
      <c r="Q1013">
        <v>16.600000000000001</v>
      </c>
    </row>
    <row r="1014" spans="3:17">
      <c r="C1014">
        <v>5360</v>
      </c>
      <c r="E1014" t="s">
        <v>5720</v>
      </c>
      <c r="H1014" t="s">
        <v>5721</v>
      </c>
      <c r="K1014" s="31">
        <v>23992.48</v>
      </c>
      <c r="M1014" s="31">
        <v>21377.61</v>
      </c>
      <c r="O1014" s="31">
        <v>2614.87</v>
      </c>
      <c r="Q1014">
        <v>12.2</v>
      </c>
    </row>
    <row r="1015" spans="3:17">
      <c r="C1015">
        <v>5360</v>
      </c>
      <c r="E1015" t="s">
        <v>5722</v>
      </c>
      <c r="H1015" t="s">
        <v>5723</v>
      </c>
      <c r="K1015" s="31">
        <v>-56227.03</v>
      </c>
      <c r="M1015" s="31">
        <v>-17863.990000000002</v>
      </c>
      <c r="O1015" s="31">
        <v>-38363.040000000001</v>
      </c>
      <c r="Q1015">
        <v>-214.8</v>
      </c>
    </row>
    <row r="1016" spans="3:17">
      <c r="C1016">
        <v>5360</v>
      </c>
      <c r="E1016" t="s">
        <v>5724</v>
      </c>
      <c r="H1016" t="s">
        <v>5335</v>
      </c>
      <c r="K1016" s="31">
        <v>828376.64</v>
      </c>
      <c r="M1016" s="31">
        <v>1615298.99</v>
      </c>
      <c r="O1016" s="31">
        <v>-786922.35</v>
      </c>
      <c r="Q1016">
        <v>-48.7</v>
      </c>
    </row>
    <row r="1017" spans="3:17">
      <c r="C1017">
        <v>5360</v>
      </c>
      <c r="E1017" t="s">
        <v>5725</v>
      </c>
      <c r="H1017" t="s">
        <v>5726</v>
      </c>
      <c r="K1017" s="31">
        <v>-833040.22</v>
      </c>
      <c r="M1017" s="31">
        <v>-1624604.17</v>
      </c>
      <c r="O1017" s="31">
        <v>791563.95</v>
      </c>
      <c r="Q1017">
        <v>48.7</v>
      </c>
    </row>
    <row r="1018" spans="3:17">
      <c r="C1018">
        <v>5360</v>
      </c>
      <c r="E1018" t="s">
        <v>5727</v>
      </c>
      <c r="H1018" t="s">
        <v>5337</v>
      </c>
      <c r="K1018" s="31">
        <v>208355.08</v>
      </c>
      <c r="M1018" s="31">
        <v>419858.95</v>
      </c>
      <c r="O1018" s="31">
        <v>-211503.87</v>
      </c>
      <c r="Q1018">
        <v>-50.4</v>
      </c>
    </row>
    <row r="1019" spans="3:17">
      <c r="C1019">
        <v>5360</v>
      </c>
      <c r="E1019" t="s">
        <v>5728</v>
      </c>
      <c r="H1019" t="s">
        <v>5729</v>
      </c>
      <c r="K1019" s="31">
        <v>41524.1</v>
      </c>
      <c r="M1019" s="31">
        <v>84297.68</v>
      </c>
      <c r="O1019" s="31">
        <v>-42773.58</v>
      </c>
      <c r="Q1019">
        <v>-50.7</v>
      </c>
    </row>
    <row r="1020" spans="3:17">
      <c r="C1020">
        <v>5360</v>
      </c>
      <c r="E1020" t="s">
        <v>5730</v>
      </c>
      <c r="H1020" t="s">
        <v>5731</v>
      </c>
      <c r="K1020" s="31">
        <v>142730.82999999999</v>
      </c>
      <c r="M1020" s="31">
        <v>285461.65000000002</v>
      </c>
      <c r="O1020" s="31">
        <v>-142730.82</v>
      </c>
      <c r="Q1020">
        <v>-50</v>
      </c>
    </row>
    <row r="1021" spans="3:17">
      <c r="C1021">
        <v>5360</v>
      </c>
      <c r="E1021" t="s">
        <v>5732</v>
      </c>
      <c r="H1021" t="s">
        <v>5733</v>
      </c>
      <c r="K1021" s="31">
        <v>12504.67</v>
      </c>
      <c r="M1021" s="31">
        <v>31059.35</v>
      </c>
      <c r="O1021" s="31">
        <v>-18554.68</v>
      </c>
      <c r="Q1021">
        <v>-59.7</v>
      </c>
    </row>
    <row r="1022" spans="3:17">
      <c r="C1022">
        <v>5360</v>
      </c>
      <c r="E1022" t="s">
        <v>5734</v>
      </c>
      <c r="H1022" t="s">
        <v>5735</v>
      </c>
      <c r="K1022" s="31">
        <v>-10284.18</v>
      </c>
      <c r="M1022" s="31">
        <v>-25750.12</v>
      </c>
      <c r="O1022" s="31">
        <v>15465.94</v>
      </c>
      <c r="Q1022">
        <v>60.1</v>
      </c>
    </row>
    <row r="1023" spans="3:17">
      <c r="C1023">
        <v>5360</v>
      </c>
      <c r="E1023" t="s">
        <v>5736</v>
      </c>
      <c r="H1023" t="s">
        <v>5737</v>
      </c>
      <c r="K1023" s="31">
        <v>8197.4</v>
      </c>
      <c r="M1023" s="31">
        <v>10762.7</v>
      </c>
      <c r="O1023" s="31">
        <v>-2565.3000000000002</v>
      </c>
      <c r="Q1023">
        <v>-23.8</v>
      </c>
    </row>
    <row r="1024" spans="3:17">
      <c r="C1024">
        <v>5360</v>
      </c>
      <c r="E1024" t="s">
        <v>5738</v>
      </c>
      <c r="H1024" t="s">
        <v>5739</v>
      </c>
      <c r="K1024" s="31">
        <v>24657.83</v>
      </c>
      <c r="M1024" s="31">
        <v>31997.72</v>
      </c>
      <c r="O1024" s="31">
        <v>-7339.89</v>
      </c>
      <c r="Q1024">
        <v>-22.9</v>
      </c>
    </row>
    <row r="1025" spans="3:17">
      <c r="C1025">
        <v>5360</v>
      </c>
      <c r="E1025" t="s">
        <v>5740</v>
      </c>
      <c r="H1025" t="s">
        <v>5741</v>
      </c>
      <c r="K1025" s="31">
        <v>95646.16</v>
      </c>
      <c r="M1025" s="31">
        <v>134018.56</v>
      </c>
      <c r="O1025" s="31">
        <v>-38372.400000000001</v>
      </c>
      <c r="Q1025">
        <v>-28.6</v>
      </c>
    </row>
    <row r="1026" spans="3:17">
      <c r="C1026">
        <v>5360</v>
      </c>
      <c r="E1026" t="s">
        <v>5742</v>
      </c>
      <c r="H1026" t="s">
        <v>5743</v>
      </c>
      <c r="K1026" s="31">
        <v>36060.39</v>
      </c>
      <c r="M1026" s="31">
        <v>84618.43</v>
      </c>
      <c r="O1026" s="31">
        <v>-48558.04</v>
      </c>
      <c r="Q1026">
        <v>-57.4</v>
      </c>
    </row>
    <row r="1027" spans="3:17">
      <c r="C1027">
        <v>5360</v>
      </c>
      <c r="E1027" t="s">
        <v>5744</v>
      </c>
      <c r="H1027" t="s">
        <v>5745</v>
      </c>
      <c r="K1027" s="31">
        <v>-42695.26</v>
      </c>
      <c r="M1027" s="31">
        <v>-67489.77</v>
      </c>
      <c r="O1027" s="31">
        <v>24794.51</v>
      </c>
      <c r="Q1027">
        <v>36.700000000000003</v>
      </c>
    </row>
    <row r="1028" spans="3:17">
      <c r="C1028">
        <v>5360</v>
      </c>
      <c r="E1028" t="s">
        <v>5746</v>
      </c>
      <c r="H1028" t="s">
        <v>5747</v>
      </c>
      <c r="K1028">
        <v>-547.5</v>
      </c>
      <c r="M1028">
        <v>-547.5</v>
      </c>
      <c r="O1028">
        <v>0</v>
      </c>
    </row>
    <row r="1029" spans="3:17">
      <c r="C1029">
        <v>5360</v>
      </c>
      <c r="E1029" t="s">
        <v>5748</v>
      </c>
      <c r="H1029" t="s">
        <v>5749</v>
      </c>
      <c r="K1029" s="31">
        <v>968718.86</v>
      </c>
      <c r="M1029" s="31">
        <v>2334610.29</v>
      </c>
      <c r="O1029" s="31">
        <v>-1365891.43</v>
      </c>
      <c r="Q1029">
        <v>-58.5</v>
      </c>
    </row>
    <row r="1030" spans="3:17">
      <c r="C1030">
        <v>5360</v>
      </c>
      <c r="E1030" t="s">
        <v>5750</v>
      </c>
      <c r="H1030" t="s">
        <v>5751</v>
      </c>
      <c r="K1030" s="31">
        <v>-6663.23</v>
      </c>
      <c r="M1030" s="31">
        <v>-12355.53</v>
      </c>
      <c r="O1030" s="31">
        <v>5692.3</v>
      </c>
      <c r="Q1030">
        <v>46.1</v>
      </c>
    </row>
    <row r="1031" spans="3:17">
      <c r="C1031">
        <v>5360</v>
      </c>
      <c r="E1031" t="s">
        <v>5752</v>
      </c>
      <c r="H1031" t="s">
        <v>5753</v>
      </c>
      <c r="K1031" s="31">
        <v>8002.88</v>
      </c>
      <c r="M1031" s="31">
        <v>36263.730000000003</v>
      </c>
      <c r="O1031" s="31">
        <v>-28260.85</v>
      </c>
      <c r="Q1031">
        <v>-77.900000000000006</v>
      </c>
    </row>
    <row r="1032" spans="3:17">
      <c r="C1032">
        <v>5360</v>
      </c>
      <c r="E1032" t="s">
        <v>1149</v>
      </c>
      <c r="H1032" t="s">
        <v>5339</v>
      </c>
      <c r="K1032" s="31">
        <v>-197829.25</v>
      </c>
      <c r="M1032" s="31">
        <v>-72048.14</v>
      </c>
      <c r="O1032" s="31">
        <v>-125781.11</v>
      </c>
      <c r="Q1032">
        <v>-174.6</v>
      </c>
    </row>
    <row r="1033" spans="3:17">
      <c r="C1033">
        <v>5360</v>
      </c>
      <c r="E1033" t="s">
        <v>5754</v>
      </c>
      <c r="H1033" t="s">
        <v>5755</v>
      </c>
      <c r="K1033" s="31">
        <v>240775.56</v>
      </c>
      <c r="M1033" s="31">
        <v>419703.99</v>
      </c>
      <c r="O1033" s="31">
        <v>-178928.43</v>
      </c>
      <c r="Q1033">
        <v>-42.6</v>
      </c>
    </row>
    <row r="1034" spans="3:17">
      <c r="C1034">
        <v>5360</v>
      </c>
      <c r="E1034" t="s">
        <v>5756</v>
      </c>
      <c r="H1034" t="s">
        <v>5757</v>
      </c>
      <c r="K1034" s="31">
        <v>-8713.65</v>
      </c>
      <c r="M1034">
        <v>881.31</v>
      </c>
      <c r="O1034" s="31">
        <v>-9594.9599999999991</v>
      </c>
      <c r="Q1034">
        <v>-1088.7</v>
      </c>
    </row>
    <row r="1035" spans="3:17">
      <c r="C1035">
        <v>5360</v>
      </c>
      <c r="E1035" t="s">
        <v>5758</v>
      </c>
      <c r="H1035" t="s">
        <v>5341</v>
      </c>
      <c r="K1035" s="31">
        <v>22900.86</v>
      </c>
      <c r="M1035" s="31">
        <v>19305.43</v>
      </c>
      <c r="O1035" s="31">
        <v>3595.43</v>
      </c>
      <c r="Q1035">
        <v>18.600000000000001</v>
      </c>
    </row>
    <row r="1036" spans="3:17">
      <c r="C1036">
        <v>5360</v>
      </c>
      <c r="E1036" t="s">
        <v>5759</v>
      </c>
      <c r="H1036" t="s">
        <v>5343</v>
      </c>
      <c r="K1036" s="31">
        <v>-91166.06</v>
      </c>
      <c r="M1036" s="31">
        <v>-204016.06</v>
      </c>
      <c r="O1036" s="31">
        <v>112850</v>
      </c>
      <c r="Q1036">
        <v>55.3</v>
      </c>
    </row>
    <row r="1037" spans="3:17">
      <c r="C1037">
        <v>5360</v>
      </c>
      <c r="E1037" t="s">
        <v>5760</v>
      </c>
      <c r="H1037" t="s">
        <v>5343</v>
      </c>
      <c r="K1037" s="31">
        <v>80391.179999999993</v>
      </c>
      <c r="M1037" s="31">
        <v>186011.54</v>
      </c>
      <c r="O1037" s="31">
        <v>-105620.36</v>
      </c>
      <c r="Q1037">
        <v>-56.8</v>
      </c>
    </row>
    <row r="1038" spans="3:17">
      <c r="C1038">
        <v>5360</v>
      </c>
      <c r="E1038" t="s">
        <v>5761</v>
      </c>
      <c r="H1038" t="s">
        <v>5343</v>
      </c>
      <c r="K1038">
        <v>176.44</v>
      </c>
      <c r="M1038">
        <v>496.78</v>
      </c>
      <c r="O1038">
        <v>-320.33999999999997</v>
      </c>
      <c r="Q1038">
        <v>-64.5</v>
      </c>
    </row>
    <row r="1039" spans="3:17">
      <c r="C1039">
        <v>5360</v>
      </c>
      <c r="E1039" t="s">
        <v>5762</v>
      </c>
      <c r="H1039" t="s">
        <v>5343</v>
      </c>
      <c r="K1039" s="31">
        <v>-12085.08</v>
      </c>
      <c r="M1039" s="31">
        <v>-25417.599999999999</v>
      </c>
      <c r="O1039" s="31">
        <v>13332.52</v>
      </c>
      <c r="Q1039">
        <v>52.5</v>
      </c>
    </row>
    <row r="1040" spans="3:17">
      <c r="C1040">
        <v>5360</v>
      </c>
      <c r="E1040" t="s">
        <v>5763</v>
      </c>
      <c r="H1040" t="s">
        <v>5764</v>
      </c>
      <c r="K1040" s="31">
        <v>69621.39</v>
      </c>
      <c r="M1040" s="31">
        <v>95048.55</v>
      </c>
      <c r="O1040" s="31">
        <v>-25427.16</v>
      </c>
      <c r="Q1040">
        <v>-26.8</v>
      </c>
    </row>
    <row r="1041" spans="3:17">
      <c r="C1041">
        <v>5360</v>
      </c>
      <c r="E1041" t="s">
        <v>5765</v>
      </c>
      <c r="H1041" t="s">
        <v>5766</v>
      </c>
      <c r="K1041" s="31">
        <v>9135.9699999999993</v>
      </c>
      <c r="M1041" s="31">
        <v>16118.41</v>
      </c>
      <c r="O1041" s="31">
        <v>-6982.44</v>
      </c>
      <c r="Q1041">
        <v>-43.3</v>
      </c>
    </row>
    <row r="1042" spans="3:17">
      <c r="C1042">
        <v>5360</v>
      </c>
      <c r="E1042" t="s">
        <v>5767</v>
      </c>
      <c r="H1042" t="s">
        <v>5768</v>
      </c>
      <c r="K1042" s="31">
        <v>-6724.41</v>
      </c>
      <c r="M1042" s="31">
        <v>-10652.6</v>
      </c>
      <c r="O1042" s="31">
        <v>3928.19</v>
      </c>
      <c r="Q1042">
        <v>36.9</v>
      </c>
    </row>
    <row r="1043" spans="3:17">
      <c r="C1043">
        <v>5360</v>
      </c>
      <c r="E1043" t="s">
        <v>5769</v>
      </c>
      <c r="H1043" t="s">
        <v>5770</v>
      </c>
      <c r="K1043" s="31">
        <v>71390.97</v>
      </c>
      <c r="M1043" s="31">
        <v>164312.51</v>
      </c>
      <c r="O1043" s="31">
        <v>-92921.54</v>
      </c>
      <c r="Q1043">
        <v>-56.6</v>
      </c>
    </row>
    <row r="1044" spans="3:17">
      <c r="C1044">
        <v>5360</v>
      </c>
      <c r="E1044" t="s">
        <v>5771</v>
      </c>
      <c r="H1044" t="s">
        <v>5772</v>
      </c>
      <c r="K1044">
        <v>9.27</v>
      </c>
      <c r="M1044">
        <v>9.27</v>
      </c>
      <c r="O1044">
        <v>0</v>
      </c>
    </row>
    <row r="1045" spans="3:17">
      <c r="C1045">
        <v>5360</v>
      </c>
      <c r="E1045" t="s">
        <v>5773</v>
      </c>
      <c r="H1045" t="s">
        <v>5774</v>
      </c>
      <c r="K1045">
        <v>-0.44</v>
      </c>
      <c r="M1045">
        <v>-0.94</v>
      </c>
      <c r="O1045">
        <v>0.5</v>
      </c>
      <c r="Q1045">
        <v>53.2</v>
      </c>
    </row>
    <row r="1046" spans="3:17">
      <c r="C1046">
        <v>5360</v>
      </c>
      <c r="E1046" t="s">
        <v>5775</v>
      </c>
      <c r="H1046" t="s">
        <v>5776</v>
      </c>
      <c r="K1046" s="31">
        <v>263154.7</v>
      </c>
      <c r="M1046" s="31">
        <v>521659.17</v>
      </c>
      <c r="O1046" s="31">
        <v>-258504.47</v>
      </c>
      <c r="Q1046">
        <v>-49.6</v>
      </c>
    </row>
    <row r="1047" spans="3:17">
      <c r="C1047">
        <v>5360</v>
      </c>
      <c r="E1047" t="s">
        <v>5777</v>
      </c>
      <c r="H1047" t="s">
        <v>5778</v>
      </c>
      <c r="K1047" s="31">
        <v>11436.42</v>
      </c>
      <c r="M1047" s="31">
        <v>26318.240000000002</v>
      </c>
      <c r="O1047" s="31">
        <v>-14881.82</v>
      </c>
      <c r="Q1047">
        <v>-56.5</v>
      </c>
    </row>
    <row r="1048" spans="3:17">
      <c r="C1048">
        <v>5360</v>
      </c>
      <c r="E1048" t="s">
        <v>5779</v>
      </c>
      <c r="H1048" t="s">
        <v>5780</v>
      </c>
      <c r="K1048">
        <v>-91.22</v>
      </c>
      <c r="M1048">
        <v>-122.38</v>
      </c>
      <c r="O1048">
        <v>31.16</v>
      </c>
      <c r="Q1048">
        <v>25.5</v>
      </c>
    </row>
    <row r="1049" spans="3:17">
      <c r="C1049">
        <v>5360</v>
      </c>
      <c r="E1049" t="s">
        <v>5781</v>
      </c>
      <c r="H1049" t="s">
        <v>5782</v>
      </c>
      <c r="K1049">
        <v>13.25</v>
      </c>
      <c r="M1049">
        <v>255.23</v>
      </c>
      <c r="O1049">
        <v>-241.98</v>
      </c>
      <c r="Q1049">
        <v>-94.8</v>
      </c>
    </row>
    <row r="1050" spans="3:17">
      <c r="C1050">
        <v>5360</v>
      </c>
      <c r="E1050" t="s">
        <v>5787</v>
      </c>
      <c r="H1050" t="s">
        <v>5788</v>
      </c>
      <c r="K1050">
        <v>855.4</v>
      </c>
      <c r="M1050" s="31">
        <v>8592</v>
      </c>
      <c r="O1050" s="31">
        <v>-7736.6</v>
      </c>
      <c r="Q1050">
        <v>-90</v>
      </c>
    </row>
    <row r="1051" spans="3:17">
      <c r="C1051">
        <v>5360</v>
      </c>
      <c r="E1051" t="s">
        <v>6014</v>
      </c>
      <c r="H1051" t="s">
        <v>6015</v>
      </c>
      <c r="K1051">
        <v>-236.8</v>
      </c>
      <c r="M1051">
        <v>-236.8</v>
      </c>
      <c r="O1051">
        <v>0</v>
      </c>
    </row>
    <row r="1052" spans="3:17">
      <c r="C1052">
        <v>5360</v>
      </c>
      <c r="E1052" t="s">
        <v>5789</v>
      </c>
      <c r="H1052" t="s">
        <v>5790</v>
      </c>
      <c r="K1052" s="31">
        <v>42497.62</v>
      </c>
      <c r="M1052" s="31">
        <v>70627.86</v>
      </c>
      <c r="O1052" s="31">
        <v>-28130.240000000002</v>
      </c>
      <c r="Q1052">
        <v>-39.799999999999997</v>
      </c>
    </row>
    <row r="1053" spans="3:17">
      <c r="C1053">
        <v>5360</v>
      </c>
      <c r="E1053" t="s">
        <v>5791</v>
      </c>
      <c r="H1053" t="s">
        <v>5792</v>
      </c>
      <c r="K1053" s="31">
        <v>-7151.35</v>
      </c>
      <c r="M1053" s="31">
        <v>-7051.35</v>
      </c>
      <c r="O1053">
        <v>-100</v>
      </c>
      <c r="Q1053">
        <v>-1.4</v>
      </c>
    </row>
    <row r="1054" spans="3:17">
      <c r="C1054">
        <v>5360</v>
      </c>
      <c r="E1054" t="s">
        <v>5793</v>
      </c>
      <c r="H1054" t="s">
        <v>5794</v>
      </c>
      <c r="K1054" s="31">
        <v>-1004.8</v>
      </c>
      <c r="M1054" s="31">
        <v>-1104.8</v>
      </c>
      <c r="O1054">
        <v>100</v>
      </c>
      <c r="Q1054">
        <v>9.1</v>
      </c>
    </row>
    <row r="1055" spans="3:17">
      <c r="C1055">
        <v>5360</v>
      </c>
      <c r="E1055" t="s">
        <v>5795</v>
      </c>
      <c r="H1055" t="s">
        <v>5796</v>
      </c>
      <c r="K1055" s="31">
        <v>214964.04</v>
      </c>
      <c r="M1055" s="31">
        <v>413795.38</v>
      </c>
      <c r="O1055" s="31">
        <v>-198831.34</v>
      </c>
      <c r="Q1055">
        <v>-48.1</v>
      </c>
    </row>
    <row r="1056" spans="3:17">
      <c r="C1056">
        <v>5360</v>
      </c>
      <c r="E1056" t="s">
        <v>5797</v>
      </c>
      <c r="H1056" t="s">
        <v>5345</v>
      </c>
      <c r="K1056" s="31">
        <v>82055.509999999995</v>
      </c>
      <c r="M1056" s="31">
        <v>85371.520000000004</v>
      </c>
      <c r="O1056" s="31">
        <v>-3316.01</v>
      </c>
      <c r="Q1056">
        <v>-3.9</v>
      </c>
    </row>
    <row r="1057" spans="3:17">
      <c r="C1057">
        <v>5360</v>
      </c>
      <c r="E1057" t="s">
        <v>5798</v>
      </c>
      <c r="H1057" t="s">
        <v>5799</v>
      </c>
      <c r="K1057">
        <v>-909.93</v>
      </c>
      <c r="M1057" s="31">
        <v>-1580.93</v>
      </c>
      <c r="O1057">
        <v>671</v>
      </c>
      <c r="Q1057">
        <v>42.4</v>
      </c>
    </row>
    <row r="1058" spans="3:17">
      <c r="C1058">
        <v>5360</v>
      </c>
      <c r="E1058" t="s">
        <v>5800</v>
      </c>
      <c r="H1058" t="s">
        <v>5801</v>
      </c>
      <c r="K1058" s="31">
        <v>-68766.740000000005</v>
      </c>
      <c r="M1058" s="31">
        <v>-68766.740000000005</v>
      </c>
      <c r="O1058">
        <v>0</v>
      </c>
    </row>
    <row r="1059" spans="3:17">
      <c r="C1059">
        <v>5360</v>
      </c>
      <c r="E1059" t="s">
        <v>5802</v>
      </c>
      <c r="H1059" t="s">
        <v>5803</v>
      </c>
      <c r="K1059" s="31">
        <v>68828.66</v>
      </c>
      <c r="M1059" s="31">
        <v>68960.490000000005</v>
      </c>
      <c r="O1059">
        <v>-131.83000000000001</v>
      </c>
      <c r="Q1059">
        <v>-0.2</v>
      </c>
    </row>
    <row r="1060" spans="3:17">
      <c r="C1060">
        <v>5360</v>
      </c>
      <c r="E1060" t="s">
        <v>5804</v>
      </c>
      <c r="H1060" t="s">
        <v>5805</v>
      </c>
      <c r="K1060" s="31">
        <v>153886.09</v>
      </c>
      <c r="M1060" s="31">
        <v>-6382.28</v>
      </c>
      <c r="O1060" s="31">
        <v>160268.37</v>
      </c>
      <c r="Q1060">
        <v>2511.1</v>
      </c>
    </row>
    <row r="1061" spans="3:17">
      <c r="C1061">
        <v>5360</v>
      </c>
      <c r="E1061" t="s">
        <v>5808</v>
      </c>
      <c r="H1061" t="s">
        <v>5809</v>
      </c>
      <c r="K1061" s="31">
        <v>-22119.13</v>
      </c>
      <c r="M1061" s="31">
        <v>-22119.13</v>
      </c>
      <c r="O1061">
        <v>0</v>
      </c>
    </row>
    <row r="1062" spans="3:17">
      <c r="C1062">
        <v>5360</v>
      </c>
      <c r="E1062" t="s">
        <v>5810</v>
      </c>
      <c r="H1062" t="s">
        <v>5811</v>
      </c>
      <c r="K1062" s="31">
        <v>26129.53</v>
      </c>
      <c r="M1062" s="31">
        <v>30697.73</v>
      </c>
      <c r="O1062" s="31">
        <v>-4568.2</v>
      </c>
      <c r="Q1062">
        <v>-14.9</v>
      </c>
    </row>
    <row r="1063" spans="3:17">
      <c r="C1063">
        <v>5360</v>
      </c>
      <c r="E1063" t="s">
        <v>5812</v>
      </c>
      <c r="H1063" t="s">
        <v>5813</v>
      </c>
      <c r="K1063" s="31">
        <v>-4069</v>
      </c>
      <c r="M1063" s="31">
        <v>-4069</v>
      </c>
      <c r="O1063">
        <v>0</v>
      </c>
    </row>
    <row r="1064" spans="3:17">
      <c r="C1064">
        <v>5360</v>
      </c>
      <c r="E1064" t="s">
        <v>5814</v>
      </c>
      <c r="H1064" t="s">
        <v>5815</v>
      </c>
      <c r="K1064" s="31">
        <v>6340.82</v>
      </c>
      <c r="M1064" s="31">
        <v>8466.32</v>
      </c>
      <c r="O1064" s="31">
        <v>-2125.5</v>
      </c>
      <c r="Q1064">
        <v>-25.1</v>
      </c>
    </row>
    <row r="1065" spans="3:17">
      <c r="C1065">
        <v>5360</v>
      </c>
      <c r="E1065" t="s">
        <v>5816</v>
      </c>
      <c r="H1065" t="s">
        <v>5817</v>
      </c>
      <c r="K1065" s="31">
        <v>-2271.8200000000002</v>
      </c>
      <c r="M1065" s="31">
        <v>-4397.32</v>
      </c>
      <c r="O1065" s="31">
        <v>2125.5</v>
      </c>
      <c r="Q1065">
        <v>48.3</v>
      </c>
    </row>
    <row r="1066" spans="3:17">
      <c r="C1066">
        <v>5360</v>
      </c>
      <c r="E1066" t="s">
        <v>5822</v>
      </c>
      <c r="H1066" t="s">
        <v>5823</v>
      </c>
      <c r="K1066" s="31">
        <v>71485.34</v>
      </c>
      <c r="M1066" s="31">
        <v>75525.179999999993</v>
      </c>
      <c r="O1066" s="31">
        <v>-4039.84</v>
      </c>
      <c r="Q1066">
        <v>-5.3</v>
      </c>
    </row>
    <row r="1067" spans="3:17">
      <c r="C1067">
        <v>5360</v>
      </c>
      <c r="E1067" t="s">
        <v>5824</v>
      </c>
      <c r="H1067" t="s">
        <v>5825</v>
      </c>
      <c r="K1067" s="31">
        <v>-44763.18</v>
      </c>
      <c r="M1067" s="31">
        <v>-94409.43</v>
      </c>
      <c r="O1067" s="31">
        <v>49646.25</v>
      </c>
      <c r="Q1067">
        <v>52.6</v>
      </c>
    </row>
    <row r="1068" spans="3:17">
      <c r="C1068">
        <v>5360</v>
      </c>
      <c r="E1068" t="s">
        <v>5826</v>
      </c>
      <c r="H1068" t="s">
        <v>5827</v>
      </c>
      <c r="K1068" s="31">
        <v>81919.259999999995</v>
      </c>
      <c r="M1068" s="31">
        <v>153231.76</v>
      </c>
      <c r="O1068" s="31">
        <v>-71312.5</v>
      </c>
      <c r="Q1068">
        <v>-46.5</v>
      </c>
    </row>
    <row r="1069" spans="3:17">
      <c r="C1069">
        <v>5360</v>
      </c>
      <c r="E1069" t="s">
        <v>5828</v>
      </c>
      <c r="H1069" t="s">
        <v>5829</v>
      </c>
      <c r="K1069" s="31">
        <v>702490.84</v>
      </c>
      <c r="M1069" s="31">
        <v>2098344.0699999998</v>
      </c>
      <c r="O1069" s="31">
        <v>-1395853.23</v>
      </c>
      <c r="Q1069">
        <v>-66.5</v>
      </c>
    </row>
    <row r="1070" spans="3:17">
      <c r="C1070">
        <v>5360</v>
      </c>
      <c r="E1070" t="s">
        <v>6016</v>
      </c>
      <c r="H1070" t="s">
        <v>6017</v>
      </c>
      <c r="K1070">
        <v>0</v>
      </c>
      <c r="M1070">
        <v>29.81</v>
      </c>
      <c r="O1070">
        <v>-29.81</v>
      </c>
      <c r="Q1070">
        <v>-100</v>
      </c>
    </row>
    <row r="1071" spans="3:17">
      <c r="C1071">
        <v>5360</v>
      </c>
      <c r="E1071" t="s">
        <v>5832</v>
      </c>
      <c r="H1071" t="s">
        <v>5347</v>
      </c>
      <c r="K1071">
        <v>67.34</v>
      </c>
      <c r="M1071">
        <v>67.34</v>
      </c>
      <c r="O1071">
        <v>0</v>
      </c>
    </row>
    <row r="1072" spans="3:17">
      <c r="C1072">
        <v>5360</v>
      </c>
      <c r="E1072" t="s">
        <v>5833</v>
      </c>
      <c r="H1072" t="s">
        <v>5834</v>
      </c>
      <c r="K1072">
        <v>-67.34</v>
      </c>
      <c r="M1072">
        <v>-67.34</v>
      </c>
      <c r="O1072">
        <v>0</v>
      </c>
    </row>
    <row r="1073" spans="3:17">
      <c r="C1073">
        <v>5360</v>
      </c>
      <c r="E1073" t="s">
        <v>5837</v>
      </c>
      <c r="H1073" t="s">
        <v>5838</v>
      </c>
      <c r="K1073" s="31">
        <v>-669458.44999999995</v>
      </c>
      <c r="M1073" s="31">
        <v>-1277243.3899999999</v>
      </c>
      <c r="O1073" s="31">
        <v>607784.93999999994</v>
      </c>
      <c r="Q1073">
        <v>47.6</v>
      </c>
    </row>
    <row r="1074" spans="3:17">
      <c r="C1074">
        <v>5360</v>
      </c>
      <c r="E1074" t="s">
        <v>1786</v>
      </c>
      <c r="H1074" t="s">
        <v>5351</v>
      </c>
      <c r="K1074" s="31">
        <v>46557.21</v>
      </c>
      <c r="M1074" s="31">
        <v>85858.6</v>
      </c>
      <c r="O1074" s="31">
        <v>-39301.39</v>
      </c>
      <c r="Q1074">
        <v>-45.8</v>
      </c>
    </row>
    <row r="1075" spans="3:17">
      <c r="C1075">
        <v>5360</v>
      </c>
      <c r="E1075" t="s">
        <v>5839</v>
      </c>
      <c r="H1075" t="s">
        <v>5840</v>
      </c>
      <c r="K1075" s="31">
        <v>-20373.18</v>
      </c>
      <c r="M1075" s="31">
        <v>-35090.019999999997</v>
      </c>
      <c r="O1075" s="31">
        <v>14716.84</v>
      </c>
      <c r="Q1075">
        <v>41.9</v>
      </c>
    </row>
    <row r="1076" spans="3:17">
      <c r="C1076">
        <v>5360</v>
      </c>
      <c r="E1076" t="s">
        <v>5841</v>
      </c>
      <c r="H1076" t="s">
        <v>5842</v>
      </c>
      <c r="K1076" s="31">
        <v>-22219.3</v>
      </c>
      <c r="M1076" s="31">
        <v>-52229.68</v>
      </c>
      <c r="O1076" s="31">
        <v>30010.38</v>
      </c>
      <c r="Q1076">
        <v>57.5</v>
      </c>
    </row>
    <row r="1077" spans="3:17">
      <c r="C1077">
        <v>5360</v>
      </c>
      <c r="E1077" t="s">
        <v>5843</v>
      </c>
      <c r="H1077" t="s">
        <v>5844</v>
      </c>
      <c r="K1077" s="31">
        <v>36897.43</v>
      </c>
      <c r="M1077" s="31">
        <v>76910.44</v>
      </c>
      <c r="O1077" s="31">
        <v>-40013.01</v>
      </c>
      <c r="Q1077">
        <v>-52</v>
      </c>
    </row>
    <row r="1078" spans="3:17">
      <c r="C1078">
        <v>5360</v>
      </c>
      <c r="E1078" t="s">
        <v>5847</v>
      </c>
      <c r="H1078" t="s">
        <v>5355</v>
      </c>
      <c r="K1078" s="31">
        <v>8854165.9100000001</v>
      </c>
      <c r="M1078" s="31">
        <v>3573278.61</v>
      </c>
      <c r="O1078" s="31">
        <v>5280887.3</v>
      </c>
      <c r="Q1078">
        <v>147.80000000000001</v>
      </c>
    </row>
    <row r="1079" spans="3:17">
      <c r="C1079">
        <v>5360</v>
      </c>
      <c r="E1079" t="s">
        <v>5848</v>
      </c>
      <c r="H1079" t="s">
        <v>5849</v>
      </c>
      <c r="K1079">
        <v>2.57</v>
      </c>
      <c r="M1079" s="31">
        <v>26422.41</v>
      </c>
      <c r="O1079" s="31">
        <v>-26419.84</v>
      </c>
      <c r="Q1079">
        <v>-100</v>
      </c>
    </row>
    <row r="1080" spans="3:17">
      <c r="C1080">
        <v>5360</v>
      </c>
      <c r="E1080" t="s">
        <v>5850</v>
      </c>
      <c r="H1080" t="s">
        <v>5851</v>
      </c>
      <c r="K1080" s="31">
        <v>325950.99</v>
      </c>
      <c r="M1080" s="31">
        <v>662253.86</v>
      </c>
      <c r="O1080" s="31">
        <v>-336302.87</v>
      </c>
      <c r="Q1080">
        <v>-50.8</v>
      </c>
    </row>
    <row r="1081" spans="3:17">
      <c r="C1081">
        <v>5360</v>
      </c>
      <c r="E1081" t="s">
        <v>5852</v>
      </c>
      <c r="H1081" t="s">
        <v>5853</v>
      </c>
      <c r="K1081" s="31">
        <v>-306028.65000000002</v>
      </c>
      <c r="M1081" s="31">
        <v>-640497.82999999996</v>
      </c>
      <c r="O1081" s="31">
        <v>334469.18</v>
      </c>
      <c r="Q1081">
        <v>52.2</v>
      </c>
    </row>
    <row r="1082" spans="3:17">
      <c r="C1082">
        <v>5360</v>
      </c>
      <c r="E1082" t="s">
        <v>5854</v>
      </c>
      <c r="H1082" t="s">
        <v>5855</v>
      </c>
      <c r="K1082">
        <v>-285</v>
      </c>
      <c r="M1082">
        <v>-285</v>
      </c>
      <c r="O1082">
        <v>0</v>
      </c>
    </row>
    <row r="1083" spans="3:17">
      <c r="C1083">
        <v>5360</v>
      </c>
      <c r="E1083" t="s">
        <v>5856</v>
      </c>
      <c r="H1083" t="s">
        <v>5857</v>
      </c>
      <c r="K1083" s="31">
        <v>41477.15</v>
      </c>
      <c r="M1083" s="31">
        <v>103286.37</v>
      </c>
      <c r="O1083" s="31">
        <v>-61809.22</v>
      </c>
      <c r="Q1083">
        <v>-59.8</v>
      </c>
    </row>
    <row r="1084" spans="3:17">
      <c r="C1084">
        <v>5360</v>
      </c>
      <c r="E1084" t="s">
        <v>5858</v>
      </c>
      <c r="H1084" t="s">
        <v>5357</v>
      </c>
      <c r="K1084" s="31">
        <v>68360.210000000006</v>
      </c>
      <c r="M1084" s="31">
        <v>-126116.43</v>
      </c>
      <c r="O1084" s="31">
        <v>194476.64</v>
      </c>
      <c r="Q1084">
        <v>154.19999999999999</v>
      </c>
    </row>
    <row r="1085" spans="3:17">
      <c r="C1085">
        <v>5360</v>
      </c>
      <c r="E1085" t="s">
        <v>5859</v>
      </c>
      <c r="H1085" t="s">
        <v>5860</v>
      </c>
      <c r="K1085" s="31">
        <v>-92494.24</v>
      </c>
      <c r="M1085" s="31">
        <v>56072.19</v>
      </c>
      <c r="O1085" s="31">
        <v>-148566.43</v>
      </c>
      <c r="Q1085">
        <v>-265</v>
      </c>
    </row>
    <row r="1086" spans="3:17">
      <c r="C1086">
        <v>5360</v>
      </c>
      <c r="E1086" t="s">
        <v>5861</v>
      </c>
      <c r="H1086" t="s">
        <v>5862</v>
      </c>
      <c r="K1086" s="31">
        <v>24134.03</v>
      </c>
      <c r="M1086" s="31">
        <v>70044.240000000005</v>
      </c>
      <c r="O1086" s="31">
        <v>-45910.21</v>
      </c>
      <c r="Q1086">
        <v>-65.5</v>
      </c>
    </row>
    <row r="1087" spans="3:17">
      <c r="C1087">
        <v>5360</v>
      </c>
      <c r="E1087" t="s">
        <v>5863</v>
      </c>
      <c r="H1087" t="s">
        <v>5359</v>
      </c>
      <c r="K1087" s="31">
        <v>123316.15</v>
      </c>
      <c r="M1087" s="31">
        <v>525983.30000000005</v>
      </c>
      <c r="O1087" s="31">
        <v>-402667.15</v>
      </c>
      <c r="Q1087">
        <v>-76.599999999999994</v>
      </c>
    </row>
    <row r="1088" spans="3:17">
      <c r="C1088">
        <v>5360</v>
      </c>
      <c r="E1088" t="s">
        <v>5864</v>
      </c>
      <c r="H1088" t="s">
        <v>5865</v>
      </c>
      <c r="K1088" s="31">
        <v>662770.13</v>
      </c>
      <c r="M1088" s="31">
        <v>1204061.17</v>
      </c>
      <c r="O1088" s="31">
        <v>-541291.04</v>
      </c>
      <c r="Q1088">
        <v>-45</v>
      </c>
    </row>
    <row r="1089" spans="3:17">
      <c r="C1089">
        <v>5360</v>
      </c>
      <c r="E1089" t="s">
        <v>5866</v>
      </c>
      <c r="H1089" t="s">
        <v>5867</v>
      </c>
      <c r="K1089" s="31">
        <v>-212676.57</v>
      </c>
      <c r="M1089" s="31">
        <v>-423194.21</v>
      </c>
      <c r="O1089" s="31">
        <v>210517.64</v>
      </c>
      <c r="Q1089">
        <v>49.7</v>
      </c>
    </row>
    <row r="1090" spans="3:17">
      <c r="C1090">
        <v>5360</v>
      </c>
      <c r="E1090" t="s">
        <v>5868</v>
      </c>
      <c r="H1090" t="s">
        <v>5869</v>
      </c>
      <c r="K1090" s="31">
        <v>141978.44</v>
      </c>
      <c r="M1090" s="31">
        <v>197901.87</v>
      </c>
      <c r="O1090" s="31">
        <v>-55923.43</v>
      </c>
      <c r="Q1090">
        <v>-28.3</v>
      </c>
    </row>
    <row r="1091" spans="3:17">
      <c r="C1091">
        <v>5360</v>
      </c>
      <c r="E1091" t="s">
        <v>5870</v>
      </c>
      <c r="H1091" t="s">
        <v>5871</v>
      </c>
      <c r="K1091" s="31">
        <v>577314.41</v>
      </c>
      <c r="M1091" s="31">
        <v>1151354.74</v>
      </c>
      <c r="O1091" s="31">
        <v>-574040.32999999996</v>
      </c>
      <c r="Q1091">
        <v>-49.9</v>
      </c>
    </row>
    <row r="1092" spans="3:17">
      <c r="C1092">
        <v>5360</v>
      </c>
      <c r="E1092" t="s">
        <v>5874</v>
      </c>
      <c r="H1092" t="s">
        <v>5875</v>
      </c>
      <c r="K1092" s="31">
        <v>72265.539999999994</v>
      </c>
      <c r="M1092" s="31">
        <v>148687.94</v>
      </c>
      <c r="O1092" s="31">
        <v>-76422.399999999994</v>
      </c>
      <c r="Q1092">
        <v>-51.4</v>
      </c>
    </row>
    <row r="1093" spans="3:17">
      <c r="C1093">
        <v>5360</v>
      </c>
      <c r="E1093" t="s">
        <v>5876</v>
      </c>
      <c r="H1093" t="s">
        <v>5877</v>
      </c>
      <c r="K1093" s="31">
        <v>-36301.97</v>
      </c>
      <c r="M1093" s="31">
        <v>-68689.210000000006</v>
      </c>
      <c r="O1093" s="31">
        <v>32387.24</v>
      </c>
      <c r="Q1093">
        <v>47.2</v>
      </c>
    </row>
    <row r="1094" spans="3:17">
      <c r="C1094">
        <v>5360</v>
      </c>
      <c r="E1094" t="s">
        <v>5878</v>
      </c>
      <c r="H1094" t="s">
        <v>5879</v>
      </c>
      <c r="K1094" s="31">
        <v>30898.01</v>
      </c>
      <c r="M1094" s="31">
        <v>78353.47</v>
      </c>
      <c r="O1094" s="31">
        <v>-47455.46</v>
      </c>
      <c r="Q1094">
        <v>-60.6</v>
      </c>
    </row>
    <row r="1095" spans="3:17">
      <c r="C1095">
        <v>5360</v>
      </c>
      <c r="E1095" t="s">
        <v>5880</v>
      </c>
      <c r="H1095" t="s">
        <v>5881</v>
      </c>
      <c r="K1095">
        <v>-146.6</v>
      </c>
      <c r="M1095">
        <v>-146.6</v>
      </c>
      <c r="O1095">
        <v>0</v>
      </c>
    </row>
    <row r="1096" spans="3:17">
      <c r="C1096">
        <v>5360</v>
      </c>
      <c r="E1096" t="s">
        <v>5882</v>
      </c>
      <c r="H1096" t="s">
        <v>5883</v>
      </c>
      <c r="K1096">
        <v>-68.48</v>
      </c>
      <c r="M1096">
        <v>-167.41</v>
      </c>
      <c r="O1096">
        <v>98.93</v>
      </c>
      <c r="Q1096">
        <v>59.1</v>
      </c>
    </row>
    <row r="1097" spans="3:17">
      <c r="C1097">
        <v>5360</v>
      </c>
      <c r="E1097" t="s">
        <v>5884</v>
      </c>
      <c r="H1097" t="s">
        <v>5885</v>
      </c>
      <c r="K1097" s="31">
        <v>206547.58</v>
      </c>
      <c r="M1097" s="31">
        <v>335720.94</v>
      </c>
      <c r="O1097" s="31">
        <v>-129173.36</v>
      </c>
      <c r="Q1097">
        <v>-38.5</v>
      </c>
    </row>
    <row r="1098" spans="3:17">
      <c r="C1098">
        <v>5360</v>
      </c>
      <c r="E1098" t="s">
        <v>5886</v>
      </c>
      <c r="H1098" t="s">
        <v>5363</v>
      </c>
      <c r="K1098" s="31">
        <v>10869.57</v>
      </c>
      <c r="M1098" s="31">
        <v>36825.599999999999</v>
      </c>
      <c r="O1098" s="31">
        <v>-25956.03</v>
      </c>
      <c r="Q1098">
        <v>-70.5</v>
      </c>
    </row>
    <row r="1099" spans="3:17">
      <c r="C1099">
        <v>5360</v>
      </c>
      <c r="E1099" t="s">
        <v>5887</v>
      </c>
      <c r="H1099" t="s">
        <v>5888</v>
      </c>
      <c r="K1099" s="31">
        <v>-119511.23</v>
      </c>
      <c r="M1099" s="31">
        <v>-232040.37</v>
      </c>
      <c r="O1099" s="31">
        <v>112529.14</v>
      </c>
      <c r="Q1099">
        <v>48.5</v>
      </c>
    </row>
    <row r="1100" spans="3:17">
      <c r="C1100">
        <v>5360</v>
      </c>
      <c r="E1100" t="s">
        <v>5889</v>
      </c>
      <c r="H1100" t="s">
        <v>5890</v>
      </c>
      <c r="K1100" s="31">
        <v>9797.0400000000009</v>
      </c>
      <c r="M1100" s="31">
        <v>16118.41</v>
      </c>
      <c r="O1100" s="31">
        <v>-6321.37</v>
      </c>
      <c r="Q1100">
        <v>-39.200000000000003</v>
      </c>
    </row>
    <row r="1101" spans="3:17">
      <c r="C1101">
        <v>5360</v>
      </c>
      <c r="E1101" t="s">
        <v>5891</v>
      </c>
      <c r="H1101" t="s">
        <v>5892</v>
      </c>
      <c r="K1101" s="31">
        <v>135749.34</v>
      </c>
      <c r="M1101" s="31">
        <v>282927.98</v>
      </c>
      <c r="O1101" s="31">
        <v>-147178.64000000001</v>
      </c>
      <c r="Q1101">
        <v>-52</v>
      </c>
    </row>
    <row r="1102" spans="3:17">
      <c r="C1102">
        <v>5360</v>
      </c>
      <c r="E1102" t="s">
        <v>5893</v>
      </c>
      <c r="H1102" t="s">
        <v>5894</v>
      </c>
      <c r="K1102" s="31">
        <v>2278.12</v>
      </c>
      <c r="M1102" s="31">
        <v>2278.12</v>
      </c>
      <c r="O1102">
        <v>0</v>
      </c>
    </row>
    <row r="1103" spans="3:17">
      <c r="C1103">
        <v>5360</v>
      </c>
      <c r="E1103" t="s">
        <v>5895</v>
      </c>
      <c r="H1103" t="s">
        <v>5896</v>
      </c>
      <c r="K1103" s="31">
        <v>16996906.890000001</v>
      </c>
      <c r="M1103" s="31">
        <v>33440822.120000001</v>
      </c>
      <c r="O1103" s="31">
        <v>-16443915.23</v>
      </c>
      <c r="Q1103">
        <v>-49.2</v>
      </c>
    </row>
    <row r="1104" spans="3:17">
      <c r="C1104">
        <v>5360</v>
      </c>
      <c r="E1104" t="s">
        <v>5897</v>
      </c>
      <c r="H1104" t="s">
        <v>5898</v>
      </c>
      <c r="K1104" s="31">
        <v>9540709.3499999996</v>
      </c>
      <c r="M1104" s="31">
        <v>19264424.329999998</v>
      </c>
      <c r="O1104" s="31">
        <v>-9723714.9800000004</v>
      </c>
      <c r="Q1104">
        <v>-50.5</v>
      </c>
    </row>
    <row r="1105" spans="3:17">
      <c r="C1105">
        <v>5360</v>
      </c>
      <c r="E1105" t="s">
        <v>5899</v>
      </c>
      <c r="H1105" t="s">
        <v>5900</v>
      </c>
      <c r="K1105" s="31">
        <v>665490.23</v>
      </c>
      <c r="M1105" s="31">
        <v>777889.94</v>
      </c>
      <c r="O1105" s="31">
        <v>-112399.71</v>
      </c>
      <c r="Q1105">
        <v>-14.4</v>
      </c>
    </row>
    <row r="1106" spans="3:17">
      <c r="C1106">
        <v>5360</v>
      </c>
      <c r="E1106" t="s">
        <v>5901</v>
      </c>
      <c r="H1106" t="s">
        <v>5902</v>
      </c>
      <c r="K1106" s="31">
        <v>-1588137.62</v>
      </c>
      <c r="M1106" s="31">
        <v>-5507614.79</v>
      </c>
      <c r="O1106" s="31">
        <v>3919477.17</v>
      </c>
      <c r="Q1106">
        <v>71.2</v>
      </c>
    </row>
    <row r="1107" spans="3:17">
      <c r="C1107">
        <v>5360</v>
      </c>
      <c r="E1107" t="s">
        <v>5903</v>
      </c>
      <c r="H1107" t="s">
        <v>5904</v>
      </c>
      <c r="K1107" s="31">
        <v>234701.85</v>
      </c>
      <c r="M1107" s="31">
        <v>436609.46</v>
      </c>
      <c r="O1107" s="31">
        <v>-201907.61</v>
      </c>
      <c r="Q1107">
        <v>-46.2</v>
      </c>
    </row>
    <row r="1108" spans="3:17">
      <c r="C1108">
        <v>5360</v>
      </c>
      <c r="E1108" t="s">
        <v>5905</v>
      </c>
      <c r="H1108" t="s">
        <v>5906</v>
      </c>
      <c r="K1108" s="31">
        <v>-180008.22</v>
      </c>
      <c r="M1108" s="31">
        <v>-344316.02</v>
      </c>
      <c r="O1108" s="31">
        <v>164307.79999999999</v>
      </c>
      <c r="Q1108">
        <v>47.7</v>
      </c>
    </row>
    <row r="1109" spans="3:17">
      <c r="C1109">
        <v>5360</v>
      </c>
      <c r="E1109" t="s">
        <v>5907</v>
      </c>
      <c r="H1109" t="s">
        <v>5908</v>
      </c>
      <c r="K1109" s="31">
        <v>-10742.71</v>
      </c>
      <c r="M1109" s="31">
        <v>-12394.63</v>
      </c>
      <c r="O1109" s="31">
        <v>1651.92</v>
      </c>
      <c r="Q1109">
        <v>13.3</v>
      </c>
    </row>
    <row r="1110" spans="3:17">
      <c r="C1110">
        <v>5360</v>
      </c>
      <c r="E1110" t="s">
        <v>5909</v>
      </c>
      <c r="H1110" t="s">
        <v>5378</v>
      </c>
      <c r="K1110" s="31">
        <v>-18646.11</v>
      </c>
      <c r="M1110" s="31">
        <v>-20938.54</v>
      </c>
      <c r="O1110" s="31">
        <v>2292.4299999999998</v>
      </c>
      <c r="Q1110">
        <v>10.9</v>
      </c>
    </row>
    <row r="1111" spans="3:17">
      <c r="C1111">
        <v>5360</v>
      </c>
      <c r="E1111" t="s">
        <v>5910</v>
      </c>
      <c r="H1111" t="s">
        <v>5911</v>
      </c>
      <c r="K1111" s="31">
        <v>106545</v>
      </c>
      <c r="M1111" s="31">
        <v>213090</v>
      </c>
      <c r="O1111" s="31">
        <v>-106545</v>
      </c>
      <c r="Q1111">
        <v>-50</v>
      </c>
    </row>
    <row r="1112" spans="3:17">
      <c r="C1112">
        <v>5360</v>
      </c>
      <c r="E1112" t="s">
        <v>5912</v>
      </c>
      <c r="H1112" t="s">
        <v>5196</v>
      </c>
      <c r="K1112" s="31">
        <v>-70888.92</v>
      </c>
      <c r="M1112" s="31">
        <v>-141769.45000000001</v>
      </c>
      <c r="O1112" s="31">
        <v>70880.53</v>
      </c>
      <c r="Q1112">
        <v>50</v>
      </c>
    </row>
    <row r="1113" spans="3:17">
      <c r="C1113">
        <v>5360</v>
      </c>
      <c r="E1113" t="s">
        <v>5913</v>
      </c>
      <c r="H1113" t="s">
        <v>5413</v>
      </c>
      <c r="K1113" s="31">
        <v>34145.31</v>
      </c>
      <c r="M1113" s="31">
        <v>68290.62</v>
      </c>
      <c r="O1113" s="31">
        <v>-34145.31</v>
      </c>
      <c r="Q1113">
        <v>-50</v>
      </c>
    </row>
    <row r="1114" spans="3:17">
      <c r="C1114">
        <v>5360</v>
      </c>
      <c r="E1114" t="s">
        <v>5914</v>
      </c>
      <c r="H1114" t="s">
        <v>5415</v>
      </c>
      <c r="K1114" s="31">
        <v>-409865.04</v>
      </c>
      <c r="M1114" s="31">
        <v>-792503.81</v>
      </c>
      <c r="O1114" s="31">
        <v>382638.77</v>
      </c>
      <c r="Q1114">
        <v>48.3</v>
      </c>
    </row>
    <row r="1115" spans="3:17">
      <c r="C1115">
        <v>5360</v>
      </c>
      <c r="E1115" t="s">
        <v>5915</v>
      </c>
      <c r="H1115" t="s">
        <v>5916</v>
      </c>
      <c r="K1115" s="31">
        <v>-11589.73</v>
      </c>
      <c r="M1115" s="31">
        <v>-18490.849999999999</v>
      </c>
      <c r="O1115" s="31">
        <v>6901.12</v>
      </c>
      <c r="Q1115">
        <v>37.299999999999997</v>
      </c>
    </row>
    <row r="1116" spans="3:17">
      <c r="C1116">
        <v>5360</v>
      </c>
      <c r="E1116" t="s">
        <v>5919</v>
      </c>
      <c r="H1116" t="s">
        <v>312</v>
      </c>
      <c r="K1116" s="31">
        <v>-105527</v>
      </c>
      <c r="M1116" s="31">
        <v>-151811</v>
      </c>
      <c r="O1116" s="31">
        <v>46284</v>
      </c>
      <c r="Q1116">
        <v>30.5</v>
      </c>
    </row>
    <row r="1117" spans="3:17">
      <c r="C1117">
        <v>5360</v>
      </c>
      <c r="E1117" t="s">
        <v>5920</v>
      </c>
      <c r="H1117" t="s">
        <v>322</v>
      </c>
      <c r="K1117" s="31">
        <v>125412.19</v>
      </c>
      <c r="M1117" s="31">
        <v>278379.51</v>
      </c>
      <c r="O1117" s="31">
        <v>-152967.32</v>
      </c>
      <c r="Q1117">
        <v>-54.9</v>
      </c>
    </row>
    <row r="1118" spans="3:17">
      <c r="C1118">
        <v>5360</v>
      </c>
      <c r="E1118" t="s">
        <v>5931</v>
      </c>
      <c r="H1118" t="s">
        <v>120</v>
      </c>
      <c r="K1118" s="31">
        <v>11282.93</v>
      </c>
      <c r="M1118" s="31">
        <v>48880.22</v>
      </c>
      <c r="O1118" s="31">
        <v>-37597.29</v>
      </c>
      <c r="Q1118">
        <v>-76.900000000000006</v>
      </c>
    </row>
    <row r="1119" spans="3:17">
      <c r="C1119">
        <v>5360</v>
      </c>
      <c r="E1119" t="s">
        <v>5932</v>
      </c>
      <c r="H1119" t="s">
        <v>5933</v>
      </c>
      <c r="K1119" s="31">
        <v>-8306.49</v>
      </c>
      <c r="M1119" s="31">
        <v>-11760.14</v>
      </c>
      <c r="O1119" s="31">
        <v>3453.65</v>
      </c>
      <c r="Q1119">
        <v>29.4</v>
      </c>
    </row>
    <row r="1120" spans="3:17">
      <c r="C1120">
        <v>5360</v>
      </c>
      <c r="E1120" t="s">
        <v>5934</v>
      </c>
      <c r="H1120" t="s">
        <v>1089</v>
      </c>
      <c r="K1120" s="31">
        <v>-8229596.9299999997</v>
      </c>
      <c r="M1120" s="31">
        <v>-33148150.010000002</v>
      </c>
      <c r="O1120" s="31">
        <v>24918553.079999998</v>
      </c>
      <c r="Q1120">
        <v>75.2</v>
      </c>
    </row>
    <row r="1121" spans="3:17">
      <c r="C1121">
        <v>5360</v>
      </c>
      <c r="E1121" t="s">
        <v>1792</v>
      </c>
      <c r="H1121" t="s">
        <v>3534</v>
      </c>
      <c r="K1121" s="31">
        <v>1101470.48</v>
      </c>
      <c r="M1121" s="31">
        <v>2820116.26</v>
      </c>
      <c r="O1121" s="31">
        <v>-1718645.78</v>
      </c>
      <c r="Q1121">
        <v>-60.9</v>
      </c>
    </row>
    <row r="1122" spans="3:17">
      <c r="C1122">
        <v>5360</v>
      </c>
      <c r="E1122" t="s">
        <v>1841</v>
      </c>
      <c r="H1122" t="s">
        <v>5935</v>
      </c>
      <c r="K1122" s="31">
        <v>-8164617.5199999996</v>
      </c>
      <c r="M1122" s="31">
        <v>-10695361.630000001</v>
      </c>
      <c r="O1122" s="31">
        <v>2530744.11</v>
      </c>
      <c r="Q1122">
        <v>23.7</v>
      </c>
    </row>
    <row r="1123" spans="3:17">
      <c r="C1123">
        <v>5360</v>
      </c>
      <c r="E1123" t="s">
        <v>1837</v>
      </c>
      <c r="H1123" t="s">
        <v>1704</v>
      </c>
      <c r="K1123" s="31">
        <v>-836792.77</v>
      </c>
      <c r="M1123" s="31">
        <v>-983189.21</v>
      </c>
      <c r="O1123" s="31">
        <v>146396.44</v>
      </c>
      <c r="Q1123">
        <v>14.9</v>
      </c>
    </row>
    <row r="1124" spans="3:17">
      <c r="C1124">
        <v>5360</v>
      </c>
      <c r="E1124" t="s">
        <v>1846</v>
      </c>
      <c r="H1124" t="s">
        <v>1727</v>
      </c>
      <c r="K1124" s="31">
        <v>282753.91999999998</v>
      </c>
      <c r="M1124" s="31">
        <v>347683.13</v>
      </c>
      <c r="O1124" s="31">
        <v>-64929.21</v>
      </c>
      <c r="Q1124">
        <v>-18.7</v>
      </c>
    </row>
    <row r="1125" spans="3:17">
      <c r="C1125">
        <v>5360</v>
      </c>
      <c r="E1125" t="s">
        <v>1778</v>
      </c>
      <c r="H1125" t="s">
        <v>3536</v>
      </c>
      <c r="K1125" s="31">
        <v>-2338665.61</v>
      </c>
      <c r="M1125" s="31">
        <v>-4014598.49</v>
      </c>
      <c r="O1125" s="31">
        <v>1675932.88</v>
      </c>
      <c r="Q1125">
        <v>41.7</v>
      </c>
    </row>
    <row r="1126" spans="3:17">
      <c r="C1126">
        <v>5360</v>
      </c>
      <c r="E1126" t="s">
        <v>6018</v>
      </c>
      <c r="H1126" t="s">
        <v>5237</v>
      </c>
      <c r="K1126">
        <v>0</v>
      </c>
      <c r="M1126">
        <v>1.67</v>
      </c>
      <c r="O1126">
        <v>-1.67</v>
      </c>
      <c r="Q1126">
        <v>-100</v>
      </c>
    </row>
    <row r="1127" spans="3:17">
      <c r="C1127">
        <v>5360</v>
      </c>
      <c r="E1127" t="s">
        <v>5936</v>
      </c>
      <c r="H1127" t="s">
        <v>5241</v>
      </c>
      <c r="K1127" s="31">
        <v>-14283.6</v>
      </c>
      <c r="M1127" s="31">
        <v>-27719.16</v>
      </c>
      <c r="O1127" s="31">
        <v>13435.56</v>
      </c>
      <c r="Q1127">
        <v>48.5</v>
      </c>
    </row>
    <row r="1128" spans="3:17">
      <c r="C1128">
        <v>5360</v>
      </c>
      <c r="E1128" t="s">
        <v>6019</v>
      </c>
      <c r="H1128" t="s">
        <v>5245</v>
      </c>
      <c r="K1128">
        <v>0</v>
      </c>
      <c r="M1128">
        <v>-54.28</v>
      </c>
      <c r="O1128">
        <v>54.28</v>
      </c>
      <c r="Q1128">
        <v>100</v>
      </c>
    </row>
    <row r="1129" spans="3:17">
      <c r="C1129">
        <v>5360</v>
      </c>
      <c r="E1129" t="s">
        <v>5937</v>
      </c>
      <c r="H1129" t="s">
        <v>5251</v>
      </c>
      <c r="K1129" s="31">
        <v>-2111.8000000000002</v>
      </c>
      <c r="M1129" s="31">
        <v>-4338.6899999999996</v>
      </c>
      <c r="O1129" s="31">
        <v>2226.89</v>
      </c>
      <c r="Q1129">
        <v>51.3</v>
      </c>
    </row>
    <row r="1130" spans="3:17">
      <c r="C1130">
        <v>5360</v>
      </c>
      <c r="E1130" t="s">
        <v>6020</v>
      </c>
      <c r="H1130" t="s">
        <v>5255</v>
      </c>
      <c r="K1130">
        <v>0</v>
      </c>
      <c r="M1130">
        <v>-0.84</v>
      </c>
      <c r="O1130">
        <v>0.84</v>
      </c>
      <c r="Q1130">
        <v>100</v>
      </c>
    </row>
    <row r="1131" spans="3:17">
      <c r="C1131">
        <v>5360</v>
      </c>
      <c r="E1131" t="s">
        <v>5938</v>
      </c>
      <c r="H1131" t="s">
        <v>5257</v>
      </c>
      <c r="K1131" s="31">
        <v>-1757.13</v>
      </c>
      <c r="M1131" s="31">
        <v>-3623.06</v>
      </c>
      <c r="O1131" s="31">
        <v>1865.93</v>
      </c>
      <c r="Q1131">
        <v>51.5</v>
      </c>
    </row>
    <row r="1132" spans="3:17">
      <c r="C1132">
        <v>5360</v>
      </c>
      <c r="E1132" t="s">
        <v>5939</v>
      </c>
      <c r="H1132" t="s">
        <v>5261</v>
      </c>
      <c r="K1132" s="31">
        <v>-48927.07</v>
      </c>
      <c r="M1132" s="31">
        <v>-108466.08</v>
      </c>
      <c r="O1132" s="31">
        <v>59539.01</v>
      </c>
      <c r="Q1132">
        <v>54.9</v>
      </c>
    </row>
    <row r="1133" spans="3:17">
      <c r="C1133">
        <v>5360</v>
      </c>
      <c r="E1133" t="s">
        <v>5941</v>
      </c>
      <c r="H1133" t="s">
        <v>5263</v>
      </c>
      <c r="K1133">
        <v>729.58</v>
      </c>
      <c r="M1133">
        <v>729.58</v>
      </c>
      <c r="O1133">
        <v>0</v>
      </c>
    </row>
    <row r="1134" spans="3:17">
      <c r="C1134">
        <v>5360</v>
      </c>
      <c r="E1134" t="s">
        <v>5942</v>
      </c>
      <c r="H1134" t="s">
        <v>5265</v>
      </c>
      <c r="K1134">
        <v>-14.68</v>
      </c>
      <c r="M1134">
        <v>-33.369999999999997</v>
      </c>
      <c r="O1134">
        <v>18.690000000000001</v>
      </c>
      <c r="Q1134">
        <v>56</v>
      </c>
    </row>
    <row r="1135" spans="3:17">
      <c r="C1135">
        <v>5360</v>
      </c>
      <c r="E1135" t="s">
        <v>5943</v>
      </c>
      <c r="H1135" t="s">
        <v>5269</v>
      </c>
      <c r="K1135" s="31">
        <v>-1685.29</v>
      </c>
      <c r="M1135" s="31">
        <v>-3547.88</v>
      </c>
      <c r="O1135" s="31">
        <v>1862.59</v>
      </c>
      <c r="Q1135">
        <v>52.5</v>
      </c>
    </row>
    <row r="1136" spans="3:17">
      <c r="C1136">
        <v>5360</v>
      </c>
      <c r="E1136" t="s">
        <v>5944</v>
      </c>
      <c r="H1136" t="s">
        <v>5273</v>
      </c>
      <c r="K1136">
        <v>-142.16</v>
      </c>
      <c r="M1136">
        <v>-219</v>
      </c>
      <c r="O1136">
        <v>76.84</v>
      </c>
      <c r="Q1136">
        <v>35.1</v>
      </c>
    </row>
    <row r="1137" spans="3:18">
      <c r="C1137">
        <v>5360</v>
      </c>
      <c r="E1137" t="s">
        <v>5945</v>
      </c>
      <c r="H1137" t="s">
        <v>5277</v>
      </c>
      <c r="K1137" s="31">
        <v>-658409.31000000006</v>
      </c>
      <c r="M1137" s="31">
        <v>-1369263.72</v>
      </c>
      <c r="O1137" s="31">
        <v>710854.41</v>
      </c>
      <c r="Q1137">
        <v>51.9</v>
      </c>
    </row>
    <row r="1138" spans="3:18">
      <c r="C1138">
        <v>5360</v>
      </c>
      <c r="E1138" t="s">
        <v>5947</v>
      </c>
      <c r="H1138" t="s">
        <v>5279</v>
      </c>
      <c r="K1138" s="31">
        <v>2417.5700000000002</v>
      </c>
      <c r="M1138" s="31">
        <v>2417.5700000000002</v>
      </c>
      <c r="O1138">
        <v>0</v>
      </c>
    </row>
    <row r="1139" spans="3:18">
      <c r="C1139">
        <v>5360</v>
      </c>
      <c r="E1139" t="s">
        <v>5948</v>
      </c>
      <c r="H1139" t="s">
        <v>5281</v>
      </c>
      <c r="K1139" s="31">
        <v>-1038.3699999999999</v>
      </c>
      <c r="M1139" s="31">
        <v>-1951.27</v>
      </c>
      <c r="O1139">
        <v>912.9</v>
      </c>
      <c r="Q1139">
        <v>46.8</v>
      </c>
    </row>
    <row r="1140" spans="3:18">
      <c r="C1140">
        <v>5360</v>
      </c>
      <c r="E1140" t="s">
        <v>5949</v>
      </c>
      <c r="H1140" t="s">
        <v>5285</v>
      </c>
      <c r="K1140">
        <v>-103.04</v>
      </c>
      <c r="M1140">
        <v>-252.02</v>
      </c>
      <c r="O1140">
        <v>148.97999999999999</v>
      </c>
      <c r="Q1140">
        <v>59.1</v>
      </c>
    </row>
    <row r="1141" spans="3:18">
      <c r="C1141">
        <v>5360</v>
      </c>
      <c r="E1141" t="s">
        <v>5950</v>
      </c>
      <c r="H1141" t="s">
        <v>5307</v>
      </c>
      <c r="K1141" s="31">
        <v>-53892.05</v>
      </c>
      <c r="M1141" s="31">
        <v>-113089.2</v>
      </c>
      <c r="O1141" s="31">
        <v>59197.15</v>
      </c>
      <c r="Q1141">
        <v>52.3</v>
      </c>
    </row>
    <row r="1142" spans="3:18">
      <c r="C1142">
        <v>5360</v>
      </c>
      <c r="E1142" t="s">
        <v>5951</v>
      </c>
      <c r="H1142" t="s">
        <v>5323</v>
      </c>
      <c r="K1142" s="31">
        <v>-25224.68</v>
      </c>
      <c r="M1142" s="31">
        <v>-43476.47</v>
      </c>
      <c r="O1142" s="31">
        <v>18251.79</v>
      </c>
      <c r="Q1142">
        <v>42</v>
      </c>
    </row>
    <row r="1143" spans="3:18">
      <c r="C1143">
        <v>5360</v>
      </c>
      <c r="E1143" t="s">
        <v>5952</v>
      </c>
      <c r="H1143" t="s">
        <v>5327</v>
      </c>
      <c r="K1143" s="31">
        <v>1434.33</v>
      </c>
      <c r="M1143" s="31">
        <v>1209.22</v>
      </c>
      <c r="O1143">
        <v>225.11</v>
      </c>
      <c r="Q1143">
        <v>18.600000000000001</v>
      </c>
    </row>
    <row r="1144" spans="3:18">
      <c r="C1144">
        <v>5360</v>
      </c>
      <c r="E1144" t="s">
        <v>5953</v>
      </c>
      <c r="H1144" t="s">
        <v>5333</v>
      </c>
      <c r="K1144" s="31">
        <v>96209.29</v>
      </c>
      <c r="M1144" s="31">
        <v>102621.14</v>
      </c>
      <c r="O1144" s="31">
        <v>-6411.85</v>
      </c>
      <c r="Q1144">
        <v>-6.2</v>
      </c>
    </row>
    <row r="1145" spans="3:18">
      <c r="C1145">
        <v>5360</v>
      </c>
      <c r="E1145" t="s">
        <v>5954</v>
      </c>
      <c r="H1145" t="s">
        <v>5337</v>
      </c>
      <c r="K1145" s="31">
        <v>30141.27</v>
      </c>
      <c r="M1145" s="31">
        <v>60282.54</v>
      </c>
      <c r="O1145" s="31">
        <v>-30141.27</v>
      </c>
      <c r="Q1145">
        <v>-50</v>
      </c>
    </row>
    <row r="1146" spans="3:18">
      <c r="C1146">
        <v>5360</v>
      </c>
      <c r="E1146" t="s">
        <v>5955</v>
      </c>
      <c r="H1146" t="s">
        <v>5339</v>
      </c>
      <c r="K1146" s="31">
        <v>-101044.09</v>
      </c>
      <c r="M1146" s="31">
        <v>-73293.94</v>
      </c>
      <c r="O1146" s="31">
        <v>-27750.15</v>
      </c>
      <c r="Q1146">
        <v>-37.9</v>
      </c>
    </row>
    <row r="1147" spans="3:18">
      <c r="C1147">
        <v>5360</v>
      </c>
      <c r="E1147" t="s">
        <v>5956</v>
      </c>
      <c r="H1147" t="s">
        <v>5363</v>
      </c>
      <c r="K1147">
        <v>-47.99</v>
      </c>
      <c r="M1147">
        <v>-47.99</v>
      </c>
      <c r="O1147">
        <v>0</v>
      </c>
    </row>
    <row r="1148" spans="3:18">
      <c r="C1148">
        <v>5360</v>
      </c>
      <c r="E1148" t="s">
        <v>5957</v>
      </c>
      <c r="H1148" t="s">
        <v>5958</v>
      </c>
      <c r="K1148" s="31">
        <v>-1012.36</v>
      </c>
      <c r="M1148" s="31">
        <v>-1012.36</v>
      </c>
      <c r="O1148">
        <v>0</v>
      </c>
    </row>
    <row r="1149" spans="3:18">
      <c r="C1149">
        <v>5360</v>
      </c>
      <c r="E1149" t="s">
        <v>5960</v>
      </c>
      <c r="H1149" t="s">
        <v>5961</v>
      </c>
      <c r="K1149" s="31">
        <v>485998.05</v>
      </c>
      <c r="M1149" s="31">
        <v>2609779.2799999998</v>
      </c>
      <c r="O1149" s="31">
        <v>-2123781.23</v>
      </c>
      <c r="Q1149">
        <v>-81.400000000000006</v>
      </c>
    </row>
    <row r="1150" spans="3:18">
      <c r="K1150" s="31">
        <v>1663251561.6700001</v>
      </c>
      <c r="M1150" s="31">
        <v>1661672499.95</v>
      </c>
      <c r="O1150" s="31">
        <v>1579061.72</v>
      </c>
      <c r="Q1150">
        <v>0.1</v>
      </c>
      <c r="R1150" t="s">
        <v>970</v>
      </c>
    </row>
  </sheetData>
  <pageMargins left="0.7" right="0.7" top="0.75" bottom="0.75" header="0.3" footer="0.3"/>
  <pageSetup orientation="portrait" horizontalDpi="1200" verticalDpi="1200"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A3A096-2772-4B1E-A31B-6422E1C3BA28}">
  <sheetPr>
    <tabColor rgb="FFFF0000"/>
  </sheetPr>
  <dimension ref="A1:R1166"/>
  <sheetViews>
    <sheetView workbookViewId="0"/>
  </sheetViews>
  <sheetFormatPr defaultColWidth="12.28515625" defaultRowHeight="15"/>
  <cols>
    <col min="2" max="2" width="2.140625" bestFit="1" customWidth="1"/>
    <col min="3" max="3" width="6.140625" bestFit="1" customWidth="1"/>
    <col min="4" max="4" width="4.85546875" bestFit="1" customWidth="1"/>
    <col min="5" max="5" width="32" bestFit="1" customWidth="1"/>
    <col min="6" max="6" width="5" bestFit="1" customWidth="1"/>
    <col min="7" max="7" width="9.28515625" customWidth="1"/>
    <col min="8" max="8" width="43.7109375" bestFit="1" customWidth="1"/>
    <col min="9" max="9" width="5" bestFit="1" customWidth="1"/>
    <col min="10" max="10" width="16.42578125" bestFit="1" customWidth="1"/>
    <col min="11" max="11" width="16.140625" bestFit="1" customWidth="1"/>
    <col min="12" max="12" width="18.140625" bestFit="1" customWidth="1"/>
    <col min="13" max="13" width="16.140625" bestFit="1" customWidth="1"/>
    <col min="14" max="14" width="11.140625" bestFit="1" customWidth="1"/>
    <col min="15" max="15" width="13.85546875" bestFit="1" customWidth="1"/>
    <col min="16" max="16" width="4.5703125" bestFit="1" customWidth="1"/>
    <col min="17" max="17" width="8" bestFit="1" customWidth="1"/>
    <col min="18" max="18" width="6.7109375" bestFit="1" customWidth="1"/>
  </cols>
  <sheetData>
    <row r="1" spans="1:18">
      <c r="A1" t="s">
        <v>6021</v>
      </c>
    </row>
    <row r="2" spans="1:18">
      <c r="A2" t="s">
        <v>6022</v>
      </c>
    </row>
    <row r="4" spans="1:18">
      <c r="A4" t="s">
        <v>535</v>
      </c>
      <c r="F4">
        <v>5360</v>
      </c>
      <c r="G4" t="s">
        <v>536</v>
      </c>
      <c r="I4" t="s">
        <v>537</v>
      </c>
      <c r="N4" t="s">
        <v>538</v>
      </c>
      <c r="P4" t="s">
        <v>539</v>
      </c>
    </row>
    <row r="5" spans="1:18">
      <c r="K5" s="6" t="s">
        <v>5964</v>
      </c>
      <c r="M5" s="6" t="s">
        <v>6023</v>
      </c>
    </row>
    <row r="6" spans="1:18">
      <c r="B6" t="s">
        <v>313</v>
      </c>
      <c r="C6" t="s">
        <v>540</v>
      </c>
      <c r="D6" t="s">
        <v>541</v>
      </c>
      <c r="E6" t="s">
        <v>542</v>
      </c>
      <c r="J6" t="s">
        <v>543</v>
      </c>
      <c r="L6" t="s">
        <v>544</v>
      </c>
      <c r="O6" t="s">
        <v>545</v>
      </c>
      <c r="Q6" t="s">
        <v>546</v>
      </c>
      <c r="R6" t="s">
        <v>4054</v>
      </c>
    </row>
    <row r="7" spans="1:18">
      <c r="B7" t="s">
        <v>201</v>
      </c>
      <c r="C7" t="s">
        <v>548</v>
      </c>
      <c r="D7" t="s">
        <v>549</v>
      </c>
      <c r="J7" t="s">
        <v>5966</v>
      </c>
      <c r="L7" t="s">
        <v>6024</v>
      </c>
      <c r="O7" t="s">
        <v>551</v>
      </c>
      <c r="Q7" t="s">
        <v>552</v>
      </c>
      <c r="R7" t="s">
        <v>4057</v>
      </c>
    </row>
    <row r="9" spans="1:18">
      <c r="E9" t="s">
        <v>4058</v>
      </c>
    </row>
    <row r="10" spans="1:18">
      <c r="C10">
        <v>5360</v>
      </c>
      <c r="E10" t="s">
        <v>4059</v>
      </c>
      <c r="H10" t="s">
        <v>4060</v>
      </c>
      <c r="K10" s="31">
        <v>1430207171.48</v>
      </c>
      <c r="M10" s="31">
        <v>1430207171.48</v>
      </c>
      <c r="O10">
        <v>0</v>
      </c>
    </row>
    <row r="11" spans="1:18">
      <c r="C11">
        <v>5360</v>
      </c>
      <c r="E11" t="s">
        <v>4061</v>
      </c>
      <c r="H11" t="s">
        <v>4062</v>
      </c>
      <c r="K11" s="31">
        <v>6241183.9400000004</v>
      </c>
      <c r="M11" s="31">
        <v>6241183.9400000004</v>
      </c>
      <c r="O11">
        <v>0</v>
      </c>
    </row>
    <row r="12" spans="1:18">
      <c r="C12">
        <v>5360</v>
      </c>
      <c r="E12" t="s">
        <v>4063</v>
      </c>
      <c r="H12" t="s">
        <v>4064</v>
      </c>
      <c r="K12" s="31">
        <v>27165912.109999999</v>
      </c>
      <c r="M12" s="31">
        <v>27165912.109999999</v>
      </c>
      <c r="O12">
        <v>0</v>
      </c>
    </row>
    <row r="13" spans="1:18">
      <c r="C13">
        <v>5360</v>
      </c>
      <c r="E13" t="s">
        <v>4065</v>
      </c>
      <c r="H13" t="s">
        <v>4066</v>
      </c>
      <c r="K13" s="31">
        <v>-165837.76999999999</v>
      </c>
      <c r="M13" s="31">
        <v>-165837.76999999999</v>
      </c>
      <c r="O13">
        <v>0</v>
      </c>
    </row>
    <row r="14" spans="1:18">
      <c r="C14">
        <v>5360</v>
      </c>
      <c r="E14" t="s">
        <v>4067</v>
      </c>
      <c r="H14" t="s">
        <v>4068</v>
      </c>
      <c r="K14" s="31">
        <v>1767921.56</v>
      </c>
      <c r="M14" s="31">
        <v>1767921.56</v>
      </c>
      <c r="O14">
        <v>0</v>
      </c>
    </row>
    <row r="15" spans="1:18">
      <c r="C15">
        <v>5360</v>
      </c>
      <c r="E15" t="s">
        <v>4069</v>
      </c>
      <c r="H15" t="s">
        <v>4070</v>
      </c>
      <c r="K15" s="31">
        <v>20072495.530000001</v>
      </c>
      <c r="M15" s="31">
        <v>20072495.530000001</v>
      </c>
      <c r="O15">
        <v>0</v>
      </c>
    </row>
    <row r="16" spans="1:18">
      <c r="C16">
        <v>5360</v>
      </c>
      <c r="E16" t="s">
        <v>4071</v>
      </c>
      <c r="H16" t="s">
        <v>4072</v>
      </c>
      <c r="K16" s="31">
        <v>-2000718.39</v>
      </c>
      <c r="M16" s="31">
        <v>-3713633.93</v>
      </c>
      <c r="O16" s="31">
        <v>1712915.54</v>
      </c>
      <c r="Q16">
        <v>46.1</v>
      </c>
    </row>
    <row r="17" spans="3:18">
      <c r="C17">
        <v>5360</v>
      </c>
      <c r="E17" t="s">
        <v>4073</v>
      </c>
      <c r="H17" t="s">
        <v>4074</v>
      </c>
      <c r="K17" s="31">
        <v>-47730.61</v>
      </c>
      <c r="M17" s="31">
        <v>-48351.66</v>
      </c>
      <c r="O17">
        <v>621.04999999999995</v>
      </c>
      <c r="Q17">
        <v>1.3</v>
      </c>
    </row>
    <row r="18" spans="3:18">
      <c r="C18">
        <v>5360</v>
      </c>
      <c r="E18" t="s">
        <v>6025</v>
      </c>
      <c r="H18" t="s">
        <v>6026</v>
      </c>
      <c r="K18">
        <v>0</v>
      </c>
      <c r="M18" s="31">
        <v>-6033.29</v>
      </c>
      <c r="O18" s="31">
        <v>6033.29</v>
      </c>
      <c r="Q18">
        <v>100</v>
      </c>
    </row>
    <row r="19" spans="3:18">
      <c r="C19">
        <v>5360</v>
      </c>
      <c r="E19" t="s">
        <v>4077</v>
      </c>
      <c r="H19" t="s">
        <v>4078</v>
      </c>
      <c r="K19" s="31">
        <v>-2032.81</v>
      </c>
      <c r="M19" s="31">
        <v>-2032.81</v>
      </c>
      <c r="O19">
        <v>0</v>
      </c>
    </row>
    <row r="20" spans="3:18">
      <c r="C20">
        <v>5360</v>
      </c>
      <c r="E20" t="s">
        <v>4079</v>
      </c>
      <c r="H20" t="s">
        <v>4080</v>
      </c>
      <c r="K20" s="31">
        <v>52288785.229999997</v>
      </c>
      <c r="M20" s="31">
        <v>77032107.900000006</v>
      </c>
      <c r="O20" s="31">
        <v>-24743322.670000002</v>
      </c>
      <c r="Q20">
        <v>-32.1</v>
      </c>
    </row>
    <row r="21" spans="3:18">
      <c r="C21">
        <v>5360</v>
      </c>
      <c r="E21" t="s">
        <v>4081</v>
      </c>
      <c r="H21" t="s">
        <v>4082</v>
      </c>
      <c r="K21" s="31">
        <v>42003.32</v>
      </c>
      <c r="M21" s="31">
        <v>2842656.46</v>
      </c>
      <c r="O21" s="31">
        <v>-2800653.14</v>
      </c>
      <c r="Q21">
        <v>-98.5</v>
      </c>
    </row>
    <row r="22" spans="3:18">
      <c r="C22">
        <v>5360</v>
      </c>
      <c r="E22" t="s">
        <v>4922</v>
      </c>
      <c r="H22" t="s">
        <v>4923</v>
      </c>
      <c r="K22" s="31">
        <v>256672.05</v>
      </c>
      <c r="M22" s="31">
        <v>256672.05</v>
      </c>
      <c r="O22">
        <v>0</v>
      </c>
    </row>
    <row r="23" spans="3:18">
      <c r="C23">
        <v>5360</v>
      </c>
      <c r="E23" t="s">
        <v>5967</v>
      </c>
      <c r="H23" t="s">
        <v>5968</v>
      </c>
      <c r="K23" s="31">
        <v>138584.16</v>
      </c>
      <c r="M23" s="31">
        <v>138584.16</v>
      </c>
      <c r="O23">
        <v>0</v>
      </c>
    </row>
    <row r="24" spans="3:18">
      <c r="C24">
        <v>5360</v>
      </c>
      <c r="E24" t="s">
        <v>4083</v>
      </c>
      <c r="H24" t="s">
        <v>4084</v>
      </c>
      <c r="K24" s="31">
        <v>1967388.61</v>
      </c>
      <c r="M24" s="31">
        <v>1967388.61</v>
      </c>
      <c r="O24">
        <v>0</v>
      </c>
    </row>
    <row r="25" spans="3:18">
      <c r="C25">
        <v>5360</v>
      </c>
      <c r="E25" t="s">
        <v>4085</v>
      </c>
      <c r="H25" t="s">
        <v>4086</v>
      </c>
      <c r="K25" s="31">
        <v>11476847.699999999</v>
      </c>
      <c r="M25" s="31">
        <v>11476847.699999999</v>
      </c>
      <c r="O25">
        <v>0</v>
      </c>
    </row>
    <row r="26" spans="3:18">
      <c r="C26">
        <v>5360</v>
      </c>
      <c r="E26" t="s">
        <v>4089</v>
      </c>
      <c r="H26" t="s">
        <v>4090</v>
      </c>
      <c r="K26" s="31">
        <v>1006669.84</v>
      </c>
      <c r="M26" s="31">
        <v>1236959.6200000001</v>
      </c>
      <c r="O26" s="31">
        <v>-230289.78</v>
      </c>
      <c r="Q26">
        <v>-18.600000000000001</v>
      </c>
    </row>
    <row r="27" spans="3:18">
      <c r="C27">
        <v>5360</v>
      </c>
      <c r="E27" t="s">
        <v>4091</v>
      </c>
      <c r="H27" t="s">
        <v>4092</v>
      </c>
      <c r="K27" s="31">
        <v>-127829.64</v>
      </c>
      <c r="M27" s="31">
        <v>-149170.29999999999</v>
      </c>
      <c r="O27" s="31">
        <v>21340.66</v>
      </c>
      <c r="Q27">
        <v>14.3</v>
      </c>
    </row>
    <row r="28" spans="3:18">
      <c r="E28" t="s">
        <v>4093</v>
      </c>
      <c r="K28" s="31">
        <v>1550287486.3099999</v>
      </c>
      <c r="M28" s="31">
        <v>1576320841.3599999</v>
      </c>
      <c r="O28" s="31">
        <v>-26033355.050000001</v>
      </c>
      <c r="Q28">
        <v>-1.7</v>
      </c>
      <c r="R28" t="s">
        <v>658</v>
      </c>
    </row>
    <row r="29" spans="3:18">
      <c r="C29">
        <v>5360</v>
      </c>
      <c r="E29" t="s">
        <v>4094</v>
      </c>
      <c r="H29" t="s">
        <v>4095</v>
      </c>
      <c r="K29" s="31">
        <v>149908736.00999999</v>
      </c>
      <c r="M29" s="31">
        <v>149908736.00999999</v>
      </c>
      <c r="O29">
        <v>0</v>
      </c>
    </row>
    <row r="30" spans="3:18">
      <c r="C30">
        <v>5360</v>
      </c>
      <c r="E30" t="s">
        <v>4096</v>
      </c>
      <c r="H30" t="s">
        <v>4097</v>
      </c>
      <c r="K30" s="31">
        <v>4090026.63</v>
      </c>
      <c r="M30" s="31">
        <v>4090026.63</v>
      </c>
      <c r="O30">
        <v>0</v>
      </c>
    </row>
    <row r="31" spans="3:18">
      <c r="C31">
        <v>5360</v>
      </c>
      <c r="E31" t="s">
        <v>4098</v>
      </c>
      <c r="H31" t="s">
        <v>4099</v>
      </c>
      <c r="K31" s="31">
        <v>47839736.969999999</v>
      </c>
      <c r="M31" s="31">
        <v>69626635.769999996</v>
      </c>
      <c r="O31" s="31">
        <v>-21786898.800000001</v>
      </c>
      <c r="Q31">
        <v>-31.3</v>
      </c>
    </row>
    <row r="32" spans="3:18">
      <c r="C32">
        <v>5360</v>
      </c>
      <c r="E32" t="s">
        <v>4100</v>
      </c>
      <c r="H32" t="s">
        <v>4101</v>
      </c>
      <c r="K32" s="31">
        <v>473887.82</v>
      </c>
      <c r="M32" s="31">
        <v>-2224765.5</v>
      </c>
      <c r="O32" s="31">
        <v>2698653.32</v>
      </c>
      <c r="Q32">
        <v>121.3</v>
      </c>
    </row>
    <row r="33" spans="3:18">
      <c r="E33" t="s">
        <v>4102</v>
      </c>
      <c r="K33" s="31">
        <v>202312387.43000001</v>
      </c>
      <c r="M33" s="31">
        <v>221400632.91</v>
      </c>
      <c r="O33" s="31">
        <v>-19088245.48</v>
      </c>
      <c r="Q33">
        <v>-8.6</v>
      </c>
      <c r="R33" t="s">
        <v>658</v>
      </c>
    </row>
    <row r="34" spans="3:18">
      <c r="E34" t="s">
        <v>4103</v>
      </c>
      <c r="K34" s="31">
        <v>1752599873.74</v>
      </c>
      <c r="M34" s="31">
        <v>1797721474.27</v>
      </c>
      <c r="O34" s="31">
        <v>-45121600.530000001</v>
      </c>
      <c r="Q34">
        <v>-2.5</v>
      </c>
      <c r="R34" t="s">
        <v>569</v>
      </c>
    </row>
    <row r="35" spans="3:18">
      <c r="C35">
        <v>5360</v>
      </c>
      <c r="E35" t="s">
        <v>4104</v>
      </c>
      <c r="H35" t="s">
        <v>4105</v>
      </c>
      <c r="K35" s="31">
        <v>-441527589.74000001</v>
      </c>
      <c r="M35" s="31">
        <v>-441527589.74000001</v>
      </c>
      <c r="O35">
        <v>0</v>
      </c>
    </row>
    <row r="36" spans="3:18">
      <c r="C36">
        <v>5360</v>
      </c>
      <c r="E36" t="s">
        <v>4106</v>
      </c>
      <c r="H36" t="s">
        <v>4107</v>
      </c>
      <c r="K36" s="31">
        <v>18321.61</v>
      </c>
      <c r="M36" s="31">
        <v>18321.61</v>
      </c>
      <c r="O36">
        <v>0</v>
      </c>
    </row>
    <row r="37" spans="3:18">
      <c r="C37">
        <v>5360</v>
      </c>
      <c r="E37" t="s">
        <v>4108</v>
      </c>
      <c r="H37" t="s">
        <v>4109</v>
      </c>
      <c r="K37" s="31">
        <v>-5037153.3899999997</v>
      </c>
      <c r="M37" s="31">
        <v>-5037153.3899999997</v>
      </c>
      <c r="O37">
        <v>0</v>
      </c>
    </row>
    <row r="38" spans="3:18">
      <c r="C38">
        <v>5360</v>
      </c>
      <c r="E38" t="s">
        <v>4110</v>
      </c>
      <c r="H38" t="s">
        <v>4111</v>
      </c>
      <c r="K38" s="31">
        <v>-13950982.02</v>
      </c>
      <c r="M38" s="31">
        <v>-13950982.02</v>
      </c>
      <c r="O38">
        <v>0</v>
      </c>
    </row>
    <row r="39" spans="3:18">
      <c r="C39">
        <v>5360</v>
      </c>
      <c r="E39" t="s">
        <v>4112</v>
      </c>
      <c r="H39" t="s">
        <v>4113</v>
      </c>
      <c r="K39" s="31">
        <v>103096.24</v>
      </c>
      <c r="M39" s="31">
        <v>103096.24</v>
      </c>
      <c r="O39">
        <v>0</v>
      </c>
    </row>
    <row r="40" spans="3:18">
      <c r="C40">
        <v>5360</v>
      </c>
      <c r="E40" t="s">
        <v>4114</v>
      </c>
      <c r="H40" t="s">
        <v>4115</v>
      </c>
      <c r="K40" s="31">
        <v>995251.8</v>
      </c>
      <c r="M40" s="31">
        <v>995251.8</v>
      </c>
      <c r="O40">
        <v>0</v>
      </c>
    </row>
    <row r="41" spans="3:18">
      <c r="C41">
        <v>5360</v>
      </c>
      <c r="E41" t="s">
        <v>4116</v>
      </c>
      <c r="H41" t="s">
        <v>4117</v>
      </c>
      <c r="K41" s="31">
        <v>17044187.870000001</v>
      </c>
      <c r="M41" s="31">
        <v>17044187.870000001</v>
      </c>
      <c r="O41">
        <v>0</v>
      </c>
    </row>
    <row r="42" spans="3:18">
      <c r="C42">
        <v>5360</v>
      </c>
      <c r="E42" t="s">
        <v>4118</v>
      </c>
      <c r="H42" t="s">
        <v>4119</v>
      </c>
      <c r="K42" s="31">
        <v>-82085.81</v>
      </c>
      <c r="M42" s="31">
        <v>-82085.81</v>
      </c>
      <c r="O42">
        <v>0</v>
      </c>
    </row>
    <row r="43" spans="3:18">
      <c r="C43">
        <v>5360</v>
      </c>
      <c r="E43" t="s">
        <v>4120</v>
      </c>
      <c r="H43" t="s">
        <v>4121</v>
      </c>
      <c r="K43" s="31">
        <v>-24387384.719999999</v>
      </c>
      <c r="M43" s="31">
        <v>-37151721.829999998</v>
      </c>
      <c r="O43" s="31">
        <v>12764337.109999999</v>
      </c>
      <c r="Q43">
        <v>34.4</v>
      </c>
    </row>
    <row r="44" spans="3:18">
      <c r="C44">
        <v>5360</v>
      </c>
      <c r="E44" t="s">
        <v>4122</v>
      </c>
      <c r="H44" t="s">
        <v>4109</v>
      </c>
      <c r="K44" s="31">
        <v>-30511.8</v>
      </c>
      <c r="M44" s="31">
        <v>-39020.94</v>
      </c>
      <c r="O44" s="31">
        <v>8509.14</v>
      </c>
      <c r="Q44">
        <v>21.8</v>
      </c>
    </row>
    <row r="45" spans="3:18">
      <c r="C45">
        <v>5360</v>
      </c>
      <c r="E45" t="s">
        <v>4123</v>
      </c>
      <c r="H45" t="s">
        <v>4124</v>
      </c>
      <c r="K45" s="31">
        <v>-520429.29</v>
      </c>
      <c r="M45" s="31">
        <v>-783274.92</v>
      </c>
      <c r="O45" s="31">
        <v>262845.63</v>
      </c>
      <c r="Q45">
        <v>33.6</v>
      </c>
    </row>
    <row r="46" spans="3:18">
      <c r="C46">
        <v>5360</v>
      </c>
      <c r="E46" t="s">
        <v>4125</v>
      </c>
      <c r="H46" t="s">
        <v>4126</v>
      </c>
      <c r="K46" s="31">
        <v>-67497.62</v>
      </c>
      <c r="M46" s="31">
        <v>-101223.83</v>
      </c>
      <c r="O46" s="31">
        <v>33726.21</v>
      </c>
      <c r="Q46">
        <v>33.299999999999997</v>
      </c>
    </row>
    <row r="47" spans="3:18">
      <c r="C47">
        <v>5360</v>
      </c>
      <c r="E47" t="s">
        <v>4127</v>
      </c>
      <c r="H47" t="s">
        <v>4128</v>
      </c>
      <c r="K47" s="31">
        <v>-18321.599999999999</v>
      </c>
      <c r="M47" s="31">
        <v>-18321.599999999999</v>
      </c>
      <c r="O47">
        <v>0</v>
      </c>
    </row>
    <row r="48" spans="3:18">
      <c r="C48">
        <v>5360</v>
      </c>
      <c r="E48" t="s">
        <v>4129</v>
      </c>
      <c r="H48" t="s">
        <v>4130</v>
      </c>
      <c r="K48" s="31">
        <v>-268213.28000000003</v>
      </c>
      <c r="M48" s="31">
        <v>-262794.52</v>
      </c>
      <c r="O48" s="31">
        <v>-5418.76</v>
      </c>
      <c r="Q48">
        <v>-2.1</v>
      </c>
    </row>
    <row r="49" spans="3:17">
      <c r="C49">
        <v>5360</v>
      </c>
      <c r="E49" t="s">
        <v>4131</v>
      </c>
      <c r="H49" t="s">
        <v>4130</v>
      </c>
      <c r="K49" s="31">
        <v>7415376.25</v>
      </c>
      <c r="M49" s="31">
        <v>10720595.52</v>
      </c>
      <c r="O49" s="31">
        <v>-3305219.27</v>
      </c>
      <c r="Q49">
        <v>-30.8</v>
      </c>
    </row>
    <row r="50" spans="3:17">
      <c r="C50">
        <v>5360</v>
      </c>
      <c r="E50" t="s">
        <v>4132</v>
      </c>
      <c r="H50" t="s">
        <v>4133</v>
      </c>
      <c r="K50" s="31">
        <v>2000718.39</v>
      </c>
      <c r="M50" s="31">
        <v>3713633.93</v>
      </c>
      <c r="O50" s="31">
        <v>-1712915.54</v>
      </c>
      <c r="Q50">
        <v>-46.1</v>
      </c>
    </row>
    <row r="51" spans="3:17">
      <c r="C51">
        <v>5360</v>
      </c>
      <c r="E51" t="s">
        <v>4134</v>
      </c>
      <c r="H51" t="s">
        <v>4109</v>
      </c>
      <c r="K51" s="31">
        <v>57303.87</v>
      </c>
      <c r="M51" s="31">
        <v>66777.31</v>
      </c>
      <c r="O51" s="31">
        <v>-9473.44</v>
      </c>
      <c r="Q51">
        <v>-14.2</v>
      </c>
    </row>
    <row r="52" spans="3:17">
      <c r="C52">
        <v>5360</v>
      </c>
      <c r="E52" t="s">
        <v>6027</v>
      </c>
      <c r="H52" t="s">
        <v>6028</v>
      </c>
      <c r="K52">
        <v>0</v>
      </c>
      <c r="M52" s="31">
        <v>6033.29</v>
      </c>
      <c r="O52" s="31">
        <v>-6033.29</v>
      </c>
      <c r="Q52">
        <v>-100</v>
      </c>
    </row>
    <row r="53" spans="3:17">
      <c r="C53">
        <v>5360</v>
      </c>
      <c r="E53" t="s">
        <v>4136</v>
      </c>
      <c r="H53" t="s">
        <v>4137</v>
      </c>
      <c r="K53" s="31">
        <v>2032.81</v>
      </c>
      <c r="M53" s="31">
        <v>2032.81</v>
      </c>
      <c r="O53">
        <v>0</v>
      </c>
    </row>
    <row r="54" spans="3:17">
      <c r="C54">
        <v>5360</v>
      </c>
      <c r="E54" t="s">
        <v>4138</v>
      </c>
      <c r="H54" t="s">
        <v>4139</v>
      </c>
      <c r="K54" s="31">
        <v>5423629.8600000003</v>
      </c>
      <c r="M54" s="31">
        <v>7160520.1200000001</v>
      </c>
      <c r="O54" s="31">
        <v>-1736890.26</v>
      </c>
      <c r="Q54">
        <v>-24.3</v>
      </c>
    </row>
    <row r="55" spans="3:17">
      <c r="C55">
        <v>5360</v>
      </c>
      <c r="E55" t="s">
        <v>4140</v>
      </c>
      <c r="H55" t="s">
        <v>4141</v>
      </c>
      <c r="K55" s="31">
        <v>-5427219.9000000004</v>
      </c>
      <c r="M55" s="31">
        <v>-8629417.2300000004</v>
      </c>
      <c r="O55" s="31">
        <v>3202197.33</v>
      </c>
      <c r="Q55">
        <v>37.1</v>
      </c>
    </row>
    <row r="56" spans="3:17">
      <c r="C56">
        <v>5360</v>
      </c>
      <c r="E56" t="s">
        <v>4142</v>
      </c>
      <c r="H56" t="s">
        <v>4143</v>
      </c>
      <c r="K56" s="31">
        <v>3590.04</v>
      </c>
      <c r="M56" s="31">
        <v>1468897.11</v>
      </c>
      <c r="O56" s="31">
        <v>-1465307.07</v>
      </c>
      <c r="Q56">
        <v>-99.8</v>
      </c>
    </row>
    <row r="57" spans="3:17">
      <c r="C57">
        <v>5360</v>
      </c>
      <c r="E57" t="s">
        <v>4144</v>
      </c>
      <c r="H57" t="s">
        <v>4145</v>
      </c>
      <c r="K57" s="31">
        <v>157038625.91999999</v>
      </c>
      <c r="M57" s="31">
        <v>157866330.59</v>
      </c>
      <c r="O57" s="31">
        <v>-827704.67</v>
      </c>
      <c r="Q57">
        <v>-0.5</v>
      </c>
    </row>
    <row r="58" spans="3:17">
      <c r="C58">
        <v>5360</v>
      </c>
      <c r="E58" t="s">
        <v>4146</v>
      </c>
      <c r="H58" t="s">
        <v>4117</v>
      </c>
      <c r="K58" s="31">
        <v>1085656.3</v>
      </c>
      <c r="M58" s="31">
        <v>1085656.3</v>
      </c>
      <c r="O58">
        <v>0</v>
      </c>
    </row>
    <row r="59" spans="3:17">
      <c r="C59">
        <v>5360</v>
      </c>
      <c r="E59" t="s">
        <v>4147</v>
      </c>
      <c r="H59" t="s">
        <v>4148</v>
      </c>
      <c r="K59" s="31">
        <v>9463.18</v>
      </c>
      <c r="M59" s="31">
        <v>9463.18</v>
      </c>
      <c r="O59">
        <v>0</v>
      </c>
    </row>
    <row r="60" spans="3:17">
      <c r="C60">
        <v>5360</v>
      </c>
      <c r="E60" t="s">
        <v>4149</v>
      </c>
      <c r="H60" t="s">
        <v>4150</v>
      </c>
      <c r="K60" s="31">
        <v>-6658653.0899999999</v>
      </c>
      <c r="M60" s="31">
        <v>-6658653.0899999999</v>
      </c>
      <c r="O60">
        <v>0</v>
      </c>
    </row>
    <row r="61" spans="3:17">
      <c r="C61">
        <v>5360</v>
      </c>
      <c r="E61" t="s">
        <v>4151</v>
      </c>
      <c r="H61" t="s">
        <v>4119</v>
      </c>
      <c r="K61" s="31">
        <v>-157038625.91999999</v>
      </c>
      <c r="M61" s="31">
        <v>-157866330.59</v>
      </c>
      <c r="O61" s="31">
        <v>827704.67</v>
      </c>
      <c r="Q61">
        <v>0.5</v>
      </c>
    </row>
    <row r="62" spans="3:17">
      <c r="C62">
        <v>5360</v>
      </c>
      <c r="E62" t="s">
        <v>4152</v>
      </c>
      <c r="H62" t="s">
        <v>4153</v>
      </c>
      <c r="K62" s="31">
        <v>2441.67</v>
      </c>
      <c r="M62" s="31">
        <v>3696.36</v>
      </c>
      <c r="O62" s="31">
        <v>-1254.69</v>
      </c>
      <c r="Q62">
        <v>-33.9</v>
      </c>
    </row>
    <row r="63" spans="3:17">
      <c r="C63">
        <v>5360</v>
      </c>
      <c r="E63" t="s">
        <v>4154</v>
      </c>
      <c r="H63" t="s">
        <v>4155</v>
      </c>
      <c r="K63" s="31">
        <v>-1511091.4</v>
      </c>
      <c r="M63" s="31">
        <v>-2191517.41</v>
      </c>
      <c r="O63" s="31">
        <v>680426.01</v>
      </c>
      <c r="Q63">
        <v>31</v>
      </c>
    </row>
    <row r="64" spans="3:17">
      <c r="C64">
        <v>5360</v>
      </c>
      <c r="E64" t="s">
        <v>4156</v>
      </c>
      <c r="H64" t="s">
        <v>4130</v>
      </c>
      <c r="K64" s="31">
        <v>33940.080000000002</v>
      </c>
      <c r="M64" s="31">
        <v>35609.050000000003</v>
      </c>
      <c r="O64" s="31">
        <v>-1668.97</v>
      </c>
      <c r="Q64">
        <v>-4.7</v>
      </c>
    </row>
    <row r="65" spans="3:18">
      <c r="C65">
        <v>5360</v>
      </c>
      <c r="E65" t="s">
        <v>4157</v>
      </c>
      <c r="H65" t="s">
        <v>4158</v>
      </c>
      <c r="K65" s="31">
        <v>89848.37</v>
      </c>
      <c r="M65" s="31">
        <v>102296.05</v>
      </c>
      <c r="O65" s="31">
        <v>-12447.68</v>
      </c>
      <c r="Q65">
        <v>-12.2</v>
      </c>
    </row>
    <row r="66" spans="3:18">
      <c r="E66" t="s">
        <v>4159</v>
      </c>
      <c r="K66" s="31">
        <v>-465202275.31999999</v>
      </c>
      <c r="M66" s="31">
        <v>-473897687.77999997</v>
      </c>
      <c r="O66" s="31">
        <v>8695412.4600000009</v>
      </c>
      <c r="Q66">
        <v>1.8</v>
      </c>
      <c r="R66" t="s">
        <v>658</v>
      </c>
    </row>
    <row r="67" spans="3:18">
      <c r="C67">
        <v>5360</v>
      </c>
      <c r="E67" t="s">
        <v>4160</v>
      </c>
      <c r="H67" t="s">
        <v>4161</v>
      </c>
      <c r="K67" s="31">
        <v>-19833570.02</v>
      </c>
      <c r="M67" s="31">
        <v>-19833570.02</v>
      </c>
      <c r="O67">
        <v>0</v>
      </c>
    </row>
    <row r="68" spans="3:18">
      <c r="E68" t="s">
        <v>4162</v>
      </c>
      <c r="K68" s="31">
        <v>-19833570.02</v>
      </c>
      <c r="M68" s="31">
        <v>-19833570.02</v>
      </c>
      <c r="O68">
        <v>0</v>
      </c>
      <c r="R68" t="s">
        <v>658</v>
      </c>
    </row>
    <row r="69" spans="3:18">
      <c r="E69" t="s">
        <v>4163</v>
      </c>
      <c r="K69" s="31">
        <v>-485035845.33999997</v>
      </c>
      <c r="M69" s="31">
        <v>-493731257.80000001</v>
      </c>
      <c r="O69" s="31">
        <v>8695412.4600000009</v>
      </c>
      <c r="Q69">
        <v>1.8</v>
      </c>
      <c r="R69" t="s">
        <v>569</v>
      </c>
    </row>
    <row r="70" spans="3:18">
      <c r="E70" t="s">
        <v>4164</v>
      </c>
      <c r="K70" s="31">
        <v>1267564028.4000001</v>
      </c>
      <c r="M70" s="31">
        <v>1303990216.47</v>
      </c>
      <c r="O70" s="31">
        <v>-36426188.07</v>
      </c>
      <c r="Q70">
        <v>-2.8</v>
      </c>
      <c r="R70" t="s">
        <v>611</v>
      </c>
    </row>
    <row r="72" spans="3:18">
      <c r="C72">
        <v>5360</v>
      </c>
      <c r="E72" t="s">
        <v>4165</v>
      </c>
      <c r="H72" t="s">
        <v>4166</v>
      </c>
      <c r="K72" s="31">
        <v>354598.6</v>
      </c>
      <c r="M72" s="31">
        <v>354598.6</v>
      </c>
      <c r="O72">
        <v>0</v>
      </c>
    </row>
    <row r="73" spans="3:18">
      <c r="C73">
        <v>5360</v>
      </c>
      <c r="E73" t="s">
        <v>4167</v>
      </c>
      <c r="H73" t="s">
        <v>4168</v>
      </c>
      <c r="K73" s="31">
        <v>-25307613.530000001</v>
      </c>
      <c r="M73" s="31">
        <v>-25307613.530000001</v>
      </c>
      <c r="O73">
        <v>0</v>
      </c>
    </row>
    <row r="74" spans="3:18">
      <c r="C74">
        <v>5360</v>
      </c>
      <c r="E74" t="s">
        <v>4169</v>
      </c>
      <c r="H74" t="s">
        <v>4170</v>
      </c>
      <c r="K74" s="31">
        <v>85846541.260000005</v>
      </c>
      <c r="M74" s="31">
        <v>85846541.260000005</v>
      </c>
      <c r="O74">
        <v>0</v>
      </c>
    </row>
    <row r="75" spans="3:18">
      <c r="C75">
        <v>5360</v>
      </c>
      <c r="E75" t="s">
        <v>4171</v>
      </c>
      <c r="H75" t="s">
        <v>4172</v>
      </c>
      <c r="K75" s="31">
        <v>-131934.84</v>
      </c>
      <c r="M75" s="31">
        <v>-131934.84</v>
      </c>
      <c r="O75">
        <v>0</v>
      </c>
    </row>
    <row r="76" spans="3:18">
      <c r="C76">
        <v>5360</v>
      </c>
      <c r="E76" t="s">
        <v>4173</v>
      </c>
      <c r="H76" t="s">
        <v>4174</v>
      </c>
      <c r="K76" s="31">
        <v>87621570.590000004</v>
      </c>
      <c r="M76" s="31">
        <v>137641064.11000001</v>
      </c>
      <c r="O76" s="31">
        <v>-50019493.520000003</v>
      </c>
      <c r="Q76">
        <v>-36.299999999999997</v>
      </c>
    </row>
    <row r="77" spans="3:18">
      <c r="C77">
        <v>5360</v>
      </c>
      <c r="E77" t="s">
        <v>4175</v>
      </c>
      <c r="H77" t="s">
        <v>4176</v>
      </c>
      <c r="K77" s="31">
        <v>-976605.26</v>
      </c>
      <c r="M77" s="31">
        <v>-982024.02</v>
      </c>
      <c r="O77" s="31">
        <v>5418.76</v>
      </c>
      <c r="Q77">
        <v>0.6</v>
      </c>
    </row>
    <row r="78" spans="3:18">
      <c r="C78">
        <v>5360</v>
      </c>
      <c r="E78" t="s">
        <v>4177</v>
      </c>
      <c r="H78" t="s">
        <v>4178</v>
      </c>
      <c r="K78" s="31">
        <v>2671881.9</v>
      </c>
      <c r="M78" s="31">
        <v>-102916.05</v>
      </c>
      <c r="O78" s="31">
        <v>2774797.95</v>
      </c>
      <c r="Q78">
        <v>2696.2</v>
      </c>
    </row>
    <row r="79" spans="3:18">
      <c r="C79">
        <v>5360</v>
      </c>
      <c r="E79" t="s">
        <v>4179</v>
      </c>
      <c r="H79" t="s">
        <v>4180</v>
      </c>
      <c r="K79" s="31">
        <v>51834.16</v>
      </c>
      <c r="M79" s="31">
        <v>84121.55</v>
      </c>
      <c r="O79" s="31">
        <v>-32287.39</v>
      </c>
      <c r="Q79">
        <v>-38.4</v>
      </c>
    </row>
    <row r="80" spans="3:18">
      <c r="C80">
        <v>5360</v>
      </c>
      <c r="E80" t="s">
        <v>4181</v>
      </c>
      <c r="H80" t="s">
        <v>4182</v>
      </c>
      <c r="K80" s="31">
        <v>-100901085.39</v>
      </c>
      <c r="M80" s="31">
        <v>-147533306.66999999</v>
      </c>
      <c r="O80" s="31">
        <v>46632221.280000001</v>
      </c>
      <c r="Q80">
        <v>31.6</v>
      </c>
    </row>
    <row r="81" spans="3:18">
      <c r="E81" t="s">
        <v>4183</v>
      </c>
      <c r="K81" s="31">
        <v>49229187.490000002</v>
      </c>
      <c r="M81" s="31">
        <v>49868530.409999996</v>
      </c>
      <c r="O81" s="31">
        <v>-639342.92000000004</v>
      </c>
      <c r="Q81">
        <v>-1.3</v>
      </c>
      <c r="R81" t="s">
        <v>569</v>
      </c>
    </row>
    <row r="82" spans="3:18">
      <c r="E82" t="s">
        <v>4183</v>
      </c>
      <c r="K82" s="31">
        <v>49229187.490000002</v>
      </c>
      <c r="M82" s="31">
        <v>49868530.409999996</v>
      </c>
      <c r="O82" s="31">
        <v>-639342.92000000004</v>
      </c>
      <c r="Q82">
        <v>-1.3</v>
      </c>
      <c r="R82" t="s">
        <v>611</v>
      </c>
    </row>
    <row r="84" spans="3:18">
      <c r="E84" t="s">
        <v>4184</v>
      </c>
      <c r="K84" s="31">
        <v>1316793215.8900001</v>
      </c>
      <c r="M84" s="31">
        <v>1353858746.8800001</v>
      </c>
      <c r="O84" s="31">
        <v>-37065530.990000002</v>
      </c>
      <c r="Q84">
        <v>-2.7</v>
      </c>
      <c r="R84" t="s">
        <v>930</v>
      </c>
    </row>
    <row r="86" spans="3:18">
      <c r="C86">
        <v>5360</v>
      </c>
      <c r="E86" t="s">
        <v>4185</v>
      </c>
      <c r="H86" t="s">
        <v>4186</v>
      </c>
      <c r="K86" s="31">
        <v>235058056.38999999</v>
      </c>
      <c r="M86" s="31">
        <v>235058056.38999999</v>
      </c>
      <c r="O86">
        <v>0</v>
      </c>
    </row>
    <row r="87" spans="3:18">
      <c r="E87" t="s">
        <v>4187</v>
      </c>
      <c r="K87" s="31">
        <v>235058056.38999999</v>
      </c>
      <c r="M87" s="31">
        <v>235058056.38999999</v>
      </c>
      <c r="O87">
        <v>0</v>
      </c>
      <c r="R87" t="s">
        <v>611</v>
      </c>
    </row>
    <row r="89" spans="3:18">
      <c r="E89" t="s">
        <v>4188</v>
      </c>
      <c r="K89" s="31">
        <v>235058056.38999999</v>
      </c>
      <c r="M89" s="31">
        <v>235058056.38999999</v>
      </c>
      <c r="O89">
        <v>0</v>
      </c>
      <c r="R89" t="s">
        <v>930</v>
      </c>
    </row>
    <row r="91" spans="3:18">
      <c r="C91">
        <v>5360</v>
      </c>
      <c r="E91" t="s">
        <v>4189</v>
      </c>
      <c r="H91" t="s">
        <v>4190</v>
      </c>
      <c r="K91" s="31">
        <v>4041036.52</v>
      </c>
      <c r="M91" s="31">
        <v>4041036.52</v>
      </c>
      <c r="O91">
        <v>0</v>
      </c>
    </row>
    <row r="92" spans="3:18">
      <c r="E92" t="s">
        <v>4191</v>
      </c>
      <c r="K92" s="31">
        <v>4041036.52</v>
      </c>
      <c r="M92" s="31">
        <v>4041036.52</v>
      </c>
      <c r="O92">
        <v>0</v>
      </c>
      <c r="R92" t="s">
        <v>658</v>
      </c>
    </row>
    <row r="93" spans="3:18">
      <c r="E93" t="s">
        <v>4192</v>
      </c>
      <c r="K93" s="31">
        <v>4041036.52</v>
      </c>
      <c r="M93" s="31">
        <v>4041036.52</v>
      </c>
      <c r="O93">
        <v>0</v>
      </c>
      <c r="R93" t="s">
        <v>569</v>
      </c>
    </row>
    <row r="94" spans="3:18">
      <c r="E94" t="s">
        <v>4193</v>
      </c>
      <c r="K94" s="31">
        <v>4041036.52</v>
      </c>
      <c r="M94" s="31">
        <v>4041036.52</v>
      </c>
      <c r="O94">
        <v>0</v>
      </c>
      <c r="R94" t="s">
        <v>611</v>
      </c>
    </row>
    <row r="96" spans="3:18">
      <c r="C96">
        <v>5360</v>
      </c>
      <c r="E96" t="s">
        <v>4194</v>
      </c>
      <c r="H96" t="s">
        <v>4195</v>
      </c>
      <c r="K96" s="31">
        <v>57495</v>
      </c>
      <c r="M96" s="31">
        <v>57495</v>
      </c>
      <c r="O96">
        <v>0</v>
      </c>
    </row>
    <row r="97" spans="3:18">
      <c r="E97" t="s">
        <v>4196</v>
      </c>
      <c r="K97" s="31">
        <v>57495</v>
      </c>
      <c r="M97" s="31">
        <v>57495</v>
      </c>
      <c r="O97">
        <v>0</v>
      </c>
      <c r="R97" t="s">
        <v>611</v>
      </c>
    </row>
    <row r="99" spans="3:18">
      <c r="C99">
        <v>5360</v>
      </c>
      <c r="E99" t="s">
        <v>4197</v>
      </c>
      <c r="H99" t="s">
        <v>4198</v>
      </c>
      <c r="K99" s="31">
        <v>-50039.18</v>
      </c>
      <c r="M99" s="31">
        <v>-50039.18</v>
      </c>
      <c r="O99">
        <v>0</v>
      </c>
    </row>
    <row r="100" spans="3:18">
      <c r="C100">
        <v>5360</v>
      </c>
      <c r="E100" t="s">
        <v>5969</v>
      </c>
      <c r="H100" t="s">
        <v>5970</v>
      </c>
      <c r="K100" s="31">
        <v>452657.94</v>
      </c>
      <c r="M100" s="31">
        <v>452657.94</v>
      </c>
      <c r="O100">
        <v>0</v>
      </c>
    </row>
    <row r="101" spans="3:18">
      <c r="C101">
        <v>5360</v>
      </c>
      <c r="E101" t="s">
        <v>5971</v>
      </c>
      <c r="H101" t="s">
        <v>5972</v>
      </c>
      <c r="K101" s="31">
        <v>-90417.46</v>
      </c>
      <c r="M101" s="31">
        <v>-90417.46</v>
      </c>
      <c r="O101">
        <v>0</v>
      </c>
    </row>
    <row r="102" spans="3:18">
      <c r="E102" t="s">
        <v>909</v>
      </c>
      <c r="K102" s="31">
        <v>312201.3</v>
      </c>
      <c r="M102" s="31">
        <v>312201.3</v>
      </c>
      <c r="O102">
        <v>0</v>
      </c>
      <c r="R102" t="s">
        <v>611</v>
      </c>
    </row>
    <row r="104" spans="3:18">
      <c r="C104">
        <v>5360</v>
      </c>
      <c r="E104" t="s">
        <v>4215</v>
      </c>
      <c r="H104" t="s">
        <v>4216</v>
      </c>
      <c r="K104" s="31">
        <v>15650730.789999999</v>
      </c>
      <c r="M104" s="31">
        <v>8076178.2599999998</v>
      </c>
      <c r="O104" s="31">
        <v>7574552.5300000003</v>
      </c>
      <c r="Q104">
        <v>93.8</v>
      </c>
    </row>
    <row r="105" spans="3:18">
      <c r="E105" t="s">
        <v>4217</v>
      </c>
      <c r="K105" s="31">
        <v>15650730.789999999</v>
      </c>
      <c r="M105" s="31">
        <v>8076178.2599999998</v>
      </c>
      <c r="O105" s="31">
        <v>7574552.5300000003</v>
      </c>
      <c r="Q105">
        <v>93.8</v>
      </c>
      <c r="R105" t="s">
        <v>611</v>
      </c>
    </row>
    <row r="107" spans="3:18">
      <c r="E107" t="s">
        <v>4218</v>
      </c>
      <c r="K107" s="31">
        <v>20061463.609999999</v>
      </c>
      <c r="M107" s="31">
        <v>12486911.08</v>
      </c>
      <c r="O107" s="31">
        <v>7574552.5300000003</v>
      </c>
      <c r="Q107">
        <v>60.7</v>
      </c>
      <c r="R107" t="s">
        <v>930</v>
      </c>
    </row>
    <row r="109" spans="3:18">
      <c r="C109">
        <v>5360</v>
      </c>
      <c r="E109" t="s">
        <v>4219</v>
      </c>
      <c r="H109" t="s">
        <v>4220</v>
      </c>
      <c r="K109" s="31">
        <v>-47957212.350000001</v>
      </c>
      <c r="M109" s="31">
        <v>-64750423.579999998</v>
      </c>
      <c r="O109" s="31">
        <v>16793211.23</v>
      </c>
      <c r="Q109">
        <v>25.9</v>
      </c>
    </row>
    <row r="110" spans="3:18">
      <c r="E110" t="s">
        <v>4221</v>
      </c>
      <c r="K110" s="31">
        <v>-47957212.350000001</v>
      </c>
      <c r="M110" s="31">
        <v>-64750423.579999998</v>
      </c>
      <c r="O110" s="31">
        <v>16793211.23</v>
      </c>
      <c r="Q110">
        <v>25.9</v>
      </c>
      <c r="R110" t="s">
        <v>569</v>
      </c>
    </row>
    <row r="111" spans="3:18">
      <c r="E111" t="s">
        <v>4222</v>
      </c>
      <c r="K111" s="31">
        <v>-47957212.350000001</v>
      </c>
      <c r="M111" s="31">
        <v>-64750423.579999998</v>
      </c>
      <c r="O111" s="31">
        <v>16793211.23</v>
      </c>
      <c r="Q111">
        <v>25.9</v>
      </c>
      <c r="R111" t="s">
        <v>611</v>
      </c>
    </row>
    <row r="113" spans="3:18">
      <c r="C113">
        <v>5360</v>
      </c>
      <c r="E113" t="s">
        <v>3668</v>
      </c>
      <c r="H113" t="s">
        <v>3603</v>
      </c>
      <c r="K113" s="31">
        <v>64518514.030000001</v>
      </c>
      <c r="M113" s="31">
        <v>94629393.579999998</v>
      </c>
      <c r="O113" s="31">
        <v>-30110879.550000001</v>
      </c>
      <c r="Q113">
        <v>-31.8</v>
      </c>
    </row>
    <row r="114" spans="3:18">
      <c r="C114">
        <v>5360</v>
      </c>
      <c r="E114" t="s">
        <v>4223</v>
      </c>
      <c r="H114" t="s">
        <v>4224</v>
      </c>
      <c r="K114" s="31">
        <v>-70487.23</v>
      </c>
      <c r="M114" s="31">
        <v>-70487.23</v>
      </c>
      <c r="O114">
        <v>0</v>
      </c>
    </row>
    <row r="115" spans="3:18">
      <c r="C115">
        <v>5360</v>
      </c>
      <c r="E115" t="s">
        <v>4225</v>
      </c>
      <c r="H115" t="s">
        <v>4226</v>
      </c>
      <c r="K115" s="31">
        <v>37211.279999999999</v>
      </c>
      <c r="M115">
        <v>0</v>
      </c>
      <c r="O115" s="31">
        <v>37211.279999999999</v>
      </c>
    </row>
    <row r="116" spans="3:18">
      <c r="C116">
        <v>5360</v>
      </c>
      <c r="E116" t="s">
        <v>4227</v>
      </c>
      <c r="H116" t="s">
        <v>4228</v>
      </c>
      <c r="K116">
        <v>-0.06</v>
      </c>
      <c r="M116">
        <v>-0.06</v>
      </c>
      <c r="O116">
        <v>0</v>
      </c>
    </row>
    <row r="117" spans="3:18">
      <c r="C117">
        <v>5360</v>
      </c>
      <c r="E117" t="s">
        <v>4229</v>
      </c>
      <c r="H117" t="s">
        <v>4230</v>
      </c>
      <c r="K117" s="31">
        <v>-4303.6499999999996</v>
      </c>
      <c r="M117" s="31">
        <v>-4303.6499999999996</v>
      </c>
      <c r="O117">
        <v>0</v>
      </c>
    </row>
    <row r="118" spans="3:18">
      <c r="C118">
        <v>5360</v>
      </c>
      <c r="E118" t="s">
        <v>5973</v>
      </c>
      <c r="H118" t="s">
        <v>5974</v>
      </c>
      <c r="K118" s="31">
        <v>-20863.79</v>
      </c>
      <c r="M118">
        <v>0</v>
      </c>
      <c r="O118" s="31">
        <v>-20863.79</v>
      </c>
    </row>
    <row r="119" spans="3:18">
      <c r="C119">
        <v>5360</v>
      </c>
      <c r="E119" t="s">
        <v>4232</v>
      </c>
      <c r="H119" t="s">
        <v>4233</v>
      </c>
      <c r="K119">
        <v>-0.23</v>
      </c>
      <c r="M119">
        <v>-0.23</v>
      </c>
      <c r="O119">
        <v>0</v>
      </c>
    </row>
    <row r="120" spans="3:18">
      <c r="C120">
        <v>5360</v>
      </c>
      <c r="E120" t="s">
        <v>4234</v>
      </c>
      <c r="H120" t="s">
        <v>4235</v>
      </c>
      <c r="K120" s="31">
        <v>-902693.97</v>
      </c>
      <c r="M120" s="31">
        <v>-902693.97</v>
      </c>
      <c r="O120">
        <v>0</v>
      </c>
    </row>
    <row r="121" spans="3:18">
      <c r="E121" t="s">
        <v>4236</v>
      </c>
      <c r="K121" s="31">
        <v>63557376.380000003</v>
      </c>
      <c r="M121" s="31">
        <v>93651908.439999998</v>
      </c>
      <c r="O121" s="31">
        <v>-30094532.059999999</v>
      </c>
      <c r="Q121">
        <v>-32.1</v>
      </c>
      <c r="R121" t="s">
        <v>611</v>
      </c>
    </row>
    <row r="123" spans="3:18">
      <c r="C123">
        <v>5360</v>
      </c>
      <c r="E123" t="s">
        <v>4237</v>
      </c>
      <c r="H123" t="s">
        <v>4238</v>
      </c>
      <c r="K123" s="31">
        <v>2462.56</v>
      </c>
      <c r="M123" s="31">
        <v>2613.88</v>
      </c>
      <c r="O123">
        <v>-151.32</v>
      </c>
      <c r="Q123">
        <v>-5.8</v>
      </c>
    </row>
    <row r="124" spans="3:18">
      <c r="C124">
        <v>5360</v>
      </c>
      <c r="E124" t="s">
        <v>4239</v>
      </c>
      <c r="H124" t="s">
        <v>4240</v>
      </c>
      <c r="K124" s="31">
        <v>2735089.31</v>
      </c>
      <c r="M124" s="31">
        <v>6959501.3300000001</v>
      </c>
      <c r="O124" s="31">
        <v>-4224412.0199999996</v>
      </c>
      <c r="Q124">
        <v>-60.7</v>
      </c>
    </row>
    <row r="125" spans="3:18">
      <c r="C125">
        <v>5360</v>
      </c>
      <c r="E125" t="s">
        <v>4241</v>
      </c>
      <c r="H125" t="s">
        <v>4242</v>
      </c>
      <c r="K125" s="31">
        <v>3238942.03</v>
      </c>
      <c r="M125" s="31">
        <v>3238942.03</v>
      </c>
      <c r="O125">
        <v>0</v>
      </c>
    </row>
    <row r="126" spans="3:18">
      <c r="C126">
        <v>5360</v>
      </c>
      <c r="E126" t="s">
        <v>4243</v>
      </c>
      <c r="H126" t="s">
        <v>4244</v>
      </c>
      <c r="K126" s="31">
        <v>250961.69</v>
      </c>
      <c r="M126" s="31">
        <v>239252.72</v>
      </c>
      <c r="O126" s="31">
        <v>11708.97</v>
      </c>
      <c r="Q126">
        <v>4.9000000000000004</v>
      </c>
    </row>
    <row r="127" spans="3:18">
      <c r="C127">
        <v>5360</v>
      </c>
      <c r="E127" t="s">
        <v>4245</v>
      </c>
      <c r="H127" t="s">
        <v>4246</v>
      </c>
      <c r="K127" s="31">
        <v>-33077.71</v>
      </c>
      <c r="M127" s="31">
        <v>-35625.4</v>
      </c>
      <c r="O127" s="31">
        <v>2547.69</v>
      </c>
      <c r="Q127">
        <v>7.2</v>
      </c>
    </row>
    <row r="128" spans="3:18">
      <c r="C128">
        <v>5360</v>
      </c>
      <c r="E128" t="s">
        <v>4247</v>
      </c>
      <c r="H128" t="s">
        <v>4248</v>
      </c>
      <c r="K128" s="31">
        <v>-1734</v>
      </c>
      <c r="M128" s="31">
        <v>-1734</v>
      </c>
      <c r="O128">
        <v>0</v>
      </c>
    </row>
    <row r="129" spans="3:18">
      <c r="C129">
        <v>5360</v>
      </c>
      <c r="E129" t="s">
        <v>4249</v>
      </c>
      <c r="H129" t="s">
        <v>4250</v>
      </c>
      <c r="K129" s="31">
        <v>-71916.59</v>
      </c>
      <c r="M129" s="31">
        <v>-74603.09</v>
      </c>
      <c r="O129" s="31">
        <v>2686.5</v>
      </c>
      <c r="Q129">
        <v>3.6</v>
      </c>
    </row>
    <row r="130" spans="3:18">
      <c r="C130">
        <v>5360</v>
      </c>
      <c r="E130" t="s">
        <v>4251</v>
      </c>
      <c r="H130" t="s">
        <v>4252</v>
      </c>
      <c r="K130" s="31">
        <v>1240</v>
      </c>
      <c r="M130" s="31">
        <v>1240</v>
      </c>
      <c r="O130">
        <v>0</v>
      </c>
    </row>
    <row r="131" spans="3:18">
      <c r="C131">
        <v>5360</v>
      </c>
      <c r="E131" t="s">
        <v>4253</v>
      </c>
      <c r="H131" t="s">
        <v>4254</v>
      </c>
      <c r="K131" s="31">
        <v>800586.25</v>
      </c>
      <c r="M131" s="31">
        <v>7086458.4500000002</v>
      </c>
      <c r="O131" s="31">
        <v>-6285872.2000000002</v>
      </c>
      <c r="Q131">
        <v>-88.7</v>
      </c>
    </row>
    <row r="132" spans="3:18">
      <c r="C132">
        <v>5360</v>
      </c>
      <c r="E132" t="s">
        <v>4255</v>
      </c>
      <c r="H132" t="s">
        <v>4256</v>
      </c>
      <c r="K132" s="31">
        <v>127057.28</v>
      </c>
      <c r="M132" s="31">
        <v>129165.41</v>
      </c>
      <c r="O132" s="31">
        <v>-2108.13</v>
      </c>
      <c r="Q132">
        <v>-1.6</v>
      </c>
    </row>
    <row r="133" spans="3:18">
      <c r="C133">
        <v>5360</v>
      </c>
      <c r="E133" t="s">
        <v>4257</v>
      </c>
      <c r="H133" t="s">
        <v>4258</v>
      </c>
      <c r="K133" s="31">
        <v>47233.43</v>
      </c>
      <c r="M133" s="31">
        <v>45658.14</v>
      </c>
      <c r="O133" s="31">
        <v>1575.29</v>
      </c>
      <c r="Q133">
        <v>3.5</v>
      </c>
    </row>
    <row r="134" spans="3:18">
      <c r="E134" t="s">
        <v>4259</v>
      </c>
      <c r="K134" s="31">
        <v>7096844.25</v>
      </c>
      <c r="M134" s="31">
        <v>17590869.469999999</v>
      </c>
      <c r="O134" s="31">
        <v>-10494025.220000001</v>
      </c>
      <c r="Q134">
        <v>-59.7</v>
      </c>
      <c r="R134" t="s">
        <v>611</v>
      </c>
    </row>
    <row r="136" spans="3:18">
      <c r="C136">
        <v>5360</v>
      </c>
      <c r="E136" t="s">
        <v>4260</v>
      </c>
      <c r="H136" t="s">
        <v>4261</v>
      </c>
      <c r="K136" s="31">
        <v>-19810459.539999999</v>
      </c>
      <c r="M136" s="31">
        <v>-19301130.75</v>
      </c>
      <c r="O136" s="31">
        <v>-509328.79</v>
      </c>
      <c r="Q136">
        <v>-2.6</v>
      </c>
    </row>
    <row r="137" spans="3:18">
      <c r="C137">
        <v>5360</v>
      </c>
      <c r="E137" t="s">
        <v>4262</v>
      </c>
      <c r="H137" t="s">
        <v>4263</v>
      </c>
      <c r="K137">
        <v>-651.1</v>
      </c>
      <c r="M137">
        <v>-651.09</v>
      </c>
      <c r="O137">
        <v>-0.01</v>
      </c>
    </row>
    <row r="138" spans="3:18">
      <c r="C138">
        <v>5360</v>
      </c>
      <c r="E138" t="s">
        <v>4264</v>
      </c>
      <c r="H138" t="s">
        <v>4265</v>
      </c>
      <c r="K138" s="31">
        <v>-2016.38</v>
      </c>
      <c r="M138" s="31">
        <v>-2016.38</v>
      </c>
      <c r="O138">
        <v>0</v>
      </c>
    </row>
    <row r="139" spans="3:18">
      <c r="C139">
        <v>5360</v>
      </c>
      <c r="E139" t="s">
        <v>4266</v>
      </c>
      <c r="H139" t="s">
        <v>4267</v>
      </c>
      <c r="K139" s="31">
        <v>-4740397.2</v>
      </c>
      <c r="M139" s="31">
        <v>-4173564.05</v>
      </c>
      <c r="O139" s="31">
        <v>-566833.15</v>
      </c>
      <c r="Q139">
        <v>-13.6</v>
      </c>
    </row>
    <row r="140" spans="3:18">
      <c r="E140" t="s">
        <v>4261</v>
      </c>
      <c r="K140" s="31">
        <v>-24553524.219999999</v>
      </c>
      <c r="M140" s="31">
        <v>-23477362.27</v>
      </c>
      <c r="O140" s="31">
        <v>-1076161.95</v>
      </c>
      <c r="Q140">
        <v>-4.5999999999999996</v>
      </c>
      <c r="R140" t="s">
        <v>569</v>
      </c>
    </row>
    <row r="141" spans="3:18">
      <c r="E141" t="s">
        <v>4268</v>
      </c>
      <c r="K141" s="31">
        <v>-24553524.219999999</v>
      </c>
      <c r="M141" s="31">
        <v>-23477362.27</v>
      </c>
      <c r="O141" s="31">
        <v>-1076161.95</v>
      </c>
      <c r="Q141">
        <v>-4.5999999999999996</v>
      </c>
      <c r="R141" t="s">
        <v>611</v>
      </c>
    </row>
    <row r="143" spans="3:18">
      <c r="C143">
        <v>5360</v>
      </c>
      <c r="E143" t="s">
        <v>4269</v>
      </c>
      <c r="H143" t="s">
        <v>4270</v>
      </c>
      <c r="K143" s="31">
        <v>2951646422.3899999</v>
      </c>
      <c r="M143" s="31">
        <v>3018200048.9200001</v>
      </c>
      <c r="O143" s="31">
        <v>-66553626.530000001</v>
      </c>
      <c r="Q143">
        <v>-2.2000000000000002</v>
      </c>
    </row>
    <row r="144" spans="3:18">
      <c r="C144">
        <v>5360</v>
      </c>
      <c r="E144" t="s">
        <v>4271</v>
      </c>
      <c r="H144" t="s">
        <v>4272</v>
      </c>
      <c r="K144" s="31">
        <v>-2231337897.7399998</v>
      </c>
      <c r="M144" s="31">
        <v>-2231180134.9099998</v>
      </c>
      <c r="O144" s="31">
        <v>-157762.82999999999</v>
      </c>
    </row>
    <row r="145" spans="3:18">
      <c r="C145">
        <v>5360</v>
      </c>
      <c r="E145" t="s">
        <v>4275</v>
      </c>
      <c r="H145" t="s">
        <v>4276</v>
      </c>
      <c r="K145" s="31">
        <v>124416.38</v>
      </c>
      <c r="M145" s="31">
        <v>124416.38</v>
      </c>
      <c r="O145">
        <v>0</v>
      </c>
    </row>
    <row r="146" spans="3:18">
      <c r="C146">
        <v>5360</v>
      </c>
      <c r="E146" t="s">
        <v>4277</v>
      </c>
      <c r="H146" t="s">
        <v>4270</v>
      </c>
      <c r="K146" s="31">
        <v>2746766.42</v>
      </c>
      <c r="M146" s="31">
        <v>2747928.81</v>
      </c>
      <c r="O146" s="31">
        <v>-1162.3900000000001</v>
      </c>
    </row>
    <row r="147" spans="3:18">
      <c r="C147">
        <v>5360</v>
      </c>
      <c r="E147" t="s">
        <v>4278</v>
      </c>
      <c r="H147" t="s">
        <v>4272</v>
      </c>
      <c r="K147" s="31">
        <v>-4675.92</v>
      </c>
      <c r="M147" s="31">
        <v>-4675.92</v>
      </c>
      <c r="O147">
        <v>0</v>
      </c>
    </row>
    <row r="148" spans="3:18">
      <c r="E148" t="s">
        <v>4281</v>
      </c>
      <c r="K148" s="31">
        <v>723175031.52999997</v>
      </c>
      <c r="M148" s="31">
        <v>789887583.27999997</v>
      </c>
      <c r="O148" s="31">
        <v>-66712551.75</v>
      </c>
      <c r="Q148">
        <v>-8.4</v>
      </c>
      <c r="R148" t="s">
        <v>611</v>
      </c>
    </row>
    <row r="150" spans="3:18">
      <c r="C150">
        <v>5360</v>
      </c>
      <c r="E150" t="s">
        <v>4282</v>
      </c>
      <c r="H150" t="s">
        <v>4283</v>
      </c>
      <c r="K150" s="31">
        <v>10726463.35</v>
      </c>
      <c r="M150" s="31">
        <v>11028594.550000001</v>
      </c>
      <c r="O150" s="31">
        <v>-302131.20000000001</v>
      </c>
      <c r="Q150">
        <v>-2.7</v>
      </c>
    </row>
    <row r="151" spans="3:18">
      <c r="C151">
        <v>5360</v>
      </c>
      <c r="E151" t="s">
        <v>4284</v>
      </c>
      <c r="H151" t="s">
        <v>4285</v>
      </c>
      <c r="K151" s="31">
        <v>3174078.47</v>
      </c>
      <c r="M151" s="31">
        <v>3605444.39</v>
      </c>
      <c r="O151" s="31">
        <v>-431365.92</v>
      </c>
      <c r="Q151">
        <v>-12</v>
      </c>
    </row>
    <row r="152" spans="3:18">
      <c r="E152" t="s">
        <v>4286</v>
      </c>
      <c r="K152" s="31">
        <v>13900541.82</v>
      </c>
      <c r="M152" s="31">
        <v>14634038.939999999</v>
      </c>
      <c r="O152" s="31">
        <v>-733497.12</v>
      </c>
      <c r="Q152">
        <v>-5</v>
      </c>
      <c r="R152" t="s">
        <v>611</v>
      </c>
    </row>
    <row r="154" spans="3:18">
      <c r="C154">
        <v>5360</v>
      </c>
      <c r="E154" t="s">
        <v>4287</v>
      </c>
      <c r="H154" t="s">
        <v>4288</v>
      </c>
      <c r="K154" s="31">
        <v>197488.66</v>
      </c>
      <c r="M154" s="31">
        <v>197055.05</v>
      </c>
      <c r="O154">
        <v>433.61</v>
      </c>
      <c r="Q154">
        <v>0.2</v>
      </c>
    </row>
    <row r="155" spans="3:18">
      <c r="C155">
        <v>5360</v>
      </c>
      <c r="E155" t="s">
        <v>4289</v>
      </c>
      <c r="H155" t="s">
        <v>4290</v>
      </c>
      <c r="K155" s="31">
        <v>4909189.66</v>
      </c>
      <c r="M155" s="31">
        <v>5181956.59</v>
      </c>
      <c r="O155" s="31">
        <v>-272766.93</v>
      </c>
      <c r="Q155">
        <v>-5.3</v>
      </c>
    </row>
    <row r="156" spans="3:18">
      <c r="C156">
        <v>5360</v>
      </c>
      <c r="E156" t="s">
        <v>4291</v>
      </c>
      <c r="H156" t="s">
        <v>4292</v>
      </c>
      <c r="K156" s="31">
        <v>-109381.68</v>
      </c>
      <c r="M156" s="31">
        <v>-109381.68</v>
      </c>
      <c r="O156">
        <v>0</v>
      </c>
    </row>
    <row r="157" spans="3:18">
      <c r="C157">
        <v>5360</v>
      </c>
      <c r="E157" t="s">
        <v>4293</v>
      </c>
      <c r="H157" t="s">
        <v>4294</v>
      </c>
      <c r="K157" s="31">
        <v>1048887.69</v>
      </c>
      <c r="M157" s="31">
        <v>1030428.15</v>
      </c>
      <c r="O157" s="31">
        <v>18459.54</v>
      </c>
      <c r="Q157">
        <v>1.8</v>
      </c>
    </row>
    <row r="158" spans="3:18">
      <c r="C158">
        <v>5360</v>
      </c>
      <c r="E158" t="s">
        <v>4295</v>
      </c>
      <c r="H158" t="s">
        <v>4296</v>
      </c>
      <c r="K158" s="31">
        <v>4002154.39</v>
      </c>
      <c r="M158" s="31">
        <v>4420118.7300000004</v>
      </c>
      <c r="O158" s="31">
        <v>-417964.34</v>
      </c>
      <c r="Q158">
        <v>-9.5</v>
      </c>
    </row>
    <row r="159" spans="3:18">
      <c r="C159">
        <v>5360</v>
      </c>
      <c r="E159" t="s">
        <v>4297</v>
      </c>
      <c r="H159" t="s">
        <v>4296</v>
      </c>
      <c r="K159" s="31">
        <v>27354.51</v>
      </c>
      <c r="M159" s="31">
        <v>27354.51</v>
      </c>
      <c r="O159">
        <v>0</v>
      </c>
    </row>
    <row r="160" spans="3:18">
      <c r="E160" t="s">
        <v>4298</v>
      </c>
      <c r="K160" s="31">
        <v>10075693.23</v>
      </c>
      <c r="M160" s="31">
        <v>10747531.35</v>
      </c>
      <c r="O160" s="31">
        <v>-671838.12</v>
      </c>
      <c r="Q160">
        <v>-6.3</v>
      </c>
      <c r="R160" t="s">
        <v>611</v>
      </c>
    </row>
    <row r="162" spans="3:18">
      <c r="C162">
        <v>5360</v>
      </c>
      <c r="E162" t="s">
        <v>4299</v>
      </c>
      <c r="H162" t="s">
        <v>4300</v>
      </c>
      <c r="K162" s="31">
        <v>305665.67</v>
      </c>
      <c r="M162" s="31">
        <v>1067605.8</v>
      </c>
      <c r="O162" s="31">
        <v>-761940.13</v>
      </c>
      <c r="Q162">
        <v>-71.400000000000006</v>
      </c>
    </row>
    <row r="163" spans="3:18">
      <c r="C163">
        <v>5360</v>
      </c>
      <c r="E163" t="s">
        <v>4301</v>
      </c>
      <c r="H163" t="s">
        <v>4302</v>
      </c>
      <c r="K163">
        <v>0.09</v>
      </c>
      <c r="M163">
        <v>0.09</v>
      </c>
      <c r="O163">
        <v>0</v>
      </c>
    </row>
    <row r="164" spans="3:18">
      <c r="C164">
        <v>5360</v>
      </c>
      <c r="E164" t="s">
        <v>4303</v>
      </c>
      <c r="H164" t="s">
        <v>4304</v>
      </c>
      <c r="K164" s="31">
        <v>51585.35</v>
      </c>
      <c r="M164">
        <v>54.38</v>
      </c>
      <c r="O164" s="31">
        <v>51530.97</v>
      </c>
      <c r="Q164">
        <v>94760.9</v>
      </c>
    </row>
    <row r="165" spans="3:18">
      <c r="C165">
        <v>5360</v>
      </c>
      <c r="E165" t="s">
        <v>4305</v>
      </c>
      <c r="H165" t="s">
        <v>4306</v>
      </c>
      <c r="K165">
        <v>-0.09</v>
      </c>
      <c r="M165">
        <v>-0.09</v>
      </c>
      <c r="O165">
        <v>0</v>
      </c>
    </row>
    <row r="166" spans="3:18">
      <c r="E166" t="s">
        <v>4307</v>
      </c>
      <c r="K166" s="31">
        <v>357251.02</v>
      </c>
      <c r="M166" s="31">
        <v>1067660.18</v>
      </c>
      <c r="O166" s="31">
        <v>-710409.16</v>
      </c>
      <c r="Q166">
        <v>-66.5</v>
      </c>
      <c r="R166" t="s">
        <v>611</v>
      </c>
    </row>
    <row r="168" spans="3:18">
      <c r="C168">
        <v>5360</v>
      </c>
      <c r="E168" t="s">
        <v>4308</v>
      </c>
      <c r="H168" t="s">
        <v>4309</v>
      </c>
      <c r="K168" s="31">
        <v>57486.68</v>
      </c>
      <c r="M168" s="31">
        <v>-11666.32</v>
      </c>
      <c r="O168" s="31">
        <v>69153</v>
      </c>
      <c r="Q168">
        <v>592.79999999999995</v>
      </c>
    </row>
    <row r="169" spans="3:18">
      <c r="E169" t="s">
        <v>4312</v>
      </c>
      <c r="K169" s="31">
        <v>57486.68</v>
      </c>
      <c r="M169" s="31">
        <v>-11666.32</v>
      </c>
      <c r="O169" s="31">
        <v>69153</v>
      </c>
      <c r="Q169">
        <v>592.79999999999995</v>
      </c>
      <c r="R169" t="s">
        <v>611</v>
      </c>
    </row>
    <row r="171" spans="3:18">
      <c r="C171">
        <v>5360</v>
      </c>
      <c r="E171" t="s">
        <v>3607</v>
      </c>
      <c r="H171" t="s">
        <v>4313</v>
      </c>
      <c r="K171" s="31">
        <v>5948040.1299999999</v>
      </c>
      <c r="M171" s="31">
        <v>33497216.510000002</v>
      </c>
      <c r="O171" s="31">
        <v>-27549176.379999999</v>
      </c>
      <c r="Q171">
        <v>-82.2</v>
      </c>
    </row>
    <row r="172" spans="3:18">
      <c r="E172" t="s">
        <v>4314</v>
      </c>
      <c r="K172" s="31">
        <v>5948040.1299999999</v>
      </c>
      <c r="M172" s="31">
        <v>33497216.510000002</v>
      </c>
      <c r="O172" s="31">
        <v>-27549176.379999999</v>
      </c>
      <c r="Q172">
        <v>-82.2</v>
      </c>
      <c r="R172" t="s">
        <v>611</v>
      </c>
    </row>
    <row r="174" spans="3:18">
      <c r="C174">
        <v>5360</v>
      </c>
      <c r="E174" t="s">
        <v>4315</v>
      </c>
      <c r="H174" t="s">
        <v>4316</v>
      </c>
      <c r="K174" s="31">
        <v>11821.95</v>
      </c>
      <c r="M174" s="31">
        <v>11821.95</v>
      </c>
      <c r="O174">
        <v>0</v>
      </c>
    </row>
    <row r="175" spans="3:18">
      <c r="E175" t="s">
        <v>4317</v>
      </c>
      <c r="K175" s="31">
        <v>11821.95</v>
      </c>
      <c r="M175" s="31">
        <v>11821.95</v>
      </c>
      <c r="O175">
        <v>0</v>
      </c>
      <c r="R175" t="s">
        <v>611</v>
      </c>
    </row>
    <row r="177" spans="3:18">
      <c r="C177">
        <v>5360</v>
      </c>
      <c r="E177" t="s">
        <v>4318</v>
      </c>
      <c r="H177" t="s">
        <v>4319</v>
      </c>
      <c r="K177" s="31">
        <v>139894.18</v>
      </c>
      <c r="M177" s="31">
        <v>160400.71</v>
      </c>
      <c r="O177" s="31">
        <v>-20506.53</v>
      </c>
      <c r="Q177">
        <v>-12.8</v>
      </c>
    </row>
    <row r="178" spans="3:18">
      <c r="C178">
        <v>5360</v>
      </c>
      <c r="E178" t="s">
        <v>4320</v>
      </c>
      <c r="H178" t="s">
        <v>4319</v>
      </c>
      <c r="K178" s="31">
        <v>63528560.240000002</v>
      </c>
      <c r="M178" s="31">
        <v>28852194.440000001</v>
      </c>
      <c r="O178" s="31">
        <v>34676365.799999997</v>
      </c>
      <c r="Q178">
        <v>120.2</v>
      </c>
    </row>
    <row r="179" spans="3:18">
      <c r="E179" t="s">
        <v>4321</v>
      </c>
      <c r="K179" s="31">
        <v>63668454.420000002</v>
      </c>
      <c r="M179" s="31">
        <v>29012595.149999999</v>
      </c>
      <c r="O179" s="31">
        <v>34655859.270000003</v>
      </c>
      <c r="Q179">
        <v>119.5</v>
      </c>
      <c r="R179" t="s">
        <v>611</v>
      </c>
    </row>
    <row r="181" spans="3:18">
      <c r="E181" t="s">
        <v>4322</v>
      </c>
      <c r="K181" s="31">
        <v>815337804.84000003</v>
      </c>
      <c r="M181" s="31">
        <v>901861773.10000002</v>
      </c>
      <c r="O181" s="31">
        <v>-86523968.260000005</v>
      </c>
      <c r="Q181">
        <v>-9.6</v>
      </c>
      <c r="R181" t="s">
        <v>930</v>
      </c>
    </row>
    <row r="183" spans="3:18">
      <c r="C183">
        <v>5360</v>
      </c>
      <c r="E183" t="s">
        <v>4323</v>
      </c>
      <c r="H183" t="s">
        <v>4324</v>
      </c>
      <c r="K183" s="31">
        <v>30037.69</v>
      </c>
      <c r="M183" s="31">
        <v>30037.69</v>
      </c>
      <c r="O183">
        <v>0</v>
      </c>
    </row>
    <row r="184" spans="3:18">
      <c r="C184">
        <v>5360</v>
      </c>
      <c r="E184" t="s">
        <v>5975</v>
      </c>
      <c r="H184" t="s">
        <v>4341</v>
      </c>
      <c r="K184" s="31">
        <v>-2622063.5</v>
      </c>
      <c r="M184" s="31">
        <v>-3933095.27</v>
      </c>
      <c r="O184" s="31">
        <v>1311031.77</v>
      </c>
      <c r="Q184">
        <v>33.299999999999997</v>
      </c>
    </row>
    <row r="185" spans="3:18">
      <c r="C185">
        <v>5360</v>
      </c>
      <c r="E185" t="s">
        <v>5976</v>
      </c>
      <c r="H185" t="s">
        <v>4343</v>
      </c>
      <c r="K185" s="31">
        <v>-4419</v>
      </c>
      <c r="M185" s="31">
        <v>-6628.5</v>
      </c>
      <c r="O185" s="31">
        <v>2209.5</v>
      </c>
      <c r="Q185">
        <v>33.299999999999997</v>
      </c>
    </row>
    <row r="186" spans="3:18">
      <c r="C186">
        <v>5360</v>
      </c>
      <c r="E186" t="s">
        <v>4325</v>
      </c>
      <c r="H186" t="s">
        <v>4326</v>
      </c>
      <c r="K186" s="31">
        <v>34126127.039999999</v>
      </c>
      <c r="M186" s="31">
        <v>33371187.120000001</v>
      </c>
      <c r="O186" s="31">
        <v>754939.92</v>
      </c>
      <c r="Q186">
        <v>2.2999999999999998</v>
      </c>
    </row>
    <row r="187" spans="3:18">
      <c r="C187">
        <v>5360</v>
      </c>
      <c r="E187" t="s">
        <v>4327</v>
      </c>
      <c r="H187" t="s">
        <v>4328</v>
      </c>
      <c r="K187" s="31">
        <v>3597707.16</v>
      </c>
      <c r="M187" s="31">
        <v>3841277.4</v>
      </c>
      <c r="O187" s="31">
        <v>-243570.24</v>
      </c>
      <c r="Q187">
        <v>-6.3</v>
      </c>
    </row>
    <row r="188" spans="3:18">
      <c r="C188">
        <v>5360</v>
      </c>
      <c r="E188" t="s">
        <v>4329</v>
      </c>
      <c r="H188" t="s">
        <v>4330</v>
      </c>
      <c r="K188" s="31">
        <v>95722.11</v>
      </c>
      <c r="M188" s="31">
        <v>198162.6</v>
      </c>
      <c r="O188" s="31">
        <v>-102440.49</v>
      </c>
      <c r="Q188">
        <v>-51.7</v>
      </c>
    </row>
    <row r="189" spans="3:18">
      <c r="C189">
        <v>5360</v>
      </c>
      <c r="E189" t="s">
        <v>4331</v>
      </c>
      <c r="H189" t="s">
        <v>4324</v>
      </c>
      <c r="K189" s="31">
        <v>7079448.4299999997</v>
      </c>
      <c r="M189" s="31">
        <v>6987351.6500000004</v>
      </c>
      <c r="O189" s="31">
        <v>92096.78</v>
      </c>
      <c r="Q189">
        <v>1.3</v>
      </c>
    </row>
    <row r="190" spans="3:18">
      <c r="C190">
        <v>5360</v>
      </c>
      <c r="E190" t="s">
        <v>4332</v>
      </c>
      <c r="H190" t="s">
        <v>4333</v>
      </c>
      <c r="K190" s="31">
        <v>20270071.449999999</v>
      </c>
      <c r="M190" s="31">
        <v>16690386.82</v>
      </c>
      <c r="O190" s="31">
        <v>3579684.63</v>
      </c>
      <c r="Q190">
        <v>21.4</v>
      </c>
    </row>
    <row r="191" spans="3:18">
      <c r="C191">
        <v>5360</v>
      </c>
      <c r="E191" t="s">
        <v>4334</v>
      </c>
      <c r="H191" t="s">
        <v>4335</v>
      </c>
      <c r="K191">
        <v>0</v>
      </c>
      <c r="M191">
        <v>0.01</v>
      </c>
      <c r="O191">
        <v>-0.01</v>
      </c>
      <c r="Q191">
        <v>-100</v>
      </c>
    </row>
    <row r="192" spans="3:18">
      <c r="C192">
        <v>5360</v>
      </c>
      <c r="E192" t="s">
        <v>4336</v>
      </c>
      <c r="H192" t="s">
        <v>4337</v>
      </c>
      <c r="K192" s="31">
        <v>76347.44</v>
      </c>
      <c r="M192" s="31">
        <v>63622.879999999997</v>
      </c>
      <c r="O192" s="31">
        <v>12724.56</v>
      </c>
      <c r="Q192">
        <v>20</v>
      </c>
    </row>
    <row r="193" spans="3:18">
      <c r="C193">
        <v>5360</v>
      </c>
      <c r="E193" t="s">
        <v>4340</v>
      </c>
      <c r="H193" t="s">
        <v>4341</v>
      </c>
      <c r="K193" s="31">
        <v>55365021.07</v>
      </c>
      <c r="M193" s="31">
        <v>55365021.07</v>
      </c>
      <c r="O193">
        <v>0</v>
      </c>
    </row>
    <row r="194" spans="3:18">
      <c r="C194">
        <v>5360</v>
      </c>
      <c r="E194" t="s">
        <v>4342</v>
      </c>
      <c r="H194" t="s">
        <v>4343</v>
      </c>
      <c r="K194" s="31">
        <v>-18849071.93</v>
      </c>
      <c r="M194" s="31">
        <v>-18849071.93</v>
      </c>
      <c r="O194">
        <v>0</v>
      </c>
    </row>
    <row r="195" spans="3:18">
      <c r="C195">
        <v>5360</v>
      </c>
      <c r="E195" t="s">
        <v>4344</v>
      </c>
      <c r="H195" t="s">
        <v>4345</v>
      </c>
      <c r="K195" s="31">
        <v>28655.13</v>
      </c>
      <c r="M195" s="31">
        <v>516556.38</v>
      </c>
      <c r="O195" s="31">
        <v>-487901.25</v>
      </c>
      <c r="Q195">
        <v>-94.5</v>
      </c>
    </row>
    <row r="196" spans="3:18">
      <c r="C196">
        <v>5360</v>
      </c>
      <c r="E196" t="s">
        <v>4348</v>
      </c>
      <c r="H196" t="s">
        <v>4349</v>
      </c>
      <c r="K196" s="31">
        <v>4828211.51</v>
      </c>
      <c r="M196" s="31">
        <v>4828984.24</v>
      </c>
      <c r="O196">
        <v>-772.73</v>
      </c>
    </row>
    <row r="197" spans="3:18">
      <c r="C197">
        <v>5360</v>
      </c>
      <c r="E197" t="s">
        <v>4350</v>
      </c>
      <c r="H197" t="s">
        <v>4351</v>
      </c>
      <c r="K197" s="31">
        <v>1402954.9</v>
      </c>
      <c r="M197" s="31">
        <v>1262175.02</v>
      </c>
      <c r="O197" s="31">
        <v>140779.88</v>
      </c>
      <c r="Q197">
        <v>11.2</v>
      </c>
    </row>
    <row r="198" spans="3:18">
      <c r="C198">
        <v>5360</v>
      </c>
      <c r="E198" t="s">
        <v>4352</v>
      </c>
      <c r="H198" t="s">
        <v>4353</v>
      </c>
      <c r="K198" s="31">
        <v>-148357.29</v>
      </c>
      <c r="M198" s="31">
        <v>-139048.01999999999</v>
      </c>
      <c r="O198" s="31">
        <v>-9309.27</v>
      </c>
      <c r="Q198">
        <v>-6.7</v>
      </c>
    </row>
    <row r="199" spans="3:18">
      <c r="C199">
        <v>5360</v>
      </c>
      <c r="E199" t="s">
        <v>4354</v>
      </c>
      <c r="H199" t="s">
        <v>4355</v>
      </c>
      <c r="K199" s="31">
        <v>1239995.76</v>
      </c>
      <c r="M199" s="31">
        <v>397979.81</v>
      </c>
      <c r="O199" s="31">
        <v>842015.95</v>
      </c>
      <c r="Q199">
        <v>211.6</v>
      </c>
    </row>
    <row r="200" spans="3:18">
      <c r="C200">
        <v>5360</v>
      </c>
      <c r="E200" t="s">
        <v>4356</v>
      </c>
      <c r="H200" t="s">
        <v>4357</v>
      </c>
      <c r="K200" s="31">
        <v>5191629.33</v>
      </c>
      <c r="M200" s="31">
        <v>7616033.4299999997</v>
      </c>
      <c r="O200" s="31">
        <v>-2424404.1</v>
      </c>
      <c r="Q200">
        <v>-31.8</v>
      </c>
    </row>
    <row r="201" spans="3:18">
      <c r="C201">
        <v>5360</v>
      </c>
      <c r="E201" t="s">
        <v>4358</v>
      </c>
      <c r="H201" t="s">
        <v>4359</v>
      </c>
      <c r="K201" s="31">
        <v>35045350.450000003</v>
      </c>
      <c r="M201" s="31">
        <v>34455133.609999999</v>
      </c>
      <c r="O201" s="31">
        <v>590216.84</v>
      </c>
      <c r="Q201">
        <v>1.7</v>
      </c>
    </row>
    <row r="202" spans="3:18">
      <c r="C202">
        <v>5360</v>
      </c>
      <c r="E202" t="s">
        <v>4360</v>
      </c>
      <c r="H202" t="s">
        <v>4361</v>
      </c>
      <c r="K202">
        <v>-1.01</v>
      </c>
      <c r="M202" s="31">
        <v>56274.91</v>
      </c>
      <c r="O202" s="31">
        <v>-56275.92</v>
      </c>
      <c r="Q202">
        <v>-100</v>
      </c>
    </row>
    <row r="203" spans="3:18">
      <c r="C203">
        <v>5360</v>
      </c>
      <c r="E203" t="s">
        <v>4362</v>
      </c>
      <c r="H203" t="s">
        <v>4363</v>
      </c>
      <c r="K203" s="31">
        <v>54585.41</v>
      </c>
      <c r="M203" s="31">
        <v>54641.62</v>
      </c>
      <c r="O203">
        <v>-56.21</v>
      </c>
      <c r="Q203">
        <v>-0.1</v>
      </c>
    </row>
    <row r="204" spans="3:18">
      <c r="C204">
        <v>5360</v>
      </c>
      <c r="E204" t="s">
        <v>4366</v>
      </c>
      <c r="H204" t="s">
        <v>4367</v>
      </c>
      <c r="K204" s="31">
        <v>13574149.15</v>
      </c>
      <c r="M204" s="31">
        <v>12538816.640000001</v>
      </c>
      <c r="O204" s="31">
        <v>1035332.51</v>
      </c>
      <c r="Q204">
        <v>8.3000000000000007</v>
      </c>
    </row>
    <row r="205" spans="3:18">
      <c r="C205">
        <v>5360</v>
      </c>
      <c r="E205" t="s">
        <v>4368</v>
      </c>
      <c r="H205" t="s">
        <v>4369</v>
      </c>
      <c r="K205" s="31">
        <v>11373688.43</v>
      </c>
      <c r="M205" s="31">
        <v>13439456.93</v>
      </c>
      <c r="O205" s="31">
        <v>-2065768.5</v>
      </c>
      <c r="Q205">
        <v>-15.4</v>
      </c>
    </row>
    <row r="206" spans="3:18">
      <c r="C206">
        <v>5360</v>
      </c>
      <c r="E206" t="s">
        <v>4370</v>
      </c>
      <c r="H206" t="s">
        <v>4371</v>
      </c>
      <c r="K206" s="31">
        <v>514914.06</v>
      </c>
      <c r="M206" s="31">
        <v>408369.06</v>
      </c>
      <c r="O206" s="31">
        <v>106545</v>
      </c>
      <c r="Q206">
        <v>26.1</v>
      </c>
    </row>
    <row r="207" spans="3:18">
      <c r="C207">
        <v>5360</v>
      </c>
      <c r="E207" t="s">
        <v>4924</v>
      </c>
      <c r="H207" t="s">
        <v>4909</v>
      </c>
      <c r="K207" s="31">
        <v>581701.38</v>
      </c>
      <c r="M207" s="31">
        <v>581701.38</v>
      </c>
      <c r="O207">
        <v>0</v>
      </c>
    </row>
    <row r="208" spans="3:18">
      <c r="E208" t="s">
        <v>4372</v>
      </c>
      <c r="K208" s="31">
        <v>172852405.16999999</v>
      </c>
      <c r="M208" s="31">
        <v>169775326.55000001</v>
      </c>
      <c r="O208" s="31">
        <v>3077078.62</v>
      </c>
      <c r="Q208">
        <v>1.8</v>
      </c>
      <c r="R208" t="s">
        <v>611</v>
      </c>
    </row>
    <row r="210" spans="3:18">
      <c r="E210" t="s">
        <v>4373</v>
      </c>
      <c r="K210" s="31">
        <v>172852405.16999999</v>
      </c>
      <c r="M210" s="31">
        <v>169775326.55000001</v>
      </c>
      <c r="O210" s="31">
        <v>3077078.62</v>
      </c>
      <c r="Q210">
        <v>1.8</v>
      </c>
      <c r="R210" t="s">
        <v>930</v>
      </c>
    </row>
    <row r="212" spans="3:18">
      <c r="C212">
        <v>5360</v>
      </c>
      <c r="E212" t="s">
        <v>4374</v>
      </c>
      <c r="H212" t="s">
        <v>4375</v>
      </c>
      <c r="K212" s="31">
        <v>27603.41</v>
      </c>
      <c r="M212" s="31">
        <v>24621.38</v>
      </c>
      <c r="O212" s="31">
        <v>2982.03</v>
      </c>
      <c r="Q212">
        <v>12.1</v>
      </c>
    </row>
    <row r="213" spans="3:18">
      <c r="E213" t="s">
        <v>4376</v>
      </c>
      <c r="K213" s="31">
        <v>27603.41</v>
      </c>
      <c r="M213" s="31">
        <v>24621.38</v>
      </c>
      <c r="O213" s="31">
        <v>2982.03</v>
      </c>
      <c r="Q213">
        <v>12.1</v>
      </c>
      <c r="R213" t="s">
        <v>611</v>
      </c>
    </row>
    <row r="215" spans="3:18">
      <c r="C215">
        <v>5360</v>
      </c>
      <c r="E215" t="s">
        <v>4377</v>
      </c>
      <c r="H215" t="s">
        <v>4378</v>
      </c>
      <c r="K215" s="31">
        <v>7365.16</v>
      </c>
      <c r="M215" s="31">
        <v>7365.16</v>
      </c>
      <c r="O215">
        <v>0</v>
      </c>
    </row>
    <row r="216" spans="3:18">
      <c r="E216" t="s">
        <v>4379</v>
      </c>
      <c r="K216" s="31">
        <v>7365.16</v>
      </c>
      <c r="M216" s="31">
        <v>7365.16</v>
      </c>
      <c r="O216">
        <v>0</v>
      </c>
      <c r="R216" t="s">
        <v>611</v>
      </c>
    </row>
    <row r="218" spans="3:18">
      <c r="C218">
        <v>5360</v>
      </c>
      <c r="E218" t="s">
        <v>4380</v>
      </c>
      <c r="H218" t="s">
        <v>4381</v>
      </c>
      <c r="K218" s="31">
        <v>-6349910.7000000002</v>
      </c>
      <c r="M218" s="31">
        <v>-6349910.7000000002</v>
      </c>
      <c r="O218">
        <v>0</v>
      </c>
    </row>
    <row r="219" spans="3:18">
      <c r="C219">
        <v>5360</v>
      </c>
      <c r="E219" t="s">
        <v>4382</v>
      </c>
      <c r="H219" t="s">
        <v>4383</v>
      </c>
      <c r="K219" s="31">
        <v>3326592.44</v>
      </c>
      <c r="M219" s="31">
        <v>4619277.96</v>
      </c>
      <c r="O219" s="31">
        <v>-1292685.52</v>
      </c>
      <c r="Q219">
        <v>-28</v>
      </c>
    </row>
    <row r="220" spans="3:18">
      <c r="C220">
        <v>5360</v>
      </c>
      <c r="E220" t="s">
        <v>4384</v>
      </c>
      <c r="H220" t="s">
        <v>4385</v>
      </c>
      <c r="K220" s="31">
        <v>649729.38</v>
      </c>
      <c r="M220" s="31">
        <v>1333134.8899999999</v>
      </c>
      <c r="O220" s="31">
        <v>-683405.51</v>
      </c>
      <c r="Q220">
        <v>-51.3</v>
      </c>
    </row>
    <row r="221" spans="3:18">
      <c r="C221">
        <v>5360</v>
      </c>
      <c r="E221" t="s">
        <v>4386</v>
      </c>
      <c r="H221" t="s">
        <v>4387</v>
      </c>
      <c r="K221" s="31">
        <v>2140632.69</v>
      </c>
      <c r="M221" s="31">
        <v>3117926.25</v>
      </c>
      <c r="O221" s="31">
        <v>-977293.56</v>
      </c>
      <c r="Q221">
        <v>-31.3</v>
      </c>
    </row>
    <row r="222" spans="3:18">
      <c r="C222">
        <v>5360</v>
      </c>
      <c r="E222" t="s">
        <v>4388</v>
      </c>
      <c r="H222" t="s">
        <v>4389</v>
      </c>
      <c r="K222" s="31">
        <v>164047.71</v>
      </c>
      <c r="M222" s="31">
        <v>236882.65</v>
      </c>
      <c r="O222" s="31">
        <v>-72834.94</v>
      </c>
      <c r="Q222">
        <v>-30.7</v>
      </c>
    </row>
    <row r="223" spans="3:18">
      <c r="C223">
        <v>5360</v>
      </c>
      <c r="E223" t="s">
        <v>4390</v>
      </c>
      <c r="H223" t="s">
        <v>4391</v>
      </c>
      <c r="K223" s="31">
        <v>1304.58</v>
      </c>
      <c r="M223" s="31">
        <v>1933.55</v>
      </c>
      <c r="O223">
        <v>-628.97</v>
      </c>
      <c r="Q223">
        <v>-32.5</v>
      </c>
    </row>
    <row r="224" spans="3:18">
      <c r="C224">
        <v>5360</v>
      </c>
      <c r="E224" t="s">
        <v>4392</v>
      </c>
      <c r="H224" t="s">
        <v>4393</v>
      </c>
      <c r="K224">
        <v>155.19999999999999</v>
      </c>
      <c r="M224" s="31">
        <v>1831.62</v>
      </c>
      <c r="O224" s="31">
        <v>-1676.42</v>
      </c>
      <c r="Q224">
        <v>-91.5</v>
      </c>
    </row>
    <row r="225" spans="3:17">
      <c r="C225">
        <v>5360</v>
      </c>
      <c r="E225" t="s">
        <v>4394</v>
      </c>
      <c r="H225" t="s">
        <v>4395</v>
      </c>
      <c r="K225" s="31">
        <v>383713.45</v>
      </c>
      <c r="M225" s="31">
        <v>548134.24</v>
      </c>
      <c r="O225" s="31">
        <v>-164420.79</v>
      </c>
      <c r="Q225">
        <v>-30</v>
      </c>
    </row>
    <row r="226" spans="3:17">
      <c r="C226">
        <v>5360</v>
      </c>
      <c r="E226" t="s">
        <v>4396</v>
      </c>
      <c r="H226" t="s">
        <v>4397</v>
      </c>
      <c r="K226" s="31">
        <v>3380.71</v>
      </c>
      <c r="M226" s="31">
        <v>6970.04</v>
      </c>
      <c r="O226" s="31">
        <v>-3589.33</v>
      </c>
      <c r="Q226">
        <v>-51.5</v>
      </c>
    </row>
    <row r="227" spans="3:17">
      <c r="C227">
        <v>5360</v>
      </c>
      <c r="E227" t="s">
        <v>4398</v>
      </c>
      <c r="H227" t="s">
        <v>4399</v>
      </c>
      <c r="K227" s="31">
        <v>57503.85</v>
      </c>
      <c r="M227" s="31">
        <v>77184.38</v>
      </c>
      <c r="O227" s="31">
        <v>-19680.53</v>
      </c>
      <c r="Q227">
        <v>-25.5</v>
      </c>
    </row>
    <row r="228" spans="3:17">
      <c r="C228">
        <v>5360</v>
      </c>
      <c r="E228" t="s">
        <v>4400</v>
      </c>
      <c r="H228" t="s">
        <v>4401</v>
      </c>
      <c r="K228" s="31">
        <v>329214.59000000003</v>
      </c>
      <c r="M228" s="31">
        <v>425177.21</v>
      </c>
      <c r="O228" s="31">
        <v>-95962.62</v>
      </c>
      <c r="Q228">
        <v>-22.6</v>
      </c>
    </row>
    <row r="229" spans="3:17">
      <c r="C229">
        <v>5360</v>
      </c>
      <c r="E229" t="s">
        <v>4402</v>
      </c>
      <c r="H229" t="s">
        <v>4403</v>
      </c>
      <c r="K229" s="31">
        <v>-13945.13</v>
      </c>
      <c r="M229" s="31">
        <v>-13945.13</v>
      </c>
      <c r="O229">
        <v>0</v>
      </c>
    </row>
    <row r="230" spans="3:17">
      <c r="C230">
        <v>5360</v>
      </c>
      <c r="E230" t="s">
        <v>4404</v>
      </c>
      <c r="H230" t="s">
        <v>4405</v>
      </c>
      <c r="K230" s="31">
        <v>-7514714.6299999999</v>
      </c>
      <c r="M230" s="31">
        <v>-6647706.6200000001</v>
      </c>
      <c r="O230" s="31">
        <v>-867008.01</v>
      </c>
      <c r="Q230">
        <v>-13</v>
      </c>
    </row>
    <row r="231" spans="3:17">
      <c r="C231">
        <v>5360</v>
      </c>
      <c r="E231" t="s">
        <v>4406</v>
      </c>
      <c r="H231" t="s">
        <v>4407</v>
      </c>
      <c r="K231" s="31">
        <v>-2674538.02</v>
      </c>
      <c r="M231" s="31">
        <v>-2399994.7599999998</v>
      </c>
      <c r="O231" s="31">
        <v>-274543.26</v>
      </c>
      <c r="Q231">
        <v>-11.4</v>
      </c>
    </row>
    <row r="232" spans="3:17">
      <c r="C232">
        <v>5360</v>
      </c>
      <c r="E232" t="s">
        <v>4408</v>
      </c>
      <c r="H232" t="s">
        <v>4409</v>
      </c>
      <c r="K232" s="31">
        <v>-43866.77</v>
      </c>
      <c r="M232" s="31">
        <v>10118.23</v>
      </c>
      <c r="O232" s="31">
        <v>-53985</v>
      </c>
      <c r="Q232">
        <v>-533.5</v>
      </c>
    </row>
    <row r="233" spans="3:17">
      <c r="C233">
        <v>5360</v>
      </c>
      <c r="E233" t="s">
        <v>4410</v>
      </c>
      <c r="H233" t="s">
        <v>4411</v>
      </c>
      <c r="K233" s="31">
        <v>-208079.66</v>
      </c>
      <c r="M233" s="31">
        <v>-137223.10999999999</v>
      </c>
      <c r="O233" s="31">
        <v>-70856.55</v>
      </c>
      <c r="Q233">
        <v>-51.6</v>
      </c>
    </row>
    <row r="234" spans="3:17">
      <c r="C234">
        <v>5360</v>
      </c>
      <c r="E234" t="s">
        <v>4412</v>
      </c>
      <c r="H234" t="s">
        <v>4413</v>
      </c>
      <c r="K234" s="31">
        <v>98440725.209999993</v>
      </c>
      <c r="M234" s="31">
        <v>103439454.52</v>
      </c>
      <c r="O234" s="31">
        <v>-4998729.3099999996</v>
      </c>
      <c r="Q234">
        <v>-4.8</v>
      </c>
    </row>
    <row r="235" spans="3:17">
      <c r="C235">
        <v>5360</v>
      </c>
      <c r="E235" t="s">
        <v>4414</v>
      </c>
      <c r="H235" t="s">
        <v>4415</v>
      </c>
      <c r="K235" s="31">
        <v>10027893.17</v>
      </c>
      <c r="M235" s="31">
        <v>10401674.970000001</v>
      </c>
      <c r="O235" s="31">
        <v>-373781.8</v>
      </c>
      <c r="Q235">
        <v>-3.6</v>
      </c>
    </row>
    <row r="236" spans="3:17">
      <c r="C236">
        <v>5360</v>
      </c>
      <c r="E236" t="s">
        <v>4416</v>
      </c>
      <c r="H236" t="s">
        <v>4417</v>
      </c>
      <c r="K236" s="31">
        <v>27082456.760000002</v>
      </c>
      <c r="M236" s="31">
        <v>27982089.620000001</v>
      </c>
      <c r="O236" s="31">
        <v>-899632.86</v>
      </c>
      <c r="Q236">
        <v>-3.2</v>
      </c>
    </row>
    <row r="237" spans="3:17">
      <c r="C237">
        <v>5360</v>
      </c>
      <c r="E237" t="s">
        <v>4418</v>
      </c>
      <c r="H237" t="s">
        <v>4419</v>
      </c>
      <c r="K237" s="31">
        <v>2429478.4900000002</v>
      </c>
      <c r="M237" s="31">
        <v>2714277.59</v>
      </c>
      <c r="O237" s="31">
        <v>-284799.09999999998</v>
      </c>
      <c r="Q237">
        <v>-10.5</v>
      </c>
    </row>
    <row r="238" spans="3:17">
      <c r="C238">
        <v>5360</v>
      </c>
      <c r="E238" t="s">
        <v>4420</v>
      </c>
      <c r="H238" t="s">
        <v>4421</v>
      </c>
      <c r="K238" s="31">
        <v>240139.21</v>
      </c>
      <c r="M238" s="31">
        <v>241136.82</v>
      </c>
      <c r="O238">
        <v>-997.61</v>
      </c>
      <c r="Q238">
        <v>-0.4</v>
      </c>
    </row>
    <row r="239" spans="3:17">
      <c r="C239">
        <v>5360</v>
      </c>
      <c r="E239" t="s">
        <v>4422</v>
      </c>
      <c r="H239" t="s">
        <v>4423</v>
      </c>
      <c r="K239" s="31">
        <v>3901937.51</v>
      </c>
      <c r="M239" s="31">
        <v>4107503.96</v>
      </c>
      <c r="O239" s="31">
        <v>-205566.45</v>
      </c>
      <c r="Q239">
        <v>-5</v>
      </c>
    </row>
    <row r="240" spans="3:17">
      <c r="C240">
        <v>5360</v>
      </c>
      <c r="E240" t="s">
        <v>4424</v>
      </c>
      <c r="H240" t="s">
        <v>4425</v>
      </c>
      <c r="K240" s="31">
        <v>4905.92</v>
      </c>
      <c r="M240" s="31">
        <v>4905.92</v>
      </c>
      <c r="O240">
        <v>0</v>
      </c>
    </row>
    <row r="241" spans="3:18">
      <c r="C241">
        <v>5360</v>
      </c>
      <c r="E241" t="s">
        <v>4426</v>
      </c>
      <c r="H241" t="s">
        <v>4405</v>
      </c>
      <c r="K241" s="31">
        <v>56049557.43</v>
      </c>
      <c r="M241" s="31">
        <v>56049557.43</v>
      </c>
      <c r="O241">
        <v>0</v>
      </c>
    </row>
    <row r="242" spans="3:18">
      <c r="C242">
        <v>5360</v>
      </c>
      <c r="E242" t="s">
        <v>4427</v>
      </c>
      <c r="H242" t="s">
        <v>4428</v>
      </c>
      <c r="K242" s="31">
        <v>16950724.66</v>
      </c>
      <c r="M242" s="31">
        <v>16950724.66</v>
      </c>
      <c r="O242">
        <v>0</v>
      </c>
    </row>
    <row r="243" spans="3:18">
      <c r="E243" t="s">
        <v>4429</v>
      </c>
      <c r="K243" s="31">
        <v>205379038.05000001</v>
      </c>
      <c r="M243" s="31">
        <v>216721116.19</v>
      </c>
      <c r="O243" s="31">
        <v>-11342078.140000001</v>
      </c>
      <c r="Q243">
        <v>-5.2</v>
      </c>
      <c r="R243" t="s">
        <v>611</v>
      </c>
    </row>
    <row r="245" spans="3:18">
      <c r="C245">
        <v>5360</v>
      </c>
      <c r="E245" t="s">
        <v>4430</v>
      </c>
      <c r="H245" t="s">
        <v>4431</v>
      </c>
      <c r="K245">
        <v>0</v>
      </c>
      <c r="M245" s="31">
        <v>-5818.18</v>
      </c>
      <c r="O245" s="31">
        <v>5818.18</v>
      </c>
      <c r="Q245">
        <v>100</v>
      </c>
    </row>
    <row r="246" spans="3:18">
      <c r="C246">
        <v>5360</v>
      </c>
      <c r="E246" t="s">
        <v>4432</v>
      </c>
      <c r="H246" t="s">
        <v>4433</v>
      </c>
      <c r="K246" s="31">
        <v>-54257.96</v>
      </c>
      <c r="M246" s="31">
        <v>-54257.96</v>
      </c>
      <c r="O246">
        <v>0</v>
      </c>
    </row>
    <row r="247" spans="3:18">
      <c r="C247">
        <v>5360</v>
      </c>
      <c r="E247" t="s">
        <v>4434</v>
      </c>
      <c r="H247" t="s">
        <v>4435</v>
      </c>
      <c r="K247">
        <v>1.88</v>
      </c>
      <c r="M247">
        <v>7.88</v>
      </c>
      <c r="O247">
        <v>-6</v>
      </c>
      <c r="Q247">
        <v>-76.099999999999994</v>
      </c>
    </row>
    <row r="248" spans="3:18">
      <c r="C248">
        <v>5360</v>
      </c>
      <c r="E248" t="s">
        <v>4436</v>
      </c>
      <c r="H248" t="s">
        <v>4437</v>
      </c>
      <c r="K248">
        <v>0.03</v>
      </c>
      <c r="M248">
        <v>0.03</v>
      </c>
      <c r="O248">
        <v>0</v>
      </c>
    </row>
    <row r="249" spans="3:18">
      <c r="C249">
        <v>5360</v>
      </c>
      <c r="E249" t="s">
        <v>4438</v>
      </c>
      <c r="H249" t="s">
        <v>4439</v>
      </c>
      <c r="K249" s="31">
        <v>-11185.57</v>
      </c>
      <c r="M249" s="31">
        <v>-11185.57</v>
      </c>
      <c r="O249">
        <v>0</v>
      </c>
    </row>
    <row r="250" spans="3:18">
      <c r="C250">
        <v>5360</v>
      </c>
      <c r="E250" t="s">
        <v>4440</v>
      </c>
      <c r="H250" t="s">
        <v>4441</v>
      </c>
      <c r="K250">
        <v>-0.09</v>
      </c>
      <c r="M250">
        <v>-0.09</v>
      </c>
      <c r="O250">
        <v>0</v>
      </c>
    </row>
    <row r="251" spans="3:18">
      <c r="C251">
        <v>5360</v>
      </c>
      <c r="E251" t="s">
        <v>4442</v>
      </c>
      <c r="H251" t="s">
        <v>4443</v>
      </c>
      <c r="K251" s="31">
        <v>-3161390989.98</v>
      </c>
      <c r="M251" s="31">
        <v>-3286186222.6900001</v>
      </c>
      <c r="O251" s="31">
        <v>124795232.70999999</v>
      </c>
      <c r="Q251">
        <v>3.8</v>
      </c>
    </row>
    <row r="252" spans="3:18">
      <c r="E252" t="s">
        <v>4444</v>
      </c>
      <c r="K252" s="31">
        <v>-3161456431.6900001</v>
      </c>
      <c r="M252" s="31">
        <v>-3286257476.5799999</v>
      </c>
      <c r="O252" s="31">
        <v>124801044.89</v>
      </c>
      <c r="Q252">
        <v>3.8</v>
      </c>
      <c r="R252" t="s">
        <v>569</v>
      </c>
    </row>
    <row r="253" spans="3:18">
      <c r="E253" t="s">
        <v>4444</v>
      </c>
      <c r="K253" s="31">
        <v>-3161456431.6900001</v>
      </c>
      <c r="M253" s="31">
        <v>-3286257476.5799999</v>
      </c>
      <c r="O253" s="31">
        <v>124801044.89</v>
      </c>
      <c r="Q253">
        <v>3.8</v>
      </c>
      <c r="R253" t="s">
        <v>611</v>
      </c>
    </row>
    <row r="255" spans="3:18">
      <c r="C255">
        <v>5360</v>
      </c>
      <c r="E255" t="s">
        <v>4445</v>
      </c>
      <c r="H255" t="s">
        <v>4446</v>
      </c>
      <c r="K255" s="31">
        <v>94884.43</v>
      </c>
      <c r="M255" s="31">
        <v>94884.43</v>
      </c>
      <c r="O255">
        <v>0</v>
      </c>
    </row>
    <row r="256" spans="3:18">
      <c r="C256">
        <v>5360</v>
      </c>
      <c r="E256" t="s">
        <v>4447</v>
      </c>
      <c r="H256" t="s">
        <v>4448</v>
      </c>
      <c r="K256" s="31">
        <v>7878083.6100000003</v>
      </c>
      <c r="M256" s="31">
        <v>7878083.6100000003</v>
      </c>
      <c r="O256">
        <v>0</v>
      </c>
    </row>
    <row r="257" spans="3:15">
      <c r="C257">
        <v>5360</v>
      </c>
      <c r="E257" t="s">
        <v>4449</v>
      </c>
      <c r="H257" t="s">
        <v>4450</v>
      </c>
      <c r="K257" s="31">
        <v>-1612655.92</v>
      </c>
      <c r="M257" s="31">
        <v>-1612655.92</v>
      </c>
      <c r="O257">
        <v>0</v>
      </c>
    </row>
    <row r="258" spans="3:15">
      <c r="C258">
        <v>5360</v>
      </c>
      <c r="E258" t="s">
        <v>4451</v>
      </c>
      <c r="H258" t="s">
        <v>4452</v>
      </c>
      <c r="K258" s="31">
        <v>6303.42</v>
      </c>
      <c r="M258" s="31">
        <v>6303.42</v>
      </c>
      <c r="O258">
        <v>0</v>
      </c>
    </row>
    <row r="259" spans="3:15">
      <c r="C259">
        <v>5360</v>
      </c>
      <c r="E259" t="s">
        <v>4453</v>
      </c>
      <c r="H259" t="s">
        <v>4454</v>
      </c>
      <c r="K259" s="31">
        <v>179552.76</v>
      </c>
      <c r="M259" s="31">
        <v>179552.76</v>
      </c>
      <c r="O259">
        <v>0</v>
      </c>
    </row>
    <row r="260" spans="3:15">
      <c r="C260">
        <v>5360</v>
      </c>
      <c r="E260" t="s">
        <v>4455</v>
      </c>
      <c r="H260" t="s">
        <v>4456</v>
      </c>
      <c r="K260" s="31">
        <v>369460.35</v>
      </c>
      <c r="M260" s="31">
        <v>369460.35</v>
      </c>
      <c r="O260">
        <v>0</v>
      </c>
    </row>
    <row r="261" spans="3:15">
      <c r="C261">
        <v>5360</v>
      </c>
      <c r="E261" t="s">
        <v>4457</v>
      </c>
      <c r="H261" t="s">
        <v>4458</v>
      </c>
      <c r="K261" s="31">
        <v>1003848.58</v>
      </c>
      <c r="M261" s="31">
        <v>1003848.58</v>
      </c>
      <c r="O261">
        <v>0</v>
      </c>
    </row>
    <row r="262" spans="3:15">
      <c r="C262">
        <v>5360</v>
      </c>
      <c r="E262" t="s">
        <v>4459</v>
      </c>
      <c r="H262" t="s">
        <v>4460</v>
      </c>
      <c r="K262" s="31">
        <v>1396494</v>
      </c>
      <c r="M262" s="31">
        <v>1396494</v>
      </c>
      <c r="O262">
        <v>0</v>
      </c>
    </row>
    <row r="263" spans="3:15">
      <c r="C263">
        <v>5360</v>
      </c>
      <c r="E263" t="s">
        <v>4461</v>
      </c>
      <c r="H263" t="s">
        <v>4462</v>
      </c>
      <c r="K263" s="31">
        <v>8148905</v>
      </c>
      <c r="M263" s="31">
        <v>8148905</v>
      </c>
      <c r="O263">
        <v>0</v>
      </c>
    </row>
    <row r="264" spans="3:15">
      <c r="C264">
        <v>5360</v>
      </c>
      <c r="E264" t="s">
        <v>4463</v>
      </c>
      <c r="H264" t="s">
        <v>4464</v>
      </c>
      <c r="K264">
        <v>0.1</v>
      </c>
      <c r="M264">
        <v>0.1</v>
      </c>
      <c r="O264">
        <v>0</v>
      </c>
    </row>
    <row r="265" spans="3:15">
      <c r="C265">
        <v>5360</v>
      </c>
      <c r="E265" t="s">
        <v>4465</v>
      </c>
      <c r="H265" t="s">
        <v>4466</v>
      </c>
      <c r="K265" s="31">
        <v>-9122158.75</v>
      </c>
      <c r="M265" s="31">
        <v>-9122158.75</v>
      </c>
      <c r="O265">
        <v>0</v>
      </c>
    </row>
    <row r="266" spans="3:15">
      <c r="C266">
        <v>5360</v>
      </c>
      <c r="E266" t="s">
        <v>4467</v>
      </c>
      <c r="H266" t="s">
        <v>4468</v>
      </c>
      <c r="K266" s="31">
        <v>915219.11</v>
      </c>
      <c r="M266" s="31">
        <v>915219.11</v>
      </c>
      <c r="O266">
        <v>0</v>
      </c>
    </row>
    <row r="267" spans="3:15">
      <c r="C267">
        <v>5360</v>
      </c>
      <c r="E267" t="s">
        <v>4469</v>
      </c>
      <c r="H267" t="s">
        <v>4470</v>
      </c>
      <c r="K267" s="31">
        <v>-4834152.7699999996</v>
      </c>
      <c r="M267" s="31">
        <v>-4834152.7699999996</v>
      </c>
      <c r="O267">
        <v>0</v>
      </c>
    </row>
    <row r="268" spans="3:15">
      <c r="C268">
        <v>5360</v>
      </c>
      <c r="E268" t="s">
        <v>4471</v>
      </c>
      <c r="H268" t="s">
        <v>4472</v>
      </c>
      <c r="K268" s="31">
        <v>12828105.73</v>
      </c>
      <c r="M268" s="31">
        <v>12828105.73</v>
      </c>
      <c r="O268">
        <v>0</v>
      </c>
    </row>
    <row r="269" spans="3:15">
      <c r="C269">
        <v>5360</v>
      </c>
      <c r="E269" t="s">
        <v>4473</v>
      </c>
      <c r="H269" t="s">
        <v>4474</v>
      </c>
      <c r="K269" s="31">
        <v>-3057643.51</v>
      </c>
      <c r="M269" s="31">
        <v>-3057643.51</v>
      </c>
      <c r="O269">
        <v>0</v>
      </c>
    </row>
    <row r="270" spans="3:15">
      <c r="C270">
        <v>5360</v>
      </c>
      <c r="E270" t="s">
        <v>4475</v>
      </c>
      <c r="H270" t="s">
        <v>4476</v>
      </c>
      <c r="K270" s="31">
        <v>-12030</v>
      </c>
      <c r="M270" s="31">
        <v>-12030</v>
      </c>
      <c r="O270">
        <v>0</v>
      </c>
    </row>
    <row r="271" spans="3:15">
      <c r="C271">
        <v>5360</v>
      </c>
      <c r="E271" t="s">
        <v>4477</v>
      </c>
      <c r="H271" t="s">
        <v>4478</v>
      </c>
      <c r="K271" s="31">
        <v>219361.8</v>
      </c>
      <c r="M271" s="31">
        <v>219361.8</v>
      </c>
      <c r="O271">
        <v>0</v>
      </c>
    </row>
    <row r="272" spans="3:15">
      <c r="C272">
        <v>5360</v>
      </c>
      <c r="E272" t="s">
        <v>4479</v>
      </c>
      <c r="H272" t="s">
        <v>4480</v>
      </c>
      <c r="K272" s="31">
        <v>-1366939</v>
      </c>
      <c r="M272" s="31">
        <v>-1366939</v>
      </c>
      <c r="O272">
        <v>0</v>
      </c>
    </row>
    <row r="273" spans="3:18">
      <c r="C273">
        <v>5360</v>
      </c>
      <c r="E273" t="s">
        <v>4481</v>
      </c>
      <c r="H273" t="s">
        <v>4482</v>
      </c>
      <c r="K273" s="31">
        <v>-565556.75</v>
      </c>
      <c r="M273" s="31">
        <v>-565556.75</v>
      </c>
      <c r="O273">
        <v>0</v>
      </c>
    </row>
    <row r="274" spans="3:18">
      <c r="C274">
        <v>5360</v>
      </c>
      <c r="E274" t="s">
        <v>4483</v>
      </c>
      <c r="H274" t="s">
        <v>4484</v>
      </c>
      <c r="K274" s="31">
        <v>14544328.130000001</v>
      </c>
      <c r="M274" s="31">
        <v>14544328.130000001</v>
      </c>
      <c r="O274">
        <v>0</v>
      </c>
    </row>
    <row r="275" spans="3:18">
      <c r="C275">
        <v>5360</v>
      </c>
      <c r="E275" t="s">
        <v>4485</v>
      </c>
      <c r="H275" t="s">
        <v>4486</v>
      </c>
      <c r="K275" s="31">
        <v>537415.69999999995</v>
      </c>
      <c r="M275" s="31">
        <v>537415.69999999995</v>
      </c>
      <c r="O275">
        <v>0</v>
      </c>
    </row>
    <row r="276" spans="3:18">
      <c r="C276">
        <v>5360</v>
      </c>
      <c r="E276" t="s">
        <v>4487</v>
      </c>
      <c r="H276" t="s">
        <v>4488</v>
      </c>
      <c r="K276" s="31">
        <v>9712860.1799999997</v>
      </c>
      <c r="M276" s="31">
        <v>9712860.1799999997</v>
      </c>
      <c r="O276">
        <v>0</v>
      </c>
    </row>
    <row r="277" spans="3:18">
      <c r="C277">
        <v>5360</v>
      </c>
      <c r="E277" t="s">
        <v>4489</v>
      </c>
      <c r="H277" t="s">
        <v>4490</v>
      </c>
      <c r="K277" s="31">
        <v>-309090.67</v>
      </c>
      <c r="M277" s="31">
        <v>-309090.67</v>
      </c>
      <c r="O277">
        <v>0</v>
      </c>
    </row>
    <row r="278" spans="3:18">
      <c r="C278">
        <v>5360</v>
      </c>
      <c r="E278" t="s">
        <v>4491</v>
      </c>
      <c r="H278" t="s">
        <v>4492</v>
      </c>
      <c r="K278" s="31">
        <v>111640.2</v>
      </c>
      <c r="M278" s="31">
        <v>111640.2</v>
      </c>
      <c r="O278">
        <v>0</v>
      </c>
    </row>
    <row r="279" spans="3:18">
      <c r="C279">
        <v>5360</v>
      </c>
      <c r="E279" t="s">
        <v>4493</v>
      </c>
      <c r="H279" t="s">
        <v>4494</v>
      </c>
      <c r="K279" s="31">
        <v>325362</v>
      </c>
      <c r="M279" s="31">
        <v>325362</v>
      </c>
      <c r="O279">
        <v>0</v>
      </c>
    </row>
    <row r="280" spans="3:18">
      <c r="C280">
        <v>5360</v>
      </c>
      <c r="E280" t="s">
        <v>4495</v>
      </c>
      <c r="H280" t="s">
        <v>4496</v>
      </c>
      <c r="K280" s="31">
        <v>256596.46</v>
      </c>
      <c r="M280" s="31">
        <v>256596.46</v>
      </c>
      <c r="O280">
        <v>0</v>
      </c>
    </row>
    <row r="281" spans="3:18">
      <c r="E281" t="s">
        <v>4497</v>
      </c>
      <c r="K281" s="31">
        <v>37648194.189999998</v>
      </c>
      <c r="M281" s="31">
        <v>37648194.189999998</v>
      </c>
      <c r="O281">
        <v>0</v>
      </c>
      <c r="R281" t="s">
        <v>569</v>
      </c>
    </row>
    <row r="282" spans="3:18">
      <c r="C282">
        <v>5360</v>
      </c>
      <c r="E282" t="s">
        <v>4498</v>
      </c>
      <c r="H282" t="s">
        <v>4499</v>
      </c>
      <c r="K282" s="31">
        <v>-63818.2</v>
      </c>
      <c r="M282" s="31">
        <v>-63818.2</v>
      </c>
      <c r="O282">
        <v>0</v>
      </c>
    </row>
    <row r="283" spans="3:18">
      <c r="C283">
        <v>5360</v>
      </c>
      <c r="E283" t="s">
        <v>4500</v>
      </c>
      <c r="H283" t="s">
        <v>4501</v>
      </c>
      <c r="K283" s="31">
        <v>4160110.14</v>
      </c>
      <c r="M283" s="31">
        <v>4160110.14</v>
      </c>
      <c r="O283">
        <v>0</v>
      </c>
    </row>
    <row r="284" spans="3:18">
      <c r="C284">
        <v>5360</v>
      </c>
      <c r="E284" t="s">
        <v>4502</v>
      </c>
      <c r="H284" t="s">
        <v>4503</v>
      </c>
      <c r="K284" s="31">
        <v>-6390</v>
      </c>
      <c r="M284" s="31">
        <v>-6390</v>
      </c>
      <c r="O284">
        <v>0</v>
      </c>
    </row>
    <row r="285" spans="3:18">
      <c r="C285">
        <v>5360</v>
      </c>
      <c r="E285" t="s">
        <v>4504</v>
      </c>
      <c r="H285" t="s">
        <v>4505</v>
      </c>
      <c r="K285" s="31">
        <v>-318972</v>
      </c>
      <c r="M285" s="31">
        <v>-318972</v>
      </c>
      <c r="O285">
        <v>0</v>
      </c>
    </row>
    <row r="286" spans="3:18">
      <c r="E286" t="s">
        <v>4506</v>
      </c>
      <c r="K286" s="31">
        <v>3770929.94</v>
      </c>
      <c r="M286" s="31">
        <v>3770929.94</v>
      </c>
      <c r="O286">
        <v>0</v>
      </c>
      <c r="R286" t="s">
        <v>569</v>
      </c>
    </row>
    <row r="287" spans="3:18">
      <c r="E287" t="s">
        <v>4507</v>
      </c>
      <c r="K287" s="31">
        <v>41419124.130000003</v>
      </c>
      <c r="M287" s="31">
        <v>41419124.130000003</v>
      </c>
      <c r="O287">
        <v>0</v>
      </c>
      <c r="R287" t="s">
        <v>611</v>
      </c>
    </row>
    <row r="289" spans="1:18">
      <c r="E289" t="s">
        <v>4508</v>
      </c>
      <c r="K289" s="31">
        <v>-2914623300.9400001</v>
      </c>
      <c r="M289" s="31">
        <v>-3028085249.7199998</v>
      </c>
      <c r="O289" s="31">
        <v>113461948.78</v>
      </c>
      <c r="Q289">
        <v>3.7</v>
      </c>
      <c r="R289" t="s">
        <v>930</v>
      </c>
    </row>
    <row r="291" spans="1:18">
      <c r="E291" t="s">
        <v>4058</v>
      </c>
      <c r="K291" s="31">
        <v>-354520355.04000002</v>
      </c>
      <c r="M291" s="31">
        <v>-355044435.72000003</v>
      </c>
      <c r="O291" s="31">
        <v>524080.68</v>
      </c>
      <c r="Q291">
        <v>0.1</v>
      </c>
      <c r="R291" t="s">
        <v>970</v>
      </c>
    </row>
    <row r="295" spans="1:18">
      <c r="A295" t="s">
        <v>6021</v>
      </c>
    </row>
    <row r="296" spans="1:18">
      <c r="A296" t="s">
        <v>6029</v>
      </c>
    </row>
    <row r="298" spans="1:18">
      <c r="A298" t="s">
        <v>535</v>
      </c>
      <c r="F298">
        <v>5360</v>
      </c>
      <c r="G298" t="s">
        <v>536</v>
      </c>
      <c r="I298" t="s">
        <v>537</v>
      </c>
      <c r="N298" t="s">
        <v>538</v>
      </c>
      <c r="P298" t="s">
        <v>539</v>
      </c>
    </row>
    <row r="300" spans="1:18">
      <c r="B300" t="s">
        <v>313</v>
      </c>
      <c r="C300" t="s">
        <v>540</v>
      </c>
      <c r="D300" t="s">
        <v>541</v>
      </c>
      <c r="E300" t="s">
        <v>542</v>
      </c>
      <c r="J300" t="s">
        <v>543</v>
      </c>
      <c r="L300" t="s">
        <v>544</v>
      </c>
      <c r="O300" t="s">
        <v>545</v>
      </c>
      <c r="Q300" t="s">
        <v>546</v>
      </c>
      <c r="R300" t="s">
        <v>4054</v>
      </c>
    </row>
    <row r="301" spans="1:18">
      <c r="B301" t="s">
        <v>201</v>
      </c>
      <c r="C301" t="s">
        <v>548</v>
      </c>
      <c r="D301" t="s">
        <v>549</v>
      </c>
      <c r="J301" t="s">
        <v>5966</v>
      </c>
      <c r="L301" t="s">
        <v>6024</v>
      </c>
      <c r="O301" t="s">
        <v>551</v>
      </c>
      <c r="Q301" t="s">
        <v>552</v>
      </c>
      <c r="R301" t="s">
        <v>4057</v>
      </c>
    </row>
    <row r="303" spans="1:18">
      <c r="E303" t="s">
        <v>4510</v>
      </c>
    </row>
    <row r="304" spans="1:18">
      <c r="C304">
        <v>5360</v>
      </c>
      <c r="E304" t="s">
        <v>4511</v>
      </c>
      <c r="H304" t="s">
        <v>4512</v>
      </c>
      <c r="K304" s="31">
        <v>-24493.34</v>
      </c>
      <c r="M304" s="31">
        <v>-24493.34</v>
      </c>
      <c r="O304">
        <v>0</v>
      </c>
    </row>
    <row r="305" spans="3:18">
      <c r="E305" t="s">
        <v>4513</v>
      </c>
      <c r="K305" s="31">
        <v>-24493.34</v>
      </c>
      <c r="M305" s="31">
        <v>-24493.34</v>
      </c>
      <c r="O305">
        <v>0</v>
      </c>
      <c r="R305" t="s">
        <v>658</v>
      </c>
    </row>
    <row r="306" spans="3:18">
      <c r="C306">
        <v>5360</v>
      </c>
      <c r="E306" t="s">
        <v>4514</v>
      </c>
      <c r="H306" t="s">
        <v>4515</v>
      </c>
      <c r="K306" s="31">
        <v>-365120837.67000002</v>
      </c>
      <c r="M306" s="31">
        <v>-365120837.67000002</v>
      </c>
      <c r="O306">
        <v>0</v>
      </c>
    </row>
    <row r="307" spans="3:18">
      <c r="C307">
        <v>5360</v>
      </c>
      <c r="E307" t="s">
        <v>4516</v>
      </c>
      <c r="H307" t="s">
        <v>4517</v>
      </c>
      <c r="K307" s="31">
        <v>-38819563.369999997</v>
      </c>
      <c r="M307" s="31">
        <v>-38819563.369999997</v>
      </c>
      <c r="O307">
        <v>0</v>
      </c>
    </row>
    <row r="308" spans="3:18">
      <c r="C308">
        <v>5360</v>
      </c>
      <c r="E308" t="s">
        <v>4518</v>
      </c>
      <c r="H308" t="s">
        <v>4519</v>
      </c>
      <c r="K308" s="31">
        <v>-79591318.069999993</v>
      </c>
      <c r="M308" s="31">
        <v>-79591318.069999993</v>
      </c>
      <c r="O308">
        <v>0</v>
      </c>
    </row>
    <row r="309" spans="3:18">
      <c r="E309" t="s">
        <v>4520</v>
      </c>
      <c r="K309" s="31">
        <v>-483531719.11000001</v>
      </c>
      <c r="M309" s="31">
        <v>-483531719.11000001</v>
      </c>
      <c r="O309">
        <v>0</v>
      </c>
      <c r="R309" t="s">
        <v>658</v>
      </c>
    </row>
    <row r="310" spans="3:18">
      <c r="E310" t="s">
        <v>4521</v>
      </c>
      <c r="K310" s="31">
        <v>1661672499.95</v>
      </c>
      <c r="M310" s="31">
        <v>1642491519.1099999</v>
      </c>
      <c r="O310" s="31">
        <v>19180980.84</v>
      </c>
      <c r="Q310">
        <v>1.2</v>
      </c>
      <c r="R310" t="s">
        <v>650</v>
      </c>
    </row>
    <row r="311" spans="3:18">
      <c r="E311" t="s">
        <v>4522</v>
      </c>
      <c r="K311" s="31">
        <v>1661672499.95</v>
      </c>
      <c r="M311" s="31">
        <v>1642491519.1099999</v>
      </c>
      <c r="O311" s="31">
        <v>19180980.84</v>
      </c>
      <c r="Q311">
        <v>1.2</v>
      </c>
      <c r="R311" t="s">
        <v>658</v>
      </c>
    </row>
    <row r="312" spans="3:18">
      <c r="C312">
        <v>5360</v>
      </c>
      <c r="E312" t="s">
        <v>5977</v>
      </c>
      <c r="H312" t="s">
        <v>5978</v>
      </c>
      <c r="K312" s="31">
        <v>166641.15</v>
      </c>
      <c r="M312" s="31">
        <v>166641.15</v>
      </c>
      <c r="O312">
        <v>0</v>
      </c>
    </row>
    <row r="313" spans="3:18">
      <c r="C313">
        <v>5360</v>
      </c>
      <c r="E313" t="s">
        <v>4523</v>
      </c>
      <c r="H313" t="s">
        <v>4524</v>
      </c>
      <c r="K313" s="31">
        <v>-2614432</v>
      </c>
      <c r="M313" s="31">
        <v>-2614432</v>
      </c>
      <c r="O313">
        <v>0</v>
      </c>
    </row>
    <row r="314" spans="3:18">
      <c r="E314" t="s">
        <v>4529</v>
      </c>
      <c r="K314" s="31">
        <v>-2447790.85</v>
      </c>
      <c r="M314" s="31">
        <v>-2447790.85</v>
      </c>
      <c r="O314">
        <v>0</v>
      </c>
      <c r="R314" t="s">
        <v>658</v>
      </c>
    </row>
    <row r="315" spans="3:18">
      <c r="E315" t="s">
        <v>4530</v>
      </c>
      <c r="K315" s="31">
        <v>1175668496.6500001</v>
      </c>
      <c r="M315" s="31">
        <v>1156487515.8099999</v>
      </c>
      <c r="O315" s="31">
        <v>19180980.84</v>
      </c>
      <c r="Q315">
        <v>1.7</v>
      </c>
      <c r="R315" t="s">
        <v>569</v>
      </c>
    </row>
    <row r="316" spans="3:18">
      <c r="E316" t="s">
        <v>46</v>
      </c>
      <c r="K316" s="31">
        <v>1175668496.6500001</v>
      </c>
      <c r="M316" s="31">
        <v>1156487515.8099999</v>
      </c>
      <c r="O316" s="31">
        <v>19180980.84</v>
      </c>
      <c r="Q316">
        <v>1.7</v>
      </c>
      <c r="R316" t="s">
        <v>611</v>
      </c>
    </row>
    <row r="318" spans="3:18">
      <c r="C318">
        <v>5360</v>
      </c>
      <c r="E318" t="s">
        <v>4531</v>
      </c>
      <c r="H318" t="s">
        <v>4532</v>
      </c>
      <c r="K318" s="31">
        <v>-48089000</v>
      </c>
      <c r="M318" s="31">
        <v>-48089000</v>
      </c>
      <c r="O318">
        <v>0</v>
      </c>
    </row>
    <row r="319" spans="3:18">
      <c r="E319" t="s">
        <v>506</v>
      </c>
      <c r="K319" s="31">
        <v>-48089000</v>
      </c>
      <c r="M319" s="31">
        <v>-48089000</v>
      </c>
      <c r="O319">
        <v>0</v>
      </c>
      <c r="R319" t="s">
        <v>569</v>
      </c>
    </row>
    <row r="320" spans="3:18">
      <c r="E320" t="s">
        <v>506</v>
      </c>
      <c r="K320" s="31">
        <v>-48089000</v>
      </c>
      <c r="M320" s="31">
        <v>-48089000</v>
      </c>
      <c r="O320">
        <v>0</v>
      </c>
      <c r="R320" t="s">
        <v>611</v>
      </c>
    </row>
    <row r="322" spans="3:18">
      <c r="E322" t="s">
        <v>4533</v>
      </c>
      <c r="K322" s="31">
        <v>1127579496.6500001</v>
      </c>
      <c r="M322" s="31">
        <v>1108398515.8099999</v>
      </c>
      <c r="O322" s="31">
        <v>19180980.84</v>
      </c>
      <c r="Q322">
        <v>1.7</v>
      </c>
      <c r="R322" t="s">
        <v>930</v>
      </c>
    </row>
    <row r="324" spans="3:18">
      <c r="C324">
        <v>5360</v>
      </c>
      <c r="E324" t="s">
        <v>4534</v>
      </c>
      <c r="H324" t="s">
        <v>4535</v>
      </c>
      <c r="K324" s="31">
        <v>-1375000</v>
      </c>
      <c r="M324" s="31">
        <v>-1375000</v>
      </c>
      <c r="O324">
        <v>0</v>
      </c>
    </row>
    <row r="325" spans="3:18">
      <c r="E325" t="s">
        <v>4536</v>
      </c>
      <c r="K325" s="31">
        <v>-1375000</v>
      </c>
      <c r="M325" s="31">
        <v>-1375000</v>
      </c>
      <c r="O325">
        <v>0</v>
      </c>
      <c r="R325" t="s">
        <v>569</v>
      </c>
    </row>
    <row r="326" spans="3:18">
      <c r="C326">
        <v>5360</v>
      </c>
      <c r="E326" t="s">
        <v>4537</v>
      </c>
      <c r="H326" t="s">
        <v>4538</v>
      </c>
      <c r="K326" s="31">
        <v>-2212677.71</v>
      </c>
      <c r="M326" s="31">
        <v>-1864183.36</v>
      </c>
      <c r="O326" s="31">
        <v>-348494.35</v>
      </c>
      <c r="Q326">
        <v>-18.7</v>
      </c>
    </row>
    <row r="327" spans="3:18">
      <c r="C327">
        <v>5360</v>
      </c>
      <c r="E327" t="s">
        <v>4539</v>
      </c>
      <c r="H327" t="s">
        <v>4540</v>
      </c>
      <c r="K327" s="31">
        <v>-645216.97</v>
      </c>
      <c r="M327" s="31">
        <v>-1304178.1200000001</v>
      </c>
      <c r="O327" s="31">
        <v>658961.15</v>
      </c>
      <c r="Q327">
        <v>50.5</v>
      </c>
    </row>
    <row r="328" spans="3:18">
      <c r="C328">
        <v>5360</v>
      </c>
      <c r="E328" t="s">
        <v>4541</v>
      </c>
      <c r="H328" t="s">
        <v>4542</v>
      </c>
      <c r="K328" s="31">
        <v>-5008.53</v>
      </c>
      <c r="M328" s="31">
        <v>-5008.53</v>
      </c>
      <c r="O328">
        <v>0</v>
      </c>
    </row>
    <row r="329" spans="3:18">
      <c r="C329">
        <v>5360</v>
      </c>
      <c r="E329" t="s">
        <v>4543</v>
      </c>
      <c r="H329" t="s">
        <v>4544</v>
      </c>
      <c r="K329" s="31">
        <v>35130.99</v>
      </c>
      <c r="M329" s="31">
        <v>34072.15</v>
      </c>
      <c r="O329" s="31">
        <v>1058.8399999999999</v>
      </c>
      <c r="Q329">
        <v>3.1</v>
      </c>
    </row>
    <row r="330" spans="3:18">
      <c r="C330">
        <v>5360</v>
      </c>
      <c r="E330" t="s">
        <v>4545</v>
      </c>
      <c r="H330" t="s">
        <v>4546</v>
      </c>
      <c r="K330" s="31">
        <v>-9754.9500000000007</v>
      </c>
      <c r="M330" s="31">
        <v>-9754.9500000000007</v>
      </c>
      <c r="O330">
        <v>0</v>
      </c>
    </row>
    <row r="331" spans="3:18">
      <c r="C331">
        <v>5360</v>
      </c>
      <c r="E331" t="s">
        <v>4547</v>
      </c>
      <c r="H331" t="s">
        <v>4548</v>
      </c>
      <c r="K331">
        <v>0</v>
      </c>
      <c r="M331" s="31">
        <v>-436694.23</v>
      </c>
      <c r="O331" s="31">
        <v>436694.23</v>
      </c>
      <c r="Q331">
        <v>100</v>
      </c>
    </row>
    <row r="332" spans="3:18">
      <c r="C332">
        <v>5360</v>
      </c>
      <c r="E332" t="s">
        <v>4549</v>
      </c>
      <c r="H332" t="s">
        <v>4550</v>
      </c>
      <c r="K332" s="31">
        <v>-2447.09</v>
      </c>
      <c r="M332" s="31">
        <v>-2447.09</v>
      </c>
      <c r="O332">
        <v>0</v>
      </c>
    </row>
    <row r="333" spans="3:18">
      <c r="C333">
        <v>5360</v>
      </c>
      <c r="E333" t="s">
        <v>4551</v>
      </c>
      <c r="H333" t="s">
        <v>4552</v>
      </c>
      <c r="K333" s="31">
        <v>-10709525.060000001</v>
      </c>
      <c r="M333" s="31">
        <v>-31501566.09</v>
      </c>
      <c r="O333" s="31">
        <v>20792041.030000001</v>
      </c>
      <c r="Q333">
        <v>66</v>
      </c>
    </row>
    <row r="334" spans="3:18">
      <c r="C334">
        <v>5360</v>
      </c>
      <c r="E334" t="s">
        <v>4553</v>
      </c>
      <c r="H334" t="s">
        <v>4554</v>
      </c>
      <c r="K334" s="31">
        <v>-9446858.5700000003</v>
      </c>
      <c r="M334" s="31">
        <v>-7852993.0499999998</v>
      </c>
      <c r="O334" s="31">
        <v>-1593865.52</v>
      </c>
      <c r="Q334">
        <v>-20.3</v>
      </c>
    </row>
    <row r="335" spans="3:18">
      <c r="C335">
        <v>5360</v>
      </c>
      <c r="E335" t="s">
        <v>4555</v>
      </c>
      <c r="H335" t="s">
        <v>4556</v>
      </c>
      <c r="K335" s="31">
        <v>126358.37</v>
      </c>
      <c r="M335" s="31">
        <v>126358.37</v>
      </c>
      <c r="O335">
        <v>0</v>
      </c>
    </row>
    <row r="336" spans="3:18">
      <c r="C336">
        <v>5360</v>
      </c>
      <c r="E336" t="s">
        <v>4557</v>
      </c>
      <c r="H336" t="s">
        <v>4558</v>
      </c>
      <c r="K336" s="31">
        <v>362400.49</v>
      </c>
      <c r="M336" s="31">
        <v>362400.49</v>
      </c>
      <c r="O336">
        <v>0</v>
      </c>
    </row>
    <row r="337" spans="3:17">
      <c r="C337">
        <v>5360</v>
      </c>
      <c r="E337" t="s">
        <v>4559</v>
      </c>
      <c r="H337" t="s">
        <v>4560</v>
      </c>
      <c r="K337" s="31">
        <v>-39227.730000000003</v>
      </c>
      <c r="M337" s="31">
        <v>-17953.88</v>
      </c>
      <c r="O337" s="31">
        <v>-21273.85</v>
      </c>
      <c r="Q337">
        <v>-118.5</v>
      </c>
    </row>
    <row r="338" spans="3:17">
      <c r="C338">
        <v>5360</v>
      </c>
      <c r="E338" t="s">
        <v>4561</v>
      </c>
      <c r="H338" t="s">
        <v>4562</v>
      </c>
      <c r="K338" s="31">
        <v>-6692452.9400000004</v>
      </c>
      <c r="M338" s="31">
        <v>-6856825.5300000003</v>
      </c>
      <c r="O338" s="31">
        <v>164372.59</v>
      </c>
      <c r="Q338">
        <v>2.4</v>
      </c>
    </row>
    <row r="339" spans="3:17">
      <c r="C339">
        <v>5360</v>
      </c>
      <c r="E339" t="s">
        <v>4563</v>
      </c>
      <c r="H339" t="s">
        <v>4564</v>
      </c>
      <c r="K339" s="31">
        <v>1471.41</v>
      </c>
      <c r="M339" s="31">
        <v>1471.41</v>
      </c>
      <c r="O339">
        <v>0</v>
      </c>
    </row>
    <row r="340" spans="3:17">
      <c r="C340">
        <v>5360</v>
      </c>
      <c r="E340" t="s">
        <v>4565</v>
      </c>
      <c r="H340" t="s">
        <v>4566</v>
      </c>
      <c r="K340" s="31">
        <v>27209.83</v>
      </c>
      <c r="M340" s="31">
        <v>27209.83</v>
      </c>
      <c r="O340">
        <v>0</v>
      </c>
    </row>
    <row r="341" spans="3:17">
      <c r="C341">
        <v>5360</v>
      </c>
      <c r="E341" t="s">
        <v>4567</v>
      </c>
      <c r="H341" t="s">
        <v>4568</v>
      </c>
      <c r="K341" s="31">
        <v>-1158171.73</v>
      </c>
      <c r="M341" s="31">
        <v>-1185734.32</v>
      </c>
      <c r="O341" s="31">
        <v>27562.59</v>
      </c>
      <c r="Q341">
        <v>2.2999999999999998</v>
      </c>
    </row>
    <row r="342" spans="3:17">
      <c r="C342">
        <v>5360</v>
      </c>
      <c r="E342" t="s">
        <v>4569</v>
      </c>
      <c r="H342" t="s">
        <v>4570</v>
      </c>
      <c r="K342" s="31">
        <v>9298.35</v>
      </c>
      <c r="M342" s="31">
        <v>9298.35</v>
      </c>
      <c r="O342">
        <v>0</v>
      </c>
    </row>
    <row r="343" spans="3:17">
      <c r="C343">
        <v>5360</v>
      </c>
      <c r="E343" t="s">
        <v>4571</v>
      </c>
      <c r="H343" t="s">
        <v>4572</v>
      </c>
      <c r="K343" s="31">
        <v>-57298.74</v>
      </c>
      <c r="M343" s="31">
        <v>-57298.74</v>
      </c>
      <c r="O343">
        <v>0</v>
      </c>
    </row>
    <row r="344" spans="3:17">
      <c r="C344">
        <v>5360</v>
      </c>
      <c r="E344" t="s">
        <v>4573</v>
      </c>
      <c r="H344" t="s">
        <v>4574</v>
      </c>
      <c r="K344">
        <v>187.65</v>
      </c>
      <c r="M344">
        <v>187.65</v>
      </c>
      <c r="O344">
        <v>0</v>
      </c>
    </row>
    <row r="345" spans="3:17">
      <c r="C345">
        <v>5360</v>
      </c>
      <c r="E345" t="s">
        <v>4575</v>
      </c>
      <c r="H345" t="s">
        <v>4576</v>
      </c>
      <c r="K345" s="31">
        <v>-7422498.8700000001</v>
      </c>
      <c r="M345" s="31">
        <v>-7706111.7300000004</v>
      </c>
      <c r="O345" s="31">
        <v>283612.86</v>
      </c>
      <c r="Q345">
        <v>3.7</v>
      </c>
    </row>
    <row r="346" spans="3:17">
      <c r="C346">
        <v>5360</v>
      </c>
      <c r="E346" t="s">
        <v>4577</v>
      </c>
      <c r="H346" t="s">
        <v>4578</v>
      </c>
      <c r="K346" s="31">
        <v>111850.83</v>
      </c>
      <c r="M346" s="31">
        <v>111850.83</v>
      </c>
      <c r="O346">
        <v>0</v>
      </c>
    </row>
    <row r="347" spans="3:17">
      <c r="C347">
        <v>5360</v>
      </c>
      <c r="E347" t="s">
        <v>4579</v>
      </c>
      <c r="H347" t="s">
        <v>4580</v>
      </c>
      <c r="K347" s="31">
        <v>-283956.51</v>
      </c>
      <c r="M347" s="31">
        <v>-283956.51</v>
      </c>
      <c r="O347">
        <v>0</v>
      </c>
    </row>
    <row r="348" spans="3:17">
      <c r="C348">
        <v>5360</v>
      </c>
      <c r="E348" t="s">
        <v>4581</v>
      </c>
      <c r="H348" t="s">
        <v>4582</v>
      </c>
      <c r="K348" s="31">
        <v>-280900.94</v>
      </c>
      <c r="M348" s="31">
        <v>-280900.94</v>
      </c>
      <c r="O348">
        <v>0</v>
      </c>
    </row>
    <row r="349" spans="3:17">
      <c r="C349">
        <v>5360</v>
      </c>
      <c r="E349" t="s">
        <v>4583</v>
      </c>
      <c r="H349" t="s">
        <v>4584</v>
      </c>
      <c r="K349" s="31">
        <v>-953663.18</v>
      </c>
      <c r="M349" s="31">
        <v>-953663.18</v>
      </c>
      <c r="O349">
        <v>0</v>
      </c>
    </row>
    <row r="350" spans="3:17">
      <c r="C350">
        <v>5360</v>
      </c>
      <c r="E350" t="s">
        <v>4585</v>
      </c>
      <c r="H350" t="s">
        <v>4586</v>
      </c>
      <c r="K350" s="31">
        <v>-1039901.58</v>
      </c>
      <c r="M350" s="31">
        <v>-1039901.58</v>
      </c>
      <c r="O350">
        <v>0</v>
      </c>
    </row>
    <row r="351" spans="3:17">
      <c r="C351">
        <v>5360</v>
      </c>
      <c r="E351" t="s">
        <v>4587</v>
      </c>
      <c r="H351" t="s">
        <v>4588</v>
      </c>
      <c r="K351" s="31">
        <v>-3714941.88</v>
      </c>
      <c r="M351" s="31">
        <v>-3714941.88</v>
      </c>
      <c r="O351">
        <v>0</v>
      </c>
    </row>
    <row r="352" spans="3:17">
      <c r="C352">
        <v>5360</v>
      </c>
      <c r="E352" t="s">
        <v>4589</v>
      </c>
      <c r="H352" t="s">
        <v>4590</v>
      </c>
      <c r="K352">
        <v>-8.3000000000000007</v>
      </c>
      <c r="M352">
        <v>-8.3000000000000007</v>
      </c>
      <c r="O352">
        <v>0</v>
      </c>
    </row>
    <row r="353" spans="3:18">
      <c r="C353">
        <v>5360</v>
      </c>
      <c r="E353" t="s">
        <v>4591</v>
      </c>
      <c r="H353" t="s">
        <v>4592</v>
      </c>
      <c r="K353">
        <v>860.38</v>
      </c>
      <c r="M353">
        <v>860.38</v>
      </c>
      <c r="O353">
        <v>0</v>
      </c>
    </row>
    <row r="354" spans="3:18">
      <c r="C354">
        <v>5360</v>
      </c>
      <c r="E354" t="s">
        <v>4593</v>
      </c>
      <c r="H354" t="s">
        <v>4594</v>
      </c>
      <c r="K354" s="31">
        <v>-6600</v>
      </c>
      <c r="M354" s="31">
        <v>-6600</v>
      </c>
      <c r="O354">
        <v>0</v>
      </c>
    </row>
    <row r="355" spans="3:18">
      <c r="C355">
        <v>5360</v>
      </c>
      <c r="E355" t="s">
        <v>4595</v>
      </c>
      <c r="H355" t="s">
        <v>4596</v>
      </c>
      <c r="K355" s="31">
        <v>-641630.56000000006</v>
      </c>
      <c r="M355" s="31">
        <v>-668796.28</v>
      </c>
      <c r="O355" s="31">
        <v>27165.72</v>
      </c>
      <c r="Q355">
        <v>4.0999999999999996</v>
      </c>
    </row>
    <row r="356" spans="3:18">
      <c r="C356">
        <v>5360</v>
      </c>
      <c r="E356" t="s">
        <v>4597</v>
      </c>
      <c r="H356" t="s">
        <v>4598</v>
      </c>
      <c r="K356" s="31">
        <v>202334.17</v>
      </c>
      <c r="M356" s="31">
        <v>395574.95</v>
      </c>
      <c r="O356" s="31">
        <v>-193240.78</v>
      </c>
      <c r="Q356">
        <v>-48.9</v>
      </c>
    </row>
    <row r="357" spans="3:18">
      <c r="C357">
        <v>5360</v>
      </c>
      <c r="E357" t="s">
        <v>4599</v>
      </c>
      <c r="H357" t="s">
        <v>4600</v>
      </c>
      <c r="K357" s="31">
        <v>-3702175.46</v>
      </c>
      <c r="M357" s="31">
        <v>-4224876.57</v>
      </c>
      <c r="O357" s="31">
        <v>522701.11</v>
      </c>
      <c r="Q357">
        <v>12.4</v>
      </c>
    </row>
    <row r="358" spans="3:18">
      <c r="C358">
        <v>5360</v>
      </c>
      <c r="E358" t="s">
        <v>4601</v>
      </c>
      <c r="H358" t="s">
        <v>4602</v>
      </c>
      <c r="K358" s="31">
        <v>-858983.36</v>
      </c>
      <c r="M358" s="31">
        <v>-1081013.3</v>
      </c>
      <c r="O358" s="31">
        <v>222029.94</v>
      </c>
      <c r="Q358">
        <v>20.5</v>
      </c>
    </row>
    <row r="359" spans="3:18">
      <c r="C359">
        <v>5360</v>
      </c>
      <c r="E359" t="s">
        <v>4603</v>
      </c>
      <c r="H359" t="s">
        <v>4604</v>
      </c>
      <c r="K359" s="31">
        <v>-9818620.2799999993</v>
      </c>
      <c r="M359" s="31">
        <v>-7004730.8300000001</v>
      </c>
      <c r="O359" s="31">
        <v>-2813889.45</v>
      </c>
      <c r="Q359">
        <v>-40.200000000000003</v>
      </c>
    </row>
    <row r="360" spans="3:18">
      <c r="C360">
        <v>5360</v>
      </c>
      <c r="E360" t="s">
        <v>4926</v>
      </c>
      <c r="H360" t="s">
        <v>4927</v>
      </c>
      <c r="K360">
        <v>-301.27999999999997</v>
      </c>
      <c r="M360">
        <v>0</v>
      </c>
      <c r="O360">
        <v>-301.27999999999997</v>
      </c>
    </row>
    <row r="361" spans="3:18">
      <c r="C361">
        <v>5360</v>
      </c>
      <c r="E361" t="s">
        <v>4928</v>
      </c>
      <c r="H361" t="s">
        <v>4929</v>
      </c>
      <c r="K361">
        <v>12.01</v>
      </c>
      <c r="M361">
        <v>11.86</v>
      </c>
      <c r="O361">
        <v>0.15</v>
      </c>
      <c r="Q361">
        <v>1.3</v>
      </c>
    </row>
    <row r="362" spans="3:18">
      <c r="C362">
        <v>5360</v>
      </c>
      <c r="E362" t="s">
        <v>4605</v>
      </c>
      <c r="H362" t="s">
        <v>4606</v>
      </c>
      <c r="K362" s="31">
        <v>-60066</v>
      </c>
      <c r="M362" s="31">
        <v>-1413.53</v>
      </c>
      <c r="O362" s="31">
        <v>-58652.47</v>
      </c>
      <c r="Q362">
        <v>-4149.3999999999996</v>
      </c>
    </row>
    <row r="363" spans="3:18">
      <c r="C363">
        <v>5360</v>
      </c>
      <c r="E363" t="s">
        <v>4607</v>
      </c>
      <c r="H363" t="s">
        <v>4608</v>
      </c>
      <c r="K363" s="31">
        <v>290520</v>
      </c>
      <c r="M363" s="31">
        <v>290520</v>
      </c>
      <c r="O363">
        <v>0</v>
      </c>
    </row>
    <row r="364" spans="3:18">
      <c r="E364" t="s">
        <v>4609</v>
      </c>
      <c r="K364" s="31">
        <v>-58595253.740000002</v>
      </c>
      <c r="M364" s="31">
        <v>-76701736.25</v>
      </c>
      <c r="O364" s="31">
        <v>18106482.510000002</v>
      </c>
      <c r="Q364">
        <v>23.6</v>
      </c>
      <c r="R364" t="s">
        <v>569</v>
      </c>
    </row>
    <row r="365" spans="3:18">
      <c r="C365">
        <v>5360</v>
      </c>
      <c r="E365" t="s">
        <v>4610</v>
      </c>
      <c r="H365" t="s">
        <v>4611</v>
      </c>
      <c r="K365" s="31">
        <v>-493138390</v>
      </c>
      <c r="M365" s="31">
        <v>-493138390</v>
      </c>
      <c r="O365">
        <v>0</v>
      </c>
    </row>
    <row r="366" spans="3:18">
      <c r="E366" t="s">
        <v>4612</v>
      </c>
      <c r="K366" s="31">
        <v>-493138390</v>
      </c>
      <c r="M366" s="31">
        <v>-493138390</v>
      </c>
      <c r="O366">
        <v>0</v>
      </c>
      <c r="R366" t="s">
        <v>569</v>
      </c>
    </row>
    <row r="367" spans="3:18">
      <c r="C367">
        <v>5360</v>
      </c>
      <c r="E367" t="s">
        <v>4613</v>
      </c>
      <c r="H367" t="s">
        <v>4614</v>
      </c>
      <c r="K367" s="31">
        <v>-9511448.6400000006</v>
      </c>
      <c r="M367" s="31">
        <v>-9080909.5700000003</v>
      </c>
      <c r="O367" s="31">
        <v>-430539.07</v>
      </c>
      <c r="Q367">
        <v>-4.7</v>
      </c>
    </row>
    <row r="368" spans="3:18">
      <c r="C368">
        <v>5360</v>
      </c>
      <c r="E368" t="s">
        <v>4615</v>
      </c>
      <c r="H368" t="s">
        <v>4616</v>
      </c>
      <c r="K368" s="31">
        <v>-751984.71</v>
      </c>
      <c r="M368" s="31">
        <v>-751981.6</v>
      </c>
      <c r="O368">
        <v>-3.11</v>
      </c>
    </row>
    <row r="369" spans="3:18">
      <c r="C369">
        <v>5360</v>
      </c>
      <c r="E369" t="s">
        <v>4619</v>
      </c>
      <c r="H369" t="s">
        <v>4620</v>
      </c>
      <c r="K369" s="31">
        <v>149513.9</v>
      </c>
      <c r="M369" s="31">
        <v>149513.9</v>
      </c>
      <c r="O369">
        <v>0</v>
      </c>
    </row>
    <row r="370" spans="3:18">
      <c r="C370">
        <v>5360</v>
      </c>
      <c r="E370" t="s">
        <v>4621</v>
      </c>
      <c r="H370" t="s">
        <v>4614</v>
      </c>
      <c r="K370" s="31">
        <v>-8152779.5599999996</v>
      </c>
      <c r="M370" s="31">
        <v>-8173628.9000000004</v>
      </c>
      <c r="O370" s="31">
        <v>20849.34</v>
      </c>
      <c r="Q370">
        <v>0.3</v>
      </c>
    </row>
    <row r="371" spans="3:18">
      <c r="C371">
        <v>5360</v>
      </c>
      <c r="E371" t="s">
        <v>4622</v>
      </c>
      <c r="H371" t="s">
        <v>4623</v>
      </c>
      <c r="K371" s="31">
        <v>-290520</v>
      </c>
      <c r="M371" s="31">
        <v>-290520</v>
      </c>
      <c r="O371">
        <v>0</v>
      </c>
    </row>
    <row r="372" spans="3:18">
      <c r="E372" t="s">
        <v>4624</v>
      </c>
      <c r="K372" s="31">
        <v>-18557219.010000002</v>
      </c>
      <c r="M372" s="31">
        <v>-18147526.170000002</v>
      </c>
      <c r="O372" s="31">
        <v>-409692.84</v>
      </c>
      <c r="Q372">
        <v>-2.2999999999999998</v>
      </c>
      <c r="R372" t="s">
        <v>658</v>
      </c>
    </row>
    <row r="373" spans="3:18">
      <c r="E373" t="s">
        <v>4625</v>
      </c>
      <c r="K373" s="31">
        <v>-18557219.010000002</v>
      </c>
      <c r="M373" s="31">
        <v>-18147526.170000002</v>
      </c>
      <c r="O373" s="31">
        <v>-409692.84</v>
      </c>
      <c r="Q373">
        <v>-2.2999999999999998</v>
      </c>
      <c r="R373" t="s">
        <v>569</v>
      </c>
    </row>
    <row r="374" spans="3:18">
      <c r="C374">
        <v>5360</v>
      </c>
      <c r="E374" t="s">
        <v>4626</v>
      </c>
      <c r="H374" t="s">
        <v>266</v>
      </c>
      <c r="K374" s="31">
        <v>-1823841.17</v>
      </c>
      <c r="M374" s="31">
        <v>-1829591.11</v>
      </c>
      <c r="O374" s="31">
        <v>5749.94</v>
      </c>
      <c r="Q374">
        <v>0.3</v>
      </c>
    </row>
    <row r="375" spans="3:18">
      <c r="E375" t="s">
        <v>266</v>
      </c>
      <c r="K375" s="31">
        <v>-1823841.17</v>
      </c>
      <c r="M375" s="31">
        <v>-1829591.11</v>
      </c>
      <c r="O375" s="31">
        <v>5749.94</v>
      </c>
      <c r="Q375">
        <v>0.3</v>
      </c>
      <c r="R375" t="s">
        <v>569</v>
      </c>
    </row>
    <row r="376" spans="3:18">
      <c r="C376">
        <v>5360</v>
      </c>
      <c r="E376" t="s">
        <v>4627</v>
      </c>
      <c r="H376" t="s">
        <v>4628</v>
      </c>
      <c r="K376" s="31">
        <v>57393736.770000003</v>
      </c>
      <c r="M376" s="31">
        <v>57393736.770000003</v>
      </c>
      <c r="O376">
        <v>0</v>
      </c>
    </row>
    <row r="377" spans="3:18">
      <c r="C377">
        <v>5360</v>
      </c>
      <c r="E377" t="s">
        <v>4629</v>
      </c>
      <c r="H377" t="s">
        <v>4630</v>
      </c>
      <c r="K377" s="31">
        <v>-9728528.4900000002</v>
      </c>
      <c r="M377" s="31">
        <v>-9678654.7400000002</v>
      </c>
      <c r="O377" s="31">
        <v>-49873.75</v>
      </c>
      <c r="Q377">
        <v>-0.5</v>
      </c>
    </row>
    <row r="378" spans="3:18">
      <c r="C378">
        <v>5360</v>
      </c>
      <c r="E378" t="s">
        <v>4631</v>
      </c>
      <c r="H378" t="s">
        <v>4632</v>
      </c>
      <c r="K378" s="31">
        <v>13275</v>
      </c>
      <c r="M378" s="31">
        <v>13275</v>
      </c>
      <c r="O378">
        <v>0</v>
      </c>
    </row>
    <row r="379" spans="3:18">
      <c r="C379">
        <v>5360</v>
      </c>
      <c r="E379" t="s">
        <v>4633</v>
      </c>
      <c r="H379" t="s">
        <v>4634</v>
      </c>
      <c r="K379" s="31">
        <v>-14540.71</v>
      </c>
      <c r="M379" s="31">
        <v>-14540.71</v>
      </c>
      <c r="O379">
        <v>0</v>
      </c>
    </row>
    <row r="380" spans="3:18">
      <c r="C380">
        <v>5360</v>
      </c>
      <c r="E380" t="s">
        <v>4635</v>
      </c>
      <c r="H380" t="s">
        <v>4636</v>
      </c>
      <c r="K380" s="31">
        <v>587654.84</v>
      </c>
      <c r="M380" s="31">
        <v>584080.03</v>
      </c>
      <c r="O380" s="31">
        <v>3574.81</v>
      </c>
      <c r="Q380">
        <v>0.6</v>
      </c>
    </row>
    <row r="381" spans="3:18">
      <c r="C381">
        <v>5360</v>
      </c>
      <c r="E381" t="s">
        <v>4637</v>
      </c>
      <c r="H381" t="s">
        <v>4638</v>
      </c>
      <c r="K381" s="31">
        <v>140061.09</v>
      </c>
      <c r="M381" s="31">
        <v>141225.59</v>
      </c>
      <c r="O381" s="31">
        <v>-1164.5</v>
      </c>
      <c r="Q381">
        <v>-0.8</v>
      </c>
    </row>
    <row r="382" spans="3:18">
      <c r="C382">
        <v>5360</v>
      </c>
      <c r="E382" t="s">
        <v>4639</v>
      </c>
      <c r="H382" t="s">
        <v>4640</v>
      </c>
      <c r="K382" s="31">
        <v>17271263</v>
      </c>
      <c r="M382" s="31">
        <v>17271263</v>
      </c>
      <c r="O382">
        <v>0</v>
      </c>
    </row>
    <row r="383" spans="3:18">
      <c r="C383">
        <v>5360</v>
      </c>
      <c r="E383" t="s">
        <v>4641</v>
      </c>
      <c r="H383" t="s">
        <v>4642</v>
      </c>
      <c r="K383" s="31">
        <v>103793283.16</v>
      </c>
      <c r="M383" s="31">
        <v>100221760.88</v>
      </c>
      <c r="O383" s="31">
        <v>3571522.28</v>
      </c>
      <c r="Q383">
        <v>3.6</v>
      </c>
    </row>
    <row r="384" spans="3:18">
      <c r="C384">
        <v>5360</v>
      </c>
      <c r="E384" t="s">
        <v>4643</v>
      </c>
      <c r="H384" t="s">
        <v>4644</v>
      </c>
      <c r="K384" s="31">
        <v>-4522773.8600000003</v>
      </c>
      <c r="M384" s="31">
        <v>-4522773.8600000003</v>
      </c>
      <c r="O384">
        <v>0</v>
      </c>
    </row>
    <row r="385" spans="3:18">
      <c r="C385">
        <v>5360</v>
      </c>
      <c r="E385" t="s">
        <v>4645</v>
      </c>
      <c r="H385" t="s">
        <v>4646</v>
      </c>
      <c r="K385" s="31">
        <v>-98616.31</v>
      </c>
      <c r="M385" s="31">
        <v>-98616.31</v>
      </c>
      <c r="O385">
        <v>0</v>
      </c>
    </row>
    <row r="386" spans="3:18">
      <c r="C386">
        <v>5360</v>
      </c>
      <c r="E386" t="s">
        <v>4647</v>
      </c>
      <c r="H386" t="s">
        <v>4648</v>
      </c>
      <c r="K386" s="31">
        <v>-546104.9</v>
      </c>
      <c r="M386" s="31">
        <v>-211684.46</v>
      </c>
      <c r="O386" s="31">
        <v>-334420.44</v>
      </c>
      <c r="Q386">
        <v>-158</v>
      </c>
    </row>
    <row r="387" spans="3:18">
      <c r="C387">
        <v>5360</v>
      </c>
      <c r="E387" t="s">
        <v>4649</v>
      </c>
      <c r="H387" t="s">
        <v>4650</v>
      </c>
      <c r="K387">
        <v>-846.4</v>
      </c>
      <c r="M387">
        <v>-846.4</v>
      </c>
      <c r="O387">
        <v>0</v>
      </c>
    </row>
    <row r="388" spans="3:18">
      <c r="E388" t="s">
        <v>4651</v>
      </c>
      <c r="K388" s="31">
        <v>164287863.19</v>
      </c>
      <c r="M388" s="31">
        <v>161098224.78999999</v>
      </c>
      <c r="O388" s="31">
        <v>3189638.4</v>
      </c>
      <c r="Q388">
        <v>2</v>
      </c>
      <c r="R388" t="s">
        <v>569</v>
      </c>
    </row>
    <row r="389" spans="3:18">
      <c r="C389">
        <v>5360</v>
      </c>
      <c r="E389" t="s">
        <v>4652</v>
      </c>
      <c r="H389" t="s">
        <v>4653</v>
      </c>
      <c r="K389" s="31">
        <v>-25162906.859999999</v>
      </c>
      <c r="M389" s="31">
        <v>-25508516.239999998</v>
      </c>
      <c r="O389" s="31">
        <v>345609.38</v>
      </c>
      <c r="Q389">
        <v>1.4</v>
      </c>
    </row>
    <row r="390" spans="3:18">
      <c r="C390">
        <v>5360</v>
      </c>
      <c r="E390" t="s">
        <v>4654</v>
      </c>
      <c r="H390" t="s">
        <v>4655</v>
      </c>
      <c r="K390">
        <v>-924.06</v>
      </c>
      <c r="M390">
        <v>-924.06</v>
      </c>
      <c r="O390">
        <v>0</v>
      </c>
    </row>
    <row r="391" spans="3:18">
      <c r="C391">
        <v>5360</v>
      </c>
      <c r="E391" t="s">
        <v>4656</v>
      </c>
      <c r="H391" t="s">
        <v>4657</v>
      </c>
      <c r="K391" s="31">
        <v>-4591.1899999999996</v>
      </c>
      <c r="M391" s="31">
        <v>-4591.1899999999996</v>
      </c>
      <c r="O391">
        <v>0</v>
      </c>
    </row>
    <row r="392" spans="3:18">
      <c r="E392" t="s">
        <v>4658</v>
      </c>
      <c r="K392" s="31">
        <v>-25168422.109999999</v>
      </c>
      <c r="M392" s="31">
        <v>-25514031.489999998</v>
      </c>
      <c r="O392" s="31">
        <v>345609.38</v>
      </c>
      <c r="Q392">
        <v>1.4</v>
      </c>
      <c r="R392" t="s">
        <v>569</v>
      </c>
    </row>
    <row r="393" spans="3:18">
      <c r="C393">
        <v>5360</v>
      </c>
      <c r="E393" t="s">
        <v>4659</v>
      </c>
      <c r="H393" t="s">
        <v>4660</v>
      </c>
      <c r="K393" s="31">
        <v>26727573.440000001</v>
      </c>
      <c r="M393" s="31">
        <v>27413568.18</v>
      </c>
      <c r="O393" s="31">
        <v>-685994.74</v>
      </c>
      <c r="Q393">
        <v>-2.5</v>
      </c>
    </row>
    <row r="394" spans="3:18">
      <c r="C394">
        <v>5360</v>
      </c>
      <c r="E394" t="s">
        <v>4661</v>
      </c>
      <c r="H394" t="s">
        <v>4662</v>
      </c>
      <c r="K394" s="31">
        <v>-4783423.76</v>
      </c>
      <c r="M394" s="31">
        <v>-4783423.76</v>
      </c>
      <c r="O394">
        <v>0</v>
      </c>
    </row>
    <row r="395" spans="3:18">
      <c r="C395">
        <v>5360</v>
      </c>
      <c r="E395" t="s">
        <v>4663</v>
      </c>
      <c r="H395" t="s">
        <v>4664</v>
      </c>
      <c r="K395" s="31">
        <v>4283.41</v>
      </c>
      <c r="M395" s="31">
        <v>-18176.169999999998</v>
      </c>
      <c r="O395" s="31">
        <v>22459.58</v>
      </c>
      <c r="Q395">
        <v>123.6</v>
      </c>
    </row>
    <row r="396" spans="3:18">
      <c r="C396">
        <v>5360</v>
      </c>
      <c r="E396" t="s">
        <v>4665</v>
      </c>
      <c r="H396" t="s">
        <v>4666</v>
      </c>
      <c r="K396" s="31">
        <v>58998020.299999997</v>
      </c>
      <c r="M396" s="31">
        <v>61055553.909999996</v>
      </c>
      <c r="O396" s="31">
        <v>-2057533.61</v>
      </c>
      <c r="Q396">
        <v>-3.4</v>
      </c>
    </row>
    <row r="397" spans="3:18">
      <c r="C397">
        <v>5360</v>
      </c>
      <c r="E397" t="s">
        <v>4667</v>
      </c>
      <c r="H397" t="s">
        <v>4668</v>
      </c>
      <c r="K397" s="31">
        <v>-289395.53000000003</v>
      </c>
      <c r="M397" s="31">
        <v>-289395.53000000003</v>
      </c>
      <c r="O397">
        <v>0</v>
      </c>
    </row>
    <row r="398" spans="3:18">
      <c r="C398">
        <v>5360</v>
      </c>
      <c r="E398" t="s">
        <v>4669</v>
      </c>
      <c r="H398" t="s">
        <v>4670</v>
      </c>
      <c r="K398">
        <v>246.89</v>
      </c>
      <c r="M398">
        <v>246.89</v>
      </c>
      <c r="O398">
        <v>0</v>
      </c>
    </row>
    <row r="399" spans="3:18">
      <c r="C399">
        <v>5360</v>
      </c>
      <c r="E399" t="s">
        <v>4671</v>
      </c>
      <c r="H399" t="s">
        <v>4672</v>
      </c>
      <c r="K399" s="31">
        <v>11368601.66</v>
      </c>
      <c r="M399" s="31">
        <v>11899805.640000001</v>
      </c>
      <c r="O399" s="31">
        <v>-531203.98</v>
      </c>
      <c r="Q399">
        <v>-4.5</v>
      </c>
    </row>
    <row r="400" spans="3:18">
      <c r="E400" t="s">
        <v>4673</v>
      </c>
      <c r="K400" s="31">
        <v>92025906.409999996</v>
      </c>
      <c r="M400" s="31">
        <v>95278179.159999996</v>
      </c>
      <c r="O400" s="31">
        <v>-3252272.75</v>
      </c>
      <c r="Q400">
        <v>-3.4</v>
      </c>
      <c r="R400" t="s">
        <v>569</v>
      </c>
    </row>
    <row r="401" spans="3:17">
      <c r="C401">
        <v>5360</v>
      </c>
      <c r="E401" t="s">
        <v>4674</v>
      </c>
      <c r="H401" t="s">
        <v>4675</v>
      </c>
      <c r="K401" s="31">
        <v>5210584.46</v>
      </c>
      <c r="M401" s="31">
        <v>5210584.46</v>
      </c>
      <c r="O401">
        <v>0</v>
      </c>
    </row>
    <row r="402" spans="3:17">
      <c r="C402">
        <v>5360</v>
      </c>
      <c r="E402" t="s">
        <v>4676</v>
      </c>
      <c r="H402" t="s">
        <v>4677</v>
      </c>
      <c r="K402" s="31">
        <v>-50000</v>
      </c>
      <c r="M402" s="31">
        <v>1450000</v>
      </c>
      <c r="O402" s="31">
        <v>-1500000</v>
      </c>
      <c r="Q402">
        <v>-103.4</v>
      </c>
    </row>
    <row r="403" spans="3:17">
      <c r="C403">
        <v>5360</v>
      </c>
      <c r="E403" t="s">
        <v>4682</v>
      </c>
      <c r="H403" t="s">
        <v>4683</v>
      </c>
      <c r="K403">
        <v>-964</v>
      </c>
      <c r="M403">
        <v>-964</v>
      </c>
      <c r="O403">
        <v>0</v>
      </c>
    </row>
    <row r="404" spans="3:17">
      <c r="C404">
        <v>5360</v>
      </c>
      <c r="E404" t="s">
        <v>4684</v>
      </c>
      <c r="H404" t="s">
        <v>4685</v>
      </c>
      <c r="K404" s="31">
        <v>-175585</v>
      </c>
      <c r="M404" s="31">
        <v>-175585</v>
      </c>
      <c r="O404">
        <v>0</v>
      </c>
    </row>
    <row r="405" spans="3:17">
      <c r="C405">
        <v>5360</v>
      </c>
      <c r="E405" t="s">
        <v>4686</v>
      </c>
      <c r="H405" t="s">
        <v>4687</v>
      </c>
      <c r="K405" s="31">
        <v>-78792666.450000003</v>
      </c>
      <c r="M405" s="31">
        <v>-78610136.409999996</v>
      </c>
      <c r="O405" s="31">
        <v>-182530.04</v>
      </c>
      <c r="Q405">
        <v>-0.2</v>
      </c>
    </row>
    <row r="406" spans="3:17">
      <c r="C406">
        <v>5360</v>
      </c>
      <c r="E406" t="s">
        <v>4688</v>
      </c>
      <c r="H406" t="s">
        <v>4689</v>
      </c>
      <c r="K406" s="31">
        <v>-902368.14</v>
      </c>
      <c r="M406" s="31">
        <v>-1010871.97</v>
      </c>
      <c r="O406" s="31">
        <v>108503.83</v>
      </c>
      <c r="Q406">
        <v>10.7</v>
      </c>
    </row>
    <row r="407" spans="3:17">
      <c r="C407">
        <v>5360</v>
      </c>
      <c r="E407" t="s">
        <v>4690</v>
      </c>
      <c r="H407" t="s">
        <v>4691</v>
      </c>
      <c r="K407" s="31">
        <v>-2081847.45</v>
      </c>
      <c r="M407" s="31">
        <v>-1743259.38</v>
      </c>
      <c r="O407" s="31">
        <v>-338588.07</v>
      </c>
      <c r="Q407">
        <v>-19.399999999999999</v>
      </c>
    </row>
    <row r="408" spans="3:17">
      <c r="C408">
        <v>5360</v>
      </c>
      <c r="E408" t="s">
        <v>4692</v>
      </c>
      <c r="H408" t="s">
        <v>4693</v>
      </c>
      <c r="K408" s="31">
        <v>1074233.19</v>
      </c>
      <c r="M408" s="31">
        <v>1074233.19</v>
      </c>
      <c r="O408">
        <v>0</v>
      </c>
    </row>
    <row r="409" spans="3:17">
      <c r="C409">
        <v>5360</v>
      </c>
      <c r="E409" t="s">
        <v>4694</v>
      </c>
      <c r="H409" t="s">
        <v>4695</v>
      </c>
      <c r="K409" s="31">
        <v>-1434728.13</v>
      </c>
      <c r="M409" s="31">
        <v>-1434728.13</v>
      </c>
      <c r="O409">
        <v>0</v>
      </c>
    </row>
    <row r="410" spans="3:17">
      <c r="C410">
        <v>5360</v>
      </c>
      <c r="E410" t="s">
        <v>4696</v>
      </c>
      <c r="H410" t="s">
        <v>4697</v>
      </c>
      <c r="K410" s="31">
        <v>-460731.17</v>
      </c>
      <c r="M410" s="31">
        <v>-460731.17</v>
      </c>
      <c r="O410">
        <v>0</v>
      </c>
    </row>
    <row r="411" spans="3:17">
      <c r="C411">
        <v>5360</v>
      </c>
      <c r="E411" t="s">
        <v>4698</v>
      </c>
      <c r="H411" t="s">
        <v>4699</v>
      </c>
      <c r="K411" s="31">
        <v>-1461783.44</v>
      </c>
      <c r="M411" s="31">
        <v>-1597560.2</v>
      </c>
      <c r="O411" s="31">
        <v>135776.76</v>
      </c>
      <c r="Q411">
        <v>8.5</v>
      </c>
    </row>
    <row r="412" spans="3:17">
      <c r="C412">
        <v>5360</v>
      </c>
      <c r="E412" t="s">
        <v>4700</v>
      </c>
      <c r="H412" t="s">
        <v>4701</v>
      </c>
      <c r="K412" s="31">
        <v>-22998.86</v>
      </c>
      <c r="M412" s="31">
        <v>-20818.12</v>
      </c>
      <c r="O412" s="31">
        <v>-2180.7399999999998</v>
      </c>
      <c r="Q412">
        <v>-10.5</v>
      </c>
    </row>
    <row r="413" spans="3:17">
      <c r="C413">
        <v>5360</v>
      </c>
      <c r="E413" t="s">
        <v>4702</v>
      </c>
      <c r="H413" t="s">
        <v>4703</v>
      </c>
      <c r="K413" s="31">
        <v>-172000</v>
      </c>
      <c r="M413" s="31">
        <v>-172000</v>
      </c>
      <c r="O413">
        <v>0</v>
      </c>
    </row>
    <row r="414" spans="3:17">
      <c r="C414">
        <v>5360</v>
      </c>
      <c r="E414" t="s">
        <v>4704</v>
      </c>
      <c r="H414" t="s">
        <v>4705</v>
      </c>
      <c r="K414" s="31">
        <v>-401627.7</v>
      </c>
      <c r="M414" s="31">
        <v>-401627.7</v>
      </c>
      <c r="O414">
        <v>0</v>
      </c>
    </row>
    <row r="415" spans="3:17">
      <c r="C415">
        <v>5360</v>
      </c>
      <c r="E415" t="s">
        <v>4706</v>
      </c>
      <c r="H415" t="s">
        <v>4707</v>
      </c>
      <c r="K415" s="31">
        <v>-1129621.1299999999</v>
      </c>
      <c r="M415" s="31">
        <v>-1129621.1299999999</v>
      </c>
      <c r="O415">
        <v>0</v>
      </c>
    </row>
    <row r="416" spans="3:17">
      <c r="C416">
        <v>5360</v>
      </c>
      <c r="E416" t="s">
        <v>4708</v>
      </c>
      <c r="H416" t="s">
        <v>4709</v>
      </c>
      <c r="K416" s="31">
        <v>-4557753.5599999996</v>
      </c>
      <c r="M416" s="31">
        <v>-4557753.5599999996</v>
      </c>
      <c r="O416">
        <v>0</v>
      </c>
    </row>
    <row r="417" spans="3:18">
      <c r="C417">
        <v>5360</v>
      </c>
      <c r="E417" t="s">
        <v>4710</v>
      </c>
      <c r="H417" t="s">
        <v>4711</v>
      </c>
      <c r="K417" s="31">
        <v>1935869.25</v>
      </c>
      <c r="M417" s="31">
        <v>2261724.39</v>
      </c>
      <c r="O417" s="31">
        <v>-325855.14</v>
      </c>
      <c r="Q417">
        <v>-14.4</v>
      </c>
    </row>
    <row r="418" spans="3:18">
      <c r="C418">
        <v>5360</v>
      </c>
      <c r="E418" t="s">
        <v>4712</v>
      </c>
      <c r="H418" t="s">
        <v>4713</v>
      </c>
      <c r="K418">
        <v>31.56</v>
      </c>
      <c r="M418">
        <v>31.56</v>
      </c>
      <c r="O418">
        <v>0</v>
      </c>
    </row>
    <row r="419" spans="3:18">
      <c r="C419">
        <v>5360</v>
      </c>
      <c r="E419" t="s">
        <v>4714</v>
      </c>
      <c r="H419" t="s">
        <v>4715</v>
      </c>
      <c r="K419" s="31">
        <v>172000</v>
      </c>
      <c r="M419" s="31">
        <v>172000</v>
      </c>
      <c r="O419">
        <v>0</v>
      </c>
    </row>
    <row r="420" spans="3:18">
      <c r="E420" t="s">
        <v>4716</v>
      </c>
      <c r="K420" s="31">
        <v>-83251956.569999993</v>
      </c>
      <c r="M420" s="31">
        <v>-81147083.170000002</v>
      </c>
      <c r="O420" s="31">
        <v>-2104873.4</v>
      </c>
      <c r="Q420">
        <v>-2.6</v>
      </c>
      <c r="R420" t="s">
        <v>569</v>
      </c>
    </row>
    <row r="421" spans="3:18">
      <c r="C421">
        <v>5360</v>
      </c>
      <c r="E421" t="s">
        <v>4717</v>
      </c>
      <c r="H421" t="s">
        <v>4718</v>
      </c>
      <c r="K421" s="31">
        <v>-2650007.9700000002</v>
      </c>
      <c r="M421" s="31">
        <v>-2650007.9700000002</v>
      </c>
      <c r="O421">
        <v>0</v>
      </c>
    </row>
    <row r="422" spans="3:18">
      <c r="C422">
        <v>5360</v>
      </c>
      <c r="E422" t="s">
        <v>4719</v>
      </c>
      <c r="H422" t="s">
        <v>4720</v>
      </c>
      <c r="K422" s="31">
        <v>-218030.54</v>
      </c>
      <c r="M422" s="31">
        <v>-255478.16</v>
      </c>
      <c r="O422" s="31">
        <v>37447.620000000003</v>
      </c>
      <c r="Q422">
        <v>14.7</v>
      </c>
    </row>
    <row r="423" spans="3:18">
      <c r="C423">
        <v>5360</v>
      </c>
      <c r="E423" t="s">
        <v>4721</v>
      </c>
      <c r="H423" t="s">
        <v>4722</v>
      </c>
      <c r="K423" s="31">
        <v>1631548.54</v>
      </c>
      <c r="M423" s="31">
        <v>2358386.77</v>
      </c>
      <c r="O423" s="31">
        <v>-726838.23</v>
      </c>
      <c r="Q423">
        <v>-30.8</v>
      </c>
    </row>
    <row r="424" spans="3:18">
      <c r="C424">
        <v>5360</v>
      </c>
      <c r="E424" t="s">
        <v>4723</v>
      </c>
      <c r="H424" t="s">
        <v>4724</v>
      </c>
      <c r="K424" s="31">
        <v>-92870.11</v>
      </c>
      <c r="M424" s="31">
        <v>-135629.14000000001</v>
      </c>
      <c r="O424" s="31">
        <v>42759.03</v>
      </c>
      <c r="Q424">
        <v>31.5</v>
      </c>
    </row>
    <row r="425" spans="3:18">
      <c r="C425">
        <v>5360</v>
      </c>
      <c r="E425" t="s">
        <v>4725</v>
      </c>
      <c r="H425" t="s">
        <v>4726</v>
      </c>
      <c r="K425" s="31">
        <v>-1018178.87</v>
      </c>
      <c r="M425" s="31">
        <v>-1495115.79</v>
      </c>
      <c r="O425" s="31">
        <v>476936.92</v>
      </c>
      <c r="Q425">
        <v>31.9</v>
      </c>
    </row>
    <row r="426" spans="3:18">
      <c r="E426" t="s">
        <v>4727</v>
      </c>
      <c r="K426" s="31">
        <v>-2347538.9500000002</v>
      </c>
      <c r="M426" s="31">
        <v>-2177844.29</v>
      </c>
      <c r="O426" s="31">
        <v>-169694.66</v>
      </c>
      <c r="Q426">
        <v>-7.8</v>
      </c>
      <c r="R426" t="s">
        <v>569</v>
      </c>
    </row>
    <row r="427" spans="3:18">
      <c r="E427" t="s">
        <v>4728</v>
      </c>
      <c r="K427" s="31">
        <v>-427943851.94999999</v>
      </c>
      <c r="M427" s="31">
        <v>-443654798.52999997</v>
      </c>
      <c r="O427" s="31">
        <v>15710946.58</v>
      </c>
      <c r="Q427">
        <v>3.5</v>
      </c>
      <c r="R427" t="s">
        <v>611</v>
      </c>
    </row>
    <row r="429" spans="3:18">
      <c r="C429">
        <v>5360</v>
      </c>
      <c r="E429" t="s">
        <v>4729</v>
      </c>
      <c r="H429" t="s">
        <v>4730</v>
      </c>
      <c r="K429" s="31">
        <v>-58665276.450000003</v>
      </c>
      <c r="M429" s="31">
        <v>-58665276.450000003</v>
      </c>
      <c r="O429">
        <v>0</v>
      </c>
    </row>
    <row r="430" spans="3:18">
      <c r="C430">
        <v>5360</v>
      </c>
      <c r="E430" t="s">
        <v>4731</v>
      </c>
      <c r="H430" t="s">
        <v>4732</v>
      </c>
      <c r="K430" s="31">
        <v>-45390147.770000003</v>
      </c>
      <c r="M430" s="31">
        <v>-46434541.600000001</v>
      </c>
      <c r="O430" s="31">
        <v>1044393.83</v>
      </c>
      <c r="Q430">
        <v>2.2000000000000002</v>
      </c>
    </row>
    <row r="431" spans="3:18">
      <c r="C431">
        <v>5360</v>
      </c>
      <c r="E431" t="s">
        <v>4733</v>
      </c>
      <c r="H431" t="s">
        <v>4734</v>
      </c>
      <c r="K431" s="31">
        <v>361689.78</v>
      </c>
      <c r="M431" s="31">
        <v>361689.78</v>
      </c>
      <c r="O431">
        <v>0</v>
      </c>
    </row>
    <row r="432" spans="3:18">
      <c r="E432" t="s">
        <v>4735</v>
      </c>
      <c r="K432" s="31">
        <v>-103693734.44</v>
      </c>
      <c r="M432" s="31">
        <v>-104738128.27</v>
      </c>
      <c r="O432" s="31">
        <v>1044393.83</v>
      </c>
      <c r="Q432">
        <v>1</v>
      </c>
      <c r="R432" t="s">
        <v>650</v>
      </c>
    </row>
    <row r="433" spans="3:18">
      <c r="E433" t="s">
        <v>4736</v>
      </c>
      <c r="K433" s="31">
        <v>-103693734.44</v>
      </c>
      <c r="M433" s="31">
        <v>-104738128.27</v>
      </c>
      <c r="O433" s="31">
        <v>1044393.83</v>
      </c>
      <c r="Q433">
        <v>1</v>
      </c>
      <c r="R433" t="s">
        <v>658</v>
      </c>
    </row>
    <row r="434" spans="3:18">
      <c r="C434">
        <v>5360</v>
      </c>
      <c r="E434" t="s">
        <v>4737</v>
      </c>
      <c r="H434" t="s">
        <v>4738</v>
      </c>
      <c r="K434" s="31">
        <v>-4304106.45</v>
      </c>
      <c r="M434" s="31">
        <v>-4304106.45</v>
      </c>
      <c r="O434">
        <v>0</v>
      </c>
    </row>
    <row r="435" spans="3:18">
      <c r="C435">
        <v>5360</v>
      </c>
      <c r="E435" t="s">
        <v>4739</v>
      </c>
      <c r="H435" t="s">
        <v>4740</v>
      </c>
      <c r="K435" s="31">
        <v>-1378929.55</v>
      </c>
      <c r="M435" s="31">
        <v>-1656553.23</v>
      </c>
      <c r="O435" s="31">
        <v>277623.67999999999</v>
      </c>
      <c r="Q435">
        <v>16.8</v>
      </c>
    </row>
    <row r="436" spans="3:18">
      <c r="C436">
        <v>5360</v>
      </c>
      <c r="E436" t="s">
        <v>4741</v>
      </c>
      <c r="H436" t="s">
        <v>4742</v>
      </c>
      <c r="K436" s="31">
        <v>1229000</v>
      </c>
      <c r="M436" s="31">
        <v>1229000</v>
      </c>
      <c r="O436">
        <v>0</v>
      </c>
    </row>
    <row r="437" spans="3:18">
      <c r="C437">
        <v>5360</v>
      </c>
      <c r="E437" t="s">
        <v>4743</v>
      </c>
      <c r="H437" t="s">
        <v>4744</v>
      </c>
      <c r="K437" s="31">
        <v>-1229000</v>
      </c>
      <c r="M437" s="31">
        <v>-1229000</v>
      </c>
      <c r="O437">
        <v>0</v>
      </c>
    </row>
    <row r="438" spans="3:18">
      <c r="C438">
        <v>5360</v>
      </c>
      <c r="E438" t="s">
        <v>4745</v>
      </c>
      <c r="H438" t="s">
        <v>4746</v>
      </c>
      <c r="K438" s="31">
        <v>-10140542.08</v>
      </c>
      <c r="M438" s="31">
        <v>-10140542.08</v>
      </c>
      <c r="O438">
        <v>0</v>
      </c>
    </row>
    <row r="439" spans="3:18">
      <c r="C439">
        <v>5360</v>
      </c>
      <c r="E439" t="s">
        <v>4747</v>
      </c>
      <c r="H439" t="s">
        <v>4748</v>
      </c>
      <c r="K439" s="31">
        <v>-59131.15</v>
      </c>
      <c r="M439" s="31">
        <v>-59131.15</v>
      </c>
      <c r="O439">
        <v>0</v>
      </c>
    </row>
    <row r="440" spans="3:18">
      <c r="C440">
        <v>5360</v>
      </c>
      <c r="E440" t="s">
        <v>4749</v>
      </c>
      <c r="H440" t="s">
        <v>4750</v>
      </c>
      <c r="K440" s="31">
        <v>-122338.21</v>
      </c>
      <c r="M440" s="31">
        <v>-122338.21</v>
      </c>
      <c r="O440">
        <v>0</v>
      </c>
    </row>
    <row r="441" spans="3:18">
      <c r="C441">
        <v>5360</v>
      </c>
      <c r="E441" t="s">
        <v>4751</v>
      </c>
      <c r="H441" t="s">
        <v>4752</v>
      </c>
      <c r="K441" s="31">
        <v>-91841.96</v>
      </c>
      <c r="M441" s="31">
        <v>-91841.96</v>
      </c>
      <c r="O441">
        <v>0</v>
      </c>
    </row>
    <row r="442" spans="3:18">
      <c r="C442">
        <v>5360</v>
      </c>
      <c r="E442" t="s">
        <v>4753</v>
      </c>
      <c r="H442" t="s">
        <v>4754</v>
      </c>
      <c r="K442" s="31">
        <v>988134.15</v>
      </c>
      <c r="M442" s="31">
        <v>988134.15</v>
      </c>
      <c r="O442">
        <v>0</v>
      </c>
    </row>
    <row r="443" spans="3:18">
      <c r="C443">
        <v>5360</v>
      </c>
      <c r="E443" t="s">
        <v>4755</v>
      </c>
      <c r="H443" t="s">
        <v>4756</v>
      </c>
      <c r="K443" s="31">
        <v>1173314.77</v>
      </c>
      <c r="M443" s="31">
        <v>1173314.77</v>
      </c>
      <c r="O443">
        <v>0</v>
      </c>
    </row>
    <row r="444" spans="3:18">
      <c r="C444">
        <v>5360</v>
      </c>
      <c r="E444" t="s">
        <v>4757</v>
      </c>
      <c r="H444" t="s">
        <v>4758</v>
      </c>
      <c r="K444" s="31">
        <v>2733749.4</v>
      </c>
      <c r="M444" s="31">
        <v>2733749.4</v>
      </c>
      <c r="O444">
        <v>0</v>
      </c>
    </row>
    <row r="445" spans="3:18">
      <c r="C445">
        <v>5360</v>
      </c>
      <c r="E445" t="s">
        <v>4759</v>
      </c>
      <c r="H445" t="s">
        <v>4760</v>
      </c>
      <c r="K445" s="31">
        <v>477227.75</v>
      </c>
      <c r="M445" s="31">
        <v>477227.75</v>
      </c>
      <c r="O445">
        <v>0</v>
      </c>
    </row>
    <row r="446" spans="3:18">
      <c r="C446">
        <v>5360</v>
      </c>
      <c r="E446" t="s">
        <v>4761</v>
      </c>
      <c r="H446" t="s">
        <v>4762</v>
      </c>
      <c r="K446" s="31">
        <v>-3059964.65</v>
      </c>
      <c r="M446" s="31">
        <v>-3059964.65</v>
      </c>
      <c r="O446">
        <v>0</v>
      </c>
    </row>
    <row r="447" spans="3:18">
      <c r="C447">
        <v>5360</v>
      </c>
      <c r="E447" t="s">
        <v>4763</v>
      </c>
      <c r="H447" t="s">
        <v>4764</v>
      </c>
      <c r="K447" s="31">
        <v>-8835069.6699999999</v>
      </c>
      <c r="M447" s="31">
        <v>-8835069.6699999999</v>
      </c>
      <c r="O447">
        <v>0</v>
      </c>
    </row>
    <row r="448" spans="3:18">
      <c r="C448">
        <v>5360</v>
      </c>
      <c r="E448" t="s">
        <v>4765</v>
      </c>
      <c r="H448" t="s">
        <v>4766</v>
      </c>
      <c r="K448" s="31">
        <v>3749167</v>
      </c>
      <c r="M448" s="31">
        <v>3749167</v>
      </c>
      <c r="O448">
        <v>0</v>
      </c>
    </row>
    <row r="449" spans="3:18">
      <c r="C449">
        <v>5360</v>
      </c>
      <c r="E449" t="s">
        <v>4767</v>
      </c>
      <c r="H449" t="s">
        <v>4768</v>
      </c>
      <c r="K449" s="31">
        <v>-34242752.409999996</v>
      </c>
      <c r="M449" s="31">
        <v>-34242752.409999996</v>
      </c>
      <c r="O449">
        <v>0</v>
      </c>
    </row>
    <row r="450" spans="3:18">
      <c r="C450">
        <v>5360</v>
      </c>
      <c r="E450" t="s">
        <v>4769</v>
      </c>
      <c r="H450" t="s">
        <v>4770</v>
      </c>
      <c r="K450" s="31">
        <v>-381618.17</v>
      </c>
      <c r="M450" s="31">
        <v>-381618.17</v>
      </c>
      <c r="O450">
        <v>0</v>
      </c>
    </row>
    <row r="451" spans="3:18">
      <c r="C451">
        <v>5360</v>
      </c>
      <c r="E451" t="s">
        <v>4771</v>
      </c>
      <c r="H451" t="s">
        <v>4772</v>
      </c>
      <c r="K451">
        <v>0.32</v>
      </c>
      <c r="M451">
        <v>0.32</v>
      </c>
      <c r="O451">
        <v>0</v>
      </c>
    </row>
    <row r="452" spans="3:18">
      <c r="E452" t="s">
        <v>4773</v>
      </c>
      <c r="K452" s="31">
        <v>-53494700.909999996</v>
      </c>
      <c r="M452" s="31">
        <v>-53772324.590000004</v>
      </c>
      <c r="O452" s="31">
        <v>277623.67999999999</v>
      </c>
      <c r="Q452">
        <v>0.5</v>
      </c>
      <c r="R452" t="s">
        <v>650</v>
      </c>
    </row>
    <row r="453" spans="3:18">
      <c r="E453" t="s">
        <v>4774</v>
      </c>
      <c r="K453" s="31">
        <v>-53494700.909999996</v>
      </c>
      <c r="M453" s="31">
        <v>-53772324.590000004</v>
      </c>
      <c r="O453" s="31">
        <v>277623.67999999999</v>
      </c>
      <c r="Q453">
        <v>0.5</v>
      </c>
      <c r="R453" t="s">
        <v>658</v>
      </c>
    </row>
    <row r="454" spans="3:18">
      <c r="E454" t="s">
        <v>4775</v>
      </c>
      <c r="K454" s="31">
        <v>-157188435.34999999</v>
      </c>
      <c r="M454" s="31">
        <v>-158510452.86000001</v>
      </c>
      <c r="O454" s="31">
        <v>1322017.51</v>
      </c>
      <c r="Q454">
        <v>0.8</v>
      </c>
      <c r="R454" t="s">
        <v>569</v>
      </c>
    </row>
    <row r="455" spans="3:18">
      <c r="C455">
        <v>5360</v>
      </c>
      <c r="E455" t="s">
        <v>4776</v>
      </c>
      <c r="H455" t="s">
        <v>4777</v>
      </c>
      <c r="K455" s="31">
        <v>-3329009</v>
      </c>
      <c r="M455" s="31">
        <v>-3329009</v>
      </c>
      <c r="O455">
        <v>0</v>
      </c>
    </row>
    <row r="456" spans="3:18">
      <c r="C456">
        <v>5360</v>
      </c>
      <c r="E456" t="s">
        <v>4778</v>
      </c>
      <c r="H456" t="s">
        <v>4779</v>
      </c>
      <c r="K456" s="31">
        <v>-104077.03</v>
      </c>
      <c r="M456" s="31">
        <v>-104077.03</v>
      </c>
      <c r="O456">
        <v>0</v>
      </c>
    </row>
    <row r="457" spans="3:18">
      <c r="C457">
        <v>5360</v>
      </c>
      <c r="E457" t="s">
        <v>4780</v>
      </c>
      <c r="H457" t="s">
        <v>4781</v>
      </c>
      <c r="K457" s="31">
        <v>-30110.52</v>
      </c>
      <c r="M457" s="31">
        <v>-30110.52</v>
      </c>
      <c r="O457">
        <v>0</v>
      </c>
    </row>
    <row r="458" spans="3:18">
      <c r="C458">
        <v>5360</v>
      </c>
      <c r="E458" t="s">
        <v>4782</v>
      </c>
      <c r="H458" t="s">
        <v>4783</v>
      </c>
      <c r="K458" s="31">
        <v>63389.23</v>
      </c>
      <c r="M458" s="31">
        <v>85582.71</v>
      </c>
      <c r="O458" s="31">
        <v>-22193.48</v>
      </c>
      <c r="Q458">
        <v>-25.9</v>
      </c>
    </row>
    <row r="459" spans="3:18">
      <c r="C459">
        <v>5360</v>
      </c>
      <c r="E459" t="s">
        <v>4786</v>
      </c>
      <c r="H459" t="s">
        <v>4787</v>
      </c>
      <c r="K459" s="31">
        <v>-426393.09</v>
      </c>
      <c r="M459" s="31">
        <v>-426393.09</v>
      </c>
      <c r="O459">
        <v>0</v>
      </c>
    </row>
    <row r="460" spans="3:18">
      <c r="C460">
        <v>5360</v>
      </c>
      <c r="E460" t="s">
        <v>4788</v>
      </c>
      <c r="H460" t="s">
        <v>4789</v>
      </c>
      <c r="K460" s="31">
        <v>384040.58</v>
      </c>
      <c r="M460" s="31">
        <v>624990.64</v>
      </c>
      <c r="O460" s="31">
        <v>-240950.06</v>
      </c>
      <c r="Q460">
        <v>-38.6</v>
      </c>
    </row>
    <row r="461" spans="3:18">
      <c r="C461">
        <v>5360</v>
      </c>
      <c r="E461" t="s">
        <v>4790</v>
      </c>
      <c r="H461" t="s">
        <v>4791</v>
      </c>
      <c r="K461" s="31">
        <v>-340172.03</v>
      </c>
      <c r="M461" s="31">
        <v>-624971.13</v>
      </c>
      <c r="O461" s="31">
        <v>284799.09999999998</v>
      </c>
      <c r="Q461">
        <v>45.6</v>
      </c>
    </row>
    <row r="462" spans="3:18">
      <c r="C462">
        <v>5360</v>
      </c>
      <c r="E462" t="s">
        <v>4792</v>
      </c>
      <c r="H462" t="s">
        <v>4793</v>
      </c>
      <c r="K462" s="31">
        <v>6610.77</v>
      </c>
      <c r="M462" s="31">
        <v>-55590.71</v>
      </c>
      <c r="O462" s="31">
        <v>62201.48</v>
      </c>
      <c r="Q462">
        <v>111.9</v>
      </c>
    </row>
    <row r="463" spans="3:18">
      <c r="C463">
        <v>5360</v>
      </c>
      <c r="E463" t="s">
        <v>4794</v>
      </c>
      <c r="H463" t="s">
        <v>4795</v>
      </c>
      <c r="K463" s="31">
        <v>-1038845.49</v>
      </c>
      <c r="M463" s="31">
        <v>-1038845.49</v>
      </c>
      <c r="O463">
        <v>0</v>
      </c>
    </row>
    <row r="464" spans="3:18">
      <c r="C464">
        <v>5360</v>
      </c>
      <c r="E464" t="s">
        <v>4798</v>
      </c>
      <c r="H464" t="s">
        <v>4799</v>
      </c>
      <c r="K464" s="31">
        <v>1159731.6499999999</v>
      </c>
      <c r="M464" s="31">
        <v>1159731.6499999999</v>
      </c>
      <c r="O464">
        <v>0</v>
      </c>
    </row>
    <row r="465" spans="3:18">
      <c r="C465">
        <v>5360</v>
      </c>
      <c r="E465" t="s">
        <v>5979</v>
      </c>
      <c r="H465" t="s">
        <v>5980</v>
      </c>
      <c r="K465" s="31">
        <v>-30110.52</v>
      </c>
      <c r="M465" s="31">
        <v>-30110.52</v>
      </c>
      <c r="O465">
        <v>0</v>
      </c>
    </row>
    <row r="466" spans="3:18">
      <c r="C466">
        <v>5360</v>
      </c>
      <c r="E466" t="s">
        <v>4802</v>
      </c>
      <c r="H466" t="s">
        <v>4803</v>
      </c>
      <c r="K466" s="31">
        <v>-36510.32</v>
      </c>
      <c r="M466" s="31">
        <v>-54173.88</v>
      </c>
      <c r="O466" s="31">
        <v>17663.560000000001</v>
      </c>
      <c r="Q466">
        <v>32.6</v>
      </c>
    </row>
    <row r="467" spans="3:18">
      <c r="C467">
        <v>5360</v>
      </c>
      <c r="E467" t="s">
        <v>4804</v>
      </c>
      <c r="H467" t="s">
        <v>4805</v>
      </c>
      <c r="K467" s="31">
        <v>-8582363.0899999999</v>
      </c>
      <c r="M467" s="31">
        <v>-8582363.0899999999</v>
      </c>
      <c r="O467">
        <v>0</v>
      </c>
    </row>
    <row r="468" spans="3:18">
      <c r="C468">
        <v>5360</v>
      </c>
      <c r="E468" t="s">
        <v>4806</v>
      </c>
      <c r="H468" t="s">
        <v>4807</v>
      </c>
      <c r="K468" s="31">
        <v>33940.080000000002</v>
      </c>
      <c r="M468" s="31">
        <v>118409.69</v>
      </c>
      <c r="O468" s="31">
        <v>-84469.61</v>
      </c>
      <c r="Q468">
        <v>-71.3</v>
      </c>
    </row>
    <row r="469" spans="3:18">
      <c r="C469">
        <v>5360</v>
      </c>
      <c r="E469" t="s">
        <v>4808</v>
      </c>
      <c r="H469" t="s">
        <v>4809</v>
      </c>
      <c r="K469" s="31">
        <v>-141769.45000000001</v>
      </c>
      <c r="M469" s="31">
        <v>-134485.53</v>
      </c>
      <c r="O469" s="31">
        <v>-7283.92</v>
      </c>
      <c r="Q469">
        <v>-5.4</v>
      </c>
    </row>
    <row r="470" spans="3:18">
      <c r="C470">
        <v>5360</v>
      </c>
      <c r="E470" t="s">
        <v>4810</v>
      </c>
      <c r="H470" t="s">
        <v>4811</v>
      </c>
      <c r="K470" s="31">
        <v>-322275.74</v>
      </c>
      <c r="M470" s="31">
        <v>-15713.09</v>
      </c>
      <c r="O470" s="31">
        <v>-306562.65000000002</v>
      </c>
      <c r="Q470">
        <v>-1951</v>
      </c>
    </row>
    <row r="471" spans="3:18">
      <c r="C471">
        <v>5360</v>
      </c>
      <c r="E471" t="s">
        <v>4812</v>
      </c>
      <c r="H471" t="s">
        <v>4813</v>
      </c>
      <c r="K471" s="31">
        <v>-4283622.59</v>
      </c>
      <c r="M471" s="31">
        <v>-4283622.59</v>
      </c>
      <c r="O471">
        <v>0</v>
      </c>
    </row>
    <row r="472" spans="3:18">
      <c r="C472">
        <v>5360</v>
      </c>
      <c r="E472" t="s">
        <v>4814</v>
      </c>
      <c r="H472" t="s">
        <v>4815</v>
      </c>
      <c r="K472" s="31">
        <v>-788639.3</v>
      </c>
      <c r="M472" s="31">
        <v>-981481.46</v>
      </c>
      <c r="O472" s="31">
        <v>192842.16</v>
      </c>
      <c r="Q472">
        <v>19.600000000000001</v>
      </c>
    </row>
    <row r="473" spans="3:18">
      <c r="C473">
        <v>5360</v>
      </c>
      <c r="E473" t="s">
        <v>4816</v>
      </c>
      <c r="H473" t="s">
        <v>4817</v>
      </c>
      <c r="K473" s="31">
        <v>7952.57</v>
      </c>
      <c r="M473" s="31">
        <v>11937.67</v>
      </c>
      <c r="O473" s="31">
        <v>-3985.1</v>
      </c>
      <c r="Q473">
        <v>-33.4</v>
      </c>
    </row>
    <row r="474" spans="3:18">
      <c r="C474">
        <v>5360</v>
      </c>
      <c r="E474" t="s">
        <v>4818</v>
      </c>
      <c r="H474" t="s">
        <v>4819</v>
      </c>
      <c r="K474" s="31">
        <v>1018178.87</v>
      </c>
      <c r="M474" s="31">
        <v>1495115.79</v>
      </c>
      <c r="O474" s="31">
        <v>-476936.92</v>
      </c>
      <c r="Q474">
        <v>-31.9</v>
      </c>
    </row>
    <row r="475" spans="3:18">
      <c r="C475">
        <v>5360</v>
      </c>
      <c r="E475" t="s">
        <v>4820</v>
      </c>
      <c r="H475" t="s">
        <v>4821</v>
      </c>
      <c r="K475" s="31">
        <v>-803298.01</v>
      </c>
      <c r="M475" s="31">
        <v>-374213.23</v>
      </c>
      <c r="O475" s="31">
        <v>-429084.78</v>
      </c>
      <c r="Q475">
        <v>-114.7</v>
      </c>
    </row>
    <row r="476" spans="3:18">
      <c r="C476">
        <v>5360</v>
      </c>
      <c r="E476" t="s">
        <v>4822</v>
      </c>
      <c r="H476" t="s">
        <v>4823</v>
      </c>
      <c r="K476" s="31">
        <v>-33335340.75</v>
      </c>
      <c r="M476" s="31">
        <v>-33335340.75</v>
      </c>
      <c r="O476">
        <v>0</v>
      </c>
    </row>
    <row r="477" spans="3:18">
      <c r="C477">
        <v>5360</v>
      </c>
      <c r="E477" t="s">
        <v>4824</v>
      </c>
      <c r="H477" t="s">
        <v>4811</v>
      </c>
      <c r="K477" s="31">
        <v>-4299297.58</v>
      </c>
      <c r="M477" s="31">
        <v>-4610561.2699999996</v>
      </c>
      <c r="O477" s="31">
        <v>311263.69</v>
      </c>
      <c r="Q477">
        <v>6.8</v>
      </c>
    </row>
    <row r="478" spans="3:18">
      <c r="C478">
        <v>5360</v>
      </c>
      <c r="E478" t="s">
        <v>4825</v>
      </c>
      <c r="H478" t="s">
        <v>4826</v>
      </c>
      <c r="K478" s="31">
        <v>-5581264.1100000003</v>
      </c>
      <c r="M478" s="31">
        <v>-4880013.49</v>
      </c>
      <c r="O478" s="31">
        <v>-701250.62</v>
      </c>
      <c r="Q478">
        <v>-14.4</v>
      </c>
    </row>
    <row r="479" spans="3:18">
      <c r="E479" t="s">
        <v>4827</v>
      </c>
      <c r="K479" s="31">
        <v>-60799254.869999997</v>
      </c>
      <c r="M479" s="31">
        <v>-59395307.719999999</v>
      </c>
      <c r="O479" s="31">
        <v>-1403947.15</v>
      </c>
      <c r="Q479">
        <v>-2.4</v>
      </c>
      <c r="R479" t="s">
        <v>569</v>
      </c>
    </row>
    <row r="480" spans="3:18">
      <c r="C480">
        <v>5360</v>
      </c>
      <c r="E480" t="s">
        <v>4828</v>
      </c>
      <c r="H480" t="s">
        <v>4829</v>
      </c>
      <c r="K480">
        <v>-38</v>
      </c>
      <c r="M480">
        <v>-38</v>
      </c>
      <c r="O480">
        <v>0</v>
      </c>
    </row>
    <row r="481" spans="3:18">
      <c r="E481" t="s">
        <v>4830</v>
      </c>
      <c r="K481">
        <v>-38</v>
      </c>
      <c r="M481">
        <v>-38</v>
      </c>
      <c r="O481">
        <v>0</v>
      </c>
      <c r="R481" t="s">
        <v>569</v>
      </c>
    </row>
    <row r="482" spans="3:18">
      <c r="C482">
        <v>5360</v>
      </c>
      <c r="E482" t="s">
        <v>4831</v>
      </c>
      <c r="H482" t="s">
        <v>4832</v>
      </c>
      <c r="K482" s="31">
        <v>-1455300.13</v>
      </c>
      <c r="M482">
        <v>-0.13</v>
      </c>
      <c r="O482" s="31">
        <v>-1455300</v>
      </c>
      <c r="Q482" t="s">
        <v>6030</v>
      </c>
    </row>
    <row r="483" spans="3:18">
      <c r="C483">
        <v>5360</v>
      </c>
      <c r="E483" t="s">
        <v>4833</v>
      </c>
      <c r="H483" t="s">
        <v>4834</v>
      </c>
      <c r="K483" s="31">
        <v>-2541746.9900000002</v>
      </c>
      <c r="M483" s="31">
        <v>-2541746.9900000002</v>
      </c>
      <c r="O483">
        <v>0</v>
      </c>
    </row>
    <row r="484" spans="3:18">
      <c r="C484">
        <v>5360</v>
      </c>
      <c r="E484" t="s">
        <v>4835</v>
      </c>
      <c r="H484" t="s">
        <v>4836</v>
      </c>
      <c r="K484" s="31">
        <v>16227.16</v>
      </c>
      <c r="M484" s="31">
        <v>16227.16</v>
      </c>
      <c r="O484">
        <v>0</v>
      </c>
    </row>
    <row r="485" spans="3:18">
      <c r="C485">
        <v>5360</v>
      </c>
      <c r="E485" t="s">
        <v>4942</v>
      </c>
      <c r="H485" t="s">
        <v>4943</v>
      </c>
      <c r="K485" s="31">
        <v>8273.52</v>
      </c>
      <c r="M485" s="31">
        <v>8273.52</v>
      </c>
      <c r="O485">
        <v>0</v>
      </c>
    </row>
    <row r="486" spans="3:18">
      <c r="C486">
        <v>5360</v>
      </c>
      <c r="E486" t="s">
        <v>4837</v>
      </c>
      <c r="H486" t="s">
        <v>4838</v>
      </c>
      <c r="K486" s="31">
        <v>-63692.03</v>
      </c>
      <c r="M486" s="31">
        <v>-65251.3</v>
      </c>
      <c r="O486" s="31">
        <v>1559.27</v>
      </c>
      <c r="Q486">
        <v>2.4</v>
      </c>
    </row>
    <row r="487" spans="3:18">
      <c r="C487">
        <v>5360</v>
      </c>
      <c r="E487" t="s">
        <v>5981</v>
      </c>
      <c r="H487" t="s">
        <v>5982</v>
      </c>
      <c r="K487" s="31">
        <v>1366500</v>
      </c>
      <c r="M487" s="31">
        <v>2049750</v>
      </c>
      <c r="O487" s="31">
        <v>-683250</v>
      </c>
      <c r="Q487">
        <v>-33.299999999999997</v>
      </c>
    </row>
    <row r="488" spans="3:18">
      <c r="C488">
        <v>5360</v>
      </c>
      <c r="E488" t="s">
        <v>4839</v>
      </c>
      <c r="H488" t="s">
        <v>4840</v>
      </c>
      <c r="K488" s="31">
        <v>119007.32</v>
      </c>
      <c r="M488" s="31">
        <v>157090.79999999999</v>
      </c>
      <c r="O488" s="31">
        <v>-38083.480000000003</v>
      </c>
      <c r="Q488">
        <v>-24.2</v>
      </c>
    </row>
    <row r="489" spans="3:18">
      <c r="C489">
        <v>5360</v>
      </c>
      <c r="E489" t="s">
        <v>4841</v>
      </c>
      <c r="H489" t="s">
        <v>4842</v>
      </c>
      <c r="K489" s="31">
        <v>-5075041.41</v>
      </c>
      <c r="M489" s="31">
        <v>-5075041.41</v>
      </c>
      <c r="O489">
        <v>0</v>
      </c>
    </row>
    <row r="490" spans="3:18">
      <c r="C490">
        <v>5360</v>
      </c>
      <c r="E490" t="s">
        <v>4843</v>
      </c>
      <c r="H490" t="s">
        <v>4844</v>
      </c>
      <c r="K490" s="31">
        <v>9524846.8800000008</v>
      </c>
      <c r="M490" s="31">
        <v>9524846.8800000008</v>
      </c>
      <c r="O490">
        <v>0</v>
      </c>
    </row>
    <row r="491" spans="3:18">
      <c r="C491">
        <v>5360</v>
      </c>
      <c r="E491" t="s">
        <v>4845</v>
      </c>
      <c r="H491" t="s">
        <v>4846</v>
      </c>
      <c r="K491" s="31">
        <v>1272875.25</v>
      </c>
      <c r="M491" s="31">
        <v>1272875.25</v>
      </c>
      <c r="O491">
        <v>0</v>
      </c>
    </row>
    <row r="492" spans="3:18">
      <c r="C492">
        <v>5360</v>
      </c>
      <c r="E492" t="s">
        <v>4847</v>
      </c>
      <c r="H492" t="s">
        <v>4848</v>
      </c>
      <c r="K492">
        <v>73.8</v>
      </c>
      <c r="M492">
        <v>98.4</v>
      </c>
      <c r="O492">
        <v>-24.6</v>
      </c>
      <c r="Q492">
        <v>-25</v>
      </c>
    </row>
    <row r="493" spans="3:18">
      <c r="C493">
        <v>5360</v>
      </c>
      <c r="E493" t="s">
        <v>4849</v>
      </c>
      <c r="H493" t="s">
        <v>4850</v>
      </c>
      <c r="K493" s="31">
        <v>-1077825</v>
      </c>
      <c r="M493" s="31">
        <v>-1077825</v>
      </c>
      <c r="O493">
        <v>0</v>
      </c>
    </row>
    <row r="494" spans="3:18">
      <c r="C494">
        <v>5360</v>
      </c>
      <c r="E494" t="s">
        <v>4851</v>
      </c>
      <c r="H494" t="s">
        <v>4852</v>
      </c>
      <c r="K494" s="31">
        <v>-1935869.25</v>
      </c>
      <c r="M494" s="31">
        <v>-2261724.39</v>
      </c>
      <c r="O494" s="31">
        <v>325855.14</v>
      </c>
      <c r="Q494">
        <v>14.4</v>
      </c>
    </row>
    <row r="495" spans="3:18">
      <c r="C495">
        <v>5360</v>
      </c>
      <c r="E495" t="s">
        <v>5983</v>
      </c>
      <c r="H495" t="s">
        <v>4868</v>
      </c>
      <c r="K495" s="31">
        <v>-41774.51</v>
      </c>
      <c r="M495" s="31">
        <v>-62661.77</v>
      </c>
      <c r="O495" s="31">
        <v>20887.259999999998</v>
      </c>
      <c r="Q495">
        <v>33.299999999999997</v>
      </c>
    </row>
    <row r="496" spans="3:18">
      <c r="C496">
        <v>5360</v>
      </c>
      <c r="E496" t="s">
        <v>4853</v>
      </c>
      <c r="H496" t="s">
        <v>4854</v>
      </c>
      <c r="K496" s="31">
        <v>-107970</v>
      </c>
      <c r="M496" s="31">
        <v>-161955</v>
      </c>
      <c r="O496" s="31">
        <v>53985</v>
      </c>
      <c r="Q496">
        <v>33.299999999999997</v>
      </c>
    </row>
    <row r="497" spans="3:18">
      <c r="C497">
        <v>5360</v>
      </c>
      <c r="E497" t="s">
        <v>5984</v>
      </c>
      <c r="H497" t="s">
        <v>4870</v>
      </c>
      <c r="K497" s="31">
        <v>64297.49</v>
      </c>
      <c r="M497" s="31">
        <v>96446.24</v>
      </c>
      <c r="O497" s="31">
        <v>-32148.75</v>
      </c>
      <c r="Q497">
        <v>-33.299999999999997</v>
      </c>
    </row>
    <row r="498" spans="3:18">
      <c r="C498">
        <v>5360</v>
      </c>
      <c r="E498" t="s">
        <v>4855</v>
      </c>
      <c r="H498" t="s">
        <v>4856</v>
      </c>
      <c r="K498" s="31">
        <v>-397230.2</v>
      </c>
      <c r="M498" s="31">
        <v>-397230.2</v>
      </c>
      <c r="O498">
        <v>0</v>
      </c>
    </row>
    <row r="499" spans="3:18">
      <c r="C499">
        <v>5360</v>
      </c>
      <c r="E499" t="s">
        <v>4857</v>
      </c>
      <c r="H499" t="s">
        <v>4858</v>
      </c>
      <c r="K499" s="31">
        <v>-11221332.449999999</v>
      </c>
      <c r="M499" s="31">
        <v>-11221332.449999999</v>
      </c>
      <c r="O499">
        <v>0</v>
      </c>
    </row>
    <row r="500" spans="3:18">
      <c r="C500">
        <v>5360</v>
      </c>
      <c r="E500" t="s">
        <v>4859</v>
      </c>
      <c r="H500" t="s">
        <v>4860</v>
      </c>
      <c r="K500" s="31">
        <v>1608990.54</v>
      </c>
      <c r="M500" s="31">
        <v>2363930.46</v>
      </c>
      <c r="O500" s="31">
        <v>-754939.92</v>
      </c>
      <c r="Q500">
        <v>-31.9</v>
      </c>
    </row>
    <row r="501" spans="3:18">
      <c r="C501">
        <v>5360</v>
      </c>
      <c r="E501" t="s">
        <v>4863</v>
      </c>
      <c r="H501" t="s">
        <v>4864</v>
      </c>
      <c r="K501" s="31">
        <v>-476419.3</v>
      </c>
      <c r="M501" s="31">
        <v>-476419.3</v>
      </c>
      <c r="O501">
        <v>0</v>
      </c>
    </row>
    <row r="502" spans="3:18">
      <c r="C502">
        <v>5360</v>
      </c>
      <c r="E502" t="s">
        <v>4865</v>
      </c>
      <c r="H502" t="s">
        <v>4842</v>
      </c>
      <c r="K502" s="31">
        <v>12534891.960000001</v>
      </c>
      <c r="M502" s="31">
        <v>12534891.960000001</v>
      </c>
      <c r="O502">
        <v>0</v>
      </c>
    </row>
    <row r="503" spans="3:18">
      <c r="C503">
        <v>5360</v>
      </c>
      <c r="E503" t="s">
        <v>4866</v>
      </c>
      <c r="H503" t="s">
        <v>4844</v>
      </c>
      <c r="K503" s="31">
        <v>-39554644.009999998</v>
      </c>
      <c r="M503" s="31">
        <v>-39554644.009999998</v>
      </c>
      <c r="O503">
        <v>0</v>
      </c>
    </row>
    <row r="504" spans="3:18">
      <c r="C504">
        <v>5360</v>
      </c>
      <c r="E504" t="s">
        <v>4944</v>
      </c>
      <c r="H504" t="s">
        <v>4945</v>
      </c>
      <c r="K504" s="31">
        <v>-545353.19999999995</v>
      </c>
      <c r="M504" s="31">
        <v>-780395.52000000002</v>
      </c>
      <c r="O504" s="31">
        <v>235042.32</v>
      </c>
      <c r="Q504">
        <v>30.1</v>
      </c>
    </row>
    <row r="505" spans="3:18">
      <c r="C505">
        <v>5360</v>
      </c>
      <c r="E505" t="s">
        <v>4871</v>
      </c>
      <c r="H505" t="s">
        <v>4872</v>
      </c>
      <c r="K505" s="31">
        <v>-103414.45</v>
      </c>
      <c r="M505" s="31">
        <v>-103414.45</v>
      </c>
      <c r="O505">
        <v>0</v>
      </c>
    </row>
    <row r="506" spans="3:18">
      <c r="C506">
        <v>5360</v>
      </c>
      <c r="E506" t="s">
        <v>4873</v>
      </c>
      <c r="H506" t="s">
        <v>4858</v>
      </c>
      <c r="K506" s="31">
        <v>-22114008.300000001</v>
      </c>
      <c r="M506" s="31">
        <v>-22114008.300000001</v>
      </c>
      <c r="O506">
        <v>0</v>
      </c>
    </row>
    <row r="507" spans="3:18">
      <c r="C507">
        <v>5360</v>
      </c>
      <c r="E507" t="s">
        <v>4874</v>
      </c>
      <c r="H507" t="s">
        <v>4875</v>
      </c>
      <c r="K507" s="31">
        <v>34138638.759999998</v>
      </c>
      <c r="M507" s="31">
        <v>33709553.979999997</v>
      </c>
      <c r="O507" s="31">
        <v>429084.78</v>
      </c>
      <c r="Q507">
        <v>1.3</v>
      </c>
    </row>
    <row r="508" spans="3:18">
      <c r="E508" t="s">
        <v>4876</v>
      </c>
      <c r="K508" s="31">
        <v>-26056998.550000001</v>
      </c>
      <c r="M508" s="31">
        <v>-24159665.57</v>
      </c>
      <c r="O508" s="31">
        <v>-1897332.98</v>
      </c>
      <c r="Q508">
        <v>-7.9</v>
      </c>
      <c r="R508" t="s">
        <v>569</v>
      </c>
    </row>
    <row r="509" spans="3:18">
      <c r="C509">
        <v>5360</v>
      </c>
      <c r="E509" t="s">
        <v>4877</v>
      </c>
      <c r="H509" t="s">
        <v>4878</v>
      </c>
      <c r="K509">
        <v>0.67</v>
      </c>
      <c r="M509">
        <v>0.67</v>
      </c>
      <c r="O509">
        <v>0</v>
      </c>
    </row>
    <row r="510" spans="3:18">
      <c r="C510">
        <v>5360</v>
      </c>
      <c r="E510" t="s">
        <v>4879</v>
      </c>
      <c r="H510" t="s">
        <v>4880</v>
      </c>
      <c r="K510">
        <v>-71.91</v>
      </c>
      <c r="M510">
        <v>-71.91</v>
      </c>
      <c r="O510">
        <v>0</v>
      </c>
    </row>
    <row r="511" spans="3:18">
      <c r="C511">
        <v>5360</v>
      </c>
      <c r="E511" t="s">
        <v>4881</v>
      </c>
      <c r="H511" t="s">
        <v>4882</v>
      </c>
      <c r="K511" s="31">
        <v>-22051005.690000001</v>
      </c>
      <c r="M511" s="31">
        <v>-23888396.5</v>
      </c>
      <c r="O511" s="31">
        <v>1837390.81</v>
      </c>
      <c r="Q511">
        <v>7.7</v>
      </c>
    </row>
    <row r="512" spans="3:18">
      <c r="C512">
        <v>5360</v>
      </c>
      <c r="E512" t="s">
        <v>4885</v>
      </c>
      <c r="H512" t="s">
        <v>4886</v>
      </c>
      <c r="K512">
        <v>-3.02</v>
      </c>
      <c r="M512">
        <v>-3.02</v>
      </c>
      <c r="O512">
        <v>0</v>
      </c>
    </row>
    <row r="513" spans="3:17">
      <c r="C513">
        <v>5360</v>
      </c>
      <c r="E513" t="s">
        <v>4887</v>
      </c>
      <c r="H513" t="s">
        <v>4878</v>
      </c>
      <c r="K513" s="31">
        <v>-71969.86</v>
      </c>
      <c r="M513" s="31">
        <v>-51614.15</v>
      </c>
      <c r="O513" s="31">
        <v>-20355.71</v>
      </c>
      <c r="Q513">
        <v>-39.4</v>
      </c>
    </row>
    <row r="514" spans="3:17">
      <c r="C514">
        <v>5360</v>
      </c>
      <c r="E514" t="s">
        <v>4888</v>
      </c>
      <c r="H514" t="s">
        <v>4880</v>
      </c>
      <c r="K514" s="31">
        <v>-3335753.48</v>
      </c>
      <c r="M514" s="31">
        <v>-6734644.0999999996</v>
      </c>
      <c r="O514" s="31">
        <v>3398890.62</v>
      </c>
      <c r="Q514">
        <v>50.5</v>
      </c>
    </row>
    <row r="515" spans="3:17">
      <c r="C515">
        <v>5360</v>
      </c>
      <c r="E515" t="s">
        <v>4889</v>
      </c>
      <c r="H515" t="s">
        <v>4890</v>
      </c>
      <c r="K515">
        <v>0</v>
      </c>
      <c r="M515" s="31">
        <v>-83205.52</v>
      </c>
      <c r="O515" s="31">
        <v>83205.52</v>
      </c>
      <c r="Q515">
        <v>100</v>
      </c>
    </row>
    <row r="516" spans="3:17">
      <c r="C516">
        <v>5360</v>
      </c>
      <c r="E516" t="s">
        <v>5985</v>
      </c>
      <c r="H516" t="s">
        <v>5986</v>
      </c>
      <c r="K516" s="31">
        <v>-2609779.2799999998</v>
      </c>
      <c r="M516" s="31">
        <v>-2983162.73</v>
      </c>
      <c r="O516" s="31">
        <v>373383.45</v>
      </c>
      <c r="Q516">
        <v>12.5</v>
      </c>
    </row>
    <row r="517" spans="3:17">
      <c r="C517">
        <v>5360</v>
      </c>
      <c r="E517" t="s">
        <v>4891</v>
      </c>
      <c r="H517" t="s">
        <v>3537</v>
      </c>
      <c r="K517" s="31">
        <v>-1772227.92</v>
      </c>
      <c r="M517" s="31">
        <v>7341058.9500000002</v>
      </c>
      <c r="O517" s="31">
        <v>-9113286.8699999992</v>
      </c>
      <c r="Q517">
        <v>-124.1</v>
      </c>
    </row>
    <row r="518" spans="3:17">
      <c r="C518">
        <v>5360</v>
      </c>
      <c r="E518" t="s">
        <v>4892</v>
      </c>
      <c r="H518" t="s">
        <v>4893</v>
      </c>
      <c r="K518" s="31">
        <v>-1144834.78</v>
      </c>
      <c r="M518" s="31">
        <v>-1131123</v>
      </c>
      <c r="O518" s="31">
        <v>-13711.78</v>
      </c>
      <c r="Q518">
        <v>-1.2</v>
      </c>
    </row>
    <row r="519" spans="3:17">
      <c r="C519">
        <v>5360</v>
      </c>
      <c r="E519" t="s">
        <v>4894</v>
      </c>
      <c r="H519" t="s">
        <v>4895</v>
      </c>
      <c r="K519" s="31">
        <v>12406.53</v>
      </c>
      <c r="M519" s="31">
        <v>-2147.6799999999998</v>
      </c>
      <c r="O519" s="31">
        <v>14554.21</v>
      </c>
      <c r="Q519">
        <v>677.7</v>
      </c>
    </row>
    <row r="520" spans="3:17">
      <c r="C520">
        <v>5360</v>
      </c>
      <c r="E520" t="s">
        <v>4896</v>
      </c>
      <c r="H520" t="s">
        <v>4357</v>
      </c>
      <c r="K520" s="31">
        <v>-5578908.75</v>
      </c>
      <c r="M520" s="31">
        <v>-6929031.5099999998</v>
      </c>
      <c r="O520" s="31">
        <v>1350122.76</v>
      </c>
      <c r="Q520">
        <v>19.5</v>
      </c>
    </row>
    <row r="521" spans="3:17">
      <c r="C521">
        <v>5360</v>
      </c>
      <c r="E521" t="s">
        <v>4897</v>
      </c>
      <c r="H521" t="s">
        <v>4359</v>
      </c>
      <c r="K521">
        <v>-610.99</v>
      </c>
      <c r="M521">
        <v>-610.99</v>
      </c>
      <c r="O521">
        <v>0</v>
      </c>
    </row>
    <row r="522" spans="3:17">
      <c r="C522">
        <v>5360</v>
      </c>
      <c r="E522" t="s">
        <v>4898</v>
      </c>
      <c r="H522" t="s">
        <v>4361</v>
      </c>
      <c r="K522" s="31">
        <v>-74090.34</v>
      </c>
      <c r="M522" s="31">
        <v>-42330.75</v>
      </c>
      <c r="O522" s="31">
        <v>-31759.59</v>
      </c>
      <c r="Q522">
        <v>-75</v>
      </c>
    </row>
    <row r="523" spans="3:17">
      <c r="C523">
        <v>5360</v>
      </c>
      <c r="E523" t="s">
        <v>4899</v>
      </c>
      <c r="H523" t="s">
        <v>1704</v>
      </c>
      <c r="K523" s="31">
        <v>-628856.4</v>
      </c>
      <c r="M523" s="31">
        <v>-5071404.34</v>
      </c>
      <c r="O523" s="31">
        <v>4442547.9400000004</v>
      </c>
      <c r="Q523">
        <v>87.6</v>
      </c>
    </row>
    <row r="524" spans="3:17">
      <c r="C524">
        <v>5360</v>
      </c>
      <c r="E524" t="s">
        <v>4900</v>
      </c>
      <c r="H524" t="s">
        <v>4363</v>
      </c>
      <c r="K524">
        <v>0</v>
      </c>
      <c r="M524" s="31">
        <v>-30831.360000000001</v>
      </c>
      <c r="O524" s="31">
        <v>30831.360000000001</v>
      </c>
      <c r="Q524">
        <v>100</v>
      </c>
    </row>
    <row r="525" spans="3:17">
      <c r="C525">
        <v>5360</v>
      </c>
      <c r="E525" t="s">
        <v>4901</v>
      </c>
      <c r="H525" t="s">
        <v>4365</v>
      </c>
      <c r="K525" s="31">
        <v>-6051.49</v>
      </c>
      <c r="M525" s="31">
        <v>-164075.29</v>
      </c>
      <c r="O525" s="31">
        <v>158023.79999999999</v>
      </c>
      <c r="Q525">
        <v>96.3</v>
      </c>
    </row>
    <row r="526" spans="3:17">
      <c r="C526">
        <v>5360</v>
      </c>
      <c r="E526" t="s">
        <v>4902</v>
      </c>
      <c r="H526" t="s">
        <v>4903</v>
      </c>
      <c r="K526" s="31">
        <v>-2426843.2200000002</v>
      </c>
      <c r="M526" s="31">
        <v>-2440555</v>
      </c>
      <c r="O526" s="31">
        <v>13711.78</v>
      </c>
      <c r="Q526">
        <v>0.6</v>
      </c>
    </row>
    <row r="527" spans="3:17">
      <c r="C527">
        <v>5360</v>
      </c>
      <c r="E527" t="s">
        <v>5987</v>
      </c>
      <c r="H527" t="s">
        <v>4335</v>
      </c>
      <c r="K527" s="31">
        <v>-69298729.340000004</v>
      </c>
      <c r="M527" s="31">
        <v>-27437797.949999999</v>
      </c>
      <c r="O527" s="31">
        <v>-41860931.390000001</v>
      </c>
      <c r="Q527">
        <v>-152.6</v>
      </c>
    </row>
    <row r="528" spans="3:17">
      <c r="C528">
        <v>5360</v>
      </c>
      <c r="E528" t="s">
        <v>4904</v>
      </c>
      <c r="H528" t="s">
        <v>4905</v>
      </c>
      <c r="K528" s="31">
        <v>759958.39</v>
      </c>
      <c r="M528" s="31">
        <v>-6604010.3200000003</v>
      </c>
      <c r="O528" s="31">
        <v>7363968.71</v>
      </c>
      <c r="Q528">
        <v>111.5</v>
      </c>
    </row>
    <row r="529" spans="1:18">
      <c r="C529">
        <v>5360</v>
      </c>
      <c r="E529" t="s">
        <v>4906</v>
      </c>
      <c r="H529" t="s">
        <v>4907</v>
      </c>
      <c r="K529" s="31">
        <v>-85602.25</v>
      </c>
      <c r="M529" s="31">
        <v>55711.34</v>
      </c>
      <c r="O529" s="31">
        <v>-141313.59</v>
      </c>
      <c r="Q529">
        <v>-253.7</v>
      </c>
    </row>
    <row r="530" spans="1:18">
      <c r="C530">
        <v>5360</v>
      </c>
      <c r="E530" t="s">
        <v>4908</v>
      </c>
      <c r="H530" t="s">
        <v>4909</v>
      </c>
      <c r="K530" s="31">
        <v>67048.759999999995</v>
      </c>
      <c r="M530" s="31">
        <v>67048.759999999995</v>
      </c>
      <c r="O530">
        <v>0</v>
      </c>
    </row>
    <row r="531" spans="1:18">
      <c r="E531" t="s">
        <v>4910</v>
      </c>
      <c r="K531" s="31">
        <v>-108245924.37</v>
      </c>
      <c r="M531" s="31">
        <v>-76131196.400000006</v>
      </c>
      <c r="O531" s="31">
        <v>-32114727.969999999</v>
      </c>
      <c r="Q531">
        <v>-42.2</v>
      </c>
      <c r="R531" t="s">
        <v>569</v>
      </c>
    </row>
    <row r="532" spans="1:18">
      <c r="C532">
        <v>5360</v>
      </c>
      <c r="E532" t="s">
        <v>4911</v>
      </c>
      <c r="H532" t="s">
        <v>4912</v>
      </c>
      <c r="K532" s="31">
        <v>7175361.4800000004</v>
      </c>
      <c r="M532" s="31">
        <v>8497378.9900000002</v>
      </c>
      <c r="O532" s="31">
        <v>-1322017.51</v>
      </c>
      <c r="Q532">
        <v>-15.6</v>
      </c>
    </row>
    <row r="533" spans="1:18">
      <c r="E533" t="s">
        <v>4913</v>
      </c>
      <c r="K533" s="31">
        <v>7175361.4800000004</v>
      </c>
      <c r="M533" s="31">
        <v>8497378.9900000002</v>
      </c>
      <c r="O533" s="31">
        <v>-1322017.51</v>
      </c>
      <c r="Q533">
        <v>-15.6</v>
      </c>
      <c r="R533" t="s">
        <v>569</v>
      </c>
    </row>
    <row r="534" spans="1:18">
      <c r="E534" t="s">
        <v>4914</v>
      </c>
      <c r="K534" s="31">
        <v>-345115289.66000003</v>
      </c>
      <c r="M534" s="31">
        <v>-309699281.56</v>
      </c>
      <c r="O534" s="31">
        <v>-35416008.100000001</v>
      </c>
      <c r="Q534">
        <v>-11.4</v>
      </c>
      <c r="R534" t="s">
        <v>611</v>
      </c>
    </row>
    <row r="536" spans="1:18">
      <c r="E536" t="s">
        <v>4915</v>
      </c>
      <c r="K536" s="31">
        <v>-773059141.61000001</v>
      </c>
      <c r="M536" s="31">
        <v>-753354080.09000003</v>
      </c>
      <c r="O536" s="31">
        <v>-19705061.52</v>
      </c>
      <c r="Q536">
        <v>-2.6</v>
      </c>
      <c r="R536" t="s">
        <v>930</v>
      </c>
    </row>
    <row r="538" spans="1:18">
      <c r="E538" t="s">
        <v>4510</v>
      </c>
      <c r="K538" s="31">
        <v>354520355.04000002</v>
      </c>
      <c r="M538" s="31">
        <v>355044435.72000003</v>
      </c>
      <c r="O538" s="31">
        <v>-524080.68</v>
      </c>
      <c r="Q538">
        <v>-0.1</v>
      </c>
      <c r="R538" t="s">
        <v>970</v>
      </c>
    </row>
    <row r="542" spans="1:18">
      <c r="A542" t="s">
        <v>6021</v>
      </c>
    </row>
    <row r="543" spans="1:18">
      <c r="A543" t="s">
        <v>6031</v>
      </c>
    </row>
    <row r="545" spans="1:18">
      <c r="A545" t="s">
        <v>535</v>
      </c>
      <c r="F545">
        <v>5360</v>
      </c>
      <c r="G545" t="s">
        <v>536</v>
      </c>
      <c r="I545" t="s">
        <v>537</v>
      </c>
      <c r="N545" t="s">
        <v>538</v>
      </c>
      <c r="P545" t="s">
        <v>539</v>
      </c>
    </row>
    <row r="547" spans="1:18">
      <c r="B547" t="s">
        <v>313</v>
      </c>
      <c r="C547" t="s">
        <v>540</v>
      </c>
      <c r="D547" t="s">
        <v>541</v>
      </c>
      <c r="E547" t="s">
        <v>542</v>
      </c>
      <c r="J547" t="s">
        <v>543</v>
      </c>
      <c r="L547" t="s">
        <v>544</v>
      </c>
      <c r="O547" t="s">
        <v>545</v>
      </c>
      <c r="Q547" t="s">
        <v>546</v>
      </c>
      <c r="R547" t="s">
        <v>4054</v>
      </c>
    </row>
    <row r="548" spans="1:18">
      <c r="B548" t="s">
        <v>201</v>
      </c>
      <c r="C548" t="s">
        <v>548</v>
      </c>
      <c r="D548" t="s">
        <v>549</v>
      </c>
      <c r="J548" t="s">
        <v>5966</v>
      </c>
      <c r="L548" t="s">
        <v>6024</v>
      </c>
      <c r="O548" t="s">
        <v>551</v>
      </c>
      <c r="Q548" t="s">
        <v>552</v>
      </c>
      <c r="R548" t="s">
        <v>4057</v>
      </c>
    </row>
    <row r="550" spans="1:18">
      <c r="E550" t="s">
        <v>4951</v>
      </c>
    </row>
    <row r="551" spans="1:18">
      <c r="C551">
        <v>5360</v>
      </c>
      <c r="E551">
        <v>91010000</v>
      </c>
      <c r="H551" t="s">
        <v>4952</v>
      </c>
      <c r="K551" s="31">
        <v>958638825.70000005</v>
      </c>
      <c r="M551" s="31">
        <v>958638825.70000005</v>
      </c>
      <c r="O551">
        <v>0</v>
      </c>
    </row>
    <row r="552" spans="1:18">
      <c r="C552">
        <v>5360</v>
      </c>
      <c r="E552">
        <v>91011000</v>
      </c>
      <c r="H552" t="s">
        <v>4953</v>
      </c>
      <c r="K552" s="31">
        <v>142895235.49000001</v>
      </c>
      <c r="M552" s="31">
        <v>142895235.49000001</v>
      </c>
      <c r="O552">
        <v>0</v>
      </c>
    </row>
    <row r="553" spans="1:18">
      <c r="C553">
        <v>5360</v>
      </c>
      <c r="E553">
        <v>91060000</v>
      </c>
      <c r="H553" t="s">
        <v>4954</v>
      </c>
      <c r="K553" s="31">
        <v>57052537.340000004</v>
      </c>
      <c r="M553" s="31">
        <v>57052537.340000004</v>
      </c>
      <c r="O553">
        <v>0</v>
      </c>
    </row>
    <row r="554" spans="1:18">
      <c r="C554">
        <v>5360</v>
      </c>
      <c r="E554">
        <v>91070000</v>
      </c>
      <c r="H554" t="s">
        <v>4955</v>
      </c>
      <c r="K554" s="31">
        <v>74726180.260000005</v>
      </c>
      <c r="M554" s="31">
        <v>74726180.260000005</v>
      </c>
      <c r="O554">
        <v>0</v>
      </c>
    </row>
    <row r="555" spans="1:18">
      <c r="C555">
        <v>5360</v>
      </c>
      <c r="E555">
        <v>91080000</v>
      </c>
      <c r="H555" t="s">
        <v>4956</v>
      </c>
      <c r="K555" s="31">
        <v>-366679974.38999999</v>
      </c>
      <c r="M555" s="31">
        <v>-366679974.38999999</v>
      </c>
      <c r="O555">
        <v>0</v>
      </c>
    </row>
    <row r="556" spans="1:18">
      <c r="C556">
        <v>5360</v>
      </c>
      <c r="E556">
        <v>91110000</v>
      </c>
      <c r="H556" t="s">
        <v>4957</v>
      </c>
      <c r="K556" s="31">
        <v>-19833570.02</v>
      </c>
      <c r="M556" s="31">
        <v>-19833570.02</v>
      </c>
      <c r="O556">
        <v>0</v>
      </c>
    </row>
    <row r="557" spans="1:18">
      <c r="C557">
        <v>5360</v>
      </c>
      <c r="E557">
        <v>91140000</v>
      </c>
      <c r="H557" t="s">
        <v>4187</v>
      </c>
      <c r="K557" s="31">
        <v>235058056.38999999</v>
      </c>
      <c r="M557" s="31">
        <v>235058056.38999999</v>
      </c>
      <c r="O557">
        <v>0</v>
      </c>
    </row>
    <row r="558" spans="1:18">
      <c r="C558">
        <v>5360</v>
      </c>
      <c r="E558">
        <v>91210000</v>
      </c>
      <c r="H558" t="s">
        <v>4958</v>
      </c>
      <c r="K558" s="31">
        <v>4041036.52</v>
      </c>
      <c r="M558" s="31">
        <v>4041036.52</v>
      </c>
      <c r="O558">
        <v>0</v>
      </c>
    </row>
    <row r="559" spans="1:18">
      <c r="C559">
        <v>5360</v>
      </c>
      <c r="E559">
        <v>91231000</v>
      </c>
      <c r="H559" t="s">
        <v>4959</v>
      </c>
      <c r="K559" s="31">
        <v>-170988.32</v>
      </c>
      <c r="M559" s="31">
        <v>-170988.32</v>
      </c>
      <c r="O559">
        <v>0</v>
      </c>
    </row>
    <row r="560" spans="1:18">
      <c r="C560">
        <v>5360</v>
      </c>
      <c r="E560">
        <v>91240000</v>
      </c>
      <c r="H560" t="s">
        <v>4960</v>
      </c>
      <c r="K560" s="31">
        <v>57495</v>
      </c>
      <c r="M560" s="31">
        <v>57495</v>
      </c>
      <c r="O560">
        <v>0</v>
      </c>
    </row>
    <row r="561" spans="3:15">
      <c r="C561">
        <v>5360</v>
      </c>
      <c r="E561">
        <v>91340000</v>
      </c>
      <c r="H561" t="s">
        <v>4961</v>
      </c>
      <c r="K561" s="31">
        <v>1477251.19</v>
      </c>
      <c r="M561" s="31">
        <v>1477251.19</v>
      </c>
      <c r="O561">
        <v>0</v>
      </c>
    </row>
    <row r="562" spans="3:15">
      <c r="C562">
        <v>5360</v>
      </c>
      <c r="E562">
        <v>91420000</v>
      </c>
      <c r="H562" t="s">
        <v>3603</v>
      </c>
      <c r="K562" s="31">
        <v>60166796.869999997</v>
      </c>
      <c r="M562" s="31">
        <v>60166796.869999997</v>
      </c>
      <c r="O562">
        <v>0</v>
      </c>
    </row>
    <row r="563" spans="3:15">
      <c r="C563">
        <v>5360</v>
      </c>
      <c r="E563">
        <v>91430000</v>
      </c>
      <c r="H563" t="s">
        <v>4962</v>
      </c>
      <c r="K563" s="31">
        <v>5214367.53</v>
      </c>
      <c r="M563" s="31">
        <v>5214367.53</v>
      </c>
      <c r="O563">
        <v>0</v>
      </c>
    </row>
    <row r="564" spans="3:15">
      <c r="C564">
        <v>5360</v>
      </c>
      <c r="E564">
        <v>91440000</v>
      </c>
      <c r="H564" t="s">
        <v>4261</v>
      </c>
      <c r="K564" s="31">
        <v>-10672306.279999999</v>
      </c>
      <c r="M564" s="31">
        <v>-10672306.279999999</v>
      </c>
      <c r="O564">
        <v>0</v>
      </c>
    </row>
    <row r="565" spans="3:15">
      <c r="C565">
        <v>5360</v>
      </c>
      <c r="E565">
        <v>91460000</v>
      </c>
      <c r="H565" t="s">
        <v>4963</v>
      </c>
      <c r="K565" s="31">
        <v>1579912872.0699999</v>
      </c>
      <c r="M565" s="31">
        <v>1579912872.0699999</v>
      </c>
      <c r="O565">
        <v>0</v>
      </c>
    </row>
    <row r="566" spans="3:15">
      <c r="C566">
        <v>5360</v>
      </c>
      <c r="E566">
        <v>91540000</v>
      </c>
      <c r="H566" t="s">
        <v>4288</v>
      </c>
      <c r="K566" s="31">
        <v>3580099.58</v>
      </c>
      <c r="M566" s="31">
        <v>3580099.58</v>
      </c>
      <c r="O566">
        <v>0</v>
      </c>
    </row>
    <row r="567" spans="3:15">
      <c r="C567">
        <v>5360</v>
      </c>
      <c r="E567">
        <v>91630000</v>
      </c>
      <c r="H567" t="s">
        <v>4964</v>
      </c>
      <c r="K567" s="31">
        <v>1086591.3700000001</v>
      </c>
      <c r="M567" s="31">
        <v>1086591.3700000001</v>
      </c>
      <c r="O567">
        <v>0</v>
      </c>
    </row>
    <row r="568" spans="3:15">
      <c r="C568">
        <v>5360</v>
      </c>
      <c r="E568">
        <v>91641000</v>
      </c>
      <c r="H568" t="s">
        <v>4965</v>
      </c>
      <c r="K568" s="31">
        <v>8298258.54</v>
      </c>
      <c r="M568" s="31">
        <v>8298258.54</v>
      </c>
      <c r="O568">
        <v>0</v>
      </c>
    </row>
    <row r="569" spans="3:15">
      <c r="C569">
        <v>5360</v>
      </c>
      <c r="E569">
        <v>91642000</v>
      </c>
      <c r="H569" t="s">
        <v>4285</v>
      </c>
      <c r="K569" s="31">
        <v>2684514.44</v>
      </c>
      <c r="M569" s="31">
        <v>2684514.44</v>
      </c>
      <c r="O569">
        <v>0</v>
      </c>
    </row>
    <row r="570" spans="3:15">
      <c r="C570">
        <v>5360</v>
      </c>
      <c r="E570">
        <v>91650000</v>
      </c>
      <c r="H570" t="s">
        <v>4300</v>
      </c>
      <c r="K570" s="31">
        <v>864352.82</v>
      </c>
      <c r="M570" s="31">
        <v>864352.82</v>
      </c>
      <c r="O570">
        <v>0</v>
      </c>
    </row>
    <row r="571" spans="3:15">
      <c r="C571">
        <v>5360</v>
      </c>
      <c r="E571">
        <v>91730000</v>
      </c>
      <c r="H571" t="s">
        <v>4966</v>
      </c>
      <c r="K571" s="31">
        <v>40602978.560000002</v>
      </c>
      <c r="M571" s="31">
        <v>40602978.560000002</v>
      </c>
      <c r="O571">
        <v>0</v>
      </c>
    </row>
    <row r="572" spans="3:15">
      <c r="C572">
        <v>5360</v>
      </c>
      <c r="E572">
        <v>91740000</v>
      </c>
      <c r="H572" t="s">
        <v>4967</v>
      </c>
      <c r="K572" s="31">
        <v>176193.53</v>
      </c>
      <c r="M572" s="31">
        <v>176193.53</v>
      </c>
      <c r="O572">
        <v>0</v>
      </c>
    </row>
    <row r="573" spans="3:15">
      <c r="C573">
        <v>5360</v>
      </c>
      <c r="E573">
        <v>91760000</v>
      </c>
      <c r="H573" t="s">
        <v>4968</v>
      </c>
      <c r="K573" s="31">
        <v>2226639.31</v>
      </c>
      <c r="M573" s="31">
        <v>2226639.31</v>
      </c>
      <c r="O573">
        <v>0</v>
      </c>
    </row>
    <row r="574" spans="3:15">
      <c r="C574">
        <v>5360</v>
      </c>
      <c r="E574">
        <v>91810000</v>
      </c>
      <c r="H574" t="s">
        <v>4375</v>
      </c>
      <c r="K574" s="31">
        <v>80830.89</v>
      </c>
      <c r="M574" s="31">
        <v>80830.89</v>
      </c>
      <c r="O574">
        <v>0</v>
      </c>
    </row>
    <row r="575" spans="3:15">
      <c r="C575">
        <v>5360</v>
      </c>
      <c r="E575">
        <v>91823000</v>
      </c>
      <c r="H575" t="s">
        <v>4373</v>
      </c>
      <c r="K575" s="31">
        <v>138605232.56999999</v>
      </c>
      <c r="M575" s="31">
        <v>138605232.56999999</v>
      </c>
      <c r="O575">
        <v>0</v>
      </c>
    </row>
    <row r="576" spans="3:15">
      <c r="C576">
        <v>5360</v>
      </c>
      <c r="E576">
        <v>91830000</v>
      </c>
      <c r="H576" t="s">
        <v>4969</v>
      </c>
      <c r="K576" s="31">
        <v>-59643.66</v>
      </c>
      <c r="M576" s="31">
        <v>-59643.66</v>
      </c>
      <c r="O576">
        <v>0</v>
      </c>
    </row>
    <row r="577" spans="3:15">
      <c r="C577">
        <v>5360</v>
      </c>
      <c r="E577">
        <v>91831000</v>
      </c>
      <c r="H577" t="s">
        <v>4970</v>
      </c>
      <c r="K577" s="31">
        <v>67967.960000000006</v>
      </c>
      <c r="M577" s="31">
        <v>67967.960000000006</v>
      </c>
      <c r="O577">
        <v>0</v>
      </c>
    </row>
    <row r="578" spans="3:15">
      <c r="C578">
        <v>5360</v>
      </c>
      <c r="E578">
        <v>91840000</v>
      </c>
      <c r="H578" t="s">
        <v>4429</v>
      </c>
      <c r="K578" s="31">
        <v>116003694.04000001</v>
      </c>
      <c r="M578" s="31">
        <v>116003694.04000001</v>
      </c>
      <c r="O578">
        <v>0</v>
      </c>
    </row>
    <row r="579" spans="3:15">
      <c r="C579">
        <v>5360</v>
      </c>
      <c r="E579">
        <v>91860000</v>
      </c>
      <c r="H579" t="s">
        <v>4971</v>
      </c>
      <c r="K579" s="31">
        <v>598849193.57000005</v>
      </c>
      <c r="M579" s="31">
        <v>598849193.57000005</v>
      </c>
      <c r="O579">
        <v>0</v>
      </c>
    </row>
    <row r="580" spans="3:15">
      <c r="C580">
        <v>5360</v>
      </c>
      <c r="E580">
        <v>91869999</v>
      </c>
      <c r="H580" t="s">
        <v>4972</v>
      </c>
      <c r="K580" s="31">
        <v>-3561128.75</v>
      </c>
      <c r="M580" s="31">
        <v>-3561128.75</v>
      </c>
      <c r="O580">
        <v>0</v>
      </c>
    </row>
    <row r="581" spans="3:15">
      <c r="C581">
        <v>5360</v>
      </c>
      <c r="E581">
        <v>91900000</v>
      </c>
      <c r="H581" t="s">
        <v>4973</v>
      </c>
      <c r="K581" s="31">
        <v>41419124.130000003</v>
      </c>
      <c r="M581" s="31">
        <v>41419124.130000003</v>
      </c>
      <c r="O581">
        <v>0</v>
      </c>
    </row>
    <row r="582" spans="3:15">
      <c r="C582">
        <v>5360</v>
      </c>
      <c r="E582">
        <v>92100000</v>
      </c>
      <c r="H582" t="s">
        <v>4974</v>
      </c>
      <c r="K582" s="31">
        <v>-34359.71</v>
      </c>
      <c r="M582" s="31">
        <v>-34359.71</v>
      </c>
      <c r="O582">
        <v>0</v>
      </c>
    </row>
    <row r="583" spans="3:15">
      <c r="C583">
        <v>5360</v>
      </c>
      <c r="E583">
        <v>92150000</v>
      </c>
      <c r="H583" t="s">
        <v>4975</v>
      </c>
      <c r="K583">
        <v>804.51</v>
      </c>
      <c r="M583">
        <v>804.51</v>
      </c>
      <c r="O583">
        <v>0</v>
      </c>
    </row>
    <row r="584" spans="3:15">
      <c r="C584">
        <v>5360</v>
      </c>
      <c r="E584">
        <v>92160000</v>
      </c>
      <c r="H584" t="s">
        <v>4519</v>
      </c>
      <c r="K584" s="31">
        <v>-924012210.5</v>
      </c>
      <c r="M584" s="31">
        <v>-924012210.5</v>
      </c>
      <c r="O584">
        <v>0</v>
      </c>
    </row>
    <row r="585" spans="3:15">
      <c r="C585">
        <v>5360</v>
      </c>
      <c r="E585">
        <v>92190000</v>
      </c>
      <c r="H585" t="s">
        <v>4976</v>
      </c>
      <c r="K585" s="31">
        <v>-2614432</v>
      </c>
      <c r="M585" s="31">
        <v>-2614432</v>
      </c>
      <c r="O585">
        <v>0</v>
      </c>
    </row>
    <row r="586" spans="3:15">
      <c r="C586">
        <v>5360</v>
      </c>
      <c r="E586">
        <v>92210000</v>
      </c>
      <c r="H586" t="s">
        <v>4532</v>
      </c>
      <c r="K586" s="31">
        <v>-49464000</v>
      </c>
      <c r="M586" s="31">
        <v>-49464000</v>
      </c>
      <c r="O586">
        <v>0</v>
      </c>
    </row>
    <row r="587" spans="3:15">
      <c r="C587">
        <v>5360</v>
      </c>
      <c r="E587">
        <v>92281000</v>
      </c>
      <c r="H587" t="s">
        <v>4779</v>
      </c>
      <c r="K587" s="31">
        <v>-104077.03</v>
      </c>
      <c r="M587" s="31">
        <v>-104077.03</v>
      </c>
      <c r="O587">
        <v>0</v>
      </c>
    </row>
    <row r="588" spans="3:15">
      <c r="C588">
        <v>5360</v>
      </c>
      <c r="E588">
        <v>92282000</v>
      </c>
      <c r="H588" t="s">
        <v>4977</v>
      </c>
      <c r="K588" s="31">
        <v>-1045221.2</v>
      </c>
      <c r="M588" s="31">
        <v>-1045221.2</v>
      </c>
      <c r="O588">
        <v>0</v>
      </c>
    </row>
    <row r="589" spans="3:15">
      <c r="C589">
        <v>5360</v>
      </c>
      <c r="E589">
        <v>92300000</v>
      </c>
      <c r="H589" t="s">
        <v>4978</v>
      </c>
      <c r="K589" s="31">
        <v>-8356862.8899999997</v>
      </c>
      <c r="M589" s="31">
        <v>-8356862.8899999997</v>
      </c>
      <c r="O589">
        <v>0</v>
      </c>
    </row>
    <row r="590" spans="3:15">
      <c r="C590">
        <v>5360</v>
      </c>
      <c r="E590">
        <v>92320000</v>
      </c>
      <c r="H590" t="s">
        <v>4609</v>
      </c>
      <c r="K590" s="31">
        <v>-64821794.549999997</v>
      </c>
      <c r="M590" s="31">
        <v>-64821794.549999997</v>
      </c>
      <c r="O590">
        <v>0</v>
      </c>
    </row>
    <row r="591" spans="3:15">
      <c r="C591">
        <v>5360</v>
      </c>
      <c r="E591">
        <v>92330000</v>
      </c>
      <c r="H591" t="s">
        <v>4979</v>
      </c>
      <c r="K591" s="31">
        <v>-493138390</v>
      </c>
      <c r="M591" s="31">
        <v>-493138390</v>
      </c>
      <c r="O591">
        <v>0</v>
      </c>
    </row>
    <row r="592" spans="3:15">
      <c r="C592">
        <v>5360</v>
      </c>
      <c r="E592">
        <v>92340000</v>
      </c>
      <c r="H592" t="s">
        <v>4624</v>
      </c>
      <c r="K592" s="31">
        <v>-391413195.02999997</v>
      </c>
      <c r="M592" s="31">
        <v>-391413195.02999997</v>
      </c>
      <c r="O592">
        <v>0</v>
      </c>
    </row>
    <row r="593" spans="3:15">
      <c r="C593">
        <v>5360</v>
      </c>
      <c r="E593">
        <v>92350000</v>
      </c>
      <c r="H593" t="s">
        <v>266</v>
      </c>
      <c r="K593" s="31">
        <v>-1840626.81</v>
      </c>
      <c r="M593" s="31">
        <v>-1840626.81</v>
      </c>
      <c r="O593">
        <v>0</v>
      </c>
    </row>
    <row r="594" spans="3:15">
      <c r="C594">
        <v>5360</v>
      </c>
      <c r="E594">
        <v>92360000</v>
      </c>
      <c r="H594" t="s">
        <v>4980</v>
      </c>
      <c r="K594" s="31">
        <v>214381032.16999999</v>
      </c>
      <c r="M594" s="31">
        <v>214381032.16999999</v>
      </c>
      <c r="O594">
        <v>0</v>
      </c>
    </row>
    <row r="595" spans="3:15">
      <c r="C595">
        <v>5360</v>
      </c>
      <c r="E595">
        <v>92370000</v>
      </c>
      <c r="H595" t="s">
        <v>4658</v>
      </c>
      <c r="K595" s="31">
        <v>-16592944.26</v>
      </c>
      <c r="M595" s="31">
        <v>-16592944.26</v>
      </c>
      <c r="O595">
        <v>0</v>
      </c>
    </row>
    <row r="596" spans="3:15">
      <c r="C596">
        <v>5360</v>
      </c>
      <c r="E596">
        <v>92410000</v>
      </c>
      <c r="H596" t="s">
        <v>4660</v>
      </c>
      <c r="K596" s="31">
        <v>41941916.409999996</v>
      </c>
      <c r="M596" s="31">
        <v>41941916.409999996</v>
      </c>
      <c r="O596">
        <v>0</v>
      </c>
    </row>
    <row r="597" spans="3:15">
      <c r="C597">
        <v>5360</v>
      </c>
      <c r="E597">
        <v>92420000</v>
      </c>
      <c r="H597" t="s">
        <v>4675</v>
      </c>
      <c r="K597" s="31">
        <v>-81304043.370000005</v>
      </c>
      <c r="M597" s="31">
        <v>-81304043.370000005</v>
      </c>
      <c r="O597">
        <v>0</v>
      </c>
    </row>
    <row r="598" spans="3:15">
      <c r="C598">
        <v>5360</v>
      </c>
      <c r="E598">
        <v>92450000</v>
      </c>
      <c r="H598" t="s">
        <v>4981</v>
      </c>
      <c r="K598" s="31">
        <v>-5232239.5599999996</v>
      </c>
      <c r="M598" s="31">
        <v>-5232239.5599999996</v>
      </c>
      <c r="O598">
        <v>0</v>
      </c>
    </row>
    <row r="599" spans="3:15">
      <c r="C599">
        <v>5360</v>
      </c>
      <c r="E599">
        <v>92520000</v>
      </c>
      <c r="H599" t="s">
        <v>4829</v>
      </c>
      <c r="K599" s="31">
        <v>-2783.23</v>
      </c>
      <c r="M599" s="31">
        <v>-2783.23</v>
      </c>
      <c r="O599">
        <v>0</v>
      </c>
    </row>
    <row r="600" spans="3:15">
      <c r="C600">
        <v>5360</v>
      </c>
      <c r="E600">
        <v>92530000</v>
      </c>
      <c r="H600" t="s">
        <v>4876</v>
      </c>
      <c r="K600" s="31">
        <v>-83568580.890000001</v>
      </c>
      <c r="M600" s="31">
        <v>-83568580.890000001</v>
      </c>
      <c r="O600">
        <v>0</v>
      </c>
    </row>
    <row r="601" spans="3:15">
      <c r="C601">
        <v>5360</v>
      </c>
      <c r="E601">
        <v>92540000</v>
      </c>
      <c r="H601" t="s">
        <v>4982</v>
      </c>
      <c r="K601" s="31">
        <v>-11372068.48</v>
      </c>
      <c r="M601" s="31">
        <v>-11372068.48</v>
      </c>
      <c r="O601">
        <v>0</v>
      </c>
    </row>
    <row r="602" spans="3:15">
      <c r="C602">
        <v>5360</v>
      </c>
      <c r="E602">
        <v>92820000</v>
      </c>
      <c r="H602" t="s">
        <v>4983</v>
      </c>
      <c r="K602" s="31">
        <v>-98506750.129999995</v>
      </c>
      <c r="M602" s="31">
        <v>-98506750.129999995</v>
      </c>
      <c r="O602">
        <v>0</v>
      </c>
    </row>
    <row r="603" spans="3:15">
      <c r="C603">
        <v>5360</v>
      </c>
      <c r="E603">
        <v>92830000</v>
      </c>
      <c r="H603" t="s">
        <v>4984</v>
      </c>
      <c r="K603" s="31">
        <v>-52115963.719999999</v>
      </c>
      <c r="M603" s="31">
        <v>-52115963.719999999</v>
      </c>
      <c r="O603">
        <v>0</v>
      </c>
    </row>
    <row r="604" spans="3:15">
      <c r="C604">
        <v>5360</v>
      </c>
      <c r="E604" t="s">
        <v>4985</v>
      </c>
      <c r="H604" t="s">
        <v>4060</v>
      </c>
      <c r="K604" s="31">
        <v>-18316888.829999998</v>
      </c>
      <c r="M604" s="31">
        <v>-18316888.829999998</v>
      </c>
      <c r="O604">
        <v>0</v>
      </c>
    </row>
    <row r="605" spans="3:15">
      <c r="C605">
        <v>5360</v>
      </c>
      <c r="E605" t="s">
        <v>4986</v>
      </c>
      <c r="H605" t="s">
        <v>4062</v>
      </c>
      <c r="K605" s="31">
        <v>769140.45</v>
      </c>
      <c r="M605" s="31">
        <v>769140.45</v>
      </c>
      <c r="O605">
        <v>0</v>
      </c>
    </row>
    <row r="606" spans="3:15">
      <c r="C606">
        <v>5360</v>
      </c>
      <c r="E606" t="s">
        <v>4987</v>
      </c>
      <c r="H606" t="s">
        <v>4066</v>
      </c>
      <c r="K606" s="31">
        <v>1280483</v>
      </c>
      <c r="M606" s="31">
        <v>1280483</v>
      </c>
      <c r="O606">
        <v>0</v>
      </c>
    </row>
    <row r="607" spans="3:15">
      <c r="C607">
        <v>5360</v>
      </c>
      <c r="E607" t="s">
        <v>4988</v>
      </c>
      <c r="H607" t="s">
        <v>4068</v>
      </c>
      <c r="K607" s="31">
        <v>20926379.210000001</v>
      </c>
      <c r="M607" s="31">
        <v>20926379.210000001</v>
      </c>
      <c r="O607">
        <v>0</v>
      </c>
    </row>
    <row r="608" spans="3:15">
      <c r="C608">
        <v>5360</v>
      </c>
      <c r="E608" t="s">
        <v>5988</v>
      </c>
      <c r="H608" t="s">
        <v>5968</v>
      </c>
      <c r="K608" s="31">
        <v>138584.16</v>
      </c>
      <c r="M608" s="31">
        <v>138584.16</v>
      </c>
      <c r="O608">
        <v>0</v>
      </c>
    </row>
    <row r="609" spans="3:17">
      <c r="C609">
        <v>5360</v>
      </c>
      <c r="E609" t="s">
        <v>4989</v>
      </c>
      <c r="H609" t="s">
        <v>4084</v>
      </c>
      <c r="K609" s="31">
        <v>25404968.489999998</v>
      </c>
      <c r="M609" s="31">
        <v>25404968.489999998</v>
      </c>
      <c r="O609">
        <v>0</v>
      </c>
    </row>
    <row r="610" spans="3:17">
      <c r="C610">
        <v>5360</v>
      </c>
      <c r="E610" t="s">
        <v>4990</v>
      </c>
      <c r="H610" t="s">
        <v>4991</v>
      </c>
      <c r="K610" s="31">
        <v>-846890.47</v>
      </c>
      <c r="M610" s="31">
        <v>-355317.17</v>
      </c>
      <c r="O610" s="31">
        <v>-491573.3</v>
      </c>
      <c r="Q610">
        <v>-138.30000000000001</v>
      </c>
    </row>
    <row r="611" spans="3:17">
      <c r="C611">
        <v>5360</v>
      </c>
      <c r="E611" t="s">
        <v>4993</v>
      </c>
      <c r="H611" t="s">
        <v>4090</v>
      </c>
      <c r="K611" s="31">
        <v>1006669.84</v>
      </c>
      <c r="M611" s="31">
        <v>1236959.6200000001</v>
      </c>
      <c r="O611" s="31">
        <v>-230289.78</v>
      </c>
      <c r="Q611">
        <v>-18.600000000000001</v>
      </c>
    </row>
    <row r="612" spans="3:17">
      <c r="C612">
        <v>5360</v>
      </c>
      <c r="E612" t="s">
        <v>4994</v>
      </c>
      <c r="H612" t="s">
        <v>4092</v>
      </c>
      <c r="K612" s="31">
        <v>-509667.51</v>
      </c>
      <c r="M612" s="31">
        <v>-608794.99</v>
      </c>
      <c r="O612" s="31">
        <v>99127.48</v>
      </c>
      <c r="Q612">
        <v>16.3</v>
      </c>
    </row>
    <row r="613" spans="3:17">
      <c r="C613">
        <v>5360</v>
      </c>
      <c r="E613" t="s">
        <v>4995</v>
      </c>
      <c r="H613" t="s">
        <v>4080</v>
      </c>
      <c r="K613" s="31">
        <v>-229595.1</v>
      </c>
      <c r="M613" s="31">
        <v>-157100.85999999999</v>
      </c>
      <c r="O613" s="31">
        <v>-72494.240000000005</v>
      </c>
      <c r="Q613">
        <v>-46.1</v>
      </c>
    </row>
    <row r="614" spans="3:17">
      <c r="C614">
        <v>5360</v>
      </c>
      <c r="E614" t="s">
        <v>4997</v>
      </c>
      <c r="H614" t="s">
        <v>4998</v>
      </c>
      <c r="K614" s="31">
        <v>8401705.6199999992</v>
      </c>
      <c r="M614" s="31">
        <v>8401705.6199999992</v>
      </c>
      <c r="O614">
        <v>0</v>
      </c>
    </row>
    <row r="615" spans="3:17">
      <c r="C615">
        <v>5360</v>
      </c>
      <c r="E615" t="s">
        <v>4999</v>
      </c>
      <c r="H615" t="s">
        <v>4095</v>
      </c>
      <c r="K615" s="31">
        <v>-278533.61</v>
      </c>
      <c r="M615" s="31">
        <v>-278533.61</v>
      </c>
      <c r="O615">
        <v>0</v>
      </c>
    </row>
    <row r="616" spans="3:17">
      <c r="C616">
        <v>5360</v>
      </c>
      <c r="E616" t="s">
        <v>5000</v>
      </c>
      <c r="H616" t="s">
        <v>4170</v>
      </c>
      <c r="K616" s="31">
        <v>4456676.29</v>
      </c>
      <c r="M616" s="31">
        <v>4456676.29</v>
      </c>
      <c r="O616">
        <v>0</v>
      </c>
    </row>
    <row r="617" spans="3:17">
      <c r="C617">
        <v>5360</v>
      </c>
      <c r="E617" t="s">
        <v>5001</v>
      </c>
      <c r="H617" t="s">
        <v>5002</v>
      </c>
      <c r="K617">
        <v>0</v>
      </c>
      <c r="M617" s="31">
        <v>-30064.15</v>
      </c>
      <c r="O617" s="31">
        <v>30064.15</v>
      </c>
      <c r="Q617">
        <v>100</v>
      </c>
    </row>
    <row r="618" spans="3:17">
      <c r="C618">
        <v>5360</v>
      </c>
      <c r="E618" t="s">
        <v>5003</v>
      </c>
      <c r="H618" t="s">
        <v>4176</v>
      </c>
      <c r="K618" s="31">
        <v>-2828279.17</v>
      </c>
      <c r="M618" s="31">
        <v>1364120.27</v>
      </c>
      <c r="O618" s="31">
        <v>-4192399.44</v>
      </c>
      <c r="Q618">
        <v>-307.3</v>
      </c>
    </row>
    <row r="619" spans="3:17">
      <c r="C619">
        <v>5360</v>
      </c>
      <c r="E619" t="s">
        <v>5004</v>
      </c>
      <c r="H619" t="s">
        <v>4182</v>
      </c>
      <c r="K619" s="31">
        <v>229595.1</v>
      </c>
      <c r="M619" s="31">
        <v>157100.85999999999</v>
      </c>
      <c r="O619" s="31">
        <v>72494.240000000005</v>
      </c>
      <c r="Q619">
        <v>46.1</v>
      </c>
    </row>
    <row r="620" spans="3:17">
      <c r="C620">
        <v>5360</v>
      </c>
      <c r="E620" t="s">
        <v>5005</v>
      </c>
      <c r="H620" t="s">
        <v>4105</v>
      </c>
      <c r="K620" s="31">
        <v>126288934.37</v>
      </c>
      <c r="M620" s="31">
        <v>126288934.37</v>
      </c>
      <c r="O620">
        <v>0</v>
      </c>
    </row>
    <row r="621" spans="3:17">
      <c r="C621">
        <v>5360</v>
      </c>
      <c r="E621" t="s">
        <v>5006</v>
      </c>
      <c r="H621" t="s">
        <v>5007</v>
      </c>
      <c r="K621" s="31">
        <v>-16229.58</v>
      </c>
      <c r="M621" s="31">
        <v>-16229.58</v>
      </c>
      <c r="O621">
        <v>0</v>
      </c>
    </row>
    <row r="622" spans="3:17">
      <c r="C622">
        <v>5360</v>
      </c>
      <c r="E622" t="s">
        <v>5008</v>
      </c>
      <c r="H622" t="s">
        <v>4107</v>
      </c>
      <c r="K622" s="31">
        <v>-4729879.0599999996</v>
      </c>
      <c r="M622" s="31">
        <v>-4729879.0599999996</v>
      </c>
      <c r="O622">
        <v>0</v>
      </c>
    </row>
    <row r="623" spans="3:17">
      <c r="C623">
        <v>5360</v>
      </c>
      <c r="E623" t="s">
        <v>5009</v>
      </c>
      <c r="H623" t="s">
        <v>4111</v>
      </c>
      <c r="K623" s="31">
        <v>2712327.78</v>
      </c>
      <c r="M623" s="31">
        <v>2712327.78</v>
      </c>
      <c r="O623">
        <v>0</v>
      </c>
    </row>
    <row r="624" spans="3:17">
      <c r="C624">
        <v>5360</v>
      </c>
      <c r="E624" t="s">
        <v>5010</v>
      </c>
      <c r="H624" t="s">
        <v>4115</v>
      </c>
      <c r="K624" s="31">
        <v>-7040931.8099999996</v>
      </c>
      <c r="M624" s="31">
        <v>-7040931.8099999996</v>
      </c>
      <c r="O624">
        <v>0</v>
      </c>
    </row>
    <row r="625" spans="3:17">
      <c r="C625">
        <v>5360</v>
      </c>
      <c r="E625" t="s">
        <v>5011</v>
      </c>
      <c r="H625" t="s">
        <v>5012</v>
      </c>
      <c r="K625" s="31">
        <v>-3466469.8</v>
      </c>
      <c r="M625" s="31">
        <v>-3466469.8</v>
      </c>
      <c r="O625">
        <v>0</v>
      </c>
    </row>
    <row r="626" spans="3:17">
      <c r="C626">
        <v>5360</v>
      </c>
      <c r="E626" t="s">
        <v>5013</v>
      </c>
      <c r="H626" t="s">
        <v>4117</v>
      </c>
      <c r="K626" s="31">
        <v>-64691190.159999996</v>
      </c>
      <c r="M626" s="31">
        <v>-64691190.159999996</v>
      </c>
      <c r="O626">
        <v>0</v>
      </c>
    </row>
    <row r="627" spans="3:17">
      <c r="C627">
        <v>5360</v>
      </c>
      <c r="E627" t="s">
        <v>5014</v>
      </c>
      <c r="H627" t="s">
        <v>4148</v>
      </c>
      <c r="K627" s="31">
        <v>-8528.16</v>
      </c>
      <c r="M627" s="31">
        <v>-8528.16</v>
      </c>
      <c r="O627">
        <v>0</v>
      </c>
    </row>
    <row r="628" spans="3:17">
      <c r="C628">
        <v>5360</v>
      </c>
      <c r="E628" t="s">
        <v>5015</v>
      </c>
      <c r="H628" t="s">
        <v>4150</v>
      </c>
      <c r="K628" s="31">
        <v>-18575007.09</v>
      </c>
      <c r="M628" s="31">
        <v>-18575007.09</v>
      </c>
      <c r="O628">
        <v>0</v>
      </c>
    </row>
    <row r="629" spans="3:17">
      <c r="C629">
        <v>5360</v>
      </c>
      <c r="E629" t="s">
        <v>5016</v>
      </c>
      <c r="H629" t="s">
        <v>5017</v>
      </c>
      <c r="K629">
        <v>35.119999999999997</v>
      </c>
      <c r="M629">
        <v>35.119999999999997</v>
      </c>
      <c r="O629">
        <v>0</v>
      </c>
    </row>
    <row r="630" spans="3:17">
      <c r="C630">
        <v>5360</v>
      </c>
      <c r="E630" t="s">
        <v>5018</v>
      </c>
      <c r="H630" t="s">
        <v>4119</v>
      </c>
      <c r="K630" s="31">
        <v>14247.93</v>
      </c>
      <c r="M630" s="31">
        <v>14247.93</v>
      </c>
      <c r="O630">
        <v>0</v>
      </c>
    </row>
    <row r="631" spans="3:17">
      <c r="C631">
        <v>5360</v>
      </c>
      <c r="E631" t="s">
        <v>5021</v>
      </c>
      <c r="H631" t="s">
        <v>5022</v>
      </c>
      <c r="K631" s="31">
        <v>24781527.109999999</v>
      </c>
      <c r="M631" s="31">
        <v>37833866.649999999</v>
      </c>
      <c r="O631" s="31">
        <v>-13052339.539999999</v>
      </c>
      <c r="Q631">
        <v>-34.5</v>
      </c>
    </row>
    <row r="632" spans="3:17">
      <c r="C632">
        <v>5360</v>
      </c>
      <c r="E632" t="s">
        <v>5023</v>
      </c>
      <c r="H632" t="s">
        <v>5024</v>
      </c>
      <c r="K632" s="31">
        <v>33843.599999999999</v>
      </c>
      <c r="M632" s="31">
        <v>50922.15</v>
      </c>
      <c r="O632" s="31">
        <v>-17078.55</v>
      </c>
      <c r="Q632">
        <v>-33.5</v>
      </c>
    </row>
    <row r="633" spans="3:17">
      <c r="C633">
        <v>5360</v>
      </c>
      <c r="E633" t="s">
        <v>5025</v>
      </c>
      <c r="H633" t="s">
        <v>4153</v>
      </c>
      <c r="K633" s="31">
        <v>-2132.04</v>
      </c>
      <c r="M633" s="31">
        <v>-3198.06</v>
      </c>
      <c r="O633" s="31">
        <v>1066.02</v>
      </c>
      <c r="Q633">
        <v>33.299999999999997</v>
      </c>
    </row>
    <row r="634" spans="3:17">
      <c r="C634">
        <v>5360</v>
      </c>
      <c r="E634" t="s">
        <v>5026</v>
      </c>
      <c r="H634" t="s">
        <v>4155</v>
      </c>
      <c r="K634" s="31">
        <v>-1525870.69</v>
      </c>
      <c r="M634" s="31">
        <v>-2206748.87</v>
      </c>
      <c r="O634" s="31">
        <v>680878.18</v>
      </c>
      <c r="Q634">
        <v>30.9</v>
      </c>
    </row>
    <row r="635" spans="3:17">
      <c r="C635">
        <v>5360</v>
      </c>
      <c r="E635" t="s">
        <v>5027</v>
      </c>
      <c r="H635" t="s">
        <v>5028</v>
      </c>
      <c r="K635" s="31">
        <v>-1633.6</v>
      </c>
      <c r="M635" s="31">
        <v>-1633.6</v>
      </c>
      <c r="O635">
        <v>0</v>
      </c>
    </row>
    <row r="636" spans="3:17">
      <c r="C636">
        <v>5360</v>
      </c>
      <c r="E636" t="s">
        <v>5029</v>
      </c>
      <c r="H636" t="s">
        <v>4130</v>
      </c>
      <c r="K636" s="31">
        <v>-7128841.3700000001</v>
      </c>
      <c r="M636" s="31">
        <v>-10439479.4</v>
      </c>
      <c r="O636" s="31">
        <v>3310638.03</v>
      </c>
      <c r="Q636">
        <v>31.7</v>
      </c>
    </row>
    <row r="637" spans="3:17">
      <c r="C637">
        <v>5360</v>
      </c>
      <c r="E637" t="s">
        <v>5030</v>
      </c>
      <c r="H637" t="s">
        <v>4158</v>
      </c>
      <c r="K637" s="31">
        <v>469876.4</v>
      </c>
      <c r="M637" s="31">
        <v>559801.80000000005</v>
      </c>
      <c r="O637" s="31">
        <v>-89925.4</v>
      </c>
      <c r="Q637">
        <v>-16.100000000000001</v>
      </c>
    </row>
    <row r="638" spans="3:17">
      <c r="C638">
        <v>5360</v>
      </c>
      <c r="E638" t="s">
        <v>5031</v>
      </c>
      <c r="H638" t="s">
        <v>5032</v>
      </c>
      <c r="K638" s="31">
        <v>355828.75</v>
      </c>
      <c r="M638" s="31">
        <v>355828.75</v>
      </c>
      <c r="O638">
        <v>0</v>
      </c>
    </row>
    <row r="639" spans="3:17">
      <c r="C639">
        <v>5360</v>
      </c>
      <c r="E639" t="s">
        <v>5033</v>
      </c>
      <c r="H639" t="s">
        <v>5034</v>
      </c>
      <c r="K639" s="31">
        <v>32068991.48</v>
      </c>
      <c r="M639" s="31">
        <v>32068991.48</v>
      </c>
      <c r="O639">
        <v>0</v>
      </c>
    </row>
    <row r="640" spans="3:17">
      <c r="C640">
        <v>5360</v>
      </c>
      <c r="E640" t="s">
        <v>5035</v>
      </c>
      <c r="H640" t="s">
        <v>5036</v>
      </c>
      <c r="K640" s="31">
        <v>-8631.2000000000007</v>
      </c>
      <c r="M640" s="31">
        <v>-8631.2000000000007</v>
      </c>
      <c r="O640">
        <v>0</v>
      </c>
    </row>
    <row r="641" spans="3:17">
      <c r="C641">
        <v>5360</v>
      </c>
      <c r="E641" t="s">
        <v>5037</v>
      </c>
      <c r="H641" t="s">
        <v>5038</v>
      </c>
      <c r="K641" s="31">
        <v>6579.97</v>
      </c>
      <c r="M641" s="31">
        <v>6579.97</v>
      </c>
      <c r="O641">
        <v>0</v>
      </c>
    </row>
    <row r="642" spans="3:17">
      <c r="C642">
        <v>5360</v>
      </c>
      <c r="E642" t="s">
        <v>5039</v>
      </c>
      <c r="H642" t="s">
        <v>5040</v>
      </c>
      <c r="K642" s="31">
        <v>1467845.2</v>
      </c>
      <c r="M642" s="31">
        <v>1467845.2</v>
      </c>
      <c r="O642">
        <v>0</v>
      </c>
    </row>
    <row r="643" spans="3:17">
      <c r="C643">
        <v>5360</v>
      </c>
      <c r="E643" t="s">
        <v>5041</v>
      </c>
      <c r="H643" t="s">
        <v>5042</v>
      </c>
      <c r="K643" s="31">
        <v>4797709</v>
      </c>
      <c r="M643">
        <v>0</v>
      </c>
      <c r="O643" s="31">
        <v>4797709</v>
      </c>
    </row>
    <row r="644" spans="3:17">
      <c r="C644">
        <v>5360</v>
      </c>
      <c r="E644" t="s">
        <v>5043</v>
      </c>
      <c r="H644" t="s">
        <v>5044</v>
      </c>
      <c r="K644" s="31">
        <v>-1186739.03</v>
      </c>
      <c r="M644" s="31">
        <v>-3193562.97</v>
      </c>
      <c r="O644" s="31">
        <v>2006823.94</v>
      </c>
      <c r="Q644">
        <v>62.8</v>
      </c>
    </row>
    <row r="645" spans="3:17">
      <c r="C645">
        <v>5360</v>
      </c>
      <c r="E645" t="s">
        <v>5045</v>
      </c>
      <c r="H645" t="s">
        <v>5046</v>
      </c>
      <c r="K645" s="31">
        <v>64184139.140000001</v>
      </c>
      <c r="M645" s="31">
        <v>38353225.399999999</v>
      </c>
      <c r="O645" s="31">
        <v>25830913.739999998</v>
      </c>
      <c r="Q645">
        <v>67.400000000000006</v>
      </c>
    </row>
    <row r="646" spans="3:17">
      <c r="C646">
        <v>5360</v>
      </c>
      <c r="E646" t="s">
        <v>5047</v>
      </c>
      <c r="H646" t="s">
        <v>4272</v>
      </c>
      <c r="K646" s="31">
        <v>-2638316.5</v>
      </c>
      <c r="M646" s="31">
        <v>41361069.829999998</v>
      </c>
      <c r="O646" s="31">
        <v>-43999386.329999998</v>
      </c>
      <c r="Q646">
        <v>-106.4</v>
      </c>
    </row>
    <row r="647" spans="3:17">
      <c r="C647">
        <v>5360</v>
      </c>
      <c r="E647" t="s">
        <v>5048</v>
      </c>
      <c r="H647" t="s">
        <v>4288</v>
      </c>
      <c r="K647">
        <v>-35.549999999999997</v>
      </c>
      <c r="M647">
        <v>-35.549999999999997</v>
      </c>
      <c r="O647">
        <v>0</v>
      </c>
    </row>
    <row r="648" spans="3:17">
      <c r="C648">
        <v>5360</v>
      </c>
      <c r="E648" t="s">
        <v>5049</v>
      </c>
      <c r="H648" t="s">
        <v>4294</v>
      </c>
      <c r="K648" s="31">
        <v>-156835.32</v>
      </c>
      <c r="M648" s="31">
        <v>-133196.79999999999</v>
      </c>
      <c r="O648" s="31">
        <v>-23638.52</v>
      </c>
      <c r="Q648">
        <v>-17.7</v>
      </c>
    </row>
    <row r="649" spans="3:17">
      <c r="C649">
        <v>5360</v>
      </c>
      <c r="E649" t="s">
        <v>5050</v>
      </c>
      <c r="H649" t="s">
        <v>5051</v>
      </c>
      <c r="K649" s="31">
        <v>6549586.4000000004</v>
      </c>
      <c r="M649" s="31">
        <v>6600315.0899999999</v>
      </c>
      <c r="O649" s="31">
        <v>-50728.69</v>
      </c>
      <c r="Q649">
        <v>-0.8</v>
      </c>
    </row>
    <row r="650" spans="3:17">
      <c r="C650">
        <v>5360</v>
      </c>
      <c r="E650" t="s">
        <v>5052</v>
      </c>
      <c r="H650" t="s">
        <v>5053</v>
      </c>
      <c r="K650" s="31">
        <v>58856716.740000002</v>
      </c>
      <c r="M650" s="31">
        <v>28852194.440000001</v>
      </c>
      <c r="O650" s="31">
        <v>30004522.300000001</v>
      </c>
      <c r="Q650">
        <v>104</v>
      </c>
    </row>
    <row r="651" spans="3:17">
      <c r="C651">
        <v>5360</v>
      </c>
      <c r="E651" t="s">
        <v>5054</v>
      </c>
      <c r="H651" t="s">
        <v>5055</v>
      </c>
      <c r="K651" s="31">
        <v>-426745.75</v>
      </c>
      <c r="M651" s="31">
        <v>-426745.75</v>
      </c>
      <c r="O651">
        <v>0</v>
      </c>
    </row>
    <row r="652" spans="3:17">
      <c r="C652">
        <v>5360</v>
      </c>
      <c r="E652" t="s">
        <v>5056</v>
      </c>
      <c r="H652" t="s">
        <v>5057</v>
      </c>
      <c r="K652" s="31">
        <v>1438462.87</v>
      </c>
      <c r="M652" s="31">
        <v>1438462.87</v>
      </c>
      <c r="O652">
        <v>0</v>
      </c>
    </row>
    <row r="653" spans="3:17">
      <c r="C653">
        <v>5360</v>
      </c>
      <c r="E653" t="s">
        <v>5058</v>
      </c>
      <c r="H653" t="s">
        <v>4324</v>
      </c>
      <c r="K653" s="31">
        <v>-3229117.63</v>
      </c>
      <c r="M653" s="31">
        <v>-3229117.63</v>
      </c>
      <c r="O653">
        <v>0</v>
      </c>
    </row>
    <row r="654" spans="3:17">
      <c r="C654">
        <v>5360</v>
      </c>
      <c r="E654" t="s">
        <v>5989</v>
      </c>
      <c r="H654" t="s">
        <v>4341</v>
      </c>
      <c r="K654" s="31">
        <v>2622063.5</v>
      </c>
      <c r="M654" s="31">
        <v>3933095.27</v>
      </c>
      <c r="O654" s="31">
        <v>-1311031.77</v>
      </c>
      <c r="Q654">
        <v>-33.299999999999997</v>
      </c>
    </row>
    <row r="655" spans="3:17">
      <c r="C655">
        <v>5360</v>
      </c>
      <c r="E655" t="s">
        <v>5990</v>
      </c>
      <c r="H655" t="s">
        <v>4343</v>
      </c>
      <c r="K655" s="31">
        <v>4419</v>
      </c>
      <c r="M655" s="31">
        <v>6628.5</v>
      </c>
      <c r="O655" s="31">
        <v>-2209.5</v>
      </c>
      <c r="Q655">
        <v>-33.299999999999997</v>
      </c>
    </row>
    <row r="656" spans="3:17">
      <c r="C656">
        <v>5360</v>
      </c>
      <c r="E656" t="s">
        <v>5059</v>
      </c>
      <c r="H656" t="s">
        <v>4405</v>
      </c>
      <c r="K656" s="31">
        <v>8856225.4900000002</v>
      </c>
      <c r="M656" s="31">
        <v>8856225.4900000002</v>
      </c>
      <c r="O656">
        <v>0</v>
      </c>
    </row>
    <row r="657" spans="3:17">
      <c r="C657">
        <v>5360</v>
      </c>
      <c r="E657" t="s">
        <v>5060</v>
      </c>
      <c r="H657" t="s">
        <v>4428</v>
      </c>
      <c r="K657" s="31">
        <v>3190493.66</v>
      </c>
      <c r="M657" s="31">
        <v>3190493.66</v>
      </c>
      <c r="O657">
        <v>0</v>
      </c>
    </row>
    <row r="658" spans="3:17">
      <c r="C658">
        <v>5360</v>
      </c>
      <c r="E658" t="s">
        <v>5061</v>
      </c>
      <c r="H658" t="s">
        <v>4423</v>
      </c>
      <c r="K658" s="31">
        <v>525526.31000000006</v>
      </c>
      <c r="M658" s="31">
        <v>500897.12</v>
      </c>
      <c r="O658" s="31">
        <v>24629.19</v>
      </c>
      <c r="Q658">
        <v>4.9000000000000004</v>
      </c>
    </row>
    <row r="659" spans="3:17">
      <c r="C659">
        <v>5360</v>
      </c>
      <c r="E659" t="s">
        <v>5062</v>
      </c>
      <c r="H659" t="s">
        <v>5063</v>
      </c>
      <c r="K659" s="31">
        <v>15650730.789999999</v>
      </c>
      <c r="M659" s="31">
        <v>8076178.2599999998</v>
      </c>
      <c r="O659" s="31">
        <v>7574552.5300000003</v>
      </c>
      <c r="Q659">
        <v>93.8</v>
      </c>
    </row>
    <row r="660" spans="3:17">
      <c r="C660">
        <v>5360</v>
      </c>
      <c r="E660" t="s">
        <v>5064</v>
      </c>
      <c r="H660" t="s">
        <v>5065</v>
      </c>
      <c r="K660" s="31">
        <v>224834.93</v>
      </c>
      <c r="M660" s="31">
        <v>224834.93</v>
      </c>
      <c r="O660">
        <v>0</v>
      </c>
    </row>
    <row r="661" spans="3:17">
      <c r="C661">
        <v>5360</v>
      </c>
      <c r="E661" t="s">
        <v>5066</v>
      </c>
      <c r="H661" t="s">
        <v>4468</v>
      </c>
      <c r="K661" s="31">
        <v>928861</v>
      </c>
      <c r="M661" s="31">
        <v>928861</v>
      </c>
      <c r="O661">
        <v>0</v>
      </c>
    </row>
    <row r="662" spans="3:17">
      <c r="C662">
        <v>5360</v>
      </c>
      <c r="E662" t="s">
        <v>5067</v>
      </c>
      <c r="H662" t="s">
        <v>4470</v>
      </c>
      <c r="K662" s="31">
        <v>4834150.7699999996</v>
      </c>
      <c r="M662" s="31">
        <v>4834150.7699999996</v>
      </c>
      <c r="O662">
        <v>0</v>
      </c>
    </row>
    <row r="663" spans="3:17">
      <c r="C663">
        <v>5360</v>
      </c>
      <c r="E663" t="s">
        <v>5068</v>
      </c>
      <c r="H663" t="s">
        <v>4476</v>
      </c>
      <c r="K663" s="31">
        <v>4586672</v>
      </c>
      <c r="M663" s="31">
        <v>4586672</v>
      </c>
      <c r="O663">
        <v>0</v>
      </c>
    </row>
    <row r="664" spans="3:17">
      <c r="C664">
        <v>5360</v>
      </c>
      <c r="E664" t="s">
        <v>5069</v>
      </c>
      <c r="H664" t="s">
        <v>4478</v>
      </c>
      <c r="K664" s="31">
        <v>-476783.87</v>
      </c>
      <c r="M664" s="31">
        <v>-476783.87</v>
      </c>
      <c r="O664">
        <v>0</v>
      </c>
    </row>
    <row r="665" spans="3:17">
      <c r="C665">
        <v>5360</v>
      </c>
      <c r="E665" t="s">
        <v>5070</v>
      </c>
      <c r="H665" t="s">
        <v>4480</v>
      </c>
      <c r="K665" s="31">
        <v>-10453106</v>
      </c>
      <c r="M665" s="31">
        <v>-10453106</v>
      </c>
      <c r="O665">
        <v>0</v>
      </c>
    </row>
    <row r="666" spans="3:17">
      <c r="C666">
        <v>5360</v>
      </c>
      <c r="E666" t="s">
        <v>5071</v>
      </c>
      <c r="H666" t="s">
        <v>4482</v>
      </c>
      <c r="K666" s="31">
        <v>565554.75</v>
      </c>
      <c r="M666" s="31">
        <v>565554.75</v>
      </c>
      <c r="O666">
        <v>0</v>
      </c>
    </row>
    <row r="667" spans="3:17">
      <c r="C667">
        <v>5360</v>
      </c>
      <c r="E667" t="s">
        <v>5072</v>
      </c>
      <c r="H667" t="s">
        <v>4494</v>
      </c>
      <c r="K667" s="31">
        <v>-325367</v>
      </c>
      <c r="M667" s="31">
        <v>-325367</v>
      </c>
      <c r="O667">
        <v>0</v>
      </c>
    </row>
    <row r="668" spans="3:17">
      <c r="C668">
        <v>5360</v>
      </c>
      <c r="E668" t="s">
        <v>5073</v>
      </c>
      <c r="H668" t="s">
        <v>4503</v>
      </c>
      <c r="K668" s="31">
        <v>-1799639</v>
      </c>
      <c r="M668" s="31">
        <v>-1799639</v>
      </c>
      <c r="O668">
        <v>0</v>
      </c>
    </row>
    <row r="669" spans="3:17">
      <c r="C669">
        <v>5360</v>
      </c>
      <c r="E669" t="s">
        <v>5074</v>
      </c>
      <c r="H669" t="s">
        <v>5075</v>
      </c>
      <c r="K669" s="31">
        <v>-3660836</v>
      </c>
      <c r="M669" s="31">
        <v>-3660836</v>
      </c>
      <c r="O669">
        <v>0</v>
      </c>
    </row>
    <row r="670" spans="3:17">
      <c r="C670">
        <v>5360</v>
      </c>
      <c r="E670" t="s">
        <v>5076</v>
      </c>
      <c r="H670" t="s">
        <v>4512</v>
      </c>
      <c r="K670" s="31">
        <v>-15524.37</v>
      </c>
      <c r="M670" s="31">
        <v>-15524.37</v>
      </c>
      <c r="O670">
        <v>0</v>
      </c>
    </row>
    <row r="671" spans="3:17">
      <c r="C671">
        <v>5360</v>
      </c>
      <c r="E671" t="s">
        <v>5077</v>
      </c>
      <c r="H671" t="s">
        <v>4519</v>
      </c>
      <c r="K671" s="31">
        <v>-145595063.31</v>
      </c>
      <c r="M671" s="31">
        <v>-145595063.31</v>
      </c>
      <c r="O671">
        <v>0</v>
      </c>
    </row>
    <row r="672" spans="3:17">
      <c r="C672">
        <v>5360</v>
      </c>
      <c r="E672" t="s">
        <v>5078</v>
      </c>
      <c r="H672" t="s">
        <v>5079</v>
      </c>
      <c r="K672" s="31">
        <v>5467045.0599999996</v>
      </c>
      <c r="M672" s="31">
        <v>5467045.0599999996</v>
      </c>
      <c r="O672">
        <v>0</v>
      </c>
    </row>
    <row r="673" spans="3:17">
      <c r="C673">
        <v>5360</v>
      </c>
      <c r="E673" t="s">
        <v>5082</v>
      </c>
      <c r="H673" t="s">
        <v>5083</v>
      </c>
      <c r="K673" s="31">
        <v>-26478977.77</v>
      </c>
      <c r="M673" s="31">
        <v>-26478977.77</v>
      </c>
      <c r="O673">
        <v>0</v>
      </c>
    </row>
    <row r="674" spans="3:17">
      <c r="C674">
        <v>5360</v>
      </c>
      <c r="E674" t="s">
        <v>5991</v>
      </c>
      <c r="H674" t="s">
        <v>5970</v>
      </c>
      <c r="K674" s="31">
        <v>-498243.48</v>
      </c>
      <c r="M674" s="31">
        <v>-498243.48</v>
      </c>
      <c r="O674">
        <v>0</v>
      </c>
    </row>
    <row r="675" spans="3:17">
      <c r="C675">
        <v>5360</v>
      </c>
      <c r="E675" t="s">
        <v>5084</v>
      </c>
      <c r="H675" t="s">
        <v>4524</v>
      </c>
      <c r="K675" s="31">
        <v>2614432</v>
      </c>
      <c r="M675" s="31">
        <v>2614432</v>
      </c>
      <c r="O675">
        <v>0</v>
      </c>
    </row>
    <row r="676" spans="3:17">
      <c r="C676">
        <v>5360</v>
      </c>
      <c r="E676" t="s">
        <v>5089</v>
      </c>
      <c r="H676" t="s">
        <v>4532</v>
      </c>
      <c r="K676" s="31">
        <v>8053714.1200000001</v>
      </c>
      <c r="M676" s="31">
        <v>8136766.1799999997</v>
      </c>
      <c r="O676" s="31">
        <v>-83052.06</v>
      </c>
      <c r="Q676">
        <v>-1</v>
      </c>
    </row>
    <row r="677" spans="3:17">
      <c r="C677">
        <v>5360</v>
      </c>
      <c r="E677" t="s">
        <v>5090</v>
      </c>
      <c r="H677" t="s">
        <v>5091</v>
      </c>
      <c r="K677" s="31">
        <v>-8577346.9000000004</v>
      </c>
      <c r="M677" s="31">
        <v>-8577346.9000000004</v>
      </c>
      <c r="O677">
        <v>0</v>
      </c>
    </row>
    <row r="678" spans="3:17">
      <c r="C678">
        <v>5360</v>
      </c>
      <c r="E678" t="s">
        <v>5092</v>
      </c>
      <c r="H678" t="s">
        <v>5093</v>
      </c>
      <c r="K678" s="31">
        <v>-8252994.1900000004</v>
      </c>
      <c r="M678" s="31">
        <v>-8252994.1900000004</v>
      </c>
      <c r="O678">
        <v>0</v>
      </c>
    </row>
    <row r="679" spans="3:17">
      <c r="C679">
        <v>5360</v>
      </c>
      <c r="E679" t="s">
        <v>5094</v>
      </c>
      <c r="H679" t="s">
        <v>4813</v>
      </c>
      <c r="K679" s="31">
        <v>-4323190.53</v>
      </c>
      <c r="M679" s="31">
        <v>-4323190.53</v>
      </c>
      <c r="O679">
        <v>0</v>
      </c>
    </row>
    <row r="680" spans="3:17">
      <c r="C680">
        <v>5360</v>
      </c>
      <c r="E680" t="s">
        <v>5095</v>
      </c>
      <c r="H680" t="s">
        <v>4815</v>
      </c>
      <c r="K680" s="31">
        <v>-788639.3</v>
      </c>
      <c r="M680" s="31">
        <v>-981481.46</v>
      </c>
      <c r="O680" s="31">
        <v>192842.16</v>
      </c>
      <c r="Q680">
        <v>19.600000000000001</v>
      </c>
    </row>
    <row r="681" spans="3:17">
      <c r="C681">
        <v>5360</v>
      </c>
      <c r="E681" t="s">
        <v>5096</v>
      </c>
      <c r="H681" t="s">
        <v>4817</v>
      </c>
      <c r="K681" s="31">
        <v>7952.57</v>
      </c>
      <c r="M681" s="31">
        <v>11937.67</v>
      </c>
      <c r="O681" s="31">
        <v>-3985.1</v>
      </c>
      <c r="Q681">
        <v>-33.4</v>
      </c>
    </row>
    <row r="682" spans="3:17">
      <c r="C682">
        <v>5360</v>
      </c>
      <c r="E682" t="s">
        <v>5097</v>
      </c>
      <c r="H682" t="s">
        <v>4819</v>
      </c>
      <c r="K682" s="31">
        <v>1018178.87</v>
      </c>
      <c r="M682" s="31">
        <v>1495115.79</v>
      </c>
      <c r="O682" s="31">
        <v>-476936.92</v>
      </c>
      <c r="Q682">
        <v>-31.9</v>
      </c>
    </row>
    <row r="683" spans="3:17">
      <c r="C683">
        <v>5360</v>
      </c>
      <c r="E683" t="s">
        <v>5098</v>
      </c>
      <c r="H683" t="s">
        <v>4805</v>
      </c>
      <c r="K683">
        <v>-15.59</v>
      </c>
      <c r="M683">
        <v>-15.59</v>
      </c>
      <c r="O683">
        <v>0</v>
      </c>
    </row>
    <row r="684" spans="3:17">
      <c r="C684">
        <v>5360</v>
      </c>
      <c r="E684" t="s">
        <v>5099</v>
      </c>
      <c r="H684" t="s">
        <v>4546</v>
      </c>
      <c r="K684" s="31">
        <v>732371.61</v>
      </c>
      <c r="M684" s="31">
        <v>732371.61</v>
      </c>
      <c r="O684">
        <v>0</v>
      </c>
    </row>
    <row r="685" spans="3:17">
      <c r="C685">
        <v>5360</v>
      </c>
      <c r="E685" t="s">
        <v>5100</v>
      </c>
      <c r="H685" t="s">
        <v>4614</v>
      </c>
      <c r="K685" s="31">
        <v>-34254306.979999997</v>
      </c>
      <c r="M685" s="31">
        <v>-19094564.82</v>
      </c>
      <c r="O685" s="31">
        <v>-15159742.16</v>
      </c>
      <c r="Q685">
        <v>-79.400000000000006</v>
      </c>
    </row>
    <row r="686" spans="3:17">
      <c r="C686">
        <v>5360</v>
      </c>
      <c r="E686" t="s">
        <v>5101</v>
      </c>
      <c r="H686" t="s">
        <v>4616</v>
      </c>
      <c r="K686" s="31">
        <v>1883357.53</v>
      </c>
      <c r="M686" s="31">
        <v>-12055989.34</v>
      </c>
      <c r="O686" s="31">
        <v>13939346.869999999</v>
      </c>
      <c r="Q686">
        <v>115.6</v>
      </c>
    </row>
    <row r="687" spans="3:17">
      <c r="C687">
        <v>5360</v>
      </c>
      <c r="E687" t="s">
        <v>5102</v>
      </c>
      <c r="H687" t="s">
        <v>5103</v>
      </c>
      <c r="K687" s="31">
        <v>-15808352.77</v>
      </c>
      <c r="M687" s="31">
        <v>-15808352.77</v>
      </c>
      <c r="O687">
        <v>0</v>
      </c>
    </row>
    <row r="688" spans="3:17">
      <c r="C688">
        <v>5360</v>
      </c>
      <c r="E688" t="s">
        <v>5104</v>
      </c>
      <c r="H688" t="s">
        <v>4628</v>
      </c>
      <c r="K688" s="31">
        <v>618592.41</v>
      </c>
      <c r="M688" s="31">
        <v>618592.41</v>
      </c>
      <c r="O688">
        <v>0</v>
      </c>
    </row>
    <row r="689" spans="3:17">
      <c r="C689">
        <v>5360</v>
      </c>
      <c r="E689" t="s">
        <v>5105</v>
      </c>
      <c r="H689" t="s">
        <v>4630</v>
      </c>
      <c r="K689" s="31">
        <v>9728528.4900000002</v>
      </c>
      <c r="M689" s="31">
        <v>9678654.7400000002</v>
      </c>
      <c r="O689" s="31">
        <v>49873.75</v>
      </c>
      <c r="Q689">
        <v>0.5</v>
      </c>
    </row>
    <row r="690" spans="3:17">
      <c r="C690">
        <v>5360</v>
      </c>
      <c r="E690" t="s">
        <v>5106</v>
      </c>
      <c r="H690" t="s">
        <v>5107</v>
      </c>
      <c r="K690" s="31">
        <v>-90179.24</v>
      </c>
      <c r="M690" s="31">
        <v>-90172.04</v>
      </c>
      <c r="O690">
        <v>-7.2</v>
      </c>
    </row>
    <row r="691" spans="3:17">
      <c r="C691">
        <v>5360</v>
      </c>
      <c r="E691" t="s">
        <v>5109</v>
      </c>
      <c r="H691" t="s">
        <v>5110</v>
      </c>
      <c r="K691" s="31">
        <v>-71839.429999999993</v>
      </c>
      <c r="M691" s="31">
        <v>-71839.429999999993</v>
      </c>
      <c r="O691">
        <v>0</v>
      </c>
    </row>
    <row r="692" spans="3:17">
      <c r="C692">
        <v>5360</v>
      </c>
      <c r="E692" t="s">
        <v>5111</v>
      </c>
      <c r="H692" t="s">
        <v>5112</v>
      </c>
      <c r="K692" s="31">
        <v>-4941.09</v>
      </c>
      <c r="M692" s="31">
        <v>-7089.69</v>
      </c>
      <c r="O692" s="31">
        <v>2148.6</v>
      </c>
      <c r="Q692">
        <v>30.3</v>
      </c>
    </row>
    <row r="693" spans="3:17">
      <c r="C693">
        <v>5360</v>
      </c>
      <c r="E693" t="s">
        <v>5113</v>
      </c>
      <c r="H693" t="s">
        <v>5114</v>
      </c>
      <c r="K693" s="31">
        <v>-25818.78</v>
      </c>
      <c r="M693" s="31">
        <v>-29996.400000000001</v>
      </c>
      <c r="O693" s="31">
        <v>4177.62</v>
      </c>
      <c r="Q693">
        <v>13.9</v>
      </c>
    </row>
    <row r="694" spans="3:17">
      <c r="C694">
        <v>5360</v>
      </c>
      <c r="E694" t="s">
        <v>5115</v>
      </c>
      <c r="H694" t="s">
        <v>4703</v>
      </c>
      <c r="K694" s="31">
        <v>-37619</v>
      </c>
      <c r="M694" s="31">
        <v>-37619</v>
      </c>
      <c r="O694">
        <v>0</v>
      </c>
    </row>
    <row r="695" spans="3:17">
      <c r="C695">
        <v>5360</v>
      </c>
      <c r="E695" t="s">
        <v>5116</v>
      </c>
      <c r="H695" t="s">
        <v>5117</v>
      </c>
      <c r="K695" s="31">
        <v>61484.11</v>
      </c>
      <c r="M695" s="31">
        <v>93025.31</v>
      </c>
      <c r="O695" s="31">
        <v>-31541.200000000001</v>
      </c>
      <c r="Q695">
        <v>-33.9</v>
      </c>
    </row>
    <row r="696" spans="3:17">
      <c r="C696">
        <v>5360</v>
      </c>
      <c r="E696" t="s">
        <v>5118</v>
      </c>
      <c r="H696" t="s">
        <v>5119</v>
      </c>
      <c r="K696" s="31">
        <v>64688.15</v>
      </c>
      <c r="M696" s="31">
        <v>81167.94</v>
      </c>
      <c r="O696" s="31">
        <v>-16479.79</v>
      </c>
      <c r="Q696">
        <v>-20.3</v>
      </c>
    </row>
    <row r="697" spans="3:17">
      <c r="C697">
        <v>5360</v>
      </c>
      <c r="E697" t="s">
        <v>5120</v>
      </c>
      <c r="H697" t="s">
        <v>4709</v>
      </c>
      <c r="K697" s="31">
        <v>-30631.29</v>
      </c>
      <c r="M697" s="31">
        <v>-30631.29</v>
      </c>
      <c r="O697">
        <v>0</v>
      </c>
    </row>
    <row r="698" spans="3:17">
      <c r="C698">
        <v>5360</v>
      </c>
      <c r="E698" t="s">
        <v>5121</v>
      </c>
      <c r="H698" t="s">
        <v>4711</v>
      </c>
      <c r="K698" s="31">
        <v>9802.92</v>
      </c>
      <c r="M698" s="31">
        <v>-11787.1</v>
      </c>
      <c r="O698" s="31">
        <v>21590.02</v>
      </c>
      <c r="Q698">
        <v>183.2</v>
      </c>
    </row>
    <row r="699" spans="3:17">
      <c r="C699">
        <v>5360</v>
      </c>
      <c r="E699" t="s">
        <v>5122</v>
      </c>
      <c r="H699" t="s">
        <v>5123</v>
      </c>
      <c r="K699" s="31">
        <v>-61072.36</v>
      </c>
      <c r="M699" s="31">
        <v>-92434.51</v>
      </c>
      <c r="O699" s="31">
        <v>31362.15</v>
      </c>
      <c r="Q699">
        <v>33.9</v>
      </c>
    </row>
    <row r="700" spans="3:17">
      <c r="C700">
        <v>5360</v>
      </c>
      <c r="E700" t="s">
        <v>5124</v>
      </c>
      <c r="H700" t="s">
        <v>5125</v>
      </c>
      <c r="K700" s="31">
        <v>-62536.59</v>
      </c>
      <c r="M700" s="31">
        <v>-78668.240000000005</v>
      </c>
      <c r="O700" s="31">
        <v>16131.65</v>
      </c>
      <c r="Q700">
        <v>20.5</v>
      </c>
    </row>
    <row r="701" spans="3:17">
      <c r="C701">
        <v>5360</v>
      </c>
      <c r="E701" t="s">
        <v>5126</v>
      </c>
      <c r="H701" t="s">
        <v>5127</v>
      </c>
      <c r="K701" s="31">
        <v>-3716475.91</v>
      </c>
      <c r="M701" s="31">
        <v>-3716475.91</v>
      </c>
      <c r="O701">
        <v>0</v>
      </c>
    </row>
    <row r="702" spans="3:17">
      <c r="C702">
        <v>5360</v>
      </c>
      <c r="E702" t="s">
        <v>5128</v>
      </c>
      <c r="H702" t="s">
        <v>4718</v>
      </c>
      <c r="K702" s="31">
        <v>-2650007.9700000002</v>
      </c>
      <c r="M702" s="31">
        <v>-2650007.9700000002</v>
      </c>
      <c r="O702">
        <v>0</v>
      </c>
    </row>
    <row r="703" spans="3:17">
      <c r="C703">
        <v>5360</v>
      </c>
      <c r="E703" t="s">
        <v>5129</v>
      </c>
      <c r="H703" t="s">
        <v>4720</v>
      </c>
      <c r="K703" s="31">
        <v>-218030.54</v>
      </c>
      <c r="M703" s="31">
        <v>-255478.16</v>
      </c>
      <c r="O703" s="31">
        <v>37447.620000000003</v>
      </c>
      <c r="Q703">
        <v>14.7</v>
      </c>
    </row>
    <row r="704" spans="3:17">
      <c r="C704">
        <v>5360</v>
      </c>
      <c r="E704" t="s">
        <v>5130</v>
      </c>
      <c r="H704" t="s">
        <v>4722</v>
      </c>
      <c r="K704" s="31">
        <v>1631548.54</v>
      </c>
      <c r="M704" s="31">
        <v>2358386.77</v>
      </c>
      <c r="O704" s="31">
        <v>-726838.23</v>
      </c>
      <c r="Q704">
        <v>-30.8</v>
      </c>
    </row>
    <row r="705" spans="3:17">
      <c r="C705">
        <v>5360</v>
      </c>
      <c r="E705" t="s">
        <v>5131</v>
      </c>
      <c r="H705" t="s">
        <v>4724</v>
      </c>
      <c r="K705" s="31">
        <v>-92870.11</v>
      </c>
      <c r="M705" s="31">
        <v>-135629.14000000001</v>
      </c>
      <c r="O705" s="31">
        <v>42759.03</v>
      </c>
      <c r="Q705">
        <v>31.5</v>
      </c>
    </row>
    <row r="706" spans="3:17">
      <c r="C706">
        <v>5360</v>
      </c>
      <c r="E706" t="s">
        <v>5132</v>
      </c>
      <c r="H706" t="s">
        <v>4726</v>
      </c>
      <c r="K706" s="31">
        <v>-1018178.87</v>
      </c>
      <c r="M706" s="31">
        <v>-1495115.79</v>
      </c>
      <c r="O706" s="31">
        <v>476936.92</v>
      </c>
      <c r="Q706">
        <v>31.9</v>
      </c>
    </row>
    <row r="707" spans="3:17">
      <c r="C707">
        <v>5360</v>
      </c>
      <c r="E707" t="s">
        <v>5133</v>
      </c>
      <c r="H707" t="s">
        <v>5134</v>
      </c>
      <c r="K707" s="31">
        <v>-4968194.97</v>
      </c>
      <c r="M707" s="31">
        <v>-4610561.2699999996</v>
      </c>
      <c r="O707" s="31">
        <v>-357633.7</v>
      </c>
      <c r="Q707">
        <v>-7.8</v>
      </c>
    </row>
    <row r="708" spans="3:17">
      <c r="C708">
        <v>5360</v>
      </c>
      <c r="E708" t="s">
        <v>5137</v>
      </c>
      <c r="H708" t="s">
        <v>5138</v>
      </c>
      <c r="K708" s="31">
        <v>-4413831.8899999997</v>
      </c>
      <c r="M708" s="31">
        <v>-4413338.96</v>
      </c>
      <c r="O708">
        <v>-492.93</v>
      </c>
    </row>
    <row r="709" spans="3:17">
      <c r="C709">
        <v>5360</v>
      </c>
      <c r="E709" t="s">
        <v>5139</v>
      </c>
      <c r="H709" t="s">
        <v>4842</v>
      </c>
      <c r="K709" s="31">
        <v>14789931.460000001</v>
      </c>
      <c r="M709" s="31">
        <v>14789931.460000001</v>
      </c>
      <c r="O709">
        <v>0</v>
      </c>
    </row>
    <row r="710" spans="3:17">
      <c r="C710">
        <v>5360</v>
      </c>
      <c r="E710" t="s">
        <v>5140</v>
      </c>
      <c r="H710" t="s">
        <v>4844</v>
      </c>
      <c r="K710" s="31">
        <v>24608865.649999999</v>
      </c>
      <c r="M710" s="31">
        <v>24608865.649999999</v>
      </c>
      <c r="O710">
        <v>0</v>
      </c>
    </row>
    <row r="711" spans="3:17">
      <c r="C711">
        <v>5360</v>
      </c>
      <c r="E711" t="s">
        <v>5141</v>
      </c>
      <c r="H711" t="s">
        <v>4846</v>
      </c>
      <c r="K711" s="31">
        <v>5849968.6500000004</v>
      </c>
      <c r="M711" s="31">
        <v>5849968.6500000004</v>
      </c>
      <c r="O711">
        <v>0</v>
      </c>
    </row>
    <row r="712" spans="3:17">
      <c r="C712">
        <v>5360</v>
      </c>
      <c r="E712" t="s">
        <v>5142</v>
      </c>
      <c r="H712" t="s">
        <v>5143</v>
      </c>
      <c r="K712" s="31">
        <v>-3399502.45</v>
      </c>
      <c r="M712" s="31">
        <v>-3399502.45</v>
      </c>
      <c r="O712">
        <v>0</v>
      </c>
    </row>
    <row r="713" spans="3:17">
      <c r="C713">
        <v>5360</v>
      </c>
      <c r="E713" t="s">
        <v>5144</v>
      </c>
      <c r="H713" t="s">
        <v>4852</v>
      </c>
      <c r="K713" s="31">
        <v>-9802.92</v>
      </c>
      <c r="M713" s="31">
        <v>11787.1</v>
      </c>
      <c r="O713" s="31">
        <v>-21590.02</v>
      </c>
      <c r="Q713">
        <v>-183.2</v>
      </c>
    </row>
    <row r="714" spans="3:17">
      <c r="C714">
        <v>5360</v>
      </c>
      <c r="E714" t="s">
        <v>5145</v>
      </c>
      <c r="H714" t="s">
        <v>4868</v>
      </c>
      <c r="K714" s="31">
        <v>-401667.49</v>
      </c>
      <c r="M714" s="31">
        <v>-602501.19999999995</v>
      </c>
      <c r="O714" s="31">
        <v>200833.71</v>
      </c>
      <c r="Q714">
        <v>33.299999999999997</v>
      </c>
    </row>
    <row r="715" spans="3:17">
      <c r="C715">
        <v>5360</v>
      </c>
      <c r="E715" t="s">
        <v>5146</v>
      </c>
      <c r="H715" t="s">
        <v>4870</v>
      </c>
      <c r="K715" s="31">
        <v>-1978378.5</v>
      </c>
      <c r="M715" s="31">
        <v>-2967567.72</v>
      </c>
      <c r="O715" s="31">
        <v>989189.22</v>
      </c>
      <c r="Q715">
        <v>33.299999999999997</v>
      </c>
    </row>
    <row r="716" spans="3:17">
      <c r="C716">
        <v>5360</v>
      </c>
      <c r="E716" t="s">
        <v>5147</v>
      </c>
      <c r="H716" t="s">
        <v>5148</v>
      </c>
      <c r="K716" s="31">
        <v>-247054.39</v>
      </c>
      <c r="M716" s="31">
        <v>-354484.56</v>
      </c>
      <c r="O716" s="31">
        <v>107430.17</v>
      </c>
      <c r="Q716">
        <v>30.3</v>
      </c>
    </row>
    <row r="717" spans="3:17">
      <c r="C717">
        <v>5360</v>
      </c>
      <c r="E717" t="s">
        <v>5149</v>
      </c>
      <c r="H717" t="s">
        <v>5150</v>
      </c>
      <c r="K717" s="31">
        <v>-1290939.3999999999</v>
      </c>
      <c r="M717" s="31">
        <v>-1499820.53</v>
      </c>
      <c r="O717" s="31">
        <v>208881.13</v>
      </c>
      <c r="Q717">
        <v>13.9</v>
      </c>
    </row>
    <row r="718" spans="3:17">
      <c r="C718">
        <v>5360</v>
      </c>
      <c r="E718" t="s">
        <v>5151</v>
      </c>
      <c r="H718" t="s">
        <v>5152</v>
      </c>
      <c r="K718" s="31">
        <v>-11154757.01</v>
      </c>
      <c r="M718" s="31">
        <v>-11154757.01</v>
      </c>
      <c r="O718">
        <v>0</v>
      </c>
    </row>
    <row r="719" spans="3:17">
      <c r="C719">
        <v>5360</v>
      </c>
      <c r="E719" t="s">
        <v>5153</v>
      </c>
      <c r="H719" t="s">
        <v>5154</v>
      </c>
      <c r="K719">
        <v>0.32</v>
      </c>
      <c r="M719">
        <v>0.32</v>
      </c>
      <c r="O719">
        <v>0</v>
      </c>
    </row>
    <row r="720" spans="3:17">
      <c r="C720">
        <v>5360</v>
      </c>
      <c r="E720" t="s">
        <v>5155</v>
      </c>
      <c r="H720" t="s">
        <v>5156</v>
      </c>
      <c r="K720" s="31">
        <v>-5581264.1100000003</v>
      </c>
      <c r="M720" s="31">
        <v>-4880013.49</v>
      </c>
      <c r="O720" s="31">
        <v>-701250.62</v>
      </c>
      <c r="Q720">
        <v>-14.4</v>
      </c>
    </row>
    <row r="721" spans="3:17">
      <c r="C721">
        <v>5360</v>
      </c>
      <c r="E721" t="s">
        <v>5157</v>
      </c>
      <c r="H721" t="s">
        <v>5123</v>
      </c>
      <c r="K721" s="31">
        <v>61072.36</v>
      </c>
      <c r="M721" s="31">
        <v>92434.51</v>
      </c>
      <c r="O721" s="31">
        <v>-31362.15</v>
      </c>
      <c r="Q721">
        <v>-33.9</v>
      </c>
    </row>
    <row r="722" spans="3:17">
      <c r="C722">
        <v>5360</v>
      </c>
      <c r="E722" t="s">
        <v>5158</v>
      </c>
      <c r="H722" t="s">
        <v>5159</v>
      </c>
      <c r="K722" s="31">
        <v>62536.59</v>
      </c>
      <c r="M722" s="31">
        <v>78668.240000000005</v>
      </c>
      <c r="O722" s="31">
        <v>-16131.65</v>
      </c>
      <c r="Q722">
        <v>-20.5</v>
      </c>
    </row>
    <row r="723" spans="3:17">
      <c r="C723">
        <v>5360</v>
      </c>
      <c r="E723" t="s">
        <v>5160</v>
      </c>
      <c r="H723" t="s">
        <v>4858</v>
      </c>
      <c r="K723" s="31">
        <v>-20433036.739999998</v>
      </c>
      <c r="M723" s="31">
        <v>-20433036.739999998</v>
      </c>
      <c r="O723">
        <v>0</v>
      </c>
    </row>
    <row r="724" spans="3:17">
      <c r="C724">
        <v>5360</v>
      </c>
      <c r="E724" t="s">
        <v>5163</v>
      </c>
      <c r="H724" t="s">
        <v>5164</v>
      </c>
      <c r="K724" s="31">
        <v>164977.5</v>
      </c>
      <c r="M724" s="31">
        <v>178812.49</v>
      </c>
      <c r="O724" s="31">
        <v>-13834.99</v>
      </c>
      <c r="Q724">
        <v>-7.7</v>
      </c>
    </row>
    <row r="725" spans="3:17">
      <c r="C725">
        <v>5360</v>
      </c>
      <c r="E725" t="s">
        <v>5165</v>
      </c>
      <c r="H725" t="s">
        <v>5166</v>
      </c>
      <c r="K725" s="31">
        <v>-629239.09</v>
      </c>
      <c r="M725" s="31">
        <v>-939356.17</v>
      </c>
      <c r="O725" s="31">
        <v>310117.08</v>
      </c>
      <c r="Q725">
        <v>33</v>
      </c>
    </row>
    <row r="726" spans="3:17">
      <c r="C726">
        <v>5360</v>
      </c>
      <c r="E726" t="s">
        <v>5167</v>
      </c>
      <c r="H726" t="s">
        <v>4912</v>
      </c>
      <c r="K726" s="31">
        <v>-5464564.0199999996</v>
      </c>
      <c r="M726" s="31">
        <v>-6786581.5300000003</v>
      </c>
      <c r="O726" s="31">
        <v>1322017.51</v>
      </c>
      <c r="Q726">
        <v>19.5</v>
      </c>
    </row>
    <row r="727" spans="3:17">
      <c r="C727">
        <v>5360</v>
      </c>
      <c r="E727" t="s">
        <v>5168</v>
      </c>
      <c r="H727" t="s">
        <v>4730</v>
      </c>
      <c r="K727" s="31">
        <v>44999298.329999998</v>
      </c>
      <c r="M727" s="31">
        <v>44999298.329999998</v>
      </c>
      <c r="O727">
        <v>0</v>
      </c>
    </row>
    <row r="728" spans="3:17">
      <c r="C728">
        <v>5360</v>
      </c>
      <c r="E728" t="s">
        <v>5169</v>
      </c>
      <c r="H728" t="s">
        <v>4732</v>
      </c>
      <c r="K728" s="31">
        <v>3642166.83</v>
      </c>
      <c r="M728" s="31">
        <v>3919790.51</v>
      </c>
      <c r="O728" s="31">
        <v>-277623.67999999999</v>
      </c>
      <c r="Q728">
        <v>-7.1</v>
      </c>
    </row>
    <row r="729" spans="3:17">
      <c r="C729">
        <v>5360</v>
      </c>
      <c r="E729" t="s">
        <v>5170</v>
      </c>
      <c r="H729" t="s">
        <v>4734</v>
      </c>
      <c r="K729" s="31">
        <v>-998339.27</v>
      </c>
      <c r="M729" s="31">
        <v>-998339.27</v>
      </c>
      <c r="O729">
        <v>0</v>
      </c>
    </row>
    <row r="730" spans="3:17">
      <c r="C730">
        <v>5360</v>
      </c>
      <c r="E730" t="s">
        <v>5171</v>
      </c>
      <c r="H730" t="s">
        <v>5172</v>
      </c>
      <c r="K730" s="31">
        <v>16014449.6</v>
      </c>
      <c r="M730" s="31">
        <v>16014449.6</v>
      </c>
      <c r="O730">
        <v>0</v>
      </c>
    </row>
    <row r="731" spans="3:17">
      <c r="C731">
        <v>5360</v>
      </c>
      <c r="E731" t="s">
        <v>5173</v>
      </c>
      <c r="H731" t="s">
        <v>4752</v>
      </c>
      <c r="K731" s="31">
        <v>-352318.18</v>
      </c>
      <c r="M731" s="31">
        <v>-352318.18</v>
      </c>
      <c r="O731">
        <v>0</v>
      </c>
    </row>
    <row r="732" spans="3:17">
      <c r="C732">
        <v>5360</v>
      </c>
      <c r="E732" t="s">
        <v>5174</v>
      </c>
      <c r="H732" t="s">
        <v>4756</v>
      </c>
      <c r="K732" s="31">
        <v>-1173314.77</v>
      </c>
      <c r="M732" s="31">
        <v>-1173314.77</v>
      </c>
      <c r="O732">
        <v>0</v>
      </c>
    </row>
    <row r="733" spans="3:17">
      <c r="C733">
        <v>5360</v>
      </c>
      <c r="E733" t="s">
        <v>5175</v>
      </c>
      <c r="H733" t="s">
        <v>4758</v>
      </c>
      <c r="K733">
        <v>5</v>
      </c>
      <c r="M733">
        <v>5</v>
      </c>
      <c r="O733">
        <v>0</v>
      </c>
    </row>
    <row r="734" spans="3:17">
      <c r="C734">
        <v>5360</v>
      </c>
      <c r="E734" t="s">
        <v>5176</v>
      </c>
      <c r="H734" t="s">
        <v>4760</v>
      </c>
      <c r="K734" s="31">
        <v>-477225.75</v>
      </c>
      <c r="M734" s="31">
        <v>-477225.75</v>
      </c>
      <c r="O734">
        <v>0</v>
      </c>
    </row>
    <row r="735" spans="3:17">
      <c r="C735">
        <v>5360</v>
      </c>
      <c r="E735" t="s">
        <v>5177</v>
      </c>
      <c r="H735" t="s">
        <v>4762</v>
      </c>
      <c r="K735" s="31">
        <v>-909043.74</v>
      </c>
      <c r="M735" s="31">
        <v>-909043.74</v>
      </c>
      <c r="O735">
        <v>0</v>
      </c>
    </row>
    <row r="736" spans="3:17">
      <c r="C736">
        <v>5360</v>
      </c>
      <c r="E736" t="s">
        <v>5178</v>
      </c>
      <c r="H736" t="s">
        <v>4764</v>
      </c>
      <c r="K736" s="31">
        <v>19542408.370000001</v>
      </c>
      <c r="M736" s="31">
        <v>19542408.370000001</v>
      </c>
      <c r="O736">
        <v>0</v>
      </c>
    </row>
    <row r="737" spans="3:17">
      <c r="C737">
        <v>5360</v>
      </c>
      <c r="E737" t="s">
        <v>5179</v>
      </c>
      <c r="H737" t="s">
        <v>4766</v>
      </c>
      <c r="K737" s="31">
        <v>-88329</v>
      </c>
      <c r="M737" s="31">
        <v>-88329</v>
      </c>
      <c r="O737">
        <v>0</v>
      </c>
    </row>
    <row r="738" spans="3:17">
      <c r="C738">
        <v>5360</v>
      </c>
      <c r="E738" t="s">
        <v>5180</v>
      </c>
      <c r="H738" t="s">
        <v>5181</v>
      </c>
      <c r="K738" s="31">
        <v>-16455853.01</v>
      </c>
      <c r="M738" s="31">
        <v>-25363470.66</v>
      </c>
      <c r="O738" s="31">
        <v>8907617.6500000004</v>
      </c>
      <c r="Q738">
        <v>35.1</v>
      </c>
    </row>
    <row r="739" spans="3:17">
      <c r="C739">
        <v>5360</v>
      </c>
      <c r="E739" t="s">
        <v>5182</v>
      </c>
      <c r="H739" t="s">
        <v>5183</v>
      </c>
      <c r="K739" s="31">
        <v>1528002.73</v>
      </c>
      <c r="M739" s="31">
        <v>2209946.9300000002</v>
      </c>
      <c r="O739" s="31">
        <v>-681944.2</v>
      </c>
      <c r="Q739">
        <v>-30.9</v>
      </c>
    </row>
    <row r="740" spans="3:17">
      <c r="C740">
        <v>5360</v>
      </c>
      <c r="E740" t="s">
        <v>5184</v>
      </c>
      <c r="H740" t="s">
        <v>5185</v>
      </c>
      <c r="K740" s="31">
        <v>335485.11</v>
      </c>
      <c r="M740" s="31">
        <v>500393</v>
      </c>
      <c r="O740" s="31">
        <v>-164907.89000000001</v>
      </c>
      <c r="Q740">
        <v>-33</v>
      </c>
    </row>
    <row r="741" spans="3:17">
      <c r="C741">
        <v>5360</v>
      </c>
      <c r="E741" t="s">
        <v>5186</v>
      </c>
      <c r="H741" t="s">
        <v>5187</v>
      </c>
      <c r="K741" s="31">
        <v>-33843.599999999999</v>
      </c>
      <c r="M741" s="31">
        <v>-50922.15</v>
      </c>
      <c r="O741" s="31">
        <v>17078.55</v>
      </c>
      <c r="Q741">
        <v>33.5</v>
      </c>
    </row>
    <row r="742" spans="3:17">
      <c r="C742">
        <v>5360</v>
      </c>
      <c r="E742" t="s">
        <v>6032</v>
      </c>
      <c r="H742" t="s">
        <v>5370</v>
      </c>
      <c r="K742">
        <v>0</v>
      </c>
      <c r="M742" s="31">
        <v>-82148.960000000006</v>
      </c>
      <c r="O742" s="31">
        <v>82148.960000000006</v>
      </c>
      <c r="Q742">
        <v>100</v>
      </c>
    </row>
    <row r="743" spans="3:17">
      <c r="C743">
        <v>5360</v>
      </c>
      <c r="E743" t="s">
        <v>5188</v>
      </c>
      <c r="H743" t="s">
        <v>5181</v>
      </c>
      <c r="K743" s="31">
        <v>-8325674.0999999996</v>
      </c>
      <c r="M743" s="31">
        <v>-12470395.99</v>
      </c>
      <c r="O743" s="31">
        <v>4144721.89</v>
      </c>
      <c r="Q743">
        <v>33.200000000000003</v>
      </c>
    </row>
    <row r="744" spans="3:17">
      <c r="C744">
        <v>5360</v>
      </c>
      <c r="E744" t="s">
        <v>5189</v>
      </c>
      <c r="H744" t="s">
        <v>5190</v>
      </c>
      <c r="K744" s="31">
        <v>-20444.38</v>
      </c>
      <c r="M744" s="31">
        <v>-22516.33</v>
      </c>
      <c r="O744" s="31">
        <v>2071.9499999999998</v>
      </c>
      <c r="Q744">
        <v>9.1999999999999993</v>
      </c>
    </row>
    <row r="745" spans="3:17">
      <c r="C745">
        <v>5360</v>
      </c>
      <c r="E745" t="s">
        <v>6033</v>
      </c>
      <c r="H745" t="s">
        <v>6034</v>
      </c>
      <c r="K745">
        <v>0</v>
      </c>
      <c r="M745" s="31">
        <v>-9119.5300000000007</v>
      </c>
      <c r="O745" s="31">
        <v>9119.5300000000007</v>
      </c>
      <c r="Q745">
        <v>100</v>
      </c>
    </row>
    <row r="746" spans="3:17">
      <c r="C746">
        <v>5360</v>
      </c>
      <c r="E746" t="s">
        <v>5191</v>
      </c>
      <c r="H746" t="s">
        <v>5192</v>
      </c>
      <c r="K746">
        <v>534.97</v>
      </c>
      <c r="M746">
        <v>778.65</v>
      </c>
      <c r="O746">
        <v>-243.68</v>
      </c>
      <c r="Q746">
        <v>-31.3</v>
      </c>
    </row>
    <row r="747" spans="3:17">
      <c r="C747">
        <v>5360</v>
      </c>
      <c r="E747" t="s">
        <v>5193</v>
      </c>
      <c r="H747" t="s">
        <v>5194</v>
      </c>
      <c r="K747" s="31">
        <v>-2214554.4300000002</v>
      </c>
      <c r="M747" s="31">
        <v>-2215409.37</v>
      </c>
      <c r="O747">
        <v>854.94</v>
      </c>
    </row>
    <row r="748" spans="3:17">
      <c r="C748">
        <v>5360</v>
      </c>
      <c r="E748" t="s">
        <v>5195</v>
      </c>
      <c r="H748" t="s">
        <v>5196</v>
      </c>
      <c r="K748" s="31">
        <v>-141769.45000000001</v>
      </c>
      <c r="M748" s="31">
        <v>-51684.89</v>
      </c>
      <c r="O748" s="31">
        <v>-90084.56</v>
      </c>
      <c r="Q748">
        <v>-174.3</v>
      </c>
    </row>
    <row r="749" spans="3:17">
      <c r="C749">
        <v>5360</v>
      </c>
      <c r="E749" t="s">
        <v>5197</v>
      </c>
      <c r="H749" t="s">
        <v>5198</v>
      </c>
      <c r="K749" s="31">
        <v>1809.84</v>
      </c>
      <c r="M749" s="31">
        <v>2118.94</v>
      </c>
      <c r="O749">
        <v>-309.10000000000002</v>
      </c>
      <c r="Q749">
        <v>-14.6</v>
      </c>
    </row>
    <row r="750" spans="3:17">
      <c r="C750">
        <v>5360</v>
      </c>
      <c r="E750" t="s">
        <v>6035</v>
      </c>
      <c r="H750" t="s">
        <v>6036</v>
      </c>
      <c r="K750">
        <v>0</v>
      </c>
      <c r="M750">
        <v>-0.01</v>
      </c>
      <c r="O750">
        <v>0.01</v>
      </c>
      <c r="Q750">
        <v>100</v>
      </c>
    </row>
    <row r="751" spans="3:17">
      <c r="C751">
        <v>5360</v>
      </c>
      <c r="E751" t="s">
        <v>5201</v>
      </c>
      <c r="H751" t="s">
        <v>5202</v>
      </c>
      <c r="K751" s="31">
        <v>-4710175.99</v>
      </c>
      <c r="M751" s="31">
        <v>-7065263.9500000002</v>
      </c>
      <c r="O751" s="31">
        <v>2355087.96</v>
      </c>
      <c r="Q751">
        <v>33.299999999999997</v>
      </c>
    </row>
    <row r="752" spans="3:17">
      <c r="C752">
        <v>5360</v>
      </c>
      <c r="E752" t="s">
        <v>5203</v>
      </c>
      <c r="H752" t="s">
        <v>5204</v>
      </c>
      <c r="K752" s="31">
        <v>883912.16</v>
      </c>
      <c r="M752" s="31">
        <v>1270595.6599999999</v>
      </c>
      <c r="O752" s="31">
        <v>-386683.5</v>
      </c>
      <c r="Q752">
        <v>-30.4</v>
      </c>
    </row>
    <row r="753" spans="3:17">
      <c r="C753">
        <v>5360</v>
      </c>
      <c r="E753" t="s">
        <v>5992</v>
      </c>
      <c r="H753" t="s">
        <v>5993</v>
      </c>
      <c r="K753" s="31">
        <v>-2001.34</v>
      </c>
      <c r="M753" s="31">
        <v>-2981.89</v>
      </c>
      <c r="O753">
        <v>980.55</v>
      </c>
      <c r="Q753">
        <v>32.9</v>
      </c>
    </row>
    <row r="754" spans="3:17">
      <c r="C754">
        <v>5360</v>
      </c>
      <c r="E754" t="s">
        <v>5209</v>
      </c>
      <c r="H754" t="s">
        <v>5210</v>
      </c>
      <c r="K754" s="31">
        <v>-111749.57</v>
      </c>
      <c r="M754" s="31">
        <v>-111749.57</v>
      </c>
      <c r="O754">
        <v>0</v>
      </c>
    </row>
    <row r="755" spans="3:17">
      <c r="C755">
        <v>5360</v>
      </c>
      <c r="E755" t="s">
        <v>5211</v>
      </c>
      <c r="H755" t="s">
        <v>5212</v>
      </c>
      <c r="K755" s="31">
        <v>-106591.85</v>
      </c>
      <c r="M755" s="31">
        <v>-106591.85</v>
      </c>
      <c r="O755">
        <v>0</v>
      </c>
    </row>
    <row r="756" spans="3:17">
      <c r="C756">
        <v>5360</v>
      </c>
      <c r="E756" t="s">
        <v>5994</v>
      </c>
      <c r="H756" t="s">
        <v>5922</v>
      </c>
      <c r="K756" s="31">
        <v>-823750.01</v>
      </c>
      <c r="M756" s="31">
        <v>-1235625.02</v>
      </c>
      <c r="O756" s="31">
        <v>411875.01</v>
      </c>
      <c r="Q756">
        <v>33.299999999999997</v>
      </c>
    </row>
    <row r="757" spans="3:17">
      <c r="C757">
        <v>5360</v>
      </c>
      <c r="E757" t="s">
        <v>5995</v>
      </c>
      <c r="H757" t="s">
        <v>5924</v>
      </c>
      <c r="K757" s="31">
        <v>-14112.76</v>
      </c>
      <c r="M757" s="31">
        <v>-21027.31</v>
      </c>
      <c r="O757" s="31">
        <v>6914.55</v>
      </c>
      <c r="Q757">
        <v>32.9</v>
      </c>
    </row>
    <row r="758" spans="3:17">
      <c r="C758">
        <v>5360</v>
      </c>
      <c r="E758" t="s">
        <v>6037</v>
      </c>
      <c r="H758" t="s">
        <v>5926</v>
      </c>
      <c r="K758">
        <v>0</v>
      </c>
      <c r="M758" s="31">
        <v>-18715548.449999999</v>
      </c>
      <c r="O758" s="31">
        <v>18715548.449999999</v>
      </c>
      <c r="Q758">
        <v>100</v>
      </c>
    </row>
    <row r="759" spans="3:17">
      <c r="C759">
        <v>5360</v>
      </c>
      <c r="E759" t="s">
        <v>5996</v>
      </c>
      <c r="H759" t="s">
        <v>5928</v>
      </c>
      <c r="K759" s="31">
        <v>209750.08</v>
      </c>
      <c r="M759" s="31">
        <v>312517.09000000003</v>
      </c>
      <c r="O759" s="31">
        <v>-102767.01</v>
      </c>
      <c r="Q759">
        <v>-32.9</v>
      </c>
    </row>
    <row r="760" spans="3:17">
      <c r="C760">
        <v>5360</v>
      </c>
      <c r="E760" t="s">
        <v>5213</v>
      </c>
      <c r="H760" t="s">
        <v>5214</v>
      </c>
      <c r="K760" s="31">
        <v>-166104.12</v>
      </c>
      <c r="M760" s="31">
        <v>-249156.18</v>
      </c>
      <c r="O760" s="31">
        <v>83052.06</v>
      </c>
      <c r="Q760">
        <v>33.299999999999997</v>
      </c>
    </row>
    <row r="761" spans="3:17">
      <c r="C761">
        <v>5360</v>
      </c>
      <c r="E761" t="s">
        <v>5215</v>
      </c>
      <c r="H761" t="s">
        <v>5216</v>
      </c>
      <c r="K761" s="31">
        <v>4784596.5</v>
      </c>
      <c r="M761" s="31">
        <v>7176894.75</v>
      </c>
      <c r="O761" s="31">
        <v>-2392298.25</v>
      </c>
      <c r="Q761">
        <v>-33.299999999999997</v>
      </c>
    </row>
    <row r="762" spans="3:17">
      <c r="C762">
        <v>5360</v>
      </c>
      <c r="E762" t="s">
        <v>5217</v>
      </c>
      <c r="H762" t="s">
        <v>5218</v>
      </c>
      <c r="K762" s="31">
        <v>72204.36</v>
      </c>
      <c r="M762" s="31">
        <v>105471.67</v>
      </c>
      <c r="O762" s="31">
        <v>-33267.31</v>
      </c>
      <c r="Q762">
        <v>-31.5</v>
      </c>
    </row>
    <row r="763" spans="3:17">
      <c r="C763">
        <v>5360</v>
      </c>
      <c r="E763" t="s">
        <v>5219</v>
      </c>
      <c r="H763" t="s">
        <v>5220</v>
      </c>
      <c r="K763" s="31">
        <v>158815.4</v>
      </c>
      <c r="M763" s="31">
        <v>175987.20000000001</v>
      </c>
      <c r="O763" s="31">
        <v>-17171.8</v>
      </c>
      <c r="Q763">
        <v>-9.8000000000000007</v>
      </c>
    </row>
    <row r="764" spans="3:17">
      <c r="C764">
        <v>5360</v>
      </c>
      <c r="E764" t="s">
        <v>5221</v>
      </c>
      <c r="H764" t="s">
        <v>5222</v>
      </c>
      <c r="K764" s="31">
        <v>141769.45000000001</v>
      </c>
      <c r="M764" s="31">
        <v>51684.89</v>
      </c>
      <c r="O764" s="31">
        <v>90084.56</v>
      </c>
      <c r="Q764">
        <v>174.3</v>
      </c>
    </row>
    <row r="765" spans="3:17">
      <c r="C765">
        <v>5360</v>
      </c>
      <c r="E765" t="s">
        <v>5223</v>
      </c>
      <c r="H765" t="s">
        <v>5224</v>
      </c>
      <c r="K765" s="31">
        <v>3922.47</v>
      </c>
      <c r="M765" s="31">
        <v>5932.43</v>
      </c>
      <c r="O765" s="31">
        <v>-2009.96</v>
      </c>
      <c r="Q765">
        <v>-33.9</v>
      </c>
    </row>
    <row r="766" spans="3:17">
      <c r="C766">
        <v>5360</v>
      </c>
      <c r="E766" t="s">
        <v>5225</v>
      </c>
      <c r="H766" t="s">
        <v>5226</v>
      </c>
      <c r="K766" s="31">
        <v>629239.09</v>
      </c>
      <c r="M766" s="31">
        <v>939356.17</v>
      </c>
      <c r="O766" s="31">
        <v>-310117.08</v>
      </c>
      <c r="Q766">
        <v>-33</v>
      </c>
    </row>
    <row r="767" spans="3:17">
      <c r="C767">
        <v>5360</v>
      </c>
      <c r="E767" t="s">
        <v>5230</v>
      </c>
      <c r="H767" t="s">
        <v>3532</v>
      </c>
      <c r="K767" s="31">
        <v>-14856.61</v>
      </c>
      <c r="M767" s="31">
        <v>-22466.74</v>
      </c>
      <c r="O767" s="31">
        <v>7610.13</v>
      </c>
      <c r="Q767">
        <v>33.9</v>
      </c>
    </row>
    <row r="768" spans="3:17">
      <c r="C768">
        <v>5360</v>
      </c>
      <c r="E768" t="s">
        <v>5232</v>
      </c>
      <c r="H768" t="s">
        <v>5233</v>
      </c>
      <c r="K768" s="31">
        <v>-61484.11</v>
      </c>
      <c r="M768" s="31">
        <v>-93025.31</v>
      </c>
      <c r="O768" s="31">
        <v>31541.200000000001</v>
      </c>
      <c r="Q768">
        <v>33.9</v>
      </c>
    </row>
    <row r="769" spans="3:17">
      <c r="C769">
        <v>5360</v>
      </c>
      <c r="E769" t="s">
        <v>5234</v>
      </c>
      <c r="H769" t="s">
        <v>5235</v>
      </c>
      <c r="K769" s="31">
        <v>-30084.44</v>
      </c>
      <c r="M769" s="31">
        <v>-47064.36</v>
      </c>
      <c r="O769" s="31">
        <v>16979.919999999998</v>
      </c>
      <c r="Q769">
        <v>36.1</v>
      </c>
    </row>
    <row r="770" spans="3:17">
      <c r="C770">
        <v>5360</v>
      </c>
      <c r="E770" t="s">
        <v>5236</v>
      </c>
      <c r="H770" t="s">
        <v>5237</v>
      </c>
      <c r="K770" s="31">
        <v>855099.34</v>
      </c>
      <c r="M770" s="31">
        <v>738441.81</v>
      </c>
      <c r="O770" s="31">
        <v>116657.53</v>
      </c>
      <c r="Q770">
        <v>15.8</v>
      </c>
    </row>
    <row r="771" spans="3:17">
      <c r="C771">
        <v>5360</v>
      </c>
      <c r="E771" t="s">
        <v>5238</v>
      </c>
      <c r="H771" t="s">
        <v>5239</v>
      </c>
      <c r="K771">
        <v>77.680000000000007</v>
      </c>
      <c r="M771">
        <v>87.65</v>
      </c>
      <c r="O771">
        <v>-9.9700000000000006</v>
      </c>
      <c r="Q771">
        <v>-11.4</v>
      </c>
    </row>
    <row r="772" spans="3:17">
      <c r="C772">
        <v>5360</v>
      </c>
      <c r="E772" t="s">
        <v>5240</v>
      </c>
      <c r="H772" t="s">
        <v>5241</v>
      </c>
      <c r="K772" s="31">
        <v>31606.38</v>
      </c>
      <c r="M772" s="31">
        <v>71429.73</v>
      </c>
      <c r="O772" s="31">
        <v>-39823.35</v>
      </c>
      <c r="Q772">
        <v>-55.8</v>
      </c>
    </row>
    <row r="773" spans="3:17">
      <c r="C773">
        <v>5360</v>
      </c>
      <c r="E773" t="s">
        <v>5242</v>
      </c>
      <c r="H773" t="s">
        <v>5243</v>
      </c>
      <c r="K773">
        <v>267.25</v>
      </c>
      <c r="M773">
        <v>271.38</v>
      </c>
      <c r="O773">
        <v>-4.13</v>
      </c>
      <c r="Q773">
        <v>-1.5</v>
      </c>
    </row>
    <row r="774" spans="3:17">
      <c r="C774">
        <v>5360</v>
      </c>
      <c r="E774" t="s">
        <v>5244</v>
      </c>
      <c r="H774" t="s">
        <v>5245</v>
      </c>
      <c r="K774" s="31">
        <v>589248.29</v>
      </c>
      <c r="M774" s="31">
        <v>516573.1</v>
      </c>
      <c r="O774" s="31">
        <v>72675.19</v>
      </c>
      <c r="Q774">
        <v>14.1</v>
      </c>
    </row>
    <row r="775" spans="3:17">
      <c r="C775">
        <v>5360</v>
      </c>
      <c r="E775" t="s">
        <v>5246</v>
      </c>
      <c r="H775" t="s">
        <v>5247</v>
      </c>
      <c r="K775">
        <v>456.04</v>
      </c>
      <c r="M775">
        <v>790.08</v>
      </c>
      <c r="O775">
        <v>-334.04</v>
      </c>
      <c r="Q775">
        <v>-42.3</v>
      </c>
    </row>
    <row r="776" spans="3:17">
      <c r="C776">
        <v>5360</v>
      </c>
      <c r="E776" t="s">
        <v>5250</v>
      </c>
      <c r="H776" t="s">
        <v>5251</v>
      </c>
      <c r="K776" s="31">
        <v>9824.25</v>
      </c>
      <c r="M776" s="31">
        <v>-13641.03</v>
      </c>
      <c r="O776" s="31">
        <v>23465.279999999999</v>
      </c>
      <c r="Q776">
        <v>172</v>
      </c>
    </row>
    <row r="777" spans="3:17">
      <c r="C777">
        <v>5360</v>
      </c>
      <c r="E777" t="s">
        <v>5252</v>
      </c>
      <c r="H777" t="s">
        <v>5253</v>
      </c>
      <c r="K777">
        <v>42.98</v>
      </c>
      <c r="M777">
        <v>43.57</v>
      </c>
      <c r="O777">
        <v>-0.59</v>
      </c>
      <c r="Q777">
        <v>-1.4</v>
      </c>
    </row>
    <row r="778" spans="3:17">
      <c r="C778">
        <v>5360</v>
      </c>
      <c r="E778" t="s">
        <v>5254</v>
      </c>
      <c r="H778" t="s">
        <v>5255</v>
      </c>
      <c r="K778" s="31">
        <v>40624.22</v>
      </c>
      <c r="M778" s="31">
        <v>60694.81</v>
      </c>
      <c r="O778" s="31">
        <v>-20070.59</v>
      </c>
      <c r="Q778">
        <v>-33.1</v>
      </c>
    </row>
    <row r="779" spans="3:17">
      <c r="C779">
        <v>5360</v>
      </c>
      <c r="E779" t="s">
        <v>5997</v>
      </c>
      <c r="H779" t="s">
        <v>5539</v>
      </c>
      <c r="K779">
        <v>14.98</v>
      </c>
      <c r="M779">
        <v>25.32</v>
      </c>
      <c r="O779">
        <v>-10.34</v>
      </c>
      <c r="Q779">
        <v>-40.799999999999997</v>
      </c>
    </row>
    <row r="780" spans="3:17">
      <c r="C780">
        <v>5360</v>
      </c>
      <c r="E780" t="s">
        <v>5256</v>
      </c>
      <c r="H780" t="s">
        <v>5257</v>
      </c>
      <c r="K780" s="31">
        <v>282006.13</v>
      </c>
      <c r="M780" s="31">
        <v>216105.58</v>
      </c>
      <c r="O780" s="31">
        <v>65900.55</v>
      </c>
      <c r="Q780">
        <v>30.5</v>
      </c>
    </row>
    <row r="781" spans="3:17">
      <c r="C781">
        <v>5360</v>
      </c>
      <c r="E781" t="s">
        <v>5258</v>
      </c>
      <c r="H781" t="s">
        <v>5259</v>
      </c>
      <c r="K781">
        <v>144.01</v>
      </c>
      <c r="M781">
        <v>191.95</v>
      </c>
      <c r="O781">
        <v>-47.94</v>
      </c>
      <c r="Q781">
        <v>-25</v>
      </c>
    </row>
    <row r="782" spans="3:17">
      <c r="C782">
        <v>5360</v>
      </c>
      <c r="E782" t="s">
        <v>5260</v>
      </c>
      <c r="H782" t="s">
        <v>5261</v>
      </c>
      <c r="K782" s="31">
        <v>532116.09</v>
      </c>
      <c r="M782" s="31">
        <v>743790.42</v>
      </c>
      <c r="O782" s="31">
        <v>-211674.33</v>
      </c>
      <c r="Q782">
        <v>-28.5</v>
      </c>
    </row>
    <row r="783" spans="3:17">
      <c r="C783">
        <v>5360</v>
      </c>
      <c r="E783" t="s">
        <v>5262</v>
      </c>
      <c r="H783" t="s">
        <v>5263</v>
      </c>
      <c r="K783">
        <v>18.350000000000001</v>
      </c>
      <c r="M783">
        <v>25.03</v>
      </c>
      <c r="O783">
        <v>-6.68</v>
      </c>
      <c r="Q783">
        <v>-26.7</v>
      </c>
    </row>
    <row r="784" spans="3:17">
      <c r="C784">
        <v>5360</v>
      </c>
      <c r="E784" t="s">
        <v>5264</v>
      </c>
      <c r="H784" t="s">
        <v>5265</v>
      </c>
      <c r="K784" s="31">
        <v>-12372.8</v>
      </c>
      <c r="M784" s="31">
        <v>-17413.93</v>
      </c>
      <c r="O784" s="31">
        <v>5041.13</v>
      </c>
      <c r="Q784">
        <v>28.9</v>
      </c>
    </row>
    <row r="785" spans="3:17">
      <c r="C785">
        <v>5360</v>
      </c>
      <c r="E785" t="s">
        <v>5266</v>
      </c>
      <c r="H785" t="s">
        <v>5267</v>
      </c>
      <c r="K785">
        <v>0.56000000000000005</v>
      </c>
      <c r="M785">
        <v>0.56000000000000005</v>
      </c>
      <c r="O785">
        <v>0</v>
      </c>
    </row>
    <row r="786" spans="3:17">
      <c r="C786">
        <v>5360</v>
      </c>
      <c r="E786" t="s">
        <v>5268</v>
      </c>
      <c r="H786" t="s">
        <v>5269</v>
      </c>
      <c r="K786" s="31">
        <v>264202.61</v>
      </c>
      <c r="M786" s="31">
        <v>224981.95</v>
      </c>
      <c r="O786" s="31">
        <v>39220.660000000003</v>
      </c>
      <c r="Q786">
        <v>17.399999999999999</v>
      </c>
    </row>
    <row r="787" spans="3:17">
      <c r="C787">
        <v>5360</v>
      </c>
      <c r="E787" t="s">
        <v>5270</v>
      </c>
      <c r="H787" t="s">
        <v>5271</v>
      </c>
      <c r="K787">
        <v>115.84</v>
      </c>
      <c r="M787">
        <v>174.1</v>
      </c>
      <c r="O787">
        <v>-58.26</v>
      </c>
      <c r="Q787">
        <v>-33.5</v>
      </c>
    </row>
    <row r="788" spans="3:17">
      <c r="C788">
        <v>5360</v>
      </c>
      <c r="E788" t="s">
        <v>5272</v>
      </c>
      <c r="H788" t="s">
        <v>5273</v>
      </c>
      <c r="K788" s="31">
        <v>29774.5</v>
      </c>
      <c r="M788" s="31">
        <v>21668.99</v>
      </c>
      <c r="O788" s="31">
        <v>8105.51</v>
      </c>
      <c r="Q788">
        <v>37.4</v>
      </c>
    </row>
    <row r="789" spans="3:17">
      <c r="C789">
        <v>5360</v>
      </c>
      <c r="E789" t="s">
        <v>5274</v>
      </c>
      <c r="H789" t="s">
        <v>5275</v>
      </c>
      <c r="K789">
        <v>6.82</v>
      </c>
      <c r="M789">
        <v>11.58</v>
      </c>
      <c r="O789">
        <v>-4.76</v>
      </c>
      <c r="Q789">
        <v>-41.1</v>
      </c>
    </row>
    <row r="790" spans="3:17">
      <c r="C790">
        <v>5360</v>
      </c>
      <c r="E790" t="s">
        <v>5276</v>
      </c>
      <c r="H790" t="s">
        <v>5277</v>
      </c>
      <c r="K790" s="31">
        <v>-12964.7</v>
      </c>
      <c r="M790" s="31">
        <v>-191790.29</v>
      </c>
      <c r="O790" s="31">
        <v>178825.59</v>
      </c>
      <c r="Q790">
        <v>93.2</v>
      </c>
    </row>
    <row r="791" spans="3:17">
      <c r="C791">
        <v>5360</v>
      </c>
      <c r="E791" t="s">
        <v>5278</v>
      </c>
      <c r="H791" t="s">
        <v>5279</v>
      </c>
      <c r="K791">
        <v>56.48</v>
      </c>
      <c r="M791">
        <v>80.63</v>
      </c>
      <c r="O791">
        <v>-24.15</v>
      </c>
      <c r="Q791">
        <v>-30</v>
      </c>
    </row>
    <row r="792" spans="3:17">
      <c r="C792">
        <v>5360</v>
      </c>
      <c r="E792" t="s">
        <v>5280</v>
      </c>
      <c r="H792" t="s">
        <v>5281</v>
      </c>
      <c r="K792" s="31">
        <v>82124.37</v>
      </c>
      <c r="M792" s="31">
        <v>63879.54</v>
      </c>
      <c r="O792" s="31">
        <v>18244.830000000002</v>
      </c>
      <c r="Q792">
        <v>28.6</v>
      </c>
    </row>
    <row r="793" spans="3:17">
      <c r="C793">
        <v>5360</v>
      </c>
      <c r="E793" t="s">
        <v>5282</v>
      </c>
      <c r="H793" t="s">
        <v>5283</v>
      </c>
      <c r="K793">
        <v>65.7</v>
      </c>
      <c r="M793">
        <v>88.32</v>
      </c>
      <c r="O793">
        <v>-22.62</v>
      </c>
      <c r="Q793">
        <v>-25.6</v>
      </c>
    </row>
    <row r="794" spans="3:17">
      <c r="C794">
        <v>5360</v>
      </c>
      <c r="E794" t="s">
        <v>5284</v>
      </c>
      <c r="H794" t="s">
        <v>5285</v>
      </c>
      <c r="K794" s="31">
        <v>24834.31</v>
      </c>
      <c r="M794" s="31">
        <v>29890.42</v>
      </c>
      <c r="O794" s="31">
        <v>-5056.1099999999997</v>
      </c>
      <c r="Q794">
        <v>-16.899999999999999</v>
      </c>
    </row>
    <row r="795" spans="3:17">
      <c r="C795">
        <v>5360</v>
      </c>
      <c r="E795" t="s">
        <v>5286</v>
      </c>
      <c r="H795" t="s">
        <v>5287</v>
      </c>
      <c r="K795">
        <v>9.1199999999999992</v>
      </c>
      <c r="M795">
        <v>15.25</v>
      </c>
      <c r="O795">
        <v>-6.13</v>
      </c>
      <c r="Q795">
        <v>-40.200000000000003</v>
      </c>
    </row>
    <row r="796" spans="3:17">
      <c r="C796">
        <v>5360</v>
      </c>
      <c r="E796" t="s">
        <v>5288</v>
      </c>
      <c r="H796" t="s">
        <v>5289</v>
      </c>
      <c r="K796" s="31">
        <v>146962.18</v>
      </c>
      <c r="M796" s="31">
        <v>124178.47</v>
      </c>
      <c r="O796" s="31">
        <v>22783.71</v>
      </c>
      <c r="Q796">
        <v>18.3</v>
      </c>
    </row>
    <row r="797" spans="3:17">
      <c r="C797">
        <v>5360</v>
      </c>
      <c r="E797" t="s">
        <v>5290</v>
      </c>
      <c r="H797" t="s">
        <v>5291</v>
      </c>
      <c r="K797">
        <v>88.49</v>
      </c>
      <c r="M797">
        <v>118.7</v>
      </c>
      <c r="O797">
        <v>-30.21</v>
      </c>
      <c r="Q797">
        <v>-25.5</v>
      </c>
    </row>
    <row r="798" spans="3:17">
      <c r="C798">
        <v>5360</v>
      </c>
      <c r="E798" t="s">
        <v>5292</v>
      </c>
      <c r="H798" t="s">
        <v>5293</v>
      </c>
      <c r="K798" s="31">
        <v>7697.08</v>
      </c>
      <c r="M798" s="31">
        <v>-54007.56</v>
      </c>
      <c r="O798" s="31">
        <v>61704.639999999999</v>
      </c>
      <c r="Q798">
        <v>114.3</v>
      </c>
    </row>
    <row r="799" spans="3:17">
      <c r="C799">
        <v>5360</v>
      </c>
      <c r="E799" t="s">
        <v>5294</v>
      </c>
      <c r="H799" t="s">
        <v>5295</v>
      </c>
      <c r="K799" s="31">
        <v>126458.72</v>
      </c>
      <c r="M799" s="31">
        <v>132777.60000000001</v>
      </c>
      <c r="O799" s="31">
        <v>-6318.88</v>
      </c>
      <c r="Q799">
        <v>-4.8</v>
      </c>
    </row>
    <row r="800" spans="3:17">
      <c r="C800">
        <v>5360</v>
      </c>
      <c r="E800" t="s">
        <v>5298</v>
      </c>
      <c r="H800" t="s">
        <v>5299</v>
      </c>
      <c r="K800" s="31">
        <v>421747.54</v>
      </c>
      <c r="M800" s="31">
        <v>301498.78999999998</v>
      </c>
      <c r="O800" s="31">
        <v>120248.75</v>
      </c>
      <c r="Q800">
        <v>39.9</v>
      </c>
    </row>
    <row r="801" spans="3:17">
      <c r="C801">
        <v>5360</v>
      </c>
      <c r="E801" t="s">
        <v>5300</v>
      </c>
      <c r="H801" t="s">
        <v>5301</v>
      </c>
      <c r="K801" s="31">
        <v>66535.53</v>
      </c>
      <c r="M801" s="31">
        <v>42476.4</v>
      </c>
      <c r="O801" s="31">
        <v>24059.13</v>
      </c>
      <c r="Q801">
        <v>56.6</v>
      </c>
    </row>
    <row r="802" spans="3:17">
      <c r="C802">
        <v>5360</v>
      </c>
      <c r="E802" t="s">
        <v>5302</v>
      </c>
      <c r="H802" t="s">
        <v>5303</v>
      </c>
      <c r="K802" s="31">
        <v>131720.59</v>
      </c>
      <c r="M802" s="31">
        <v>35859.61</v>
      </c>
      <c r="O802" s="31">
        <v>95860.98</v>
      </c>
      <c r="Q802">
        <v>267.3</v>
      </c>
    </row>
    <row r="803" spans="3:17">
      <c r="C803">
        <v>5360</v>
      </c>
      <c r="E803" t="s">
        <v>5998</v>
      </c>
      <c r="H803" t="s">
        <v>5999</v>
      </c>
      <c r="K803">
        <v>-50.54</v>
      </c>
      <c r="M803">
        <v>-50.54</v>
      </c>
      <c r="O803">
        <v>0</v>
      </c>
    </row>
    <row r="804" spans="3:17">
      <c r="C804">
        <v>5360</v>
      </c>
      <c r="E804" t="s">
        <v>5306</v>
      </c>
      <c r="H804" t="s">
        <v>5307</v>
      </c>
      <c r="K804" s="31">
        <v>3517027.25</v>
      </c>
      <c r="M804" s="31">
        <v>1797037</v>
      </c>
      <c r="O804" s="31">
        <v>1719990.25</v>
      </c>
      <c r="Q804">
        <v>95.7</v>
      </c>
    </row>
    <row r="805" spans="3:17">
      <c r="C805">
        <v>5360</v>
      </c>
      <c r="E805" t="s">
        <v>5310</v>
      </c>
      <c r="H805" t="s">
        <v>5311</v>
      </c>
      <c r="K805" s="31">
        <v>1302704.67</v>
      </c>
      <c r="M805" s="31">
        <v>1791324.24</v>
      </c>
      <c r="O805" s="31">
        <v>-488619.57</v>
      </c>
      <c r="Q805">
        <v>-27.3</v>
      </c>
    </row>
    <row r="806" spans="3:17">
      <c r="C806">
        <v>5360</v>
      </c>
      <c r="E806" t="s">
        <v>5312</v>
      </c>
      <c r="H806" t="s">
        <v>5313</v>
      </c>
      <c r="K806">
        <v>157.03</v>
      </c>
      <c r="M806" s="31">
        <v>2988.91</v>
      </c>
      <c r="O806" s="31">
        <v>-2831.88</v>
      </c>
      <c r="Q806">
        <v>-94.7</v>
      </c>
    </row>
    <row r="807" spans="3:17">
      <c r="C807">
        <v>5360</v>
      </c>
      <c r="E807" t="s">
        <v>5314</v>
      </c>
      <c r="H807" t="s">
        <v>5315</v>
      </c>
      <c r="K807" s="31">
        <v>3236.07</v>
      </c>
      <c r="M807" s="31">
        <v>4890.83</v>
      </c>
      <c r="O807" s="31">
        <v>-1654.76</v>
      </c>
      <c r="Q807">
        <v>-33.799999999999997</v>
      </c>
    </row>
    <row r="808" spans="3:17">
      <c r="C808">
        <v>5360</v>
      </c>
      <c r="E808" t="s">
        <v>5316</v>
      </c>
      <c r="H808" t="s">
        <v>5317</v>
      </c>
      <c r="K808">
        <v>901.91</v>
      </c>
      <c r="M808">
        <v>951.48</v>
      </c>
      <c r="O808">
        <v>-49.57</v>
      </c>
      <c r="Q808">
        <v>-5.2</v>
      </c>
    </row>
    <row r="809" spans="3:17">
      <c r="C809">
        <v>5360</v>
      </c>
      <c r="E809" t="s">
        <v>5318</v>
      </c>
      <c r="H809" t="s">
        <v>5319</v>
      </c>
      <c r="K809" s="31">
        <v>1585370.68</v>
      </c>
      <c r="M809" s="31">
        <v>1692291.98</v>
      </c>
      <c r="O809" s="31">
        <v>-106921.3</v>
      </c>
      <c r="Q809">
        <v>-6.3</v>
      </c>
    </row>
    <row r="810" spans="3:17">
      <c r="C810">
        <v>5360</v>
      </c>
      <c r="E810" t="s">
        <v>5320</v>
      </c>
      <c r="H810" t="s">
        <v>5321</v>
      </c>
      <c r="K810" s="31">
        <v>112762.92</v>
      </c>
      <c r="M810" s="31">
        <v>139067.01999999999</v>
      </c>
      <c r="O810" s="31">
        <v>-26304.1</v>
      </c>
      <c r="Q810">
        <v>-18.899999999999999</v>
      </c>
    </row>
    <row r="811" spans="3:17">
      <c r="C811">
        <v>5360</v>
      </c>
      <c r="E811" t="s">
        <v>5322</v>
      </c>
      <c r="H811" t="s">
        <v>5323</v>
      </c>
      <c r="K811" s="31">
        <v>26552.25</v>
      </c>
      <c r="M811" s="31">
        <v>38910.69</v>
      </c>
      <c r="O811" s="31">
        <v>-12358.44</v>
      </c>
      <c r="Q811">
        <v>-31.8</v>
      </c>
    </row>
    <row r="812" spans="3:17">
      <c r="C812">
        <v>5360</v>
      </c>
      <c r="E812" t="s">
        <v>5324</v>
      </c>
      <c r="H812" t="s">
        <v>5325</v>
      </c>
      <c r="K812" s="31">
        <v>2706.71</v>
      </c>
      <c r="M812" s="31">
        <v>3168.27</v>
      </c>
      <c r="O812">
        <v>-461.56</v>
      </c>
      <c r="Q812">
        <v>-14.6</v>
      </c>
    </row>
    <row r="813" spans="3:17">
      <c r="C813">
        <v>5360</v>
      </c>
      <c r="E813" t="s">
        <v>5326</v>
      </c>
      <c r="H813" t="s">
        <v>5327</v>
      </c>
      <c r="K813" s="31">
        <v>3612.76</v>
      </c>
      <c r="M813" s="31">
        <v>5390.73</v>
      </c>
      <c r="O813" s="31">
        <v>-1777.97</v>
      </c>
      <c r="Q813">
        <v>-33</v>
      </c>
    </row>
    <row r="814" spans="3:17">
      <c r="C814">
        <v>5360</v>
      </c>
      <c r="E814" t="s">
        <v>5328</v>
      </c>
      <c r="H814" t="s">
        <v>5329</v>
      </c>
      <c r="K814" s="31">
        <v>2013.15</v>
      </c>
      <c r="M814" s="31">
        <v>2930.13</v>
      </c>
      <c r="O814">
        <v>-916.98</v>
      </c>
      <c r="Q814">
        <v>-31.3</v>
      </c>
    </row>
    <row r="815" spans="3:17">
      <c r="C815">
        <v>5360</v>
      </c>
      <c r="E815" t="s">
        <v>5330</v>
      </c>
      <c r="H815" t="s">
        <v>5331</v>
      </c>
      <c r="K815">
        <v>178</v>
      </c>
      <c r="M815">
        <v>259.02999999999997</v>
      </c>
      <c r="O815">
        <v>-81.03</v>
      </c>
      <c r="Q815">
        <v>-31.3</v>
      </c>
    </row>
    <row r="816" spans="3:17">
      <c r="C816">
        <v>5360</v>
      </c>
      <c r="E816" t="s">
        <v>5332</v>
      </c>
      <c r="H816" t="s">
        <v>5333</v>
      </c>
      <c r="K816" s="31">
        <v>102621.14</v>
      </c>
      <c r="M816" s="31">
        <v>114585.78</v>
      </c>
      <c r="O816" s="31">
        <v>-11964.64</v>
      </c>
      <c r="Q816">
        <v>-10.4</v>
      </c>
    </row>
    <row r="817" spans="3:17">
      <c r="C817">
        <v>5360</v>
      </c>
      <c r="E817" t="s">
        <v>5334</v>
      </c>
      <c r="H817" t="s">
        <v>5335</v>
      </c>
      <c r="K817" s="31">
        <v>-1580854.09</v>
      </c>
      <c r="M817" s="31">
        <v>-2293292.7200000002</v>
      </c>
      <c r="O817" s="31">
        <v>712438.63</v>
      </c>
      <c r="Q817">
        <v>31.1</v>
      </c>
    </row>
    <row r="818" spans="3:17">
      <c r="C818">
        <v>5360</v>
      </c>
      <c r="E818" t="s">
        <v>5336</v>
      </c>
      <c r="H818" t="s">
        <v>5337</v>
      </c>
      <c r="K818" s="31">
        <v>-353587.97</v>
      </c>
      <c r="M818" s="31">
        <v>-701397.18</v>
      </c>
      <c r="O818" s="31">
        <v>347809.21</v>
      </c>
      <c r="Q818">
        <v>49.6</v>
      </c>
    </row>
    <row r="819" spans="3:17">
      <c r="C819">
        <v>5360</v>
      </c>
      <c r="E819" t="s">
        <v>5338</v>
      </c>
      <c r="H819" t="s">
        <v>5339</v>
      </c>
      <c r="K819" s="31">
        <v>-429651.35</v>
      </c>
      <c r="M819" s="31">
        <v>-385853.78</v>
      </c>
      <c r="O819" s="31">
        <v>-43797.57</v>
      </c>
      <c r="Q819">
        <v>-11.4</v>
      </c>
    </row>
    <row r="820" spans="3:17">
      <c r="C820">
        <v>5360</v>
      </c>
      <c r="E820" t="s">
        <v>5342</v>
      </c>
      <c r="H820" t="s">
        <v>5343</v>
      </c>
      <c r="K820" s="31">
        <v>-17885.55</v>
      </c>
      <c r="M820" s="31">
        <v>-26501.05</v>
      </c>
      <c r="O820" s="31">
        <v>8615.5</v>
      </c>
      <c r="Q820">
        <v>32.5</v>
      </c>
    </row>
    <row r="821" spans="3:17">
      <c r="C821">
        <v>5360</v>
      </c>
      <c r="E821" t="s">
        <v>6038</v>
      </c>
      <c r="H821" t="s">
        <v>5343</v>
      </c>
      <c r="K821">
        <v>0</v>
      </c>
      <c r="M821">
        <v>-17.690000000000001</v>
      </c>
      <c r="O821">
        <v>17.690000000000001</v>
      </c>
      <c r="Q821">
        <v>100</v>
      </c>
    </row>
    <row r="822" spans="3:17">
      <c r="C822">
        <v>5360</v>
      </c>
      <c r="E822" t="s">
        <v>6000</v>
      </c>
      <c r="H822" t="s">
        <v>5792</v>
      </c>
      <c r="K822">
        <v>-6.36</v>
      </c>
      <c r="M822">
        <v>-6.36</v>
      </c>
      <c r="O822">
        <v>0</v>
      </c>
    </row>
    <row r="823" spans="3:17">
      <c r="C823">
        <v>5360</v>
      </c>
      <c r="E823" t="s">
        <v>5344</v>
      </c>
      <c r="H823" t="s">
        <v>5345</v>
      </c>
      <c r="K823">
        <v>123.33</v>
      </c>
      <c r="M823">
        <v>-92.19</v>
      </c>
      <c r="O823">
        <v>215.52</v>
      </c>
      <c r="Q823">
        <v>233.8</v>
      </c>
    </row>
    <row r="824" spans="3:17">
      <c r="C824">
        <v>5360</v>
      </c>
      <c r="E824" t="s">
        <v>6001</v>
      </c>
      <c r="H824" t="s">
        <v>6002</v>
      </c>
      <c r="K824" s="31">
        <v>-4069</v>
      </c>
      <c r="M824" s="31">
        <v>-4069</v>
      </c>
      <c r="O824">
        <v>0</v>
      </c>
    </row>
    <row r="825" spans="3:17">
      <c r="C825">
        <v>5360</v>
      </c>
      <c r="E825" t="s">
        <v>5346</v>
      </c>
      <c r="H825" t="s">
        <v>5347</v>
      </c>
      <c r="K825" s="31">
        <v>1486.17</v>
      </c>
      <c r="M825" s="31">
        <v>1619.69</v>
      </c>
      <c r="O825">
        <v>-133.52000000000001</v>
      </c>
      <c r="Q825">
        <v>-8.1999999999999993</v>
      </c>
    </row>
    <row r="826" spans="3:17">
      <c r="C826">
        <v>5360</v>
      </c>
      <c r="E826" t="s">
        <v>5350</v>
      </c>
      <c r="H826" t="s">
        <v>5351</v>
      </c>
      <c r="K826">
        <v>525.01</v>
      </c>
      <c r="M826">
        <v>893.37</v>
      </c>
      <c r="O826">
        <v>-368.36</v>
      </c>
      <c r="Q826">
        <v>-41.2</v>
      </c>
    </row>
    <row r="827" spans="3:17">
      <c r="C827">
        <v>5360</v>
      </c>
      <c r="E827" t="s">
        <v>5352</v>
      </c>
      <c r="H827" t="s">
        <v>5353</v>
      </c>
      <c r="K827">
        <v>6.14</v>
      </c>
      <c r="M827">
        <v>8.16</v>
      </c>
      <c r="O827">
        <v>-2.02</v>
      </c>
      <c r="Q827">
        <v>-24.8</v>
      </c>
    </row>
    <row r="828" spans="3:17">
      <c r="C828">
        <v>5360</v>
      </c>
      <c r="E828" t="s">
        <v>5354</v>
      </c>
      <c r="H828" t="s">
        <v>5355</v>
      </c>
      <c r="K828" s="31">
        <v>-1148116.75</v>
      </c>
      <c r="M828" s="31">
        <v>858707.19</v>
      </c>
      <c r="O828" s="31">
        <v>-2006823.94</v>
      </c>
      <c r="Q828">
        <v>-233.7</v>
      </c>
    </row>
    <row r="829" spans="3:17">
      <c r="C829">
        <v>5360</v>
      </c>
      <c r="E829" t="s">
        <v>5358</v>
      </c>
      <c r="H829" t="s">
        <v>5359</v>
      </c>
      <c r="K829" s="31">
        <v>265496.89</v>
      </c>
      <c r="M829" s="31">
        <v>215846.39999999999</v>
      </c>
      <c r="O829" s="31">
        <v>49650.49</v>
      </c>
      <c r="Q829">
        <v>23</v>
      </c>
    </row>
    <row r="830" spans="3:17">
      <c r="C830">
        <v>5360</v>
      </c>
      <c r="E830" t="s">
        <v>5362</v>
      </c>
      <c r="H830" t="s">
        <v>5363</v>
      </c>
      <c r="K830">
        <v>707.1</v>
      </c>
      <c r="M830">
        <v>868.28</v>
      </c>
      <c r="O830">
        <v>-161.18</v>
      </c>
      <c r="Q830">
        <v>-18.600000000000001</v>
      </c>
    </row>
    <row r="831" spans="3:17">
      <c r="C831">
        <v>5360</v>
      </c>
      <c r="E831" t="s">
        <v>5366</v>
      </c>
      <c r="H831" t="s">
        <v>5367</v>
      </c>
      <c r="K831" s="31">
        <v>-78518829.010000005</v>
      </c>
      <c r="M831" s="31">
        <v>-37200929.5</v>
      </c>
      <c r="O831" s="31">
        <v>-41317899.509999998</v>
      </c>
      <c r="Q831">
        <v>-111.1</v>
      </c>
    </row>
    <row r="832" spans="3:17">
      <c r="C832">
        <v>5360</v>
      </c>
      <c r="E832" t="s">
        <v>5368</v>
      </c>
      <c r="H832" t="s">
        <v>5187</v>
      </c>
      <c r="K832" s="31">
        <v>478906.77</v>
      </c>
      <c r="M832" s="31">
        <v>622346.65</v>
      </c>
      <c r="O832" s="31">
        <v>-143439.88</v>
      </c>
      <c r="Q832">
        <v>-23</v>
      </c>
    </row>
    <row r="833" spans="3:17">
      <c r="C833">
        <v>5360</v>
      </c>
      <c r="E833" t="s">
        <v>5369</v>
      </c>
      <c r="H833" t="s">
        <v>5370</v>
      </c>
      <c r="K833" s="31">
        <v>41522.519999999997</v>
      </c>
      <c r="M833" s="31">
        <v>160928.26999999999</v>
      </c>
      <c r="O833" s="31">
        <v>-119405.75</v>
      </c>
      <c r="Q833">
        <v>-74.2</v>
      </c>
    </row>
    <row r="834" spans="3:17">
      <c r="C834">
        <v>5360</v>
      </c>
      <c r="E834" t="s">
        <v>5371</v>
      </c>
      <c r="H834" t="s">
        <v>5181</v>
      </c>
      <c r="K834" s="31">
        <v>24385307.460000001</v>
      </c>
      <c r="M834" s="31">
        <v>37146533.990000002</v>
      </c>
      <c r="O834" s="31">
        <v>-12761226.529999999</v>
      </c>
      <c r="Q834">
        <v>-34.4</v>
      </c>
    </row>
    <row r="835" spans="3:17">
      <c r="C835">
        <v>5360</v>
      </c>
      <c r="E835" t="s">
        <v>5372</v>
      </c>
      <c r="H835" t="s">
        <v>5190</v>
      </c>
      <c r="K835" s="31">
        <v>2077.2600000000002</v>
      </c>
      <c r="M835" s="31">
        <v>5187.84</v>
      </c>
      <c r="O835" s="31">
        <v>-3110.58</v>
      </c>
      <c r="Q835">
        <v>-60</v>
      </c>
    </row>
    <row r="836" spans="3:17">
      <c r="C836">
        <v>5360</v>
      </c>
      <c r="E836" t="s">
        <v>5373</v>
      </c>
      <c r="H836" t="s">
        <v>5374</v>
      </c>
      <c r="K836" s="31">
        <v>-397684.85</v>
      </c>
      <c r="M836" s="31">
        <v>-614896.82999999996</v>
      </c>
      <c r="O836" s="31">
        <v>217211.98</v>
      </c>
      <c r="Q836">
        <v>35.299999999999997</v>
      </c>
    </row>
    <row r="837" spans="3:17">
      <c r="C837">
        <v>5360</v>
      </c>
      <c r="E837" t="s">
        <v>5375</v>
      </c>
      <c r="H837" t="s">
        <v>5376</v>
      </c>
      <c r="K837" s="31">
        <v>465182.47</v>
      </c>
      <c r="M837" s="31">
        <v>716120.66</v>
      </c>
      <c r="O837" s="31">
        <v>-250938.19</v>
      </c>
      <c r="Q837">
        <v>-35</v>
      </c>
    </row>
    <row r="838" spans="3:17">
      <c r="C838">
        <v>5360</v>
      </c>
      <c r="E838" t="s">
        <v>5377</v>
      </c>
      <c r="H838" t="s">
        <v>5378</v>
      </c>
      <c r="K838" s="31">
        <v>20938.54</v>
      </c>
      <c r="M838" s="31">
        <v>20595.29</v>
      </c>
      <c r="O838">
        <v>343.25</v>
      </c>
      <c r="Q838">
        <v>1.7</v>
      </c>
    </row>
    <row r="839" spans="3:17">
      <c r="C839">
        <v>5360</v>
      </c>
      <c r="E839" t="s">
        <v>5379</v>
      </c>
      <c r="H839" t="s">
        <v>5380</v>
      </c>
      <c r="K839" s="31">
        <v>-2895893.46</v>
      </c>
      <c r="M839" s="31">
        <v>-5321996.76</v>
      </c>
      <c r="O839" s="31">
        <v>2426103.2999999998</v>
      </c>
      <c r="Q839">
        <v>45.6</v>
      </c>
    </row>
    <row r="840" spans="3:17">
      <c r="C840">
        <v>5360</v>
      </c>
      <c r="E840" t="s">
        <v>5381</v>
      </c>
      <c r="H840" t="s">
        <v>5382</v>
      </c>
      <c r="K840" s="31">
        <v>2895893.46</v>
      </c>
      <c r="M840" s="31">
        <v>5321996.76</v>
      </c>
      <c r="O840" s="31">
        <v>-2426103.2999999998</v>
      </c>
      <c r="Q840">
        <v>-45.6</v>
      </c>
    </row>
    <row r="841" spans="3:17">
      <c r="C841">
        <v>5360</v>
      </c>
      <c r="E841" t="s">
        <v>5385</v>
      </c>
      <c r="H841" t="s">
        <v>5386</v>
      </c>
      <c r="K841" s="31">
        <v>-303027.03000000003</v>
      </c>
      <c r="M841" s="31">
        <v>-232170.48</v>
      </c>
      <c r="O841" s="31">
        <v>-70856.55</v>
      </c>
      <c r="Q841">
        <v>-30.5</v>
      </c>
    </row>
    <row r="842" spans="3:17">
      <c r="C842">
        <v>5360</v>
      </c>
      <c r="E842" t="s">
        <v>5387</v>
      </c>
      <c r="H842" t="s">
        <v>5388</v>
      </c>
      <c r="K842" s="31">
        <v>-1290181.3999999999</v>
      </c>
      <c r="M842" s="31">
        <v>-1931900.79</v>
      </c>
      <c r="O842" s="31">
        <v>641719.39</v>
      </c>
      <c r="Q842">
        <v>33.200000000000003</v>
      </c>
    </row>
    <row r="843" spans="3:17">
      <c r="C843">
        <v>5360</v>
      </c>
      <c r="E843" t="s">
        <v>5389</v>
      </c>
      <c r="H843" t="s">
        <v>5390</v>
      </c>
      <c r="K843" s="31">
        <v>-55500.43</v>
      </c>
      <c r="M843" s="31">
        <v>-123637.78</v>
      </c>
      <c r="O843" s="31">
        <v>68137.350000000006</v>
      </c>
      <c r="Q843">
        <v>55.1</v>
      </c>
    </row>
    <row r="844" spans="3:17">
      <c r="C844">
        <v>5360</v>
      </c>
      <c r="E844" t="s">
        <v>5391</v>
      </c>
      <c r="H844" t="s">
        <v>5392</v>
      </c>
      <c r="K844" s="31">
        <v>1423397.28</v>
      </c>
      <c r="M844" s="31">
        <v>2028218.87</v>
      </c>
      <c r="O844" s="31">
        <v>-604821.59</v>
      </c>
      <c r="Q844">
        <v>-29.8</v>
      </c>
    </row>
    <row r="845" spans="3:17">
      <c r="C845">
        <v>5360</v>
      </c>
      <c r="E845" t="s">
        <v>5393</v>
      </c>
      <c r="H845" t="s">
        <v>5394</v>
      </c>
      <c r="K845">
        <v>935.81</v>
      </c>
      <c r="M845">
        <v>935.81</v>
      </c>
      <c r="O845">
        <v>0</v>
      </c>
    </row>
    <row r="846" spans="3:17">
      <c r="C846">
        <v>5360</v>
      </c>
      <c r="E846" t="s">
        <v>5395</v>
      </c>
      <c r="H846" t="s">
        <v>5194</v>
      </c>
      <c r="K846" s="31">
        <v>17379607.16</v>
      </c>
      <c r="M846" s="31">
        <v>25519324.199999999</v>
      </c>
      <c r="O846" s="31">
        <v>-8139717.04</v>
      </c>
      <c r="Q846">
        <v>-31.9</v>
      </c>
    </row>
    <row r="847" spans="3:17">
      <c r="C847">
        <v>5360</v>
      </c>
      <c r="E847" t="s">
        <v>5396</v>
      </c>
      <c r="H847" t="s">
        <v>5397</v>
      </c>
      <c r="K847" s="31">
        <v>2058.86</v>
      </c>
      <c r="M847" s="31">
        <v>3111.41</v>
      </c>
      <c r="O847" s="31">
        <v>-1052.55</v>
      </c>
      <c r="Q847">
        <v>-33.799999999999997</v>
      </c>
    </row>
    <row r="848" spans="3:17">
      <c r="C848">
        <v>5360</v>
      </c>
      <c r="E848" t="s">
        <v>5400</v>
      </c>
      <c r="H848" t="s">
        <v>5401</v>
      </c>
      <c r="K848" s="31">
        <v>4731.6499999999996</v>
      </c>
      <c r="M848" s="31">
        <v>4952.25</v>
      </c>
      <c r="O848">
        <v>-220.6</v>
      </c>
      <c r="Q848">
        <v>-4.5</v>
      </c>
    </row>
    <row r="849" spans="3:17">
      <c r="C849">
        <v>5360</v>
      </c>
      <c r="E849" t="s">
        <v>5402</v>
      </c>
      <c r="H849" t="s">
        <v>5403</v>
      </c>
      <c r="K849" s="31">
        <v>4634064.05</v>
      </c>
      <c r="M849" s="31">
        <v>8205586.3300000001</v>
      </c>
      <c r="O849" s="31">
        <v>-3571522.28</v>
      </c>
      <c r="Q849">
        <v>-43.5</v>
      </c>
    </row>
    <row r="850" spans="3:17">
      <c r="C850">
        <v>5360</v>
      </c>
      <c r="E850" t="s">
        <v>5404</v>
      </c>
      <c r="H850" t="s">
        <v>5196</v>
      </c>
      <c r="K850" s="31">
        <v>141769.45000000001</v>
      </c>
      <c r="M850" s="31">
        <v>51684.89</v>
      </c>
      <c r="O850" s="31">
        <v>90084.56</v>
      </c>
      <c r="Q850">
        <v>174.3</v>
      </c>
    </row>
    <row r="851" spans="3:17">
      <c r="C851">
        <v>5360</v>
      </c>
      <c r="E851" t="s">
        <v>5407</v>
      </c>
      <c r="H851" t="s">
        <v>5200</v>
      </c>
      <c r="K851" s="31">
        <v>-539790.42000000004</v>
      </c>
      <c r="M851" s="31">
        <v>-894180.35</v>
      </c>
      <c r="O851" s="31">
        <v>354389.93</v>
      </c>
      <c r="Q851">
        <v>39.6</v>
      </c>
    </row>
    <row r="852" spans="3:17">
      <c r="C852">
        <v>5360</v>
      </c>
      <c r="E852" t="s">
        <v>5408</v>
      </c>
      <c r="H852" t="s">
        <v>5409</v>
      </c>
      <c r="K852" s="31">
        <v>491662.59</v>
      </c>
      <c r="M852" s="31">
        <v>822434.2</v>
      </c>
      <c r="O852" s="31">
        <v>-330771.61</v>
      </c>
      <c r="Q852">
        <v>-40.200000000000003</v>
      </c>
    </row>
    <row r="853" spans="3:17">
      <c r="C853">
        <v>5360</v>
      </c>
      <c r="E853" t="s">
        <v>6003</v>
      </c>
      <c r="H853" t="s">
        <v>6004</v>
      </c>
      <c r="K853" s="31">
        <v>-1026.9100000000001</v>
      </c>
      <c r="M853">
        <v>0</v>
      </c>
      <c r="O853" s="31">
        <v>-1026.9100000000001</v>
      </c>
    </row>
    <row r="854" spans="3:17">
      <c r="C854">
        <v>5360</v>
      </c>
      <c r="E854" t="s">
        <v>5410</v>
      </c>
      <c r="H854" t="s">
        <v>5411</v>
      </c>
      <c r="K854" s="31">
        <v>239157.07</v>
      </c>
      <c r="M854" s="31">
        <v>361827.42</v>
      </c>
      <c r="O854" s="31">
        <v>-122670.35</v>
      </c>
      <c r="Q854">
        <v>-33.9</v>
      </c>
    </row>
    <row r="855" spans="3:17">
      <c r="C855">
        <v>5360</v>
      </c>
      <c r="E855" t="s">
        <v>5412</v>
      </c>
      <c r="H855" t="s">
        <v>5413</v>
      </c>
      <c r="K855" s="31">
        <v>-68290.62</v>
      </c>
      <c r="M855" s="31">
        <v>-103289.58</v>
      </c>
      <c r="O855" s="31">
        <v>34998.959999999999</v>
      </c>
      <c r="Q855">
        <v>33.9</v>
      </c>
    </row>
    <row r="856" spans="3:17">
      <c r="C856">
        <v>5360</v>
      </c>
      <c r="E856" t="s">
        <v>5414</v>
      </c>
      <c r="H856" t="s">
        <v>5415</v>
      </c>
      <c r="K856">
        <v>51.04</v>
      </c>
      <c r="M856">
        <v>106.55</v>
      </c>
      <c r="O856">
        <v>-55.51</v>
      </c>
      <c r="Q856">
        <v>-52.1</v>
      </c>
    </row>
    <row r="857" spans="3:17">
      <c r="C857">
        <v>5360</v>
      </c>
      <c r="E857" t="s">
        <v>5416</v>
      </c>
      <c r="H857" t="s">
        <v>5204</v>
      </c>
      <c r="K857" s="31">
        <v>-884141.27</v>
      </c>
      <c r="M857" s="31">
        <v>-1270839.72</v>
      </c>
      <c r="O857" s="31">
        <v>386698.45</v>
      </c>
      <c r="Q857">
        <v>30.4</v>
      </c>
    </row>
    <row r="858" spans="3:17">
      <c r="C858">
        <v>5360</v>
      </c>
      <c r="E858" t="s">
        <v>5417</v>
      </c>
      <c r="H858" t="s">
        <v>5418</v>
      </c>
      <c r="K858">
        <v>229.11</v>
      </c>
      <c r="M858">
        <v>244.06</v>
      </c>
      <c r="O858">
        <v>-14.95</v>
      </c>
      <c r="Q858">
        <v>-6.1</v>
      </c>
    </row>
    <row r="859" spans="3:17">
      <c r="C859">
        <v>5360</v>
      </c>
      <c r="E859" t="s">
        <v>5423</v>
      </c>
      <c r="H859" t="s">
        <v>5206</v>
      </c>
      <c r="K859">
        <v>-322.86</v>
      </c>
      <c r="M859">
        <v>-537.75</v>
      </c>
      <c r="O859">
        <v>214.89</v>
      </c>
      <c r="Q859">
        <v>40</v>
      </c>
    </row>
    <row r="860" spans="3:17">
      <c r="C860">
        <v>5360</v>
      </c>
      <c r="E860" t="s">
        <v>5424</v>
      </c>
      <c r="H860" t="s">
        <v>5425</v>
      </c>
      <c r="K860" s="31">
        <v>20078.12</v>
      </c>
      <c r="M860" s="31">
        <v>20078.12</v>
      </c>
      <c r="O860">
        <v>0</v>
      </c>
    </row>
    <row r="861" spans="3:17">
      <c r="C861">
        <v>5360</v>
      </c>
      <c r="E861" t="s">
        <v>5426</v>
      </c>
      <c r="H861" t="s">
        <v>5425</v>
      </c>
      <c r="K861" s="31">
        <v>19151.43</v>
      </c>
      <c r="M861" s="31">
        <v>19151.43</v>
      </c>
      <c r="O861">
        <v>0</v>
      </c>
    </row>
    <row r="862" spans="3:17">
      <c r="C862">
        <v>5360</v>
      </c>
      <c r="E862" t="s">
        <v>5429</v>
      </c>
      <c r="H862" t="s">
        <v>5430</v>
      </c>
      <c r="K862">
        <v>-44.92</v>
      </c>
      <c r="M862">
        <v>-44.92</v>
      </c>
      <c r="O862">
        <v>0</v>
      </c>
    </row>
    <row r="863" spans="3:17">
      <c r="C863">
        <v>5360</v>
      </c>
      <c r="E863" t="s">
        <v>5436</v>
      </c>
      <c r="H863" t="s">
        <v>5437</v>
      </c>
      <c r="K863" s="31">
        <v>112023.67999999999</v>
      </c>
      <c r="M863" s="31">
        <v>162317.5</v>
      </c>
      <c r="O863" s="31">
        <v>-50293.82</v>
      </c>
      <c r="Q863">
        <v>-31</v>
      </c>
    </row>
    <row r="864" spans="3:17">
      <c r="C864">
        <v>5360</v>
      </c>
      <c r="E864" t="s">
        <v>5438</v>
      </c>
      <c r="H864" t="s">
        <v>5439</v>
      </c>
      <c r="K864">
        <v>243.92</v>
      </c>
      <c r="M864">
        <v>337.22</v>
      </c>
      <c r="O864">
        <v>-93.3</v>
      </c>
      <c r="Q864">
        <v>-27.7</v>
      </c>
    </row>
    <row r="865" spans="3:17">
      <c r="C865">
        <v>5360</v>
      </c>
      <c r="E865" t="s">
        <v>6005</v>
      </c>
      <c r="H865" t="s">
        <v>5993</v>
      </c>
      <c r="K865" s="31">
        <v>1976.18</v>
      </c>
      <c r="M865" s="31">
        <v>2956.73</v>
      </c>
      <c r="O865">
        <v>-980.55</v>
      </c>
      <c r="Q865">
        <v>-33.200000000000003</v>
      </c>
    </row>
    <row r="866" spans="3:17">
      <c r="C866">
        <v>5360</v>
      </c>
      <c r="E866" t="s">
        <v>5440</v>
      </c>
      <c r="H866" t="s">
        <v>312</v>
      </c>
      <c r="K866" s="31">
        <v>21200</v>
      </c>
      <c r="M866" s="31">
        <v>82550</v>
      </c>
      <c r="O866" s="31">
        <v>-61350</v>
      </c>
      <c r="Q866">
        <v>-74.3</v>
      </c>
    </row>
    <row r="867" spans="3:17">
      <c r="C867">
        <v>5360</v>
      </c>
      <c r="E867" t="s">
        <v>5443</v>
      </c>
      <c r="H867" t="s">
        <v>5444</v>
      </c>
      <c r="K867" s="31">
        <v>1789.38</v>
      </c>
      <c r="M867" s="31">
        <v>2837.37</v>
      </c>
      <c r="O867" s="31">
        <v>-1047.99</v>
      </c>
      <c r="Q867">
        <v>-36.9</v>
      </c>
    </row>
    <row r="868" spans="3:17">
      <c r="C868">
        <v>5360</v>
      </c>
      <c r="E868" t="s">
        <v>5445</v>
      </c>
      <c r="H868" t="s">
        <v>322</v>
      </c>
      <c r="K868" s="31">
        <v>321524.31</v>
      </c>
      <c r="M868" s="31">
        <v>306906.13</v>
      </c>
      <c r="O868" s="31">
        <v>14618.18</v>
      </c>
      <c r="Q868">
        <v>4.8</v>
      </c>
    </row>
    <row r="869" spans="3:17">
      <c r="C869">
        <v>5360</v>
      </c>
      <c r="E869" t="s">
        <v>5446</v>
      </c>
      <c r="H869" t="s">
        <v>5447</v>
      </c>
      <c r="K869">
        <v>-220.29</v>
      </c>
      <c r="M869">
        <v>-276.39</v>
      </c>
      <c r="O869">
        <v>56.1</v>
      </c>
      <c r="Q869">
        <v>20.3</v>
      </c>
    </row>
    <row r="870" spans="3:17">
      <c r="C870">
        <v>5360</v>
      </c>
      <c r="E870" t="s">
        <v>5448</v>
      </c>
      <c r="H870" t="s">
        <v>5449</v>
      </c>
      <c r="K870" s="31">
        <v>6709.82</v>
      </c>
      <c r="M870" s="31">
        <v>10154.64</v>
      </c>
      <c r="O870" s="31">
        <v>-3444.82</v>
      </c>
      <c r="Q870">
        <v>-33.9</v>
      </c>
    </row>
    <row r="871" spans="3:17">
      <c r="C871">
        <v>5360</v>
      </c>
      <c r="E871" t="s">
        <v>5450</v>
      </c>
      <c r="H871" t="s">
        <v>5210</v>
      </c>
      <c r="K871" s="31">
        <v>111749.58</v>
      </c>
      <c r="M871" s="31">
        <v>111749.58</v>
      </c>
      <c r="O871">
        <v>0</v>
      </c>
    </row>
    <row r="872" spans="3:17">
      <c r="C872">
        <v>5360</v>
      </c>
      <c r="E872" t="s">
        <v>5451</v>
      </c>
      <c r="H872" t="s">
        <v>5212</v>
      </c>
      <c r="K872" s="31">
        <v>106591.85</v>
      </c>
      <c r="M872" s="31">
        <v>106591.85</v>
      </c>
      <c r="O872">
        <v>0</v>
      </c>
    </row>
    <row r="873" spans="3:17">
      <c r="C873">
        <v>5360</v>
      </c>
      <c r="E873" t="s">
        <v>6006</v>
      </c>
      <c r="H873" t="s">
        <v>5922</v>
      </c>
      <c r="K873" s="31">
        <v>823750.01</v>
      </c>
      <c r="M873" s="31">
        <v>1235625.02</v>
      </c>
      <c r="O873" s="31">
        <v>-411875.01</v>
      </c>
      <c r="Q873">
        <v>-33.299999999999997</v>
      </c>
    </row>
    <row r="874" spans="3:17">
      <c r="C874">
        <v>5360</v>
      </c>
      <c r="E874" t="s">
        <v>6007</v>
      </c>
      <c r="H874" t="s">
        <v>5924</v>
      </c>
      <c r="K874" s="31">
        <v>14104.8</v>
      </c>
      <c r="M874" s="31">
        <v>21019.35</v>
      </c>
      <c r="O874" s="31">
        <v>-6914.55</v>
      </c>
      <c r="Q874">
        <v>-32.9</v>
      </c>
    </row>
    <row r="875" spans="3:17">
      <c r="C875">
        <v>5360</v>
      </c>
      <c r="E875" t="s">
        <v>6008</v>
      </c>
      <c r="H875" t="s">
        <v>5926</v>
      </c>
      <c r="K875" s="31">
        <v>-502893.01</v>
      </c>
      <c r="M875" s="31">
        <v>17961208.940000001</v>
      </c>
      <c r="O875" s="31">
        <v>-18464101.949999999</v>
      </c>
      <c r="Q875">
        <v>-102.8</v>
      </c>
    </row>
    <row r="876" spans="3:17">
      <c r="C876">
        <v>5360</v>
      </c>
      <c r="E876" t="s">
        <v>6009</v>
      </c>
      <c r="H876" t="s">
        <v>5928</v>
      </c>
      <c r="K876" s="31">
        <v>-207452.72</v>
      </c>
      <c r="M876" s="31">
        <v>-310219.73</v>
      </c>
      <c r="O876" s="31">
        <v>102767.01</v>
      </c>
      <c r="Q876">
        <v>33.1</v>
      </c>
    </row>
    <row r="877" spans="3:17">
      <c r="C877">
        <v>5360</v>
      </c>
      <c r="E877" t="s">
        <v>5452</v>
      </c>
      <c r="H877" t="s">
        <v>950</v>
      </c>
      <c r="K877" s="31">
        <v>719156.25</v>
      </c>
      <c r="M877" s="31">
        <v>1064765.6299999999</v>
      </c>
      <c r="O877" s="31">
        <v>-345609.38</v>
      </c>
      <c r="Q877">
        <v>-32.5</v>
      </c>
    </row>
    <row r="878" spans="3:17">
      <c r="C878">
        <v>5360</v>
      </c>
      <c r="E878" t="s">
        <v>5453</v>
      </c>
      <c r="H878" t="s">
        <v>5454</v>
      </c>
      <c r="K878" s="31">
        <v>5931.65</v>
      </c>
      <c r="M878" s="31">
        <v>8913.68</v>
      </c>
      <c r="O878" s="31">
        <v>-2982.03</v>
      </c>
      <c r="Q878">
        <v>-33.5</v>
      </c>
    </row>
    <row r="879" spans="3:17">
      <c r="C879">
        <v>5360</v>
      </c>
      <c r="E879" t="s">
        <v>5455</v>
      </c>
      <c r="H879" t="s">
        <v>120</v>
      </c>
      <c r="K879" s="31">
        <v>4576.09</v>
      </c>
      <c r="M879" s="31">
        <v>7357.31</v>
      </c>
      <c r="O879" s="31">
        <v>-2781.22</v>
      </c>
      <c r="Q879">
        <v>-37.799999999999997</v>
      </c>
    </row>
    <row r="880" spans="3:17">
      <c r="C880">
        <v>5360</v>
      </c>
      <c r="E880" t="s">
        <v>5456</v>
      </c>
      <c r="H880" t="s">
        <v>5457</v>
      </c>
      <c r="K880" s="31">
        <v>2975.46</v>
      </c>
      <c r="M880" s="31">
        <v>4513.95</v>
      </c>
      <c r="O880" s="31">
        <v>-1538.49</v>
      </c>
      <c r="Q880">
        <v>-34.1</v>
      </c>
    </row>
    <row r="881" spans="3:17">
      <c r="C881">
        <v>5360</v>
      </c>
      <c r="E881" t="s">
        <v>5458</v>
      </c>
      <c r="H881" t="s">
        <v>5226</v>
      </c>
      <c r="K881" s="31">
        <v>36510.32</v>
      </c>
      <c r="M881" s="31">
        <v>54173.88</v>
      </c>
      <c r="O881" s="31">
        <v>-17663.560000000001</v>
      </c>
      <c r="Q881">
        <v>-32.6</v>
      </c>
    </row>
    <row r="882" spans="3:17">
      <c r="C882">
        <v>5360</v>
      </c>
      <c r="E882" t="s">
        <v>5459</v>
      </c>
      <c r="H882" t="s">
        <v>5460</v>
      </c>
      <c r="K882" s="31">
        <v>5095.2299999999996</v>
      </c>
      <c r="M882" s="31">
        <v>7645.47</v>
      </c>
      <c r="O882" s="31">
        <v>-2550.2399999999998</v>
      </c>
      <c r="Q882">
        <v>-33.4</v>
      </c>
    </row>
    <row r="883" spans="3:17">
      <c r="C883">
        <v>5360</v>
      </c>
      <c r="E883" t="s">
        <v>5461</v>
      </c>
      <c r="H883" t="s">
        <v>5462</v>
      </c>
      <c r="K883" s="31">
        <v>-355490.48</v>
      </c>
      <c r="M883" s="31">
        <v>-512839.27</v>
      </c>
      <c r="O883" s="31">
        <v>157348.79</v>
      </c>
      <c r="Q883">
        <v>30.7</v>
      </c>
    </row>
    <row r="884" spans="3:17">
      <c r="C884">
        <v>5360</v>
      </c>
      <c r="E884" t="s">
        <v>5463</v>
      </c>
      <c r="H884" t="s">
        <v>5464</v>
      </c>
      <c r="K884">
        <v>-189.6</v>
      </c>
      <c r="M884">
        <v>-210.95</v>
      </c>
      <c r="O884">
        <v>21.35</v>
      </c>
      <c r="Q884">
        <v>10.1</v>
      </c>
    </row>
    <row r="885" spans="3:17">
      <c r="C885">
        <v>5360</v>
      </c>
      <c r="E885" t="s">
        <v>3670</v>
      </c>
      <c r="H885" t="s">
        <v>3604</v>
      </c>
      <c r="K885" s="31">
        <v>-39506840.479999997</v>
      </c>
      <c r="M885" s="31">
        <v>-111498220.16</v>
      </c>
      <c r="O885" s="31">
        <v>71991379.680000007</v>
      </c>
      <c r="Q885">
        <v>64.599999999999994</v>
      </c>
    </row>
    <row r="886" spans="3:17">
      <c r="C886">
        <v>5360</v>
      </c>
      <c r="E886" t="s">
        <v>5468</v>
      </c>
      <c r="H886" t="s">
        <v>5469</v>
      </c>
      <c r="K886" s="31">
        <v>-28162882.780000001</v>
      </c>
      <c r="M886" s="31">
        <v>-50810784.649999999</v>
      </c>
      <c r="O886" s="31">
        <v>22647901.870000001</v>
      </c>
      <c r="Q886">
        <v>44.6</v>
      </c>
    </row>
    <row r="887" spans="3:17">
      <c r="C887">
        <v>5360</v>
      </c>
      <c r="E887" t="s">
        <v>5470</v>
      </c>
      <c r="H887" t="s">
        <v>1084</v>
      </c>
      <c r="K887" s="31">
        <v>-2694960.25</v>
      </c>
      <c r="M887" s="31">
        <v>-4658115.12</v>
      </c>
      <c r="O887" s="31">
        <v>1963154.87</v>
      </c>
      <c r="Q887">
        <v>42.1</v>
      </c>
    </row>
    <row r="888" spans="3:17">
      <c r="C888">
        <v>5360</v>
      </c>
      <c r="E888" t="s">
        <v>5471</v>
      </c>
      <c r="H888" t="s">
        <v>5472</v>
      </c>
      <c r="K888" s="31">
        <v>-25426201.809999999</v>
      </c>
      <c r="M888" s="31">
        <v>-43274066.950000003</v>
      </c>
      <c r="O888" s="31">
        <v>17847865.140000001</v>
      </c>
      <c r="Q888">
        <v>41.2</v>
      </c>
    </row>
    <row r="889" spans="3:17">
      <c r="C889">
        <v>5360</v>
      </c>
      <c r="E889" t="s">
        <v>5473</v>
      </c>
      <c r="H889" t="s">
        <v>5474</v>
      </c>
      <c r="K889" s="31">
        <v>-753254.27</v>
      </c>
      <c r="M889" s="31">
        <v>-1282573.48</v>
      </c>
      <c r="O889" s="31">
        <v>529319.21</v>
      </c>
      <c r="Q889">
        <v>41.3</v>
      </c>
    </row>
    <row r="890" spans="3:17">
      <c r="C890">
        <v>5360</v>
      </c>
      <c r="E890" t="s">
        <v>5475</v>
      </c>
      <c r="H890" t="s">
        <v>5476</v>
      </c>
      <c r="K890" s="31">
        <v>-2895532.03</v>
      </c>
      <c r="M890" s="31">
        <v>-14309886.939999999</v>
      </c>
      <c r="O890" s="31">
        <v>11414354.91</v>
      </c>
      <c r="Q890">
        <v>79.8</v>
      </c>
    </row>
    <row r="891" spans="3:17">
      <c r="C891">
        <v>5360</v>
      </c>
      <c r="E891" t="s">
        <v>5477</v>
      </c>
      <c r="H891" t="s">
        <v>5478</v>
      </c>
      <c r="K891" s="31">
        <v>17542.93</v>
      </c>
      <c r="M891" s="31">
        <v>16137.55</v>
      </c>
      <c r="O891" s="31">
        <v>1405.38</v>
      </c>
      <c r="Q891">
        <v>8.6999999999999993</v>
      </c>
    </row>
    <row r="892" spans="3:17">
      <c r="C892">
        <v>5360</v>
      </c>
      <c r="E892" t="s">
        <v>3664</v>
      </c>
      <c r="H892" t="s">
        <v>3605</v>
      </c>
      <c r="K892" s="31">
        <v>-19653438.469999999</v>
      </c>
      <c r="M892" s="31">
        <v>-33421641.890000001</v>
      </c>
      <c r="O892" s="31">
        <v>13768203.42</v>
      </c>
      <c r="Q892">
        <v>41.2</v>
      </c>
    </row>
    <row r="893" spans="3:17">
      <c r="C893">
        <v>5360</v>
      </c>
      <c r="E893" t="s">
        <v>5479</v>
      </c>
      <c r="H893" t="s">
        <v>5480</v>
      </c>
      <c r="K893" s="31">
        <v>-102859.46</v>
      </c>
      <c r="M893" s="31">
        <v>-192279.92</v>
      </c>
      <c r="O893" s="31">
        <v>89420.46</v>
      </c>
      <c r="Q893">
        <v>46.5</v>
      </c>
    </row>
    <row r="894" spans="3:17">
      <c r="C894">
        <v>5360</v>
      </c>
      <c r="E894" t="s">
        <v>5481</v>
      </c>
      <c r="H894" t="s">
        <v>5482</v>
      </c>
      <c r="K894" s="31">
        <v>-465784.58</v>
      </c>
      <c r="M894" s="31">
        <v>-750568.9</v>
      </c>
      <c r="O894" s="31">
        <v>284784.32</v>
      </c>
      <c r="Q894">
        <v>37.9</v>
      </c>
    </row>
    <row r="895" spans="3:17">
      <c r="C895">
        <v>5360</v>
      </c>
      <c r="E895" t="s">
        <v>5483</v>
      </c>
      <c r="H895" t="s">
        <v>295</v>
      </c>
      <c r="K895" s="31">
        <v>-1034380.8</v>
      </c>
      <c r="M895" s="31">
        <v>-1551671.2</v>
      </c>
      <c r="O895" s="31">
        <v>517290.4</v>
      </c>
      <c r="Q895">
        <v>33.299999999999997</v>
      </c>
    </row>
    <row r="896" spans="3:17">
      <c r="C896">
        <v>5360</v>
      </c>
      <c r="E896" t="s">
        <v>1763</v>
      </c>
      <c r="H896" t="s">
        <v>3532</v>
      </c>
      <c r="K896" s="31">
        <v>-3025311.44</v>
      </c>
      <c r="M896" s="31">
        <v>-7021425.4900000002</v>
      </c>
      <c r="O896" s="31">
        <v>3996114.05</v>
      </c>
      <c r="Q896">
        <v>56.9</v>
      </c>
    </row>
    <row r="897" spans="3:17">
      <c r="C897">
        <v>5360</v>
      </c>
      <c r="E897" t="s">
        <v>1937</v>
      </c>
      <c r="H897" t="s">
        <v>5484</v>
      </c>
      <c r="K897">
        <v>306.72000000000003</v>
      </c>
      <c r="M897">
        <v>306.72000000000003</v>
      </c>
      <c r="O897">
        <v>0</v>
      </c>
    </row>
    <row r="898" spans="3:17">
      <c r="C898">
        <v>5360</v>
      </c>
      <c r="E898" t="s">
        <v>1770</v>
      </c>
      <c r="H898" t="s">
        <v>1365</v>
      </c>
      <c r="K898" s="31">
        <v>1421336.13</v>
      </c>
      <c r="M898" s="31">
        <v>775096.61</v>
      </c>
      <c r="O898" s="31">
        <v>646239.52</v>
      </c>
      <c r="Q898">
        <v>83.4</v>
      </c>
    </row>
    <row r="899" spans="3:17">
      <c r="C899">
        <v>5360</v>
      </c>
      <c r="E899" t="s">
        <v>2062</v>
      </c>
      <c r="H899" t="s">
        <v>1369</v>
      </c>
      <c r="K899" s="31">
        <v>-419563.73</v>
      </c>
      <c r="M899" s="31">
        <v>-473980.14</v>
      </c>
      <c r="O899" s="31">
        <v>54416.41</v>
      </c>
      <c r="Q899">
        <v>11.5</v>
      </c>
    </row>
    <row r="900" spans="3:17">
      <c r="C900">
        <v>5360</v>
      </c>
      <c r="E900" t="s">
        <v>3535</v>
      </c>
      <c r="H900" t="s">
        <v>5485</v>
      </c>
      <c r="K900" s="31">
        <v>354101.69</v>
      </c>
      <c r="M900" s="31">
        <v>406685.1</v>
      </c>
      <c r="O900" s="31">
        <v>-52583.41</v>
      </c>
      <c r="Q900">
        <v>-12.9</v>
      </c>
    </row>
    <row r="901" spans="3:17">
      <c r="C901">
        <v>5360</v>
      </c>
      <c r="E901" t="s">
        <v>5486</v>
      </c>
      <c r="H901" t="s">
        <v>5237</v>
      </c>
      <c r="K901" s="31">
        <v>11911164.279999999</v>
      </c>
      <c r="M901" s="31">
        <v>17646442.100000001</v>
      </c>
      <c r="O901" s="31">
        <v>-5735277.8200000003</v>
      </c>
      <c r="Q901">
        <v>-32.5</v>
      </c>
    </row>
    <row r="902" spans="3:17">
      <c r="C902">
        <v>5360</v>
      </c>
      <c r="E902" t="s">
        <v>5487</v>
      </c>
      <c r="H902" t="s">
        <v>5488</v>
      </c>
      <c r="K902" s="31">
        <v>-6969864.1900000004</v>
      </c>
      <c r="M902" s="31">
        <v>-10362182.33</v>
      </c>
      <c r="O902" s="31">
        <v>3392318.14</v>
      </c>
      <c r="Q902">
        <v>32.700000000000003</v>
      </c>
    </row>
    <row r="903" spans="3:17">
      <c r="C903">
        <v>5360</v>
      </c>
      <c r="E903" t="s">
        <v>5489</v>
      </c>
      <c r="H903" t="s">
        <v>5490</v>
      </c>
      <c r="K903" s="31">
        <v>-662506.99</v>
      </c>
      <c r="M903" s="31">
        <v>-980567.26</v>
      </c>
      <c r="O903" s="31">
        <v>318060.27</v>
      </c>
      <c r="Q903">
        <v>32.4</v>
      </c>
    </row>
    <row r="904" spans="3:17">
      <c r="C904">
        <v>5360</v>
      </c>
      <c r="E904" t="s">
        <v>5491</v>
      </c>
      <c r="H904" t="s">
        <v>5492</v>
      </c>
      <c r="K904" s="31">
        <v>1647031.28</v>
      </c>
      <c r="M904" s="31">
        <v>2407781.1</v>
      </c>
      <c r="O904" s="31">
        <v>-760749.82</v>
      </c>
      <c r="Q904">
        <v>-31.6</v>
      </c>
    </row>
    <row r="905" spans="3:17">
      <c r="C905">
        <v>5360</v>
      </c>
      <c r="E905" t="s">
        <v>5493</v>
      </c>
      <c r="H905" t="s">
        <v>5494</v>
      </c>
      <c r="K905" s="31">
        <v>-66304.14</v>
      </c>
      <c r="M905" s="31">
        <v>-89575.09</v>
      </c>
      <c r="O905" s="31">
        <v>23270.95</v>
      </c>
      <c r="Q905">
        <v>26</v>
      </c>
    </row>
    <row r="906" spans="3:17">
      <c r="C906">
        <v>5360</v>
      </c>
      <c r="E906" t="s">
        <v>5495</v>
      </c>
      <c r="H906" t="s">
        <v>5241</v>
      </c>
      <c r="K906" s="31">
        <v>900167</v>
      </c>
      <c r="M906" s="31">
        <v>1308919.3700000001</v>
      </c>
      <c r="O906" s="31">
        <v>-408752.37</v>
      </c>
      <c r="Q906">
        <v>-31.2</v>
      </c>
    </row>
    <row r="907" spans="3:17">
      <c r="C907">
        <v>5360</v>
      </c>
      <c r="E907" t="s">
        <v>5496</v>
      </c>
      <c r="H907" t="s">
        <v>5497</v>
      </c>
      <c r="K907" s="31">
        <v>-4964194.38</v>
      </c>
      <c r="M907" s="31">
        <v>-7204240.2999999998</v>
      </c>
      <c r="O907" s="31">
        <v>2240045.92</v>
      </c>
      <c r="Q907">
        <v>31.1</v>
      </c>
    </row>
    <row r="908" spans="3:17">
      <c r="C908">
        <v>5360</v>
      </c>
      <c r="E908" t="s">
        <v>5498</v>
      </c>
      <c r="H908" t="s">
        <v>5499</v>
      </c>
      <c r="K908" s="31">
        <v>-124977.93</v>
      </c>
      <c r="M908" s="31">
        <v>-160732.63</v>
      </c>
      <c r="O908" s="31">
        <v>35754.699999999997</v>
      </c>
      <c r="Q908">
        <v>22.2</v>
      </c>
    </row>
    <row r="909" spans="3:17">
      <c r="C909">
        <v>5360</v>
      </c>
      <c r="E909" t="s">
        <v>5500</v>
      </c>
      <c r="H909" t="s">
        <v>5501</v>
      </c>
      <c r="K909" s="31">
        <v>11724167.32</v>
      </c>
      <c r="M909" s="31">
        <v>17004554.579999998</v>
      </c>
      <c r="O909" s="31">
        <v>-5280387.26</v>
      </c>
      <c r="Q909">
        <v>-31.1</v>
      </c>
    </row>
    <row r="910" spans="3:17">
      <c r="C910">
        <v>5360</v>
      </c>
      <c r="E910" t="s">
        <v>5502</v>
      </c>
      <c r="H910" t="s">
        <v>5245</v>
      </c>
      <c r="K910" s="31">
        <v>5901082.3200000003</v>
      </c>
      <c r="M910" s="31">
        <v>8986506.0899999999</v>
      </c>
      <c r="O910" s="31">
        <v>-3085423.77</v>
      </c>
      <c r="Q910">
        <v>-34.299999999999997</v>
      </c>
    </row>
    <row r="911" spans="3:17">
      <c r="C911">
        <v>5360</v>
      </c>
      <c r="E911" t="s">
        <v>5503</v>
      </c>
      <c r="H911" t="s">
        <v>5504</v>
      </c>
      <c r="K911" s="31">
        <v>-3891723.75</v>
      </c>
      <c r="M911" s="31">
        <v>-6010111.2300000004</v>
      </c>
      <c r="O911" s="31">
        <v>2118387.48</v>
      </c>
      <c r="Q911">
        <v>35.200000000000003</v>
      </c>
    </row>
    <row r="912" spans="3:17">
      <c r="C912">
        <v>5360</v>
      </c>
      <c r="E912" t="s">
        <v>5505</v>
      </c>
      <c r="H912" t="s">
        <v>5506</v>
      </c>
      <c r="K912" s="31">
        <v>-86928.59</v>
      </c>
      <c r="M912" s="31">
        <v>-129445.8</v>
      </c>
      <c r="O912" s="31">
        <v>42517.21</v>
      </c>
      <c r="Q912">
        <v>32.799999999999997</v>
      </c>
    </row>
    <row r="913" spans="3:17">
      <c r="C913">
        <v>5360</v>
      </c>
      <c r="E913" t="s">
        <v>5507</v>
      </c>
      <c r="H913" t="s">
        <v>5508</v>
      </c>
      <c r="K913" s="31">
        <v>633041.17000000004</v>
      </c>
      <c r="M913" s="31">
        <v>897110.84</v>
      </c>
      <c r="O913" s="31">
        <v>-264069.67</v>
      </c>
      <c r="Q913">
        <v>-29.4</v>
      </c>
    </row>
    <row r="914" spans="3:17">
      <c r="C914">
        <v>5360</v>
      </c>
      <c r="E914" t="s">
        <v>5509</v>
      </c>
      <c r="H914" t="s">
        <v>5249</v>
      </c>
      <c r="K914" s="31">
        <v>1427.96</v>
      </c>
      <c r="M914" s="31">
        <v>1427.96</v>
      </c>
      <c r="O914">
        <v>0</v>
      </c>
    </row>
    <row r="915" spans="3:17">
      <c r="C915">
        <v>5360</v>
      </c>
      <c r="E915" t="s">
        <v>5510</v>
      </c>
      <c r="H915" t="s">
        <v>5511</v>
      </c>
      <c r="K915">
        <v>-97.08</v>
      </c>
      <c r="M915">
        <v>-97.08</v>
      </c>
      <c r="O915">
        <v>0</v>
      </c>
    </row>
    <row r="916" spans="3:17">
      <c r="C916">
        <v>5360</v>
      </c>
      <c r="E916" t="s">
        <v>5514</v>
      </c>
      <c r="H916" t="s">
        <v>5515</v>
      </c>
      <c r="K916" s="31">
        <v>94141.440000000002</v>
      </c>
      <c r="M916" s="31">
        <v>158968.63</v>
      </c>
      <c r="O916" s="31">
        <v>-64827.19</v>
      </c>
      <c r="Q916">
        <v>-40.799999999999997</v>
      </c>
    </row>
    <row r="917" spans="3:17">
      <c r="C917">
        <v>5360</v>
      </c>
      <c r="E917" t="s">
        <v>5516</v>
      </c>
      <c r="H917" t="s">
        <v>5251</v>
      </c>
      <c r="K917" s="31">
        <v>849710.26</v>
      </c>
      <c r="M917" s="31">
        <v>898875.23</v>
      </c>
      <c r="O917" s="31">
        <v>-49164.97</v>
      </c>
      <c r="Q917">
        <v>-5.5</v>
      </c>
    </row>
    <row r="918" spans="3:17">
      <c r="C918">
        <v>5360</v>
      </c>
      <c r="E918" t="s">
        <v>5517</v>
      </c>
      <c r="H918" t="s">
        <v>5518</v>
      </c>
      <c r="K918" s="31">
        <v>-769731.23</v>
      </c>
      <c r="M918" s="31">
        <v>-1157549.8799999999</v>
      </c>
      <c r="O918" s="31">
        <v>387818.65</v>
      </c>
      <c r="Q918">
        <v>33.5</v>
      </c>
    </row>
    <row r="919" spans="3:17">
      <c r="C919">
        <v>5360</v>
      </c>
      <c r="E919" t="s">
        <v>5519</v>
      </c>
      <c r="H919" t="s">
        <v>5520</v>
      </c>
      <c r="K919" s="31">
        <v>-1376.36</v>
      </c>
      <c r="M919" s="31">
        <v>-1953.64</v>
      </c>
      <c r="O919">
        <v>577.28</v>
      </c>
      <c r="Q919">
        <v>29.5</v>
      </c>
    </row>
    <row r="920" spans="3:17">
      <c r="C920">
        <v>5360</v>
      </c>
      <c r="E920" t="s">
        <v>5521</v>
      </c>
      <c r="H920" t="s">
        <v>5522</v>
      </c>
      <c r="K920" s="31">
        <v>1085954.07</v>
      </c>
      <c r="M920" s="31">
        <v>2065047.52</v>
      </c>
      <c r="O920" s="31">
        <v>-979093.45</v>
      </c>
      <c r="Q920">
        <v>-47.4</v>
      </c>
    </row>
    <row r="921" spans="3:17">
      <c r="C921">
        <v>5360</v>
      </c>
      <c r="E921" t="s">
        <v>5525</v>
      </c>
      <c r="H921" t="s">
        <v>5526</v>
      </c>
      <c r="K921" s="31">
        <v>21675.27</v>
      </c>
      <c r="M921" s="31">
        <v>35617.870000000003</v>
      </c>
      <c r="O921" s="31">
        <v>-13942.6</v>
      </c>
      <c r="Q921">
        <v>-39.1</v>
      </c>
    </row>
    <row r="922" spans="3:17">
      <c r="C922">
        <v>5360</v>
      </c>
      <c r="E922" t="s">
        <v>5529</v>
      </c>
      <c r="H922" t="s">
        <v>5530</v>
      </c>
      <c r="K922" s="31">
        <v>27260.09</v>
      </c>
      <c r="M922" s="31">
        <v>37733.58</v>
      </c>
      <c r="O922" s="31">
        <v>-10473.49</v>
      </c>
      <c r="Q922">
        <v>-27.8</v>
      </c>
    </row>
    <row r="923" spans="3:17">
      <c r="C923">
        <v>5360</v>
      </c>
      <c r="E923" t="s">
        <v>5531</v>
      </c>
      <c r="H923" t="s">
        <v>5532</v>
      </c>
      <c r="K923" s="31">
        <v>45301.3</v>
      </c>
      <c r="M923" s="31">
        <v>91298.89</v>
      </c>
      <c r="O923" s="31">
        <v>-45997.59</v>
      </c>
      <c r="Q923">
        <v>-50.4</v>
      </c>
    </row>
    <row r="924" spans="3:17">
      <c r="C924">
        <v>5360</v>
      </c>
      <c r="E924" t="s">
        <v>5533</v>
      </c>
      <c r="H924" t="s">
        <v>5255</v>
      </c>
      <c r="K924" s="31">
        <v>656467.64</v>
      </c>
      <c r="M924" s="31">
        <v>1009903.05</v>
      </c>
      <c r="O924" s="31">
        <v>-353435.41</v>
      </c>
      <c r="Q924">
        <v>-35</v>
      </c>
    </row>
    <row r="925" spans="3:17">
      <c r="C925">
        <v>5360</v>
      </c>
      <c r="E925" t="s">
        <v>5534</v>
      </c>
      <c r="H925" t="s">
        <v>5535</v>
      </c>
      <c r="K925" s="31">
        <v>-375813.09</v>
      </c>
      <c r="M925" s="31">
        <v>-597048.22</v>
      </c>
      <c r="O925" s="31">
        <v>221235.13</v>
      </c>
      <c r="Q925">
        <v>37.1</v>
      </c>
    </row>
    <row r="926" spans="3:17">
      <c r="C926">
        <v>5360</v>
      </c>
      <c r="E926" t="s">
        <v>5536</v>
      </c>
      <c r="H926" t="s">
        <v>5537</v>
      </c>
      <c r="K926" s="31">
        <v>-19631.52</v>
      </c>
      <c r="M926" s="31">
        <v>-30278.080000000002</v>
      </c>
      <c r="O926" s="31">
        <v>10646.56</v>
      </c>
      <c r="Q926">
        <v>35.200000000000003</v>
      </c>
    </row>
    <row r="927" spans="3:17">
      <c r="C927">
        <v>5360</v>
      </c>
      <c r="E927" t="s">
        <v>5538</v>
      </c>
      <c r="H927" t="s">
        <v>5539</v>
      </c>
      <c r="K927" s="31">
        <v>20349.71</v>
      </c>
      <c r="M927" s="31">
        <v>55990.8</v>
      </c>
      <c r="O927" s="31">
        <v>-35641.089999999997</v>
      </c>
      <c r="Q927">
        <v>-63.7</v>
      </c>
    </row>
    <row r="928" spans="3:17">
      <c r="C928">
        <v>5360</v>
      </c>
      <c r="E928" t="s">
        <v>5542</v>
      </c>
      <c r="H928" t="s">
        <v>5257</v>
      </c>
      <c r="K928" s="31">
        <v>3859981.77</v>
      </c>
      <c r="M928" s="31">
        <v>5185834.6399999997</v>
      </c>
      <c r="O928" s="31">
        <v>-1325852.8700000001</v>
      </c>
      <c r="Q928">
        <v>-25.6</v>
      </c>
    </row>
    <row r="929" spans="3:17">
      <c r="C929">
        <v>5360</v>
      </c>
      <c r="E929" t="s">
        <v>5543</v>
      </c>
      <c r="H929" t="s">
        <v>5544</v>
      </c>
      <c r="K929" s="31">
        <v>-3088855.01</v>
      </c>
      <c r="M929" s="31">
        <v>-4226519.72</v>
      </c>
      <c r="O929" s="31">
        <v>1137664.71</v>
      </c>
      <c r="Q929">
        <v>26.9</v>
      </c>
    </row>
    <row r="930" spans="3:17">
      <c r="C930">
        <v>5360</v>
      </c>
      <c r="E930" t="s">
        <v>5545</v>
      </c>
      <c r="H930" t="s">
        <v>5546</v>
      </c>
      <c r="K930" s="31">
        <v>-119925.41</v>
      </c>
      <c r="M930" s="31">
        <v>-252169.03</v>
      </c>
      <c r="O930" s="31">
        <v>132243.62</v>
      </c>
      <c r="Q930">
        <v>52.4</v>
      </c>
    </row>
    <row r="931" spans="3:17">
      <c r="C931">
        <v>5360</v>
      </c>
      <c r="E931" t="s">
        <v>5547</v>
      </c>
      <c r="H931" t="s">
        <v>5548</v>
      </c>
      <c r="K931" s="31">
        <v>2272659.52</v>
      </c>
      <c r="M931" s="31">
        <v>3300111.64</v>
      </c>
      <c r="O931" s="31">
        <v>-1027452.12</v>
      </c>
      <c r="Q931">
        <v>-31.1</v>
      </c>
    </row>
    <row r="932" spans="3:17">
      <c r="C932">
        <v>5360</v>
      </c>
      <c r="E932" t="s">
        <v>5549</v>
      </c>
      <c r="H932" t="s">
        <v>5261</v>
      </c>
      <c r="K932" s="31">
        <v>1191288.52</v>
      </c>
      <c r="M932" s="31">
        <v>1695445.82</v>
      </c>
      <c r="O932" s="31">
        <v>-504157.3</v>
      </c>
      <c r="Q932">
        <v>-29.7</v>
      </c>
    </row>
    <row r="933" spans="3:17">
      <c r="C933">
        <v>5360</v>
      </c>
      <c r="E933" t="s">
        <v>5550</v>
      </c>
      <c r="H933" t="s">
        <v>5551</v>
      </c>
      <c r="K933" s="31">
        <v>-1029296.93</v>
      </c>
      <c r="M933" s="31">
        <v>-1481249.94</v>
      </c>
      <c r="O933" s="31">
        <v>451953.01</v>
      </c>
      <c r="Q933">
        <v>30.5</v>
      </c>
    </row>
    <row r="934" spans="3:17">
      <c r="C934">
        <v>5360</v>
      </c>
      <c r="E934" t="s">
        <v>5552</v>
      </c>
      <c r="H934" t="s">
        <v>5553</v>
      </c>
      <c r="K934" s="31">
        <v>-19553.32</v>
      </c>
      <c r="M934" s="31">
        <v>-28578.880000000001</v>
      </c>
      <c r="O934" s="31">
        <v>9025.56</v>
      </c>
      <c r="Q934">
        <v>31.6</v>
      </c>
    </row>
    <row r="935" spans="3:17">
      <c r="C935">
        <v>5360</v>
      </c>
      <c r="E935" t="s">
        <v>5554</v>
      </c>
      <c r="H935" t="s">
        <v>5263</v>
      </c>
      <c r="K935" s="31">
        <v>292562.46999999997</v>
      </c>
      <c r="M935" s="31">
        <v>411279.94</v>
      </c>
      <c r="O935" s="31">
        <v>-118717.47</v>
      </c>
      <c r="Q935">
        <v>-28.9</v>
      </c>
    </row>
    <row r="936" spans="3:17">
      <c r="C936">
        <v>5360</v>
      </c>
      <c r="E936" t="s">
        <v>5555</v>
      </c>
      <c r="H936" t="s">
        <v>5265</v>
      </c>
      <c r="K936">
        <v>-488.3</v>
      </c>
      <c r="M936" s="31">
        <v>19185.84</v>
      </c>
      <c r="O936" s="31">
        <v>-19674.14</v>
      </c>
      <c r="Q936">
        <v>-102.5</v>
      </c>
    </row>
    <row r="937" spans="3:17">
      <c r="C937">
        <v>5360</v>
      </c>
      <c r="E937" t="s">
        <v>5556</v>
      </c>
      <c r="H937" t="s">
        <v>5557</v>
      </c>
      <c r="K937" s="31">
        <v>-49931.07</v>
      </c>
      <c r="M937" s="31">
        <v>-86270.22</v>
      </c>
      <c r="O937" s="31">
        <v>36339.15</v>
      </c>
      <c r="Q937">
        <v>42.1</v>
      </c>
    </row>
    <row r="938" spans="3:17">
      <c r="C938">
        <v>5360</v>
      </c>
      <c r="E938" t="s">
        <v>5558</v>
      </c>
      <c r="H938" t="s">
        <v>5559</v>
      </c>
      <c r="K938" s="31">
        <v>4974.88</v>
      </c>
      <c r="M938" s="31">
        <v>6283.45</v>
      </c>
      <c r="O938" s="31">
        <v>-1308.57</v>
      </c>
      <c r="Q938">
        <v>-20.8</v>
      </c>
    </row>
    <row r="939" spans="3:17">
      <c r="C939">
        <v>5360</v>
      </c>
      <c r="E939" t="s">
        <v>5561</v>
      </c>
      <c r="H939" t="s">
        <v>5267</v>
      </c>
      <c r="K939" s="31">
        <v>19835.189999999999</v>
      </c>
      <c r="M939" s="31">
        <v>25437.56</v>
      </c>
      <c r="O939" s="31">
        <v>-5602.37</v>
      </c>
      <c r="Q939">
        <v>-22</v>
      </c>
    </row>
    <row r="940" spans="3:17">
      <c r="C940">
        <v>5360</v>
      </c>
      <c r="E940" t="s">
        <v>5562</v>
      </c>
      <c r="H940" t="s">
        <v>5269</v>
      </c>
      <c r="K940" s="31">
        <v>3552228.97</v>
      </c>
      <c r="M940" s="31">
        <v>5387491.2999999998</v>
      </c>
      <c r="O940" s="31">
        <v>-1835262.33</v>
      </c>
      <c r="Q940">
        <v>-34.1</v>
      </c>
    </row>
    <row r="941" spans="3:17">
      <c r="C941">
        <v>5360</v>
      </c>
      <c r="E941" t="s">
        <v>5563</v>
      </c>
      <c r="H941" t="s">
        <v>5564</v>
      </c>
      <c r="K941" s="31">
        <v>-11375302.060000001</v>
      </c>
      <c r="M941" s="31">
        <v>-17819883.379999999</v>
      </c>
      <c r="O941" s="31">
        <v>6444581.3200000003</v>
      </c>
      <c r="Q941">
        <v>36.200000000000003</v>
      </c>
    </row>
    <row r="942" spans="3:17">
      <c r="C942">
        <v>5360</v>
      </c>
      <c r="E942" t="s">
        <v>5565</v>
      </c>
      <c r="H942" t="s">
        <v>5566</v>
      </c>
      <c r="K942" s="31">
        <v>-106733.98</v>
      </c>
      <c r="M942" s="31">
        <v>-173047.7</v>
      </c>
      <c r="O942" s="31">
        <v>66313.72</v>
      </c>
      <c r="Q942">
        <v>38.299999999999997</v>
      </c>
    </row>
    <row r="943" spans="3:17">
      <c r="C943">
        <v>5360</v>
      </c>
      <c r="E943" t="s">
        <v>5567</v>
      </c>
      <c r="H943" t="s">
        <v>5271</v>
      </c>
      <c r="K943" s="31">
        <v>10592386.76</v>
      </c>
      <c r="M943" s="31">
        <v>16642538</v>
      </c>
      <c r="O943" s="31">
        <v>-6050151.2400000002</v>
      </c>
      <c r="Q943">
        <v>-36.4</v>
      </c>
    </row>
    <row r="944" spans="3:17">
      <c r="C944">
        <v>5360</v>
      </c>
      <c r="E944" t="s">
        <v>5568</v>
      </c>
      <c r="H944" t="s">
        <v>5273</v>
      </c>
      <c r="K944" s="31">
        <v>393929.56</v>
      </c>
      <c r="M944" s="31">
        <v>551168.04</v>
      </c>
      <c r="O944" s="31">
        <v>-157238.48000000001</v>
      </c>
      <c r="Q944">
        <v>-28.5</v>
      </c>
    </row>
    <row r="945" spans="3:17">
      <c r="C945">
        <v>5360</v>
      </c>
      <c r="E945" t="s">
        <v>5569</v>
      </c>
      <c r="H945" t="s">
        <v>5570</v>
      </c>
      <c r="K945" s="31">
        <v>-1133332.47</v>
      </c>
      <c r="M945" s="31">
        <v>-1632379.45</v>
      </c>
      <c r="O945" s="31">
        <v>499046.98</v>
      </c>
      <c r="Q945">
        <v>30.6</v>
      </c>
    </row>
    <row r="946" spans="3:17">
      <c r="C946">
        <v>5360</v>
      </c>
      <c r="E946" t="s">
        <v>5571</v>
      </c>
      <c r="H946" t="s">
        <v>5572</v>
      </c>
      <c r="K946" s="31">
        <v>-13129.52</v>
      </c>
      <c r="M946" s="31">
        <v>-12190.05</v>
      </c>
      <c r="O946">
        <v>-939.47</v>
      </c>
      <c r="Q946">
        <v>-7.7</v>
      </c>
    </row>
    <row r="947" spans="3:17">
      <c r="C947">
        <v>5360</v>
      </c>
      <c r="E947" t="s">
        <v>5573</v>
      </c>
      <c r="H947" t="s">
        <v>5574</v>
      </c>
      <c r="K947" s="31">
        <v>977360.91</v>
      </c>
      <c r="M947" s="31">
        <v>1432430.66</v>
      </c>
      <c r="O947" s="31">
        <v>-455069.75</v>
      </c>
      <c r="Q947">
        <v>-31.8</v>
      </c>
    </row>
    <row r="948" spans="3:17">
      <c r="C948">
        <v>5360</v>
      </c>
      <c r="E948" t="s">
        <v>5575</v>
      </c>
      <c r="H948" t="s">
        <v>5576</v>
      </c>
      <c r="K948" s="31">
        <v>1376.49</v>
      </c>
      <c r="M948" s="31">
        <v>1376.49</v>
      </c>
      <c r="O948">
        <v>0</v>
      </c>
    </row>
    <row r="949" spans="3:17">
      <c r="C949">
        <v>5360</v>
      </c>
      <c r="E949" t="s">
        <v>5578</v>
      </c>
      <c r="H949" t="s">
        <v>5579</v>
      </c>
      <c r="K949" s="31">
        <v>-22740.66</v>
      </c>
      <c r="M949" s="31">
        <v>-32478.21</v>
      </c>
      <c r="O949" s="31">
        <v>9737.5499999999993</v>
      </c>
      <c r="Q949">
        <v>30</v>
      </c>
    </row>
    <row r="950" spans="3:17">
      <c r="C950">
        <v>5360</v>
      </c>
      <c r="E950" t="s">
        <v>5580</v>
      </c>
      <c r="H950" t="s">
        <v>5581</v>
      </c>
      <c r="K950" s="31">
        <v>136274.98000000001</v>
      </c>
      <c r="M950" s="31">
        <v>213932.9</v>
      </c>
      <c r="O950" s="31">
        <v>-77657.919999999998</v>
      </c>
      <c r="Q950">
        <v>-36.299999999999997</v>
      </c>
    </row>
    <row r="951" spans="3:17">
      <c r="C951">
        <v>5360</v>
      </c>
      <c r="E951" t="s">
        <v>5582</v>
      </c>
      <c r="H951" t="s">
        <v>5277</v>
      </c>
      <c r="K951" s="31">
        <v>3865289.46</v>
      </c>
      <c r="M951" s="31">
        <v>5573590.7599999998</v>
      </c>
      <c r="O951" s="31">
        <v>-1708301.3</v>
      </c>
      <c r="Q951">
        <v>-30.6</v>
      </c>
    </row>
    <row r="952" spans="3:17">
      <c r="C952">
        <v>5360</v>
      </c>
      <c r="E952" t="s">
        <v>5583</v>
      </c>
      <c r="H952" t="s">
        <v>5584</v>
      </c>
      <c r="K952" s="31">
        <v>-3310188.18</v>
      </c>
      <c r="M952" s="31">
        <v>-4823155.82</v>
      </c>
      <c r="O952" s="31">
        <v>1512967.64</v>
      </c>
      <c r="Q952">
        <v>31.4</v>
      </c>
    </row>
    <row r="953" spans="3:17">
      <c r="C953">
        <v>5360</v>
      </c>
      <c r="E953" t="s">
        <v>5585</v>
      </c>
      <c r="H953" t="s">
        <v>5586</v>
      </c>
      <c r="K953" s="31">
        <v>-64877.23</v>
      </c>
      <c r="M953" s="31">
        <v>-89248.22</v>
      </c>
      <c r="O953" s="31">
        <v>24370.99</v>
      </c>
      <c r="Q953">
        <v>27.3</v>
      </c>
    </row>
    <row r="954" spans="3:17">
      <c r="C954">
        <v>5360</v>
      </c>
      <c r="E954" t="s">
        <v>5587</v>
      </c>
      <c r="H954" t="s">
        <v>5279</v>
      </c>
      <c r="K954" s="31">
        <v>917733.61</v>
      </c>
      <c r="M954" s="31">
        <v>1331779.79</v>
      </c>
      <c r="O954" s="31">
        <v>-414046.18</v>
      </c>
      <c r="Q954">
        <v>-31.1</v>
      </c>
    </row>
    <row r="955" spans="3:17">
      <c r="C955">
        <v>5360</v>
      </c>
      <c r="E955" t="s">
        <v>5588</v>
      </c>
      <c r="H955" t="s">
        <v>5281</v>
      </c>
      <c r="K955" s="31">
        <v>3528595.34</v>
      </c>
      <c r="M955" s="31">
        <v>4816051.95</v>
      </c>
      <c r="O955" s="31">
        <v>-1287456.6100000001</v>
      </c>
      <c r="Q955">
        <v>-26.7</v>
      </c>
    </row>
    <row r="956" spans="3:17">
      <c r="C956">
        <v>5360</v>
      </c>
      <c r="E956" t="s">
        <v>5589</v>
      </c>
      <c r="H956" t="s">
        <v>5590</v>
      </c>
      <c r="K956" s="31">
        <v>-3514961.43</v>
      </c>
      <c r="M956" s="31">
        <v>-4796972.4400000004</v>
      </c>
      <c r="O956" s="31">
        <v>1282011.01</v>
      </c>
      <c r="Q956">
        <v>26.7</v>
      </c>
    </row>
    <row r="957" spans="3:17">
      <c r="C957">
        <v>5360</v>
      </c>
      <c r="E957" t="s">
        <v>5591</v>
      </c>
      <c r="H957" t="s">
        <v>5592</v>
      </c>
      <c r="K957" s="31">
        <v>-34672.06</v>
      </c>
      <c r="M957" s="31">
        <v>-47185.24</v>
      </c>
      <c r="O957" s="31">
        <v>12513.18</v>
      </c>
      <c r="Q957">
        <v>26.5</v>
      </c>
    </row>
    <row r="958" spans="3:17">
      <c r="C958">
        <v>5360</v>
      </c>
      <c r="E958" t="s">
        <v>5593</v>
      </c>
      <c r="H958" t="s">
        <v>5594</v>
      </c>
      <c r="K958" s="31">
        <v>1175043</v>
      </c>
      <c r="M958" s="31">
        <v>1584462.99</v>
      </c>
      <c r="O958" s="31">
        <v>-409419.99</v>
      </c>
      <c r="Q958">
        <v>-25.8</v>
      </c>
    </row>
    <row r="959" spans="3:17">
      <c r="C959">
        <v>5360</v>
      </c>
      <c r="E959" t="s">
        <v>5595</v>
      </c>
      <c r="H959" t="s">
        <v>5285</v>
      </c>
      <c r="K959" s="31">
        <v>420154.31</v>
      </c>
      <c r="M959" s="31">
        <v>888613.11</v>
      </c>
      <c r="O959" s="31">
        <v>-468458.8</v>
      </c>
      <c r="Q959">
        <v>-52.7</v>
      </c>
    </row>
    <row r="960" spans="3:17">
      <c r="C960">
        <v>5360</v>
      </c>
      <c r="E960" t="s">
        <v>5596</v>
      </c>
      <c r="H960" t="s">
        <v>5597</v>
      </c>
      <c r="K960" s="31">
        <v>-815593.32</v>
      </c>
      <c r="M960" s="31">
        <v>-1466874.76</v>
      </c>
      <c r="O960" s="31">
        <v>651281.43999999994</v>
      </c>
      <c r="Q960">
        <v>44.4</v>
      </c>
    </row>
    <row r="961" spans="3:17">
      <c r="C961">
        <v>5360</v>
      </c>
      <c r="E961" t="s">
        <v>5598</v>
      </c>
      <c r="H961" t="s">
        <v>5599</v>
      </c>
      <c r="K961" s="31">
        <v>-8384.06</v>
      </c>
      <c r="M961" s="31">
        <v>-3184.9</v>
      </c>
      <c r="O961" s="31">
        <v>-5199.16</v>
      </c>
      <c r="Q961">
        <v>-163.19999999999999</v>
      </c>
    </row>
    <row r="962" spans="3:17">
      <c r="C962">
        <v>5360</v>
      </c>
      <c r="E962" t="s">
        <v>5600</v>
      </c>
      <c r="H962" t="s">
        <v>5287</v>
      </c>
      <c r="K962" s="31">
        <v>506724.92</v>
      </c>
      <c r="M962" s="31">
        <v>800340.71</v>
      </c>
      <c r="O962" s="31">
        <v>-293615.78999999998</v>
      </c>
      <c r="Q962">
        <v>-36.700000000000003</v>
      </c>
    </row>
    <row r="963" spans="3:17">
      <c r="C963">
        <v>5360</v>
      </c>
      <c r="E963" t="s">
        <v>5601</v>
      </c>
      <c r="H963" t="s">
        <v>5289</v>
      </c>
      <c r="K963" s="31">
        <v>1786573.12</v>
      </c>
      <c r="M963" s="31">
        <v>2393916.02</v>
      </c>
      <c r="O963" s="31">
        <v>-607342.9</v>
      </c>
      <c r="Q963">
        <v>-25.4</v>
      </c>
    </row>
    <row r="964" spans="3:17">
      <c r="C964">
        <v>5360</v>
      </c>
      <c r="E964" t="s">
        <v>5605</v>
      </c>
      <c r="H964" t="s">
        <v>5606</v>
      </c>
      <c r="K964">
        <v>-82.76</v>
      </c>
      <c r="M964" s="31">
        <v>1143.7</v>
      </c>
      <c r="O964" s="31">
        <v>-1226.46</v>
      </c>
      <c r="Q964">
        <v>-107.2</v>
      </c>
    </row>
    <row r="965" spans="3:17">
      <c r="C965">
        <v>5360</v>
      </c>
      <c r="E965" t="s">
        <v>5607</v>
      </c>
      <c r="H965" t="s">
        <v>5608</v>
      </c>
      <c r="K965" s="31">
        <v>883447.8</v>
      </c>
      <c r="M965" s="31">
        <v>1270146.25</v>
      </c>
      <c r="O965" s="31">
        <v>-386698.45</v>
      </c>
      <c r="Q965">
        <v>-30.4</v>
      </c>
    </row>
    <row r="966" spans="3:17">
      <c r="C966">
        <v>5360</v>
      </c>
      <c r="E966" t="s">
        <v>5609</v>
      </c>
      <c r="H966" t="s">
        <v>5610</v>
      </c>
      <c r="K966" s="31">
        <v>-883447.8</v>
      </c>
      <c r="M966" s="31">
        <v>-1270146.25</v>
      </c>
      <c r="O966" s="31">
        <v>386698.45</v>
      </c>
      <c r="Q966">
        <v>30.4</v>
      </c>
    </row>
    <row r="967" spans="3:17">
      <c r="C967">
        <v>5360</v>
      </c>
      <c r="E967" t="s">
        <v>5613</v>
      </c>
      <c r="H967" t="s">
        <v>5608</v>
      </c>
      <c r="K967" s="31">
        <v>355490.48</v>
      </c>
      <c r="M967" s="31">
        <v>512839.27</v>
      </c>
      <c r="O967" s="31">
        <v>-157348.79</v>
      </c>
      <c r="Q967">
        <v>-30.7</v>
      </c>
    </row>
    <row r="968" spans="3:17">
      <c r="C968">
        <v>5360</v>
      </c>
      <c r="E968" t="s">
        <v>5614</v>
      </c>
      <c r="H968" t="s">
        <v>5615</v>
      </c>
      <c r="K968" s="31">
        <v>-355490.48</v>
      </c>
      <c r="M968" s="31">
        <v>-512839.27</v>
      </c>
      <c r="O968" s="31">
        <v>157348.79</v>
      </c>
      <c r="Q968">
        <v>30.7</v>
      </c>
    </row>
    <row r="969" spans="3:17">
      <c r="C969">
        <v>5360</v>
      </c>
      <c r="E969" t="s">
        <v>5618</v>
      </c>
      <c r="H969" t="s">
        <v>5619</v>
      </c>
      <c r="K969" s="31">
        <v>290003.84999999998</v>
      </c>
      <c r="M969" s="31">
        <v>776973.97</v>
      </c>
      <c r="O969" s="31">
        <v>-486970.12</v>
      </c>
      <c r="Q969">
        <v>-62.7</v>
      </c>
    </row>
    <row r="970" spans="3:17">
      <c r="C970">
        <v>5360</v>
      </c>
      <c r="E970" t="s">
        <v>5620</v>
      </c>
      <c r="H970" t="s">
        <v>5621</v>
      </c>
      <c r="K970" s="31">
        <v>-114720.17</v>
      </c>
      <c r="M970" s="31">
        <v>-322685.69</v>
      </c>
      <c r="O970" s="31">
        <v>207965.52</v>
      </c>
      <c r="Q970">
        <v>64.400000000000006</v>
      </c>
    </row>
    <row r="971" spans="3:17">
      <c r="C971">
        <v>5360</v>
      </c>
      <c r="E971" t="s">
        <v>5622</v>
      </c>
      <c r="H971" t="s">
        <v>5623</v>
      </c>
      <c r="K971" s="31">
        <v>-150112.95999999999</v>
      </c>
      <c r="M971" s="31">
        <v>-374635.64</v>
      </c>
      <c r="O971" s="31">
        <v>224522.68</v>
      </c>
      <c r="Q971">
        <v>59.9</v>
      </c>
    </row>
    <row r="972" spans="3:17">
      <c r="C972">
        <v>5360</v>
      </c>
      <c r="E972" t="s">
        <v>5624</v>
      </c>
      <c r="H972" t="s">
        <v>5625</v>
      </c>
      <c r="K972" s="31">
        <v>9624.33</v>
      </c>
      <c r="M972" s="31">
        <v>17105.61</v>
      </c>
      <c r="O972" s="31">
        <v>-7481.28</v>
      </c>
      <c r="Q972">
        <v>-43.7</v>
      </c>
    </row>
    <row r="973" spans="3:17">
      <c r="C973">
        <v>5360</v>
      </c>
      <c r="E973" t="s">
        <v>5626</v>
      </c>
      <c r="H973" t="s">
        <v>5295</v>
      </c>
      <c r="K973" s="31">
        <v>4522484.58</v>
      </c>
      <c r="M973" s="31">
        <v>7215596.1399999997</v>
      </c>
      <c r="O973" s="31">
        <v>-2693111.56</v>
      </c>
      <c r="Q973">
        <v>-37.299999999999997</v>
      </c>
    </row>
    <row r="974" spans="3:17">
      <c r="C974">
        <v>5360</v>
      </c>
      <c r="E974" t="s">
        <v>5627</v>
      </c>
      <c r="H974" t="s">
        <v>5628</v>
      </c>
      <c r="K974" s="31">
        <v>-4258915.1100000003</v>
      </c>
      <c r="M974" s="31">
        <v>-6776466.6200000001</v>
      </c>
      <c r="O974" s="31">
        <v>2517551.5099999998</v>
      </c>
      <c r="Q974">
        <v>37.200000000000003</v>
      </c>
    </row>
    <row r="975" spans="3:17">
      <c r="C975">
        <v>5360</v>
      </c>
      <c r="E975" t="s">
        <v>5629</v>
      </c>
      <c r="H975" t="s">
        <v>5630</v>
      </c>
      <c r="K975">
        <v>-674.46</v>
      </c>
      <c r="M975" s="31">
        <v>-1090.54</v>
      </c>
      <c r="O975">
        <v>416.08</v>
      </c>
      <c r="Q975">
        <v>38.200000000000003</v>
      </c>
    </row>
    <row r="976" spans="3:17">
      <c r="C976">
        <v>5360</v>
      </c>
      <c r="E976" t="s">
        <v>5631</v>
      </c>
      <c r="H976" t="s">
        <v>5297</v>
      </c>
      <c r="K976" s="31">
        <v>94068.77</v>
      </c>
      <c r="M976" s="31">
        <v>137827.51999999999</v>
      </c>
      <c r="O976" s="31">
        <v>-43758.75</v>
      </c>
      <c r="Q976">
        <v>-31.7</v>
      </c>
    </row>
    <row r="977" spans="3:17">
      <c r="C977">
        <v>5360</v>
      </c>
      <c r="E977" t="s">
        <v>5632</v>
      </c>
      <c r="H977" t="s">
        <v>5633</v>
      </c>
      <c r="K977" s="31">
        <v>191049.7</v>
      </c>
      <c r="M977" s="31">
        <v>239252.39</v>
      </c>
      <c r="O977" s="31">
        <v>-48202.69</v>
      </c>
      <c r="Q977">
        <v>-20.100000000000001</v>
      </c>
    </row>
    <row r="978" spans="3:17">
      <c r="C978">
        <v>5360</v>
      </c>
      <c r="E978" t="s">
        <v>5634</v>
      </c>
      <c r="H978" t="s">
        <v>5635</v>
      </c>
      <c r="K978" s="31">
        <v>-18697.53</v>
      </c>
      <c r="M978" s="31">
        <v>-25107.15</v>
      </c>
      <c r="O978" s="31">
        <v>6409.62</v>
      </c>
      <c r="Q978">
        <v>25.5</v>
      </c>
    </row>
    <row r="979" spans="3:17">
      <c r="C979">
        <v>5360</v>
      </c>
      <c r="E979" t="s">
        <v>5636</v>
      </c>
      <c r="H979" t="s">
        <v>5637</v>
      </c>
      <c r="K979" s="31">
        <v>10223.030000000001</v>
      </c>
      <c r="M979" s="31">
        <v>26521.53</v>
      </c>
      <c r="O979" s="31">
        <v>-16298.5</v>
      </c>
      <c r="Q979">
        <v>-61.5</v>
      </c>
    </row>
    <row r="980" spans="3:17">
      <c r="C980">
        <v>5360</v>
      </c>
      <c r="E980" t="s">
        <v>5638</v>
      </c>
      <c r="H980" t="s">
        <v>5639</v>
      </c>
      <c r="K980" s="31">
        <v>3349.1</v>
      </c>
      <c r="M980" s="31">
        <v>25578.35</v>
      </c>
      <c r="O980" s="31">
        <v>-22229.25</v>
      </c>
      <c r="Q980">
        <v>-86.9</v>
      </c>
    </row>
    <row r="981" spans="3:17">
      <c r="C981">
        <v>5360</v>
      </c>
      <c r="E981" t="s">
        <v>5640</v>
      </c>
      <c r="H981" t="s">
        <v>5641</v>
      </c>
      <c r="K981">
        <v>-120.13</v>
      </c>
      <c r="M981" s="31">
        <v>-22469.38</v>
      </c>
      <c r="O981" s="31">
        <v>22349.25</v>
      </c>
      <c r="Q981">
        <v>99.5</v>
      </c>
    </row>
    <row r="982" spans="3:17">
      <c r="C982">
        <v>5360</v>
      </c>
      <c r="E982" t="s">
        <v>5642</v>
      </c>
      <c r="H982" t="s">
        <v>5643</v>
      </c>
      <c r="K982">
        <v>120.13</v>
      </c>
      <c r="M982">
        <v>240.13</v>
      </c>
      <c r="O982">
        <v>-120</v>
      </c>
      <c r="Q982">
        <v>-50</v>
      </c>
    </row>
    <row r="983" spans="3:17">
      <c r="C983">
        <v>5360</v>
      </c>
      <c r="E983" t="s">
        <v>5644</v>
      </c>
      <c r="H983" t="s">
        <v>5645</v>
      </c>
      <c r="K983" s="31">
        <v>101886.65</v>
      </c>
      <c r="M983" s="31">
        <v>160651.75</v>
      </c>
      <c r="O983" s="31">
        <v>-58765.1</v>
      </c>
      <c r="Q983">
        <v>-36.6</v>
      </c>
    </row>
    <row r="984" spans="3:17">
      <c r="C984">
        <v>5360</v>
      </c>
      <c r="E984" t="s">
        <v>5646</v>
      </c>
      <c r="H984" t="s">
        <v>5647</v>
      </c>
      <c r="K984" s="31">
        <v>1659.33</v>
      </c>
      <c r="M984" s="31">
        <v>2451.0500000000002</v>
      </c>
      <c r="O984">
        <v>-791.72</v>
      </c>
      <c r="Q984">
        <v>-32.299999999999997</v>
      </c>
    </row>
    <row r="985" spans="3:17">
      <c r="C985">
        <v>5360</v>
      </c>
      <c r="E985" t="s">
        <v>5648</v>
      </c>
      <c r="H985" t="s">
        <v>5649</v>
      </c>
      <c r="K985" s="31">
        <v>-43618.3</v>
      </c>
      <c r="M985" s="31">
        <v>-68259.009999999995</v>
      </c>
      <c r="O985" s="31">
        <v>24640.71</v>
      </c>
      <c r="Q985">
        <v>36.1</v>
      </c>
    </row>
    <row r="986" spans="3:17">
      <c r="C986">
        <v>5360</v>
      </c>
      <c r="E986" t="s">
        <v>5650</v>
      </c>
      <c r="H986" t="s">
        <v>5651</v>
      </c>
      <c r="K986" s="31">
        <v>-59951.14</v>
      </c>
      <c r="M986" s="31">
        <v>-94878.93</v>
      </c>
      <c r="O986" s="31">
        <v>34927.79</v>
      </c>
      <c r="Q986">
        <v>36.799999999999997</v>
      </c>
    </row>
    <row r="987" spans="3:17">
      <c r="C987">
        <v>5360</v>
      </c>
      <c r="E987" t="s">
        <v>5652</v>
      </c>
      <c r="H987" t="s">
        <v>5653</v>
      </c>
      <c r="K987">
        <v>23.46</v>
      </c>
      <c r="M987">
        <v>35.14</v>
      </c>
      <c r="O987">
        <v>-11.68</v>
      </c>
      <c r="Q987">
        <v>-33.200000000000003</v>
      </c>
    </row>
    <row r="988" spans="3:17">
      <c r="C988">
        <v>5360</v>
      </c>
      <c r="E988" t="s">
        <v>5654</v>
      </c>
      <c r="H988" t="s">
        <v>5299</v>
      </c>
      <c r="K988" s="31">
        <v>6229165.8600000003</v>
      </c>
      <c r="M988" s="31">
        <v>9125736.9800000004</v>
      </c>
      <c r="O988" s="31">
        <v>-2896571.12</v>
      </c>
      <c r="Q988">
        <v>-31.7</v>
      </c>
    </row>
    <row r="989" spans="3:17">
      <c r="C989">
        <v>5360</v>
      </c>
      <c r="E989" t="s">
        <v>5655</v>
      </c>
      <c r="H989" t="s">
        <v>5656</v>
      </c>
      <c r="K989" s="31">
        <v>-5627331.0999999996</v>
      </c>
      <c r="M989" s="31">
        <v>-8226298.75</v>
      </c>
      <c r="O989" s="31">
        <v>2598967.65</v>
      </c>
      <c r="Q989">
        <v>31.6</v>
      </c>
    </row>
    <row r="990" spans="3:17">
      <c r="C990">
        <v>5360</v>
      </c>
      <c r="E990" t="s">
        <v>5657</v>
      </c>
      <c r="H990" t="s">
        <v>5658</v>
      </c>
      <c r="K990" s="31">
        <v>19010.09</v>
      </c>
      <c r="M990" s="31">
        <v>22639.72</v>
      </c>
      <c r="O990" s="31">
        <v>-3629.63</v>
      </c>
      <c r="Q990">
        <v>-16</v>
      </c>
    </row>
    <row r="991" spans="3:17">
      <c r="C991">
        <v>5360</v>
      </c>
      <c r="E991" t="s">
        <v>5661</v>
      </c>
      <c r="H991" t="s">
        <v>5662</v>
      </c>
      <c r="K991">
        <v>-20.87</v>
      </c>
      <c r="M991">
        <v>-20.87</v>
      </c>
      <c r="O991">
        <v>0</v>
      </c>
    </row>
    <row r="992" spans="3:17">
      <c r="C992">
        <v>5360</v>
      </c>
      <c r="E992" t="s">
        <v>6012</v>
      </c>
      <c r="H992" t="s">
        <v>6013</v>
      </c>
      <c r="K992">
        <v>20.87</v>
      </c>
      <c r="M992">
        <v>20.87</v>
      </c>
      <c r="O992">
        <v>0</v>
      </c>
    </row>
    <row r="993" spans="3:17">
      <c r="C993">
        <v>5360</v>
      </c>
      <c r="E993" t="s">
        <v>5663</v>
      </c>
      <c r="H993" t="s">
        <v>5301</v>
      </c>
      <c r="K993" s="31">
        <v>852394.58</v>
      </c>
      <c r="M993" s="31">
        <v>1128532.8600000001</v>
      </c>
      <c r="O993" s="31">
        <v>-276138.28000000003</v>
      </c>
      <c r="Q993">
        <v>-24.5</v>
      </c>
    </row>
    <row r="994" spans="3:17">
      <c r="C994">
        <v>5360</v>
      </c>
      <c r="E994" t="s">
        <v>5664</v>
      </c>
      <c r="H994" t="s">
        <v>5665</v>
      </c>
      <c r="K994" s="31">
        <v>-762897.03</v>
      </c>
      <c r="M994" s="31">
        <v>-1016188.28</v>
      </c>
      <c r="O994" s="31">
        <v>253291.25</v>
      </c>
      <c r="Q994">
        <v>24.9</v>
      </c>
    </row>
    <row r="995" spans="3:17">
      <c r="C995">
        <v>5360</v>
      </c>
      <c r="E995" t="s">
        <v>5666</v>
      </c>
      <c r="H995" t="s">
        <v>5667</v>
      </c>
      <c r="K995">
        <v>422.36</v>
      </c>
      <c r="M995">
        <v>737.51</v>
      </c>
      <c r="O995">
        <v>-315.14999999999998</v>
      </c>
      <c r="Q995">
        <v>-42.7</v>
      </c>
    </row>
    <row r="996" spans="3:17">
      <c r="C996">
        <v>5360</v>
      </c>
      <c r="E996" t="s">
        <v>5668</v>
      </c>
      <c r="H996" t="s">
        <v>5303</v>
      </c>
      <c r="K996" s="31">
        <v>7488653.1500000004</v>
      </c>
      <c r="M996" s="31">
        <v>4699354.32</v>
      </c>
      <c r="O996" s="31">
        <v>2789298.83</v>
      </c>
      <c r="Q996">
        <v>59.4</v>
      </c>
    </row>
    <row r="997" spans="3:17">
      <c r="C997">
        <v>5360</v>
      </c>
      <c r="E997" t="s">
        <v>5669</v>
      </c>
      <c r="H997" t="s">
        <v>5670</v>
      </c>
      <c r="K997" s="31">
        <v>-7542093.8499999996</v>
      </c>
      <c r="M997" s="31">
        <v>-4710135.34</v>
      </c>
      <c r="O997" s="31">
        <v>-2831958.51</v>
      </c>
      <c r="Q997">
        <v>-60.1</v>
      </c>
    </row>
    <row r="998" spans="3:17">
      <c r="C998">
        <v>5360</v>
      </c>
      <c r="E998" t="s">
        <v>5673</v>
      </c>
      <c r="H998" t="s">
        <v>5305</v>
      </c>
      <c r="K998" s="31">
        <v>-15384.26</v>
      </c>
      <c r="M998" s="31">
        <v>-11488</v>
      </c>
      <c r="O998" s="31">
        <v>-3896.26</v>
      </c>
      <c r="Q998">
        <v>-33.9</v>
      </c>
    </row>
    <row r="999" spans="3:17">
      <c r="C999">
        <v>5360</v>
      </c>
      <c r="E999" t="s">
        <v>5674</v>
      </c>
      <c r="H999" t="s">
        <v>5675</v>
      </c>
      <c r="K999" s="31">
        <v>22258.73</v>
      </c>
      <c r="M999" s="31">
        <v>21223.34</v>
      </c>
      <c r="O999" s="31">
        <v>1035.3900000000001</v>
      </c>
      <c r="Q999">
        <v>4.9000000000000004</v>
      </c>
    </row>
    <row r="1000" spans="3:17">
      <c r="C1000">
        <v>5360</v>
      </c>
      <c r="E1000" t="s">
        <v>5676</v>
      </c>
      <c r="H1000" t="s">
        <v>5677</v>
      </c>
      <c r="K1000" s="31">
        <v>126125.04</v>
      </c>
      <c r="M1000" s="31">
        <v>199483.46</v>
      </c>
      <c r="O1000" s="31">
        <v>-73358.42</v>
      </c>
      <c r="Q1000">
        <v>-36.799999999999997</v>
      </c>
    </row>
    <row r="1001" spans="3:17">
      <c r="C1001">
        <v>5360</v>
      </c>
      <c r="E1001" t="s">
        <v>5678</v>
      </c>
      <c r="H1001" t="s">
        <v>5679</v>
      </c>
      <c r="K1001" s="31">
        <v>31191778.879999999</v>
      </c>
      <c r="M1001" s="31">
        <v>53595086.039999999</v>
      </c>
      <c r="O1001" s="31">
        <v>-22403307.16</v>
      </c>
      <c r="Q1001">
        <v>-41.8</v>
      </c>
    </row>
    <row r="1002" spans="3:17">
      <c r="C1002">
        <v>5360</v>
      </c>
      <c r="E1002" t="s">
        <v>5680</v>
      </c>
      <c r="H1002" t="s">
        <v>5681</v>
      </c>
      <c r="K1002" s="31">
        <v>-29279509.370000001</v>
      </c>
      <c r="M1002" s="31">
        <v>-50763388.740000002</v>
      </c>
      <c r="O1002" s="31">
        <v>21483879.370000001</v>
      </c>
      <c r="Q1002">
        <v>42.3</v>
      </c>
    </row>
    <row r="1003" spans="3:17">
      <c r="C1003">
        <v>5360</v>
      </c>
      <c r="E1003" t="s">
        <v>5684</v>
      </c>
      <c r="H1003" t="s">
        <v>5685</v>
      </c>
      <c r="K1003" s="31">
        <v>372898.59</v>
      </c>
      <c r="M1003" s="31">
        <v>206784.25</v>
      </c>
      <c r="O1003" s="31">
        <v>166114.34</v>
      </c>
      <c r="Q1003">
        <v>80.3</v>
      </c>
    </row>
    <row r="1004" spans="3:17">
      <c r="C1004">
        <v>5360</v>
      </c>
      <c r="E1004" t="s">
        <v>5686</v>
      </c>
      <c r="H1004" t="s">
        <v>5311</v>
      </c>
      <c r="K1004" s="31">
        <v>21613131.710000001</v>
      </c>
      <c r="M1004" s="31">
        <v>34833133.75</v>
      </c>
      <c r="O1004" s="31">
        <v>-13220002.039999999</v>
      </c>
      <c r="Q1004">
        <v>-38</v>
      </c>
    </row>
    <row r="1005" spans="3:17">
      <c r="C1005">
        <v>5360</v>
      </c>
      <c r="E1005" t="s">
        <v>5687</v>
      </c>
      <c r="H1005" t="s">
        <v>5688</v>
      </c>
      <c r="K1005" s="31">
        <v>-8051634.46</v>
      </c>
      <c r="M1005" s="31">
        <v>-10172782.539999999</v>
      </c>
      <c r="O1005" s="31">
        <v>2121148.08</v>
      </c>
      <c r="Q1005">
        <v>20.9</v>
      </c>
    </row>
    <row r="1006" spans="3:17">
      <c r="C1006">
        <v>5360</v>
      </c>
      <c r="E1006" t="s">
        <v>5689</v>
      </c>
      <c r="H1006" t="s">
        <v>5690</v>
      </c>
      <c r="K1006" s="31">
        <v>-865631.02</v>
      </c>
      <c r="M1006" s="31">
        <v>-4010179.01</v>
      </c>
      <c r="O1006" s="31">
        <v>3144547.99</v>
      </c>
      <c r="Q1006">
        <v>78.400000000000006</v>
      </c>
    </row>
    <row r="1007" spans="3:17">
      <c r="C1007">
        <v>5360</v>
      </c>
      <c r="E1007" t="s">
        <v>5691</v>
      </c>
      <c r="H1007" t="s">
        <v>5692</v>
      </c>
      <c r="K1007" s="31">
        <v>1885026.57</v>
      </c>
      <c r="M1007" s="31">
        <v>5843719.7800000003</v>
      </c>
      <c r="O1007" s="31">
        <v>-3958693.21</v>
      </c>
      <c r="Q1007">
        <v>-67.7</v>
      </c>
    </row>
    <row r="1008" spans="3:17">
      <c r="C1008">
        <v>5360</v>
      </c>
      <c r="E1008" t="s">
        <v>5693</v>
      </c>
      <c r="H1008" t="s">
        <v>5315</v>
      </c>
      <c r="K1008" s="31">
        <v>508611.95</v>
      </c>
      <c r="M1008" s="31">
        <v>729715.49</v>
      </c>
      <c r="O1008" s="31">
        <v>-221103.54</v>
      </c>
      <c r="Q1008">
        <v>-30.3</v>
      </c>
    </row>
    <row r="1009" spans="3:17">
      <c r="C1009">
        <v>5360</v>
      </c>
      <c r="E1009" t="s">
        <v>5694</v>
      </c>
      <c r="H1009" t="s">
        <v>5695</v>
      </c>
      <c r="K1009" s="31">
        <v>-749748</v>
      </c>
      <c r="M1009" s="31">
        <v>-1077049.3700000001</v>
      </c>
      <c r="O1009" s="31">
        <v>327301.37</v>
      </c>
      <c r="Q1009">
        <v>30.4</v>
      </c>
    </row>
    <row r="1010" spans="3:17">
      <c r="C1010">
        <v>5360</v>
      </c>
      <c r="E1010" t="s">
        <v>5696</v>
      </c>
      <c r="H1010" t="s">
        <v>5317</v>
      </c>
      <c r="K1010" s="31">
        <v>891118.65</v>
      </c>
      <c r="M1010" s="31">
        <v>1318766.6200000001</v>
      </c>
      <c r="O1010" s="31">
        <v>-427647.97</v>
      </c>
      <c r="Q1010">
        <v>-32.4</v>
      </c>
    </row>
    <row r="1011" spans="3:17">
      <c r="C1011">
        <v>5360</v>
      </c>
      <c r="E1011" t="s">
        <v>5697</v>
      </c>
      <c r="H1011" t="s">
        <v>5319</v>
      </c>
      <c r="K1011" s="31">
        <v>8159758.7400000002</v>
      </c>
      <c r="M1011" s="31">
        <v>14513745.310000001</v>
      </c>
      <c r="O1011" s="31">
        <v>-6353986.5700000003</v>
      </c>
      <c r="Q1011">
        <v>-43.8</v>
      </c>
    </row>
    <row r="1012" spans="3:17">
      <c r="C1012">
        <v>5360</v>
      </c>
      <c r="E1012" t="s">
        <v>5698</v>
      </c>
      <c r="H1012" t="s">
        <v>5699</v>
      </c>
      <c r="K1012" s="31">
        <v>-7778584.4000000004</v>
      </c>
      <c r="M1012" s="31">
        <v>-14039086.77</v>
      </c>
      <c r="O1012" s="31">
        <v>6260502.3700000001</v>
      </c>
      <c r="Q1012">
        <v>44.6</v>
      </c>
    </row>
    <row r="1013" spans="3:17">
      <c r="C1013">
        <v>5360</v>
      </c>
      <c r="E1013" t="s">
        <v>5702</v>
      </c>
      <c r="H1013" t="s">
        <v>5321</v>
      </c>
      <c r="K1013" s="31">
        <v>289774.84999999998</v>
      </c>
      <c r="M1013" s="31">
        <v>432005.75</v>
      </c>
      <c r="O1013" s="31">
        <v>-142230.9</v>
      </c>
      <c r="Q1013">
        <v>-32.9</v>
      </c>
    </row>
    <row r="1014" spans="3:17">
      <c r="C1014">
        <v>5360</v>
      </c>
      <c r="E1014" t="s">
        <v>5703</v>
      </c>
      <c r="H1014" t="s">
        <v>5704</v>
      </c>
      <c r="K1014" s="31">
        <v>-253974.51</v>
      </c>
      <c r="M1014" s="31">
        <v>-383634.01</v>
      </c>
      <c r="O1014" s="31">
        <v>129659.5</v>
      </c>
      <c r="Q1014">
        <v>33.799999999999997</v>
      </c>
    </row>
    <row r="1015" spans="3:17">
      <c r="C1015">
        <v>5360</v>
      </c>
      <c r="E1015" t="s">
        <v>5705</v>
      </c>
      <c r="H1015" t="s">
        <v>5706</v>
      </c>
      <c r="K1015">
        <v>0</v>
      </c>
      <c r="M1015">
        <v>54.56</v>
      </c>
      <c r="O1015">
        <v>-54.56</v>
      </c>
      <c r="Q1015">
        <v>-100</v>
      </c>
    </row>
    <row r="1016" spans="3:17">
      <c r="C1016">
        <v>5360</v>
      </c>
      <c r="E1016" t="s">
        <v>5707</v>
      </c>
      <c r="H1016" t="s">
        <v>5323</v>
      </c>
      <c r="K1016" s="31">
        <v>1591772.7</v>
      </c>
      <c r="M1016" s="31">
        <v>2287781.27</v>
      </c>
      <c r="O1016" s="31">
        <v>-696008.57</v>
      </c>
      <c r="Q1016">
        <v>-30.4</v>
      </c>
    </row>
    <row r="1017" spans="3:17">
      <c r="C1017">
        <v>5360</v>
      </c>
      <c r="E1017" t="s">
        <v>5708</v>
      </c>
      <c r="H1017" t="s">
        <v>5709</v>
      </c>
      <c r="K1017" s="31">
        <v>-2548925.06</v>
      </c>
      <c r="M1017" s="31">
        <v>-4367674.59</v>
      </c>
      <c r="O1017" s="31">
        <v>1818749.53</v>
      </c>
      <c r="Q1017">
        <v>41.6</v>
      </c>
    </row>
    <row r="1018" spans="3:17">
      <c r="C1018">
        <v>5360</v>
      </c>
      <c r="E1018" t="s">
        <v>5710</v>
      </c>
      <c r="H1018" t="s">
        <v>5325</v>
      </c>
      <c r="K1018" s="31">
        <v>2277138.1800000002</v>
      </c>
      <c r="M1018" s="31">
        <v>4694014.2300000004</v>
      </c>
      <c r="O1018" s="31">
        <v>-2416876.0499999998</v>
      </c>
      <c r="Q1018">
        <v>-51.5</v>
      </c>
    </row>
    <row r="1019" spans="3:17">
      <c r="C1019">
        <v>5360</v>
      </c>
      <c r="E1019" t="s">
        <v>5711</v>
      </c>
      <c r="H1019" t="s">
        <v>5327</v>
      </c>
      <c r="K1019" s="31">
        <v>60998.43</v>
      </c>
      <c r="M1019" s="31">
        <v>186081.2</v>
      </c>
      <c r="O1019" s="31">
        <v>-125082.77</v>
      </c>
      <c r="Q1019">
        <v>-67.2</v>
      </c>
    </row>
    <row r="1020" spans="3:17">
      <c r="C1020">
        <v>5360</v>
      </c>
      <c r="E1020" t="s">
        <v>5712</v>
      </c>
      <c r="H1020" t="s">
        <v>5713</v>
      </c>
      <c r="K1020" s="31">
        <v>5296.72</v>
      </c>
      <c r="M1020" s="31">
        <v>-83851.25</v>
      </c>
      <c r="O1020" s="31">
        <v>89147.97</v>
      </c>
      <c r="Q1020">
        <v>106.3</v>
      </c>
    </row>
    <row r="1021" spans="3:17">
      <c r="C1021">
        <v>5360</v>
      </c>
      <c r="E1021" t="s">
        <v>5714</v>
      </c>
      <c r="H1021" t="s">
        <v>5715</v>
      </c>
      <c r="K1021" s="31">
        <v>218172.41</v>
      </c>
      <c r="M1021" s="31">
        <v>376849.91</v>
      </c>
      <c r="O1021" s="31">
        <v>-158677.5</v>
      </c>
      <c r="Q1021">
        <v>-42.1</v>
      </c>
    </row>
    <row r="1022" spans="3:17">
      <c r="C1022">
        <v>5360</v>
      </c>
      <c r="E1022" t="s">
        <v>5716</v>
      </c>
      <c r="H1022" t="s">
        <v>5717</v>
      </c>
      <c r="K1022" s="31">
        <v>4765778.2300000004</v>
      </c>
      <c r="M1022" s="31">
        <v>8501646.4199999999</v>
      </c>
      <c r="O1022" s="31">
        <v>-3735868.19</v>
      </c>
      <c r="Q1022">
        <v>-43.9</v>
      </c>
    </row>
    <row r="1023" spans="3:17">
      <c r="C1023">
        <v>5360</v>
      </c>
      <c r="E1023" t="s">
        <v>5718</v>
      </c>
      <c r="H1023" t="s">
        <v>5719</v>
      </c>
      <c r="K1023" s="31">
        <v>-63258.73</v>
      </c>
      <c r="M1023" s="31">
        <v>-138924.63</v>
      </c>
      <c r="O1023" s="31">
        <v>75665.899999999994</v>
      </c>
      <c r="Q1023">
        <v>54.5</v>
      </c>
    </row>
    <row r="1024" spans="3:17">
      <c r="C1024">
        <v>5360</v>
      </c>
      <c r="E1024" t="s">
        <v>5720</v>
      </c>
      <c r="H1024" t="s">
        <v>5721</v>
      </c>
      <c r="K1024" s="31">
        <v>21377.61</v>
      </c>
      <c r="M1024" s="31">
        <v>10630.26</v>
      </c>
      <c r="O1024" s="31">
        <v>10747.35</v>
      </c>
      <c r="Q1024">
        <v>101.1</v>
      </c>
    </row>
    <row r="1025" spans="3:17">
      <c r="C1025">
        <v>5360</v>
      </c>
      <c r="E1025" t="s">
        <v>5722</v>
      </c>
      <c r="H1025" t="s">
        <v>5723</v>
      </c>
      <c r="K1025" s="31">
        <v>-17863.990000000002</v>
      </c>
      <c r="M1025" s="31">
        <v>1780.92</v>
      </c>
      <c r="O1025" s="31">
        <v>-19644.91</v>
      </c>
      <c r="Q1025">
        <v>-1103.0999999999999</v>
      </c>
    </row>
    <row r="1026" spans="3:17">
      <c r="C1026">
        <v>5360</v>
      </c>
      <c r="E1026" t="s">
        <v>5724</v>
      </c>
      <c r="H1026" t="s">
        <v>5335</v>
      </c>
      <c r="K1026" s="31">
        <v>1615298.99</v>
      </c>
      <c r="M1026" s="31">
        <v>2338883.04</v>
      </c>
      <c r="O1026" s="31">
        <v>-723584.05</v>
      </c>
      <c r="Q1026">
        <v>-30.9</v>
      </c>
    </row>
    <row r="1027" spans="3:17">
      <c r="C1027">
        <v>5360</v>
      </c>
      <c r="E1027" t="s">
        <v>5725</v>
      </c>
      <c r="H1027" t="s">
        <v>5726</v>
      </c>
      <c r="K1027" s="31">
        <v>-1624604.17</v>
      </c>
      <c r="M1027" s="31">
        <v>-2352807.8199999998</v>
      </c>
      <c r="O1027" s="31">
        <v>728203.65</v>
      </c>
      <c r="Q1027">
        <v>31</v>
      </c>
    </row>
    <row r="1028" spans="3:17">
      <c r="C1028">
        <v>5360</v>
      </c>
      <c r="E1028" t="s">
        <v>5727</v>
      </c>
      <c r="H1028" t="s">
        <v>5337</v>
      </c>
      <c r="K1028" s="31">
        <v>419858.95</v>
      </c>
      <c r="M1028" s="31">
        <v>667261.59</v>
      </c>
      <c r="O1028" s="31">
        <v>-247402.64</v>
      </c>
      <c r="Q1028">
        <v>-37.1</v>
      </c>
    </row>
    <row r="1029" spans="3:17">
      <c r="C1029">
        <v>5360</v>
      </c>
      <c r="E1029" t="s">
        <v>5728</v>
      </c>
      <c r="H1029" t="s">
        <v>5729</v>
      </c>
      <c r="K1029" s="31">
        <v>84297.68</v>
      </c>
      <c r="M1029" s="31">
        <v>129817.14</v>
      </c>
      <c r="O1029" s="31">
        <v>-45519.46</v>
      </c>
      <c r="Q1029">
        <v>-35.1</v>
      </c>
    </row>
    <row r="1030" spans="3:17">
      <c r="C1030">
        <v>5360</v>
      </c>
      <c r="E1030" t="s">
        <v>5730</v>
      </c>
      <c r="H1030" t="s">
        <v>5731</v>
      </c>
      <c r="K1030" s="31">
        <v>285461.65000000002</v>
      </c>
      <c r="M1030" s="31">
        <v>428192.47</v>
      </c>
      <c r="O1030" s="31">
        <v>-142730.82</v>
      </c>
      <c r="Q1030">
        <v>-33.299999999999997</v>
      </c>
    </row>
    <row r="1031" spans="3:17">
      <c r="C1031">
        <v>5360</v>
      </c>
      <c r="E1031" t="s">
        <v>5732</v>
      </c>
      <c r="H1031" t="s">
        <v>5733</v>
      </c>
      <c r="K1031" s="31">
        <v>31059.35</v>
      </c>
      <c r="M1031" s="31">
        <v>33298.79</v>
      </c>
      <c r="O1031" s="31">
        <v>-2239.44</v>
      </c>
      <c r="Q1031">
        <v>-6.7</v>
      </c>
    </row>
    <row r="1032" spans="3:17">
      <c r="C1032">
        <v>5360</v>
      </c>
      <c r="E1032" t="s">
        <v>5734</v>
      </c>
      <c r="H1032" t="s">
        <v>5735</v>
      </c>
      <c r="K1032" s="31">
        <v>-25750.12</v>
      </c>
      <c r="M1032" s="31">
        <v>-27597.439999999999</v>
      </c>
      <c r="O1032" s="31">
        <v>1847.32</v>
      </c>
      <c r="Q1032">
        <v>6.7</v>
      </c>
    </row>
    <row r="1033" spans="3:17">
      <c r="C1033">
        <v>5360</v>
      </c>
      <c r="E1033" t="s">
        <v>5736</v>
      </c>
      <c r="H1033" t="s">
        <v>5737</v>
      </c>
      <c r="K1033" s="31">
        <v>10762.7</v>
      </c>
      <c r="M1033" s="31">
        <v>37313.839999999997</v>
      </c>
      <c r="O1033" s="31">
        <v>-26551.14</v>
      </c>
      <c r="Q1033">
        <v>-71.2</v>
      </c>
    </row>
    <row r="1034" spans="3:17">
      <c r="C1034">
        <v>5360</v>
      </c>
      <c r="E1034" t="s">
        <v>5738</v>
      </c>
      <c r="H1034" t="s">
        <v>5739</v>
      </c>
      <c r="K1034" s="31">
        <v>31997.72</v>
      </c>
      <c r="M1034" s="31">
        <v>32024.38</v>
      </c>
      <c r="O1034">
        <v>-26.66</v>
      </c>
      <c r="Q1034">
        <v>-0.1</v>
      </c>
    </row>
    <row r="1035" spans="3:17">
      <c r="C1035">
        <v>5360</v>
      </c>
      <c r="E1035" t="s">
        <v>5740</v>
      </c>
      <c r="H1035" t="s">
        <v>5741</v>
      </c>
      <c r="K1035" s="31">
        <v>134018.56</v>
      </c>
      <c r="M1035" s="31">
        <v>134018.56</v>
      </c>
      <c r="O1035">
        <v>0</v>
      </c>
    </row>
    <row r="1036" spans="3:17">
      <c r="C1036">
        <v>5360</v>
      </c>
      <c r="E1036" t="s">
        <v>5742</v>
      </c>
      <c r="H1036" t="s">
        <v>5743</v>
      </c>
      <c r="K1036" s="31">
        <v>84618.43</v>
      </c>
      <c r="M1036" s="31">
        <v>137922.5</v>
      </c>
      <c r="O1036" s="31">
        <v>-53304.07</v>
      </c>
      <c r="Q1036">
        <v>-38.6</v>
      </c>
    </row>
    <row r="1037" spans="3:17">
      <c r="C1037">
        <v>5360</v>
      </c>
      <c r="E1037" t="s">
        <v>5744</v>
      </c>
      <c r="H1037" t="s">
        <v>5745</v>
      </c>
      <c r="K1037" s="31">
        <v>-67489.77</v>
      </c>
      <c r="M1037" s="31">
        <v>-152419.76999999999</v>
      </c>
      <c r="O1037" s="31">
        <v>84930</v>
      </c>
      <c r="Q1037">
        <v>55.7</v>
      </c>
    </row>
    <row r="1038" spans="3:17">
      <c r="C1038">
        <v>5360</v>
      </c>
      <c r="E1038" t="s">
        <v>5746</v>
      </c>
      <c r="H1038" t="s">
        <v>5747</v>
      </c>
      <c r="K1038">
        <v>-547.5</v>
      </c>
      <c r="M1038">
        <v>-547.5</v>
      </c>
      <c r="O1038">
        <v>0</v>
      </c>
    </row>
    <row r="1039" spans="3:17">
      <c r="C1039">
        <v>5360</v>
      </c>
      <c r="E1039" t="s">
        <v>5748</v>
      </c>
      <c r="H1039" t="s">
        <v>5749</v>
      </c>
      <c r="K1039" s="31">
        <v>2334610.29</v>
      </c>
      <c r="M1039" s="31">
        <v>3446256.92</v>
      </c>
      <c r="O1039" s="31">
        <v>-1111646.6299999999</v>
      </c>
      <c r="Q1039">
        <v>-32.299999999999997</v>
      </c>
    </row>
    <row r="1040" spans="3:17">
      <c r="C1040">
        <v>5360</v>
      </c>
      <c r="E1040" t="s">
        <v>5750</v>
      </c>
      <c r="H1040" t="s">
        <v>5751</v>
      </c>
      <c r="K1040" s="31">
        <v>-12355.53</v>
      </c>
      <c r="M1040" s="31">
        <v>-14043.22</v>
      </c>
      <c r="O1040" s="31">
        <v>1687.69</v>
      </c>
      <c r="Q1040">
        <v>12</v>
      </c>
    </row>
    <row r="1041" spans="3:17">
      <c r="C1041">
        <v>5360</v>
      </c>
      <c r="E1041" t="s">
        <v>5752</v>
      </c>
      <c r="H1041" t="s">
        <v>5753</v>
      </c>
      <c r="K1041" s="31">
        <v>36263.730000000003</v>
      </c>
      <c r="M1041" s="31">
        <v>38388.67</v>
      </c>
      <c r="O1041" s="31">
        <v>-2124.94</v>
      </c>
      <c r="Q1041">
        <v>-5.5</v>
      </c>
    </row>
    <row r="1042" spans="3:17">
      <c r="C1042">
        <v>5360</v>
      </c>
      <c r="E1042" t="s">
        <v>1149</v>
      </c>
      <c r="H1042" t="s">
        <v>5339</v>
      </c>
      <c r="K1042" s="31">
        <v>-72048.14</v>
      </c>
      <c r="M1042" s="31">
        <v>1354945.5</v>
      </c>
      <c r="O1042" s="31">
        <v>-1426993.64</v>
      </c>
      <c r="Q1042">
        <v>-105.3</v>
      </c>
    </row>
    <row r="1043" spans="3:17">
      <c r="C1043">
        <v>5360</v>
      </c>
      <c r="E1043" t="s">
        <v>5754</v>
      </c>
      <c r="H1043" t="s">
        <v>5755</v>
      </c>
      <c r="K1043" s="31">
        <v>419703.99</v>
      </c>
      <c r="M1043" s="31">
        <v>-1273065.29</v>
      </c>
      <c r="O1043" s="31">
        <v>1692769.28</v>
      </c>
      <c r="Q1043">
        <v>133</v>
      </c>
    </row>
    <row r="1044" spans="3:17">
      <c r="C1044">
        <v>5360</v>
      </c>
      <c r="E1044" t="s">
        <v>5756</v>
      </c>
      <c r="H1044" t="s">
        <v>5757</v>
      </c>
      <c r="K1044">
        <v>881.31</v>
      </c>
      <c r="M1044" s="31">
        <v>16392.41</v>
      </c>
      <c r="O1044" s="31">
        <v>-15511.1</v>
      </c>
      <c r="Q1044">
        <v>-94.6</v>
      </c>
    </row>
    <row r="1045" spans="3:17">
      <c r="C1045">
        <v>5360</v>
      </c>
      <c r="E1045" t="s">
        <v>5758</v>
      </c>
      <c r="H1045" t="s">
        <v>5341</v>
      </c>
      <c r="K1045" s="31">
        <v>19305.43</v>
      </c>
      <c r="M1045" s="31">
        <v>142136.91</v>
      </c>
      <c r="O1045" s="31">
        <v>-122831.48</v>
      </c>
      <c r="Q1045">
        <v>-86.4</v>
      </c>
    </row>
    <row r="1046" spans="3:17">
      <c r="C1046">
        <v>5360</v>
      </c>
      <c r="E1046" t="s">
        <v>5759</v>
      </c>
      <c r="H1046" t="s">
        <v>5343</v>
      </c>
      <c r="K1046" s="31">
        <v>-204016.06</v>
      </c>
      <c r="M1046" s="31">
        <v>-323460.15000000002</v>
      </c>
      <c r="O1046" s="31">
        <v>119444.09</v>
      </c>
      <c r="Q1046">
        <v>36.9</v>
      </c>
    </row>
    <row r="1047" spans="3:17">
      <c r="C1047">
        <v>5360</v>
      </c>
      <c r="E1047" t="s">
        <v>5760</v>
      </c>
      <c r="H1047" t="s">
        <v>5343</v>
      </c>
      <c r="K1047" s="31">
        <v>186011.54</v>
      </c>
      <c r="M1047" s="31">
        <v>306270.40999999997</v>
      </c>
      <c r="O1047" s="31">
        <v>-120258.87</v>
      </c>
      <c r="Q1047">
        <v>-39.299999999999997</v>
      </c>
    </row>
    <row r="1048" spans="3:17">
      <c r="C1048">
        <v>5360</v>
      </c>
      <c r="E1048" t="s">
        <v>5761</v>
      </c>
      <c r="H1048" t="s">
        <v>5343</v>
      </c>
      <c r="K1048">
        <v>496.78</v>
      </c>
      <c r="M1048">
        <v>737.06</v>
      </c>
      <c r="O1048">
        <v>-240.28</v>
      </c>
      <c r="Q1048">
        <v>-32.6</v>
      </c>
    </row>
    <row r="1049" spans="3:17">
      <c r="C1049">
        <v>5360</v>
      </c>
      <c r="E1049" t="s">
        <v>5762</v>
      </c>
      <c r="H1049" t="s">
        <v>5343</v>
      </c>
      <c r="K1049" s="31">
        <v>-25417.599999999999</v>
      </c>
      <c r="M1049" s="31">
        <v>-41240.29</v>
      </c>
      <c r="O1049" s="31">
        <v>15822.69</v>
      </c>
      <c r="Q1049">
        <v>38.4</v>
      </c>
    </row>
    <row r="1050" spans="3:17">
      <c r="C1050">
        <v>5360</v>
      </c>
      <c r="E1050" t="s">
        <v>6039</v>
      </c>
      <c r="H1050" t="s">
        <v>6040</v>
      </c>
      <c r="K1050">
        <v>0</v>
      </c>
      <c r="M1050" s="31">
        <v>7000</v>
      </c>
      <c r="O1050" s="31">
        <v>-7000</v>
      </c>
      <c r="Q1050">
        <v>-100</v>
      </c>
    </row>
    <row r="1051" spans="3:17">
      <c r="C1051">
        <v>5360</v>
      </c>
      <c r="E1051" t="s">
        <v>5763</v>
      </c>
      <c r="H1051" t="s">
        <v>5764</v>
      </c>
      <c r="K1051" s="31">
        <v>95048.55</v>
      </c>
      <c r="M1051" s="31">
        <v>132877.9</v>
      </c>
      <c r="O1051" s="31">
        <v>-37829.35</v>
      </c>
      <c r="Q1051">
        <v>-28.5</v>
      </c>
    </row>
    <row r="1052" spans="3:17">
      <c r="C1052">
        <v>5360</v>
      </c>
      <c r="E1052" t="s">
        <v>5765</v>
      </c>
      <c r="H1052" t="s">
        <v>5766</v>
      </c>
      <c r="K1052" s="31">
        <v>16118.41</v>
      </c>
      <c r="M1052" s="31">
        <v>30204.61</v>
      </c>
      <c r="O1052" s="31">
        <v>-14086.2</v>
      </c>
      <c r="Q1052">
        <v>-46.6</v>
      </c>
    </row>
    <row r="1053" spans="3:17">
      <c r="C1053">
        <v>5360</v>
      </c>
      <c r="E1053" t="s">
        <v>5767</v>
      </c>
      <c r="H1053" t="s">
        <v>5768</v>
      </c>
      <c r="K1053" s="31">
        <v>-10652.6</v>
      </c>
      <c r="M1053" s="31">
        <v>-12840.38</v>
      </c>
      <c r="O1053" s="31">
        <v>2187.7800000000002</v>
      </c>
      <c r="Q1053">
        <v>17</v>
      </c>
    </row>
    <row r="1054" spans="3:17">
      <c r="C1054">
        <v>5360</v>
      </c>
      <c r="E1054" t="s">
        <v>5769</v>
      </c>
      <c r="H1054" t="s">
        <v>5770</v>
      </c>
      <c r="K1054" s="31">
        <v>164312.51</v>
      </c>
      <c r="M1054" s="31">
        <v>269538.2</v>
      </c>
      <c r="O1054" s="31">
        <v>-105225.69</v>
      </c>
      <c r="Q1054">
        <v>-39</v>
      </c>
    </row>
    <row r="1055" spans="3:17">
      <c r="C1055">
        <v>5360</v>
      </c>
      <c r="E1055" t="s">
        <v>5771</v>
      </c>
      <c r="H1055" t="s">
        <v>5772</v>
      </c>
      <c r="K1055">
        <v>9.27</v>
      </c>
      <c r="M1055">
        <v>9.27</v>
      </c>
      <c r="O1055">
        <v>0</v>
      </c>
    </row>
    <row r="1056" spans="3:17">
      <c r="C1056">
        <v>5360</v>
      </c>
      <c r="E1056" t="s">
        <v>5773</v>
      </c>
      <c r="H1056" t="s">
        <v>5774</v>
      </c>
      <c r="K1056">
        <v>-0.94</v>
      </c>
      <c r="M1056">
        <v>-4.29</v>
      </c>
      <c r="O1056">
        <v>3.35</v>
      </c>
      <c r="Q1056">
        <v>78.099999999999994</v>
      </c>
    </row>
    <row r="1057" spans="3:17">
      <c r="C1057">
        <v>5360</v>
      </c>
      <c r="E1057" t="s">
        <v>5775</v>
      </c>
      <c r="H1057" t="s">
        <v>5776</v>
      </c>
      <c r="K1057" s="31">
        <v>521659.17</v>
      </c>
      <c r="M1057" s="31">
        <v>770876.5</v>
      </c>
      <c r="O1057" s="31">
        <v>-249217.33</v>
      </c>
      <c r="Q1057">
        <v>-32.299999999999997</v>
      </c>
    </row>
    <row r="1058" spans="3:17">
      <c r="C1058">
        <v>5360</v>
      </c>
      <c r="E1058" t="s">
        <v>5777</v>
      </c>
      <c r="H1058" t="s">
        <v>5778</v>
      </c>
      <c r="K1058" s="31">
        <v>26318.240000000002</v>
      </c>
      <c r="M1058" s="31">
        <v>40433.040000000001</v>
      </c>
      <c r="O1058" s="31">
        <v>-14114.8</v>
      </c>
      <c r="Q1058">
        <v>-34.9</v>
      </c>
    </row>
    <row r="1059" spans="3:17">
      <c r="C1059">
        <v>5360</v>
      </c>
      <c r="E1059" t="s">
        <v>5779</v>
      </c>
      <c r="H1059" t="s">
        <v>5780</v>
      </c>
      <c r="K1059">
        <v>-122.38</v>
      </c>
      <c r="M1059">
        <v>-147.72999999999999</v>
      </c>
      <c r="O1059">
        <v>25.35</v>
      </c>
      <c r="Q1059">
        <v>17.2</v>
      </c>
    </row>
    <row r="1060" spans="3:17">
      <c r="C1060">
        <v>5360</v>
      </c>
      <c r="E1060" t="s">
        <v>5781</v>
      </c>
      <c r="H1060" t="s">
        <v>5782</v>
      </c>
      <c r="K1060">
        <v>255.23</v>
      </c>
      <c r="M1060">
        <v>454.6</v>
      </c>
      <c r="O1060">
        <v>-199.37</v>
      </c>
      <c r="Q1060">
        <v>-43.9</v>
      </c>
    </row>
    <row r="1061" spans="3:17">
      <c r="C1061">
        <v>5360</v>
      </c>
      <c r="E1061" t="s">
        <v>5787</v>
      </c>
      <c r="H1061" t="s">
        <v>5788</v>
      </c>
      <c r="K1061" s="31">
        <v>8592</v>
      </c>
      <c r="M1061" s="31">
        <v>13099.95</v>
      </c>
      <c r="O1061" s="31">
        <v>-4507.95</v>
      </c>
      <c r="Q1061">
        <v>-34.4</v>
      </c>
    </row>
    <row r="1062" spans="3:17">
      <c r="C1062">
        <v>5360</v>
      </c>
      <c r="E1062" t="s">
        <v>6014</v>
      </c>
      <c r="H1062" t="s">
        <v>6015</v>
      </c>
      <c r="K1062">
        <v>-236.8</v>
      </c>
      <c r="M1062">
        <v>-236.8</v>
      </c>
      <c r="O1062">
        <v>0</v>
      </c>
    </row>
    <row r="1063" spans="3:17">
      <c r="C1063">
        <v>5360</v>
      </c>
      <c r="E1063" t="s">
        <v>5789</v>
      </c>
      <c r="H1063" t="s">
        <v>5790</v>
      </c>
      <c r="K1063" s="31">
        <v>70627.86</v>
      </c>
      <c r="M1063" s="31">
        <v>98171.62</v>
      </c>
      <c r="O1063" s="31">
        <v>-27543.759999999998</v>
      </c>
      <c r="Q1063">
        <v>-28.1</v>
      </c>
    </row>
    <row r="1064" spans="3:17">
      <c r="C1064">
        <v>5360</v>
      </c>
      <c r="E1064" t="s">
        <v>5791</v>
      </c>
      <c r="H1064" t="s">
        <v>5792</v>
      </c>
      <c r="K1064" s="31">
        <v>-7051.35</v>
      </c>
      <c r="M1064" s="31">
        <v>-7051.35</v>
      </c>
      <c r="O1064">
        <v>0</v>
      </c>
    </row>
    <row r="1065" spans="3:17">
      <c r="C1065">
        <v>5360</v>
      </c>
      <c r="E1065" t="s">
        <v>5793</v>
      </c>
      <c r="H1065" t="s">
        <v>5794</v>
      </c>
      <c r="K1065" s="31">
        <v>-1104.8</v>
      </c>
      <c r="M1065" s="31">
        <v>-1104.8</v>
      </c>
      <c r="O1065">
        <v>0</v>
      </c>
    </row>
    <row r="1066" spans="3:17">
      <c r="C1066">
        <v>5360</v>
      </c>
      <c r="E1066" t="s">
        <v>5795</v>
      </c>
      <c r="H1066" t="s">
        <v>5796</v>
      </c>
      <c r="K1066" s="31">
        <v>413795.38</v>
      </c>
      <c r="M1066" s="31">
        <v>609923.81000000006</v>
      </c>
      <c r="O1066" s="31">
        <v>-196128.43</v>
      </c>
      <c r="Q1066">
        <v>-32.200000000000003</v>
      </c>
    </row>
    <row r="1067" spans="3:17">
      <c r="C1067">
        <v>5360</v>
      </c>
      <c r="E1067" t="s">
        <v>5797</v>
      </c>
      <c r="H1067" t="s">
        <v>5345</v>
      </c>
      <c r="K1067" s="31">
        <v>85371.520000000004</v>
      </c>
      <c r="M1067" s="31">
        <v>88177.65</v>
      </c>
      <c r="O1067" s="31">
        <v>-2806.13</v>
      </c>
      <c r="Q1067">
        <v>-3.2</v>
      </c>
    </row>
    <row r="1068" spans="3:17">
      <c r="C1068">
        <v>5360</v>
      </c>
      <c r="E1068" t="s">
        <v>5798</v>
      </c>
      <c r="H1068" t="s">
        <v>5799</v>
      </c>
      <c r="K1068" s="31">
        <v>-1580.93</v>
      </c>
      <c r="M1068" s="31">
        <v>-2021.41</v>
      </c>
      <c r="O1068">
        <v>440.48</v>
      </c>
      <c r="Q1068">
        <v>21.8</v>
      </c>
    </row>
    <row r="1069" spans="3:17">
      <c r="C1069">
        <v>5360</v>
      </c>
      <c r="E1069" t="s">
        <v>5800</v>
      </c>
      <c r="H1069" t="s">
        <v>5801</v>
      </c>
      <c r="K1069" s="31">
        <v>-68766.740000000005</v>
      </c>
      <c r="M1069" s="31">
        <v>-68766.740000000005</v>
      </c>
      <c r="O1069">
        <v>0</v>
      </c>
    </row>
    <row r="1070" spans="3:17">
      <c r="C1070">
        <v>5360</v>
      </c>
      <c r="E1070" t="s">
        <v>5802</v>
      </c>
      <c r="H1070" t="s">
        <v>5803</v>
      </c>
      <c r="K1070" s="31">
        <v>68960.490000000005</v>
      </c>
      <c r="M1070" s="31">
        <v>68961.7</v>
      </c>
      <c r="O1070">
        <v>-1.21</v>
      </c>
    </row>
    <row r="1071" spans="3:17">
      <c r="C1071">
        <v>5360</v>
      </c>
      <c r="E1071" t="s">
        <v>5804</v>
      </c>
      <c r="H1071" t="s">
        <v>5805</v>
      </c>
      <c r="K1071" s="31">
        <v>-6382.28</v>
      </c>
      <c r="M1071" s="31">
        <v>56450.6</v>
      </c>
      <c r="O1071" s="31">
        <v>-62832.88</v>
      </c>
      <c r="Q1071">
        <v>-111.3</v>
      </c>
    </row>
    <row r="1072" spans="3:17">
      <c r="C1072">
        <v>5360</v>
      </c>
      <c r="E1072" t="s">
        <v>5808</v>
      </c>
      <c r="H1072" t="s">
        <v>5809</v>
      </c>
      <c r="K1072" s="31">
        <v>-22119.13</v>
      </c>
      <c r="M1072" s="31">
        <v>-22119.13</v>
      </c>
      <c r="O1072">
        <v>0</v>
      </c>
    </row>
    <row r="1073" spans="3:17">
      <c r="C1073">
        <v>5360</v>
      </c>
      <c r="E1073" t="s">
        <v>5810</v>
      </c>
      <c r="H1073" t="s">
        <v>5811</v>
      </c>
      <c r="K1073" s="31">
        <v>30697.73</v>
      </c>
      <c r="M1073" s="31">
        <v>30716.33</v>
      </c>
      <c r="O1073">
        <v>-18.600000000000001</v>
      </c>
      <c r="Q1073">
        <v>-0.1</v>
      </c>
    </row>
    <row r="1074" spans="3:17">
      <c r="C1074">
        <v>5360</v>
      </c>
      <c r="E1074" t="s">
        <v>5812</v>
      </c>
      <c r="H1074" t="s">
        <v>5813</v>
      </c>
      <c r="K1074" s="31">
        <v>-4069</v>
      </c>
      <c r="M1074" s="31">
        <v>-4069</v>
      </c>
      <c r="O1074">
        <v>0</v>
      </c>
    </row>
    <row r="1075" spans="3:17">
      <c r="C1075">
        <v>5360</v>
      </c>
      <c r="E1075" t="s">
        <v>5814</v>
      </c>
      <c r="H1075" t="s">
        <v>5815</v>
      </c>
      <c r="K1075" s="31">
        <v>8466.32</v>
      </c>
      <c r="M1075" s="31">
        <v>11738.66</v>
      </c>
      <c r="O1075" s="31">
        <v>-3272.34</v>
      </c>
      <c r="Q1075">
        <v>-27.9</v>
      </c>
    </row>
    <row r="1076" spans="3:17">
      <c r="C1076">
        <v>5360</v>
      </c>
      <c r="E1076" t="s">
        <v>5816</v>
      </c>
      <c r="H1076" t="s">
        <v>5817</v>
      </c>
      <c r="K1076" s="31">
        <v>-4397.32</v>
      </c>
      <c r="M1076" s="31">
        <v>-7669.66</v>
      </c>
      <c r="O1076" s="31">
        <v>3272.34</v>
      </c>
      <c r="Q1076">
        <v>42.7</v>
      </c>
    </row>
    <row r="1077" spans="3:17">
      <c r="C1077">
        <v>5360</v>
      </c>
      <c r="E1077" t="s">
        <v>5822</v>
      </c>
      <c r="H1077" t="s">
        <v>5823</v>
      </c>
      <c r="K1077" s="31">
        <v>75525.179999999993</v>
      </c>
      <c r="M1077" s="31">
        <v>76863.710000000006</v>
      </c>
      <c r="O1077" s="31">
        <v>-1338.53</v>
      </c>
      <c r="Q1077">
        <v>-1.7</v>
      </c>
    </row>
    <row r="1078" spans="3:17">
      <c r="C1078">
        <v>5360</v>
      </c>
      <c r="E1078" t="s">
        <v>5824</v>
      </c>
      <c r="H1078" t="s">
        <v>5825</v>
      </c>
      <c r="K1078" s="31">
        <v>-94409.43</v>
      </c>
      <c r="M1078" s="31">
        <v>-59146.46</v>
      </c>
      <c r="O1078" s="31">
        <v>-35262.97</v>
      </c>
      <c r="Q1078">
        <v>-59.6</v>
      </c>
    </row>
    <row r="1079" spans="3:17">
      <c r="C1079">
        <v>5360</v>
      </c>
      <c r="E1079" t="s">
        <v>5826</v>
      </c>
      <c r="H1079" t="s">
        <v>5827</v>
      </c>
      <c r="K1079" s="31">
        <v>153231.76</v>
      </c>
      <c r="M1079" s="31">
        <v>261471.01</v>
      </c>
      <c r="O1079" s="31">
        <v>-108239.25</v>
      </c>
      <c r="Q1079">
        <v>-41.4</v>
      </c>
    </row>
    <row r="1080" spans="3:17">
      <c r="C1080">
        <v>5360</v>
      </c>
      <c r="E1080" t="s">
        <v>5828</v>
      </c>
      <c r="H1080" t="s">
        <v>5829</v>
      </c>
      <c r="K1080" s="31">
        <v>2098344.0699999998</v>
      </c>
      <c r="M1080" s="31">
        <v>3252498.28</v>
      </c>
      <c r="O1080" s="31">
        <v>-1154154.21</v>
      </c>
      <c r="Q1080">
        <v>-35.5</v>
      </c>
    </row>
    <row r="1081" spans="3:17">
      <c r="C1081">
        <v>5360</v>
      </c>
      <c r="E1081" t="s">
        <v>6016</v>
      </c>
      <c r="H1081" t="s">
        <v>6017</v>
      </c>
      <c r="K1081">
        <v>29.81</v>
      </c>
      <c r="M1081">
        <v>58.61</v>
      </c>
      <c r="O1081">
        <v>-28.8</v>
      </c>
      <c r="Q1081">
        <v>-49.1</v>
      </c>
    </row>
    <row r="1082" spans="3:17">
      <c r="C1082">
        <v>5360</v>
      </c>
      <c r="E1082" t="s">
        <v>6041</v>
      </c>
      <c r="H1082" t="s">
        <v>6042</v>
      </c>
      <c r="K1082">
        <v>0</v>
      </c>
      <c r="M1082">
        <v>21.1</v>
      </c>
      <c r="O1082">
        <v>-21.1</v>
      </c>
      <c r="Q1082">
        <v>-100</v>
      </c>
    </row>
    <row r="1083" spans="3:17">
      <c r="C1083">
        <v>5360</v>
      </c>
      <c r="E1083" t="s">
        <v>5832</v>
      </c>
      <c r="H1083" t="s">
        <v>5347</v>
      </c>
      <c r="K1083">
        <v>67.34</v>
      </c>
      <c r="M1083">
        <v>67.34</v>
      </c>
      <c r="O1083">
        <v>0</v>
      </c>
    </row>
    <row r="1084" spans="3:17">
      <c r="C1084">
        <v>5360</v>
      </c>
      <c r="E1084" t="s">
        <v>5833</v>
      </c>
      <c r="H1084" t="s">
        <v>5834</v>
      </c>
      <c r="K1084">
        <v>-67.34</v>
      </c>
      <c r="M1084">
        <v>-67.34</v>
      </c>
      <c r="O1084">
        <v>0</v>
      </c>
    </row>
    <row r="1085" spans="3:17">
      <c r="C1085">
        <v>5360</v>
      </c>
      <c r="E1085" t="s">
        <v>5837</v>
      </c>
      <c r="H1085" t="s">
        <v>5838</v>
      </c>
      <c r="K1085" s="31">
        <v>-1277243.3899999999</v>
      </c>
      <c r="M1085" s="31">
        <v>-1949188.34</v>
      </c>
      <c r="O1085" s="31">
        <v>671944.95</v>
      </c>
      <c r="Q1085">
        <v>34.5</v>
      </c>
    </row>
    <row r="1086" spans="3:17">
      <c r="C1086">
        <v>5360</v>
      </c>
      <c r="E1086" t="s">
        <v>1786</v>
      </c>
      <c r="H1086" t="s">
        <v>5351</v>
      </c>
      <c r="K1086" s="31">
        <v>85858.6</v>
      </c>
      <c r="M1086" s="31">
        <v>115124.74</v>
      </c>
      <c r="O1086" s="31">
        <v>-29266.14</v>
      </c>
      <c r="Q1086">
        <v>-25.4</v>
      </c>
    </row>
    <row r="1087" spans="3:17">
      <c r="C1087">
        <v>5360</v>
      </c>
      <c r="E1087" t="s">
        <v>5839</v>
      </c>
      <c r="H1087" t="s">
        <v>5840</v>
      </c>
      <c r="K1087" s="31">
        <v>-35090.019999999997</v>
      </c>
      <c r="M1087" s="31">
        <v>-46516.2</v>
      </c>
      <c r="O1087" s="31">
        <v>11426.18</v>
      </c>
      <c r="Q1087">
        <v>24.6</v>
      </c>
    </row>
    <row r="1088" spans="3:17">
      <c r="C1088">
        <v>5360</v>
      </c>
      <c r="E1088" t="s">
        <v>5841</v>
      </c>
      <c r="H1088" t="s">
        <v>5842</v>
      </c>
      <c r="K1088" s="31">
        <v>-52229.68</v>
      </c>
      <c r="M1088" s="31">
        <v>-77883.399999999994</v>
      </c>
      <c r="O1088" s="31">
        <v>25653.72</v>
      </c>
      <c r="Q1088">
        <v>32.9</v>
      </c>
    </row>
    <row r="1089" spans="3:17">
      <c r="C1089">
        <v>5360</v>
      </c>
      <c r="E1089" t="s">
        <v>5843</v>
      </c>
      <c r="H1089" t="s">
        <v>5844</v>
      </c>
      <c r="K1089" s="31">
        <v>76910.44</v>
      </c>
      <c r="M1089" s="31">
        <v>110079.55</v>
      </c>
      <c r="O1089" s="31">
        <v>-33169.11</v>
      </c>
      <c r="Q1089">
        <v>-30.1</v>
      </c>
    </row>
    <row r="1090" spans="3:17">
      <c r="C1090">
        <v>5360</v>
      </c>
      <c r="E1090" t="s">
        <v>5847</v>
      </c>
      <c r="H1090" t="s">
        <v>5355</v>
      </c>
      <c r="K1090" s="31">
        <v>3573278.61</v>
      </c>
      <c r="M1090" s="31">
        <v>5469558.8899999997</v>
      </c>
      <c r="O1090" s="31">
        <v>-1896280.28</v>
      </c>
      <c r="Q1090">
        <v>-34.700000000000003</v>
      </c>
    </row>
    <row r="1091" spans="3:17">
      <c r="C1091">
        <v>5360</v>
      </c>
      <c r="E1091" t="s">
        <v>5848</v>
      </c>
      <c r="H1091" t="s">
        <v>5849</v>
      </c>
      <c r="K1091" s="31">
        <v>26422.41</v>
      </c>
      <c r="M1091" s="31">
        <v>101472.52</v>
      </c>
      <c r="O1091" s="31">
        <v>-75050.11</v>
      </c>
      <c r="Q1091">
        <v>-74</v>
      </c>
    </row>
    <row r="1092" spans="3:17">
      <c r="C1092">
        <v>5360</v>
      </c>
      <c r="E1092" t="s">
        <v>5850</v>
      </c>
      <c r="H1092" t="s">
        <v>5851</v>
      </c>
      <c r="K1092" s="31">
        <v>662253.86</v>
      </c>
      <c r="M1092" s="31">
        <v>1041924.2</v>
      </c>
      <c r="O1092" s="31">
        <v>-379670.34</v>
      </c>
      <c r="Q1092">
        <v>-36.4</v>
      </c>
    </row>
    <row r="1093" spans="3:17">
      <c r="C1093">
        <v>5360</v>
      </c>
      <c r="E1093" t="s">
        <v>5852</v>
      </c>
      <c r="H1093" t="s">
        <v>5853</v>
      </c>
      <c r="K1093" s="31">
        <v>-640497.82999999996</v>
      </c>
      <c r="M1093" s="31">
        <v>-1025291.18</v>
      </c>
      <c r="O1093" s="31">
        <v>384793.35</v>
      </c>
      <c r="Q1093">
        <v>37.5</v>
      </c>
    </row>
    <row r="1094" spans="3:17">
      <c r="C1094">
        <v>5360</v>
      </c>
      <c r="E1094" t="s">
        <v>5854</v>
      </c>
      <c r="H1094" t="s">
        <v>5855</v>
      </c>
      <c r="K1094">
        <v>-285</v>
      </c>
      <c r="M1094" s="31">
        <v>-2178.5</v>
      </c>
      <c r="O1094" s="31">
        <v>1893.5</v>
      </c>
      <c r="Q1094">
        <v>86.9</v>
      </c>
    </row>
    <row r="1095" spans="3:17">
      <c r="C1095">
        <v>5360</v>
      </c>
      <c r="E1095" t="s">
        <v>5856</v>
      </c>
      <c r="H1095" t="s">
        <v>5857</v>
      </c>
      <c r="K1095" s="31">
        <v>103286.37</v>
      </c>
      <c r="M1095" s="31">
        <v>191168.64000000001</v>
      </c>
      <c r="O1095" s="31">
        <v>-87882.27</v>
      </c>
      <c r="Q1095">
        <v>-46</v>
      </c>
    </row>
    <row r="1096" spans="3:17">
      <c r="C1096">
        <v>5360</v>
      </c>
      <c r="E1096" t="s">
        <v>5858</v>
      </c>
      <c r="H1096" t="s">
        <v>5357</v>
      </c>
      <c r="K1096" s="31">
        <v>-126116.43</v>
      </c>
      <c r="M1096" s="31">
        <v>-85991.58</v>
      </c>
      <c r="O1096" s="31">
        <v>-40124.85</v>
      </c>
      <c r="Q1096">
        <v>-46.7</v>
      </c>
    </row>
    <row r="1097" spans="3:17">
      <c r="C1097">
        <v>5360</v>
      </c>
      <c r="E1097" t="s">
        <v>5859</v>
      </c>
      <c r="H1097" t="s">
        <v>5860</v>
      </c>
      <c r="K1097" s="31">
        <v>56072.19</v>
      </c>
      <c r="M1097" s="31">
        <v>-2114.75</v>
      </c>
      <c r="O1097" s="31">
        <v>58186.94</v>
      </c>
      <c r="Q1097">
        <v>2751.5</v>
      </c>
    </row>
    <row r="1098" spans="3:17">
      <c r="C1098">
        <v>5360</v>
      </c>
      <c r="E1098" t="s">
        <v>5861</v>
      </c>
      <c r="H1098" t="s">
        <v>5862</v>
      </c>
      <c r="K1098" s="31">
        <v>70044.240000000005</v>
      </c>
      <c r="M1098" s="31">
        <v>88106.33</v>
      </c>
      <c r="O1098" s="31">
        <v>-18062.09</v>
      </c>
      <c r="Q1098">
        <v>-20.5</v>
      </c>
    </row>
    <row r="1099" spans="3:17">
      <c r="C1099">
        <v>5360</v>
      </c>
      <c r="E1099" t="s">
        <v>5863</v>
      </c>
      <c r="H1099" t="s">
        <v>5359</v>
      </c>
      <c r="K1099" s="31">
        <v>525983.30000000005</v>
      </c>
      <c r="M1099" s="31">
        <v>951856.86</v>
      </c>
      <c r="O1099" s="31">
        <v>-425873.56</v>
      </c>
      <c r="Q1099">
        <v>-44.7</v>
      </c>
    </row>
    <row r="1100" spans="3:17">
      <c r="C1100">
        <v>5360</v>
      </c>
      <c r="E1100" t="s">
        <v>5864</v>
      </c>
      <c r="H1100" t="s">
        <v>5865</v>
      </c>
      <c r="K1100" s="31">
        <v>1204061.17</v>
      </c>
      <c r="M1100" s="31">
        <v>1680224.4</v>
      </c>
      <c r="O1100" s="31">
        <v>-476163.23</v>
      </c>
      <c r="Q1100">
        <v>-28.3</v>
      </c>
    </row>
    <row r="1101" spans="3:17">
      <c r="C1101">
        <v>5360</v>
      </c>
      <c r="E1101" t="s">
        <v>5866</v>
      </c>
      <c r="H1101" t="s">
        <v>5867</v>
      </c>
      <c r="K1101" s="31">
        <v>-423194.21</v>
      </c>
      <c r="M1101" s="31">
        <v>-601633.25</v>
      </c>
      <c r="O1101" s="31">
        <v>178439.04000000001</v>
      </c>
      <c r="Q1101">
        <v>29.7</v>
      </c>
    </row>
    <row r="1102" spans="3:17">
      <c r="C1102">
        <v>5360</v>
      </c>
      <c r="E1102" t="s">
        <v>5868</v>
      </c>
      <c r="H1102" t="s">
        <v>5869</v>
      </c>
      <c r="K1102" s="31">
        <v>197901.87</v>
      </c>
      <c r="M1102" s="31">
        <v>295007.62</v>
      </c>
      <c r="O1102" s="31">
        <v>-97105.75</v>
      </c>
      <c r="Q1102">
        <v>-32.9</v>
      </c>
    </row>
    <row r="1103" spans="3:17">
      <c r="C1103">
        <v>5360</v>
      </c>
      <c r="E1103" t="s">
        <v>5870</v>
      </c>
      <c r="H1103" t="s">
        <v>5871</v>
      </c>
      <c r="K1103" s="31">
        <v>1151354.74</v>
      </c>
      <c r="M1103" s="31">
        <v>2132056.9</v>
      </c>
      <c r="O1103" s="31">
        <v>-980702.16</v>
      </c>
      <c r="Q1103">
        <v>-46</v>
      </c>
    </row>
    <row r="1104" spans="3:17">
      <c r="C1104">
        <v>5360</v>
      </c>
      <c r="E1104" t="s">
        <v>5872</v>
      </c>
      <c r="H1104" t="s">
        <v>5873</v>
      </c>
      <c r="K1104">
        <v>0</v>
      </c>
      <c r="M1104">
        <v>998.3</v>
      </c>
      <c r="O1104">
        <v>-998.3</v>
      </c>
      <c r="Q1104">
        <v>-100</v>
      </c>
    </row>
    <row r="1105" spans="3:17">
      <c r="C1105">
        <v>5360</v>
      </c>
      <c r="E1105" t="s">
        <v>5874</v>
      </c>
      <c r="H1105" t="s">
        <v>5875</v>
      </c>
      <c r="K1105" s="31">
        <v>148687.94</v>
      </c>
      <c r="M1105" s="31">
        <v>213004.95</v>
      </c>
      <c r="O1105" s="31">
        <v>-64317.01</v>
      </c>
      <c r="Q1105">
        <v>-30.2</v>
      </c>
    </row>
    <row r="1106" spans="3:17">
      <c r="C1106">
        <v>5360</v>
      </c>
      <c r="E1106" t="s">
        <v>5876</v>
      </c>
      <c r="H1106" t="s">
        <v>5877</v>
      </c>
      <c r="K1106" s="31">
        <v>-68689.210000000006</v>
      </c>
      <c r="M1106" s="31">
        <v>-101674.36</v>
      </c>
      <c r="O1106" s="31">
        <v>32985.15</v>
      </c>
      <c r="Q1106">
        <v>32.4</v>
      </c>
    </row>
    <row r="1107" spans="3:17">
      <c r="C1107">
        <v>5360</v>
      </c>
      <c r="E1107" t="s">
        <v>5878</v>
      </c>
      <c r="H1107" t="s">
        <v>5879</v>
      </c>
      <c r="K1107" s="31">
        <v>78353.47</v>
      </c>
      <c r="M1107" s="31">
        <v>151016.97</v>
      </c>
      <c r="O1107" s="31">
        <v>-72663.5</v>
      </c>
      <c r="Q1107">
        <v>-48.1</v>
      </c>
    </row>
    <row r="1108" spans="3:17">
      <c r="C1108">
        <v>5360</v>
      </c>
      <c r="E1108" t="s">
        <v>5880</v>
      </c>
      <c r="H1108" t="s">
        <v>5881</v>
      </c>
      <c r="K1108">
        <v>-146.6</v>
      </c>
      <c r="M1108">
        <v>709.4</v>
      </c>
      <c r="O1108">
        <v>-856</v>
      </c>
      <c r="Q1108">
        <v>-120.7</v>
      </c>
    </row>
    <row r="1109" spans="3:17">
      <c r="C1109">
        <v>5360</v>
      </c>
      <c r="E1109" t="s">
        <v>5882</v>
      </c>
      <c r="H1109" t="s">
        <v>5883</v>
      </c>
      <c r="K1109">
        <v>-167.41</v>
      </c>
      <c r="M1109">
        <v>-267.11</v>
      </c>
      <c r="O1109">
        <v>99.7</v>
      </c>
      <c r="Q1109">
        <v>37.299999999999997</v>
      </c>
    </row>
    <row r="1110" spans="3:17">
      <c r="C1110">
        <v>5360</v>
      </c>
      <c r="E1110" t="s">
        <v>5884</v>
      </c>
      <c r="H1110" t="s">
        <v>5885</v>
      </c>
      <c r="K1110" s="31">
        <v>335720.94</v>
      </c>
      <c r="M1110" s="31">
        <v>427058.54</v>
      </c>
      <c r="O1110" s="31">
        <v>-91337.600000000006</v>
      </c>
      <c r="Q1110">
        <v>-21.4</v>
      </c>
    </row>
    <row r="1111" spans="3:17">
      <c r="C1111">
        <v>5360</v>
      </c>
      <c r="E1111" t="s">
        <v>5886</v>
      </c>
      <c r="H1111" t="s">
        <v>5363</v>
      </c>
      <c r="K1111" s="31">
        <v>36825.599999999999</v>
      </c>
      <c r="M1111" s="31">
        <v>53014.25</v>
      </c>
      <c r="O1111" s="31">
        <v>-16188.65</v>
      </c>
      <c r="Q1111">
        <v>-30.5</v>
      </c>
    </row>
    <row r="1112" spans="3:17">
      <c r="C1112">
        <v>5360</v>
      </c>
      <c r="E1112" t="s">
        <v>5887</v>
      </c>
      <c r="H1112" t="s">
        <v>5888</v>
      </c>
      <c r="K1112" s="31">
        <v>-232040.37</v>
      </c>
      <c r="M1112" s="31">
        <v>-343994.35</v>
      </c>
      <c r="O1112" s="31">
        <v>111953.98</v>
      </c>
      <c r="Q1112">
        <v>32.5</v>
      </c>
    </row>
    <row r="1113" spans="3:17">
      <c r="C1113">
        <v>5360</v>
      </c>
      <c r="E1113" t="s">
        <v>5889</v>
      </c>
      <c r="H1113" t="s">
        <v>5890</v>
      </c>
      <c r="K1113" s="31">
        <v>16118.41</v>
      </c>
      <c r="M1113" s="31">
        <v>15908.75</v>
      </c>
      <c r="O1113">
        <v>209.66</v>
      </c>
      <c r="Q1113">
        <v>1.3</v>
      </c>
    </row>
    <row r="1114" spans="3:17">
      <c r="C1114">
        <v>5360</v>
      </c>
      <c r="E1114" t="s">
        <v>5891</v>
      </c>
      <c r="H1114" t="s">
        <v>5892</v>
      </c>
      <c r="K1114" s="31">
        <v>282927.98</v>
      </c>
      <c r="M1114" s="31">
        <v>432298.07</v>
      </c>
      <c r="O1114" s="31">
        <v>-149370.09</v>
      </c>
      <c r="Q1114">
        <v>-34.6</v>
      </c>
    </row>
    <row r="1115" spans="3:17">
      <c r="C1115">
        <v>5360</v>
      </c>
      <c r="E1115" t="s">
        <v>5893</v>
      </c>
      <c r="H1115" t="s">
        <v>5894</v>
      </c>
      <c r="K1115" s="31">
        <v>2278.12</v>
      </c>
      <c r="M1115" s="31">
        <v>2278.12</v>
      </c>
      <c r="O1115">
        <v>0</v>
      </c>
    </row>
    <row r="1116" spans="3:17">
      <c r="C1116">
        <v>5360</v>
      </c>
      <c r="E1116" t="s">
        <v>6043</v>
      </c>
      <c r="H1116" t="s">
        <v>5958</v>
      </c>
      <c r="K1116">
        <v>0</v>
      </c>
      <c r="M1116">
        <v>1.39</v>
      </c>
      <c r="O1116">
        <v>-1.39</v>
      </c>
      <c r="Q1116">
        <v>-100</v>
      </c>
    </row>
    <row r="1117" spans="3:17">
      <c r="C1117">
        <v>5360</v>
      </c>
      <c r="E1117" t="s">
        <v>5895</v>
      </c>
      <c r="H1117" t="s">
        <v>5896</v>
      </c>
      <c r="K1117" s="31">
        <v>33440822.120000001</v>
      </c>
      <c r="M1117" s="31">
        <v>56574926.310000002</v>
      </c>
      <c r="O1117" s="31">
        <v>-23134104.190000001</v>
      </c>
      <c r="Q1117">
        <v>-40.9</v>
      </c>
    </row>
    <row r="1118" spans="3:17">
      <c r="C1118">
        <v>5360</v>
      </c>
      <c r="E1118" t="s">
        <v>5897</v>
      </c>
      <c r="H1118" t="s">
        <v>5898</v>
      </c>
      <c r="K1118" s="31">
        <v>19264424.329999998</v>
      </c>
      <c r="M1118" s="31">
        <v>49234459.969999999</v>
      </c>
      <c r="O1118" s="31">
        <v>-29970035.640000001</v>
      </c>
      <c r="Q1118">
        <v>-60.9</v>
      </c>
    </row>
    <row r="1119" spans="3:17">
      <c r="C1119">
        <v>5360</v>
      </c>
      <c r="E1119" t="s">
        <v>5899</v>
      </c>
      <c r="H1119" t="s">
        <v>5900</v>
      </c>
      <c r="K1119" s="31">
        <v>777889.94</v>
      </c>
      <c r="M1119" s="31">
        <v>3023400.81</v>
      </c>
      <c r="O1119" s="31">
        <v>-2245510.87</v>
      </c>
      <c r="Q1119">
        <v>-74.3</v>
      </c>
    </row>
    <row r="1120" spans="3:17">
      <c r="C1120">
        <v>5360</v>
      </c>
      <c r="E1120" t="s">
        <v>5901</v>
      </c>
      <c r="H1120" t="s">
        <v>5902</v>
      </c>
      <c r="K1120" s="31">
        <v>-5507614.79</v>
      </c>
      <c r="M1120" s="31">
        <v>-8055256.8600000003</v>
      </c>
      <c r="O1120" s="31">
        <v>2547642.0699999998</v>
      </c>
      <c r="Q1120">
        <v>31.6</v>
      </c>
    </row>
    <row r="1121" spans="3:17">
      <c r="C1121">
        <v>5360</v>
      </c>
      <c r="E1121" t="s">
        <v>5903</v>
      </c>
      <c r="H1121" t="s">
        <v>5904</v>
      </c>
      <c r="K1121" s="31">
        <v>436609.46</v>
      </c>
      <c r="M1121" s="31">
        <v>703174.18</v>
      </c>
      <c r="O1121" s="31">
        <v>-266564.71999999997</v>
      </c>
      <c r="Q1121">
        <v>-37.9</v>
      </c>
    </row>
    <row r="1122" spans="3:17">
      <c r="C1122">
        <v>5360</v>
      </c>
      <c r="E1122" t="s">
        <v>5905</v>
      </c>
      <c r="H1122" t="s">
        <v>5906</v>
      </c>
      <c r="K1122" s="31">
        <v>-344316.02</v>
      </c>
      <c r="M1122" s="31">
        <v>-1042246.66</v>
      </c>
      <c r="O1122" s="31">
        <v>697930.64</v>
      </c>
      <c r="Q1122">
        <v>67</v>
      </c>
    </row>
    <row r="1123" spans="3:17">
      <c r="C1123">
        <v>5360</v>
      </c>
      <c r="E1123" t="s">
        <v>5907</v>
      </c>
      <c r="H1123" t="s">
        <v>5908</v>
      </c>
      <c r="K1123" s="31">
        <v>-12394.63</v>
      </c>
      <c r="M1123" s="31">
        <v>-22796.12</v>
      </c>
      <c r="O1123" s="31">
        <v>10401.49</v>
      </c>
      <c r="Q1123">
        <v>45.6</v>
      </c>
    </row>
    <row r="1124" spans="3:17">
      <c r="C1124">
        <v>5360</v>
      </c>
      <c r="E1124" t="s">
        <v>5909</v>
      </c>
      <c r="H1124" t="s">
        <v>5378</v>
      </c>
      <c r="K1124" s="31">
        <v>-20938.54</v>
      </c>
      <c r="M1124" s="31">
        <v>-20595.29</v>
      </c>
      <c r="O1124">
        <v>-343.25</v>
      </c>
      <c r="Q1124">
        <v>-1.7</v>
      </c>
    </row>
    <row r="1125" spans="3:17">
      <c r="C1125">
        <v>5360</v>
      </c>
      <c r="E1125" t="s">
        <v>5910</v>
      </c>
      <c r="H1125" t="s">
        <v>5911</v>
      </c>
      <c r="K1125" s="31">
        <v>213090</v>
      </c>
      <c r="M1125" s="31">
        <v>319635</v>
      </c>
      <c r="O1125" s="31">
        <v>-106545</v>
      </c>
      <c r="Q1125">
        <v>-33.299999999999997</v>
      </c>
    </row>
    <row r="1126" spans="3:17">
      <c r="C1126">
        <v>5360</v>
      </c>
      <c r="E1126" t="s">
        <v>6044</v>
      </c>
      <c r="H1126" t="s">
        <v>5386</v>
      </c>
      <c r="K1126">
        <v>0</v>
      </c>
      <c r="M1126">
        <v>-357.2</v>
      </c>
      <c r="O1126">
        <v>357.2</v>
      </c>
      <c r="Q1126">
        <v>100</v>
      </c>
    </row>
    <row r="1127" spans="3:17">
      <c r="C1127">
        <v>5360</v>
      </c>
      <c r="E1127" t="s">
        <v>5912</v>
      </c>
      <c r="H1127" t="s">
        <v>5196</v>
      </c>
      <c r="K1127" s="31">
        <v>-141769.45000000001</v>
      </c>
      <c r="M1127" s="31">
        <v>-51684.89</v>
      </c>
      <c r="O1127" s="31">
        <v>-90084.56</v>
      </c>
      <c r="Q1127">
        <v>-174.3</v>
      </c>
    </row>
    <row r="1128" spans="3:17">
      <c r="C1128">
        <v>5360</v>
      </c>
      <c r="E1128" t="s">
        <v>5913</v>
      </c>
      <c r="H1128" t="s">
        <v>5413</v>
      </c>
      <c r="K1128" s="31">
        <v>68290.62</v>
      </c>
      <c r="M1128" s="31">
        <v>103289.58</v>
      </c>
      <c r="O1128" s="31">
        <v>-34998.959999999999</v>
      </c>
      <c r="Q1128">
        <v>-33.9</v>
      </c>
    </row>
    <row r="1129" spans="3:17">
      <c r="C1129">
        <v>5360</v>
      </c>
      <c r="E1129" t="s">
        <v>5914</v>
      </c>
      <c r="H1129" t="s">
        <v>5415</v>
      </c>
      <c r="K1129" s="31">
        <v>-792503.81</v>
      </c>
      <c r="M1129" s="31">
        <v>-1302517.6200000001</v>
      </c>
      <c r="O1129" s="31">
        <v>510013.81</v>
      </c>
      <c r="Q1129">
        <v>39.200000000000003</v>
      </c>
    </row>
    <row r="1130" spans="3:17">
      <c r="C1130">
        <v>5360</v>
      </c>
      <c r="E1130" t="s">
        <v>5915</v>
      </c>
      <c r="H1130" t="s">
        <v>5916</v>
      </c>
      <c r="K1130" s="31">
        <v>-18490.849999999999</v>
      </c>
      <c r="M1130" s="31">
        <v>-18490.849999999999</v>
      </c>
      <c r="O1130">
        <v>0</v>
      </c>
    </row>
    <row r="1131" spans="3:17">
      <c r="C1131">
        <v>5360</v>
      </c>
      <c r="E1131" t="s">
        <v>5919</v>
      </c>
      <c r="H1131" t="s">
        <v>312</v>
      </c>
      <c r="K1131" s="31">
        <v>-151811</v>
      </c>
      <c r="M1131" s="31">
        <v>-119964</v>
      </c>
      <c r="O1131" s="31">
        <v>-31847</v>
      </c>
      <c r="Q1131">
        <v>-26.5</v>
      </c>
    </row>
    <row r="1132" spans="3:17">
      <c r="C1132">
        <v>5360</v>
      </c>
      <c r="E1132" t="s">
        <v>5920</v>
      </c>
      <c r="H1132" t="s">
        <v>322</v>
      </c>
      <c r="K1132" s="31">
        <v>278379.51</v>
      </c>
      <c r="M1132" s="31">
        <v>513421.83</v>
      </c>
      <c r="O1132" s="31">
        <v>-235042.32</v>
      </c>
      <c r="Q1132">
        <v>-45.8</v>
      </c>
    </row>
    <row r="1133" spans="3:17">
      <c r="C1133">
        <v>5360</v>
      </c>
      <c r="E1133" t="s">
        <v>5925</v>
      </c>
      <c r="H1133" t="s">
        <v>5926</v>
      </c>
      <c r="K1133">
        <v>0</v>
      </c>
      <c r="M1133" s="31">
        <v>-18715548.449999999</v>
      </c>
      <c r="O1133" s="31">
        <v>18715548.449999999</v>
      </c>
      <c r="Q1133">
        <v>100</v>
      </c>
    </row>
    <row r="1134" spans="3:17">
      <c r="C1134">
        <v>5360</v>
      </c>
      <c r="E1134" t="s">
        <v>5931</v>
      </c>
      <c r="H1134" t="s">
        <v>120</v>
      </c>
      <c r="K1134" s="31">
        <v>48880.22</v>
      </c>
      <c r="M1134" s="31">
        <v>66803.62</v>
      </c>
      <c r="O1134" s="31">
        <v>-17923.400000000001</v>
      </c>
      <c r="Q1134">
        <v>-26.8</v>
      </c>
    </row>
    <row r="1135" spans="3:17">
      <c r="C1135">
        <v>5360</v>
      </c>
      <c r="E1135" t="s">
        <v>5932</v>
      </c>
      <c r="H1135" t="s">
        <v>5933</v>
      </c>
      <c r="K1135" s="31">
        <v>-11760.14</v>
      </c>
      <c r="M1135" s="31">
        <v>-11760.14</v>
      </c>
      <c r="O1135">
        <v>0</v>
      </c>
    </row>
    <row r="1136" spans="3:17">
      <c r="C1136">
        <v>5360</v>
      </c>
      <c r="E1136" t="s">
        <v>5934</v>
      </c>
      <c r="H1136" t="s">
        <v>1089</v>
      </c>
      <c r="K1136" s="31">
        <v>-33148150.010000002</v>
      </c>
      <c r="M1136" s="31">
        <v>-33545879.120000001</v>
      </c>
      <c r="O1136" s="31">
        <v>397729.11</v>
      </c>
      <c r="Q1136">
        <v>1.2</v>
      </c>
    </row>
    <row r="1137" spans="3:17">
      <c r="C1137">
        <v>5360</v>
      </c>
      <c r="E1137" t="s">
        <v>1792</v>
      </c>
      <c r="H1137" t="s">
        <v>3534</v>
      </c>
      <c r="K1137" s="31">
        <v>2820116.26</v>
      </c>
      <c r="M1137" s="31">
        <v>6219006.8799999999</v>
      </c>
      <c r="O1137" s="31">
        <v>-3398890.62</v>
      </c>
      <c r="Q1137">
        <v>-54.7</v>
      </c>
    </row>
    <row r="1138" spans="3:17">
      <c r="C1138">
        <v>5360</v>
      </c>
      <c r="E1138" t="s">
        <v>1841</v>
      </c>
      <c r="H1138" t="s">
        <v>5935</v>
      </c>
      <c r="K1138" s="31">
        <v>-10695361.630000001</v>
      </c>
      <c r="M1138" s="31">
        <v>-3816108.4</v>
      </c>
      <c r="O1138" s="31">
        <v>-6879253.2300000004</v>
      </c>
      <c r="Q1138">
        <v>-180.3</v>
      </c>
    </row>
    <row r="1139" spans="3:17">
      <c r="C1139">
        <v>5360</v>
      </c>
      <c r="E1139" t="s">
        <v>1837</v>
      </c>
      <c r="H1139" t="s">
        <v>1704</v>
      </c>
      <c r="K1139" s="31">
        <v>-983189.21</v>
      </c>
      <c r="M1139" s="31">
        <v>3459358.73</v>
      </c>
      <c r="O1139" s="31">
        <v>-4442547.9400000004</v>
      </c>
      <c r="Q1139">
        <v>-128.4</v>
      </c>
    </row>
    <row r="1140" spans="3:17">
      <c r="C1140">
        <v>5360</v>
      </c>
      <c r="E1140" t="s">
        <v>1846</v>
      </c>
      <c r="H1140" t="s">
        <v>1727</v>
      </c>
      <c r="K1140" s="31">
        <v>347683.13</v>
      </c>
      <c r="M1140" s="31">
        <v>470936.17</v>
      </c>
      <c r="O1140" s="31">
        <v>-123253.04</v>
      </c>
      <c r="Q1140">
        <v>-26.2</v>
      </c>
    </row>
    <row r="1141" spans="3:17">
      <c r="C1141">
        <v>5360</v>
      </c>
      <c r="E1141" t="s">
        <v>1778</v>
      </c>
      <c r="H1141" t="s">
        <v>3536</v>
      </c>
      <c r="K1141" s="31">
        <v>-4014598.49</v>
      </c>
      <c r="M1141" s="31">
        <v>-5253463.4400000004</v>
      </c>
      <c r="O1141" s="31">
        <v>1238864.95</v>
      </c>
      <c r="Q1141">
        <v>23.6</v>
      </c>
    </row>
    <row r="1142" spans="3:17">
      <c r="C1142">
        <v>5360</v>
      </c>
      <c r="E1142" t="s">
        <v>6018</v>
      </c>
      <c r="H1142" t="s">
        <v>5237</v>
      </c>
      <c r="K1142">
        <v>1.67</v>
      </c>
      <c r="M1142">
        <v>1.67</v>
      </c>
      <c r="O1142">
        <v>0</v>
      </c>
    </row>
    <row r="1143" spans="3:17">
      <c r="C1143">
        <v>5360</v>
      </c>
      <c r="E1143" t="s">
        <v>5936</v>
      </c>
      <c r="H1143" t="s">
        <v>5241</v>
      </c>
      <c r="K1143" s="31">
        <v>-27719.16</v>
      </c>
      <c r="M1143" s="31">
        <v>-38349.39</v>
      </c>
      <c r="O1143" s="31">
        <v>10630.23</v>
      </c>
      <c r="Q1143">
        <v>27.7</v>
      </c>
    </row>
    <row r="1144" spans="3:17">
      <c r="C1144">
        <v>5360</v>
      </c>
      <c r="E1144" t="s">
        <v>6019</v>
      </c>
      <c r="H1144" t="s">
        <v>5245</v>
      </c>
      <c r="K1144">
        <v>-54.28</v>
      </c>
      <c r="M1144">
        <v>-54.28</v>
      </c>
      <c r="O1144">
        <v>0</v>
      </c>
    </row>
    <row r="1145" spans="3:17">
      <c r="C1145">
        <v>5360</v>
      </c>
      <c r="E1145" t="s">
        <v>5937</v>
      </c>
      <c r="H1145" t="s">
        <v>5251</v>
      </c>
      <c r="K1145" s="31">
        <v>-4338.6899999999996</v>
      </c>
      <c r="M1145" s="31">
        <v>-6167.19</v>
      </c>
      <c r="O1145" s="31">
        <v>1828.5</v>
      </c>
      <c r="Q1145">
        <v>29.6</v>
      </c>
    </row>
    <row r="1146" spans="3:17">
      <c r="C1146">
        <v>5360</v>
      </c>
      <c r="E1146" t="s">
        <v>6020</v>
      </c>
      <c r="H1146" t="s">
        <v>5255</v>
      </c>
      <c r="K1146">
        <v>-0.84</v>
      </c>
      <c r="M1146">
        <v>-0.84</v>
      </c>
      <c r="O1146">
        <v>0</v>
      </c>
    </row>
    <row r="1147" spans="3:17">
      <c r="C1147">
        <v>5360</v>
      </c>
      <c r="E1147" t="s">
        <v>5938</v>
      </c>
      <c r="H1147" t="s">
        <v>5257</v>
      </c>
      <c r="K1147" s="31">
        <v>-3623.06</v>
      </c>
      <c r="M1147" s="31">
        <v>-5175.54</v>
      </c>
      <c r="O1147" s="31">
        <v>1552.48</v>
      </c>
      <c r="Q1147">
        <v>30</v>
      </c>
    </row>
    <row r="1148" spans="3:17">
      <c r="C1148">
        <v>5360</v>
      </c>
      <c r="E1148" t="s">
        <v>5939</v>
      </c>
      <c r="H1148" t="s">
        <v>5261</v>
      </c>
      <c r="K1148" s="31">
        <v>-108466.08</v>
      </c>
      <c r="M1148" s="31">
        <v>-71991.11</v>
      </c>
      <c r="O1148" s="31">
        <v>-36474.97</v>
      </c>
      <c r="Q1148">
        <v>-50.7</v>
      </c>
    </row>
    <row r="1149" spans="3:17">
      <c r="C1149">
        <v>5360</v>
      </c>
      <c r="E1149" t="s">
        <v>5941</v>
      </c>
      <c r="H1149" t="s">
        <v>5263</v>
      </c>
      <c r="K1149">
        <v>729.58</v>
      </c>
      <c r="M1149">
        <v>729.58</v>
      </c>
      <c r="O1149">
        <v>0</v>
      </c>
    </row>
    <row r="1150" spans="3:17">
      <c r="C1150">
        <v>5360</v>
      </c>
      <c r="E1150" t="s">
        <v>5942</v>
      </c>
      <c r="H1150" t="s">
        <v>5265</v>
      </c>
      <c r="K1150">
        <v>-33.369999999999997</v>
      </c>
      <c r="M1150">
        <v>-43.11</v>
      </c>
      <c r="O1150">
        <v>9.74</v>
      </c>
      <c r="Q1150">
        <v>22.6</v>
      </c>
    </row>
    <row r="1151" spans="3:17">
      <c r="C1151">
        <v>5360</v>
      </c>
      <c r="E1151" t="s">
        <v>5943</v>
      </c>
      <c r="H1151" t="s">
        <v>5269</v>
      </c>
      <c r="K1151" s="31">
        <v>-3547.88</v>
      </c>
      <c r="M1151" s="31">
        <v>-5134.12</v>
      </c>
      <c r="O1151" s="31">
        <v>1586.24</v>
      </c>
      <c r="Q1151">
        <v>30.9</v>
      </c>
    </row>
    <row r="1152" spans="3:17">
      <c r="C1152">
        <v>5360</v>
      </c>
      <c r="E1152" t="s">
        <v>5944</v>
      </c>
      <c r="H1152" t="s">
        <v>5273</v>
      </c>
      <c r="K1152">
        <v>-219</v>
      </c>
      <c r="M1152">
        <v>-366.66</v>
      </c>
      <c r="O1152">
        <v>147.66</v>
      </c>
      <c r="Q1152">
        <v>40.299999999999997</v>
      </c>
    </row>
    <row r="1153" spans="3:18">
      <c r="C1153">
        <v>5360</v>
      </c>
      <c r="E1153" t="s">
        <v>5945</v>
      </c>
      <c r="H1153" t="s">
        <v>5277</v>
      </c>
      <c r="K1153" s="31">
        <v>-1369263.72</v>
      </c>
      <c r="M1153" s="31">
        <v>-1404633.69</v>
      </c>
      <c r="O1153" s="31">
        <v>35369.97</v>
      </c>
      <c r="Q1153">
        <v>2.5</v>
      </c>
    </row>
    <row r="1154" spans="3:18">
      <c r="C1154">
        <v>5360</v>
      </c>
      <c r="E1154" t="s">
        <v>5947</v>
      </c>
      <c r="H1154" t="s">
        <v>5279</v>
      </c>
      <c r="K1154" s="31">
        <v>2417.5700000000002</v>
      </c>
      <c r="M1154" s="31">
        <v>2417.5700000000002</v>
      </c>
      <c r="O1154">
        <v>0</v>
      </c>
    </row>
    <row r="1155" spans="3:18">
      <c r="C1155">
        <v>5360</v>
      </c>
      <c r="E1155" t="s">
        <v>5948</v>
      </c>
      <c r="H1155" t="s">
        <v>5281</v>
      </c>
      <c r="K1155" s="31">
        <v>-1951.27</v>
      </c>
      <c r="M1155" s="31">
        <v>-2587.71</v>
      </c>
      <c r="O1155">
        <v>636.44000000000005</v>
      </c>
      <c r="Q1155">
        <v>24.6</v>
      </c>
    </row>
    <row r="1156" spans="3:18">
      <c r="C1156">
        <v>5360</v>
      </c>
      <c r="E1156" t="s">
        <v>5949</v>
      </c>
      <c r="H1156" t="s">
        <v>5285</v>
      </c>
      <c r="K1156">
        <v>-252.02</v>
      </c>
      <c r="M1156">
        <v>-341.06</v>
      </c>
      <c r="O1156">
        <v>89.04</v>
      </c>
      <c r="Q1156">
        <v>26.1</v>
      </c>
    </row>
    <row r="1157" spans="3:18">
      <c r="C1157">
        <v>5360</v>
      </c>
      <c r="E1157" t="s">
        <v>5950</v>
      </c>
      <c r="H1157" t="s">
        <v>5307</v>
      </c>
      <c r="K1157" s="31">
        <v>-113089.2</v>
      </c>
      <c r="M1157" s="31">
        <v>-138984.4</v>
      </c>
      <c r="O1157" s="31">
        <v>25895.200000000001</v>
      </c>
      <c r="Q1157">
        <v>18.600000000000001</v>
      </c>
    </row>
    <row r="1158" spans="3:18">
      <c r="C1158">
        <v>5360</v>
      </c>
      <c r="E1158" t="s">
        <v>5951</v>
      </c>
      <c r="H1158" t="s">
        <v>5323</v>
      </c>
      <c r="K1158" s="31">
        <v>-43476.47</v>
      </c>
      <c r="M1158" s="31">
        <v>-49006.86</v>
      </c>
      <c r="O1158" s="31">
        <v>5530.39</v>
      </c>
      <c r="Q1158">
        <v>11.3</v>
      </c>
    </row>
    <row r="1159" spans="3:18">
      <c r="C1159">
        <v>5360</v>
      </c>
      <c r="E1159" t="s">
        <v>5952</v>
      </c>
      <c r="H1159" t="s">
        <v>5327</v>
      </c>
      <c r="K1159" s="31">
        <v>1209.22</v>
      </c>
      <c r="M1159" s="31">
        <v>1209.22</v>
      </c>
      <c r="O1159">
        <v>0</v>
      </c>
    </row>
    <row r="1160" spans="3:18">
      <c r="C1160">
        <v>5360</v>
      </c>
      <c r="E1160" t="s">
        <v>5953</v>
      </c>
      <c r="H1160" t="s">
        <v>5333</v>
      </c>
      <c r="K1160" s="31">
        <v>102621.14</v>
      </c>
      <c r="M1160" s="31">
        <v>114585.78</v>
      </c>
      <c r="O1160" s="31">
        <v>-11964.64</v>
      </c>
      <c r="Q1160">
        <v>-10.4</v>
      </c>
    </row>
    <row r="1161" spans="3:18">
      <c r="C1161">
        <v>5360</v>
      </c>
      <c r="E1161" t="s">
        <v>5954</v>
      </c>
      <c r="H1161" t="s">
        <v>5337</v>
      </c>
      <c r="K1161" s="31">
        <v>60282.54</v>
      </c>
      <c r="M1161" s="31">
        <v>68004.850000000006</v>
      </c>
      <c r="O1161" s="31">
        <v>-7722.31</v>
      </c>
      <c r="Q1161">
        <v>-11.4</v>
      </c>
    </row>
    <row r="1162" spans="3:18">
      <c r="C1162">
        <v>5360</v>
      </c>
      <c r="E1162" t="s">
        <v>5955</v>
      </c>
      <c r="H1162" t="s">
        <v>5339</v>
      </c>
      <c r="K1162" s="31">
        <v>-73293.94</v>
      </c>
      <c r="M1162" s="31">
        <v>-1870213.72</v>
      </c>
      <c r="O1162" s="31">
        <v>1796919.78</v>
      </c>
      <c r="Q1162">
        <v>96.1</v>
      </c>
    </row>
    <row r="1163" spans="3:18">
      <c r="C1163">
        <v>5360</v>
      </c>
      <c r="E1163" t="s">
        <v>5956</v>
      </c>
      <c r="H1163" t="s">
        <v>5363</v>
      </c>
      <c r="K1163">
        <v>-47.99</v>
      </c>
      <c r="M1163">
        <v>-60.86</v>
      </c>
      <c r="O1163">
        <v>12.87</v>
      </c>
      <c r="Q1163">
        <v>21.1</v>
      </c>
    </row>
    <row r="1164" spans="3:18">
      <c r="C1164">
        <v>5360</v>
      </c>
      <c r="E1164" t="s">
        <v>5957</v>
      </c>
      <c r="H1164" t="s">
        <v>5958</v>
      </c>
      <c r="K1164" s="31">
        <v>-1012.36</v>
      </c>
      <c r="M1164" s="31">
        <v>-1012.36</v>
      </c>
      <c r="O1164">
        <v>0</v>
      </c>
    </row>
    <row r="1165" spans="3:18">
      <c r="C1165">
        <v>5360</v>
      </c>
      <c r="E1165" t="s">
        <v>5960</v>
      </c>
      <c r="H1165" t="s">
        <v>5961</v>
      </c>
      <c r="K1165" s="31">
        <v>2609779.2799999998</v>
      </c>
      <c r="M1165" s="31">
        <v>2983162.73</v>
      </c>
      <c r="O1165" s="31">
        <v>-373383.45</v>
      </c>
      <c r="Q1165">
        <v>-12.5</v>
      </c>
    </row>
    <row r="1166" spans="3:18">
      <c r="K1166" s="31">
        <v>1661672499.95</v>
      </c>
      <c r="M1166" s="31">
        <v>1642491519.1099999</v>
      </c>
      <c r="O1166" s="31">
        <v>19180980.84</v>
      </c>
      <c r="Q1166">
        <v>1.2</v>
      </c>
      <c r="R1166" t="s">
        <v>970</v>
      </c>
    </row>
  </sheetData>
  <pageMargins left="0.7" right="0.7" top="0.75" bottom="0.75" header="0.3" footer="0.3"/>
  <pageSetup orientation="portrait" horizontalDpi="1200" verticalDpi="1200"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D8CC86-323A-455E-8CEC-8D84C5FA5CE0}">
  <sheetPr>
    <tabColor rgb="FFFF0000"/>
  </sheetPr>
  <dimension ref="A1:R1217"/>
  <sheetViews>
    <sheetView workbookViewId="0"/>
  </sheetViews>
  <sheetFormatPr defaultRowHeight="15"/>
  <cols>
    <col min="8" max="8" width="43.7109375" bestFit="1" customWidth="1"/>
    <col min="11" max="11" width="16.140625" bestFit="1" customWidth="1"/>
    <col min="13" max="13" width="16.140625" bestFit="1" customWidth="1"/>
    <col min="15" max="15" width="14.5703125" bestFit="1" customWidth="1"/>
  </cols>
  <sheetData>
    <row r="1" spans="1:18">
      <c r="A1" t="s">
        <v>6045</v>
      </c>
    </row>
    <row r="2" spans="1:18">
      <c r="A2" t="s">
        <v>6046</v>
      </c>
    </row>
    <row r="4" spans="1:18">
      <c r="A4" t="s">
        <v>535</v>
      </c>
      <c r="F4">
        <v>5360</v>
      </c>
      <c r="G4" t="s">
        <v>536</v>
      </c>
      <c r="I4" t="s">
        <v>537</v>
      </c>
      <c r="N4" t="s">
        <v>538</v>
      </c>
      <c r="P4" t="s">
        <v>539</v>
      </c>
    </row>
    <row r="5" spans="1:18">
      <c r="K5" s="6" t="s">
        <v>3538</v>
      </c>
      <c r="M5" s="6" t="s">
        <v>3539</v>
      </c>
    </row>
    <row r="6" spans="1:18">
      <c r="B6" t="s">
        <v>313</v>
      </c>
      <c r="C6" t="s">
        <v>540</v>
      </c>
      <c r="D6" t="s">
        <v>541</v>
      </c>
      <c r="E6" t="s">
        <v>542</v>
      </c>
      <c r="J6" t="s">
        <v>543</v>
      </c>
      <c r="L6" t="s">
        <v>544</v>
      </c>
      <c r="O6" t="s">
        <v>545</v>
      </c>
      <c r="Q6" t="s">
        <v>546</v>
      </c>
      <c r="R6" t="s">
        <v>4054</v>
      </c>
    </row>
    <row r="7" spans="1:18">
      <c r="B7" t="s">
        <v>201</v>
      </c>
      <c r="C7" t="s">
        <v>548</v>
      </c>
      <c r="D7" t="s">
        <v>549</v>
      </c>
      <c r="J7" t="s">
        <v>6047</v>
      </c>
      <c r="L7" t="s">
        <v>6048</v>
      </c>
      <c r="O7" t="s">
        <v>551</v>
      </c>
      <c r="Q7" t="s">
        <v>552</v>
      </c>
      <c r="R7" t="s">
        <v>4057</v>
      </c>
    </row>
    <row r="9" spans="1:18">
      <c r="E9" t="s">
        <v>4058</v>
      </c>
    </row>
    <row r="10" spans="1:18">
      <c r="C10">
        <v>5360</v>
      </c>
      <c r="E10" t="s">
        <v>4059</v>
      </c>
      <c r="H10" t="s">
        <v>4060</v>
      </c>
      <c r="K10" s="31">
        <v>1430207171.48</v>
      </c>
      <c r="M10" s="31">
        <v>1534136740.0999999</v>
      </c>
      <c r="O10" s="31">
        <v>-103929568.62</v>
      </c>
      <c r="Q10">
        <v>-6.8</v>
      </c>
    </row>
    <row r="11" spans="1:18">
      <c r="C11">
        <v>5360</v>
      </c>
      <c r="E11" t="s">
        <v>4061</v>
      </c>
      <c r="H11" t="s">
        <v>4062</v>
      </c>
      <c r="K11" s="31">
        <v>6241183.9400000004</v>
      </c>
      <c r="M11" s="31">
        <v>6192147.3499999996</v>
      </c>
      <c r="O11" s="31">
        <v>49036.59</v>
      </c>
      <c r="Q11">
        <v>0.8</v>
      </c>
    </row>
    <row r="12" spans="1:18">
      <c r="C12">
        <v>5360</v>
      </c>
      <c r="E12" t="s">
        <v>4063</v>
      </c>
      <c r="H12" t="s">
        <v>4064</v>
      </c>
      <c r="K12" s="31">
        <v>27165912.109999999</v>
      </c>
      <c r="M12" s="31">
        <v>31806020.25</v>
      </c>
      <c r="O12" s="31">
        <v>-4640108.1399999997</v>
      </c>
      <c r="Q12">
        <v>-14.6</v>
      </c>
    </row>
    <row r="13" spans="1:18">
      <c r="C13">
        <v>5360</v>
      </c>
      <c r="E13" t="s">
        <v>4065</v>
      </c>
      <c r="H13" t="s">
        <v>4066</v>
      </c>
      <c r="K13" s="31">
        <v>-165837.76999999999</v>
      </c>
      <c r="M13" s="31">
        <v>-165837.76999999999</v>
      </c>
      <c r="O13">
        <v>0</v>
      </c>
    </row>
    <row r="14" spans="1:18">
      <c r="C14">
        <v>5360</v>
      </c>
      <c r="E14" t="s">
        <v>4067</v>
      </c>
      <c r="H14" t="s">
        <v>4068</v>
      </c>
      <c r="K14" s="31">
        <v>1767921.56</v>
      </c>
      <c r="M14" s="31">
        <v>2068582.23</v>
      </c>
      <c r="O14" s="31">
        <v>-300660.67</v>
      </c>
      <c r="Q14">
        <v>-14.5</v>
      </c>
    </row>
    <row r="15" spans="1:18">
      <c r="C15">
        <v>5360</v>
      </c>
      <c r="E15" t="s">
        <v>4069</v>
      </c>
      <c r="H15" t="s">
        <v>4070</v>
      </c>
      <c r="K15" s="31">
        <v>20072495.530000001</v>
      </c>
      <c r="M15" s="31">
        <v>20072495.530000001</v>
      </c>
      <c r="O15">
        <v>0</v>
      </c>
    </row>
    <row r="16" spans="1:18">
      <c r="C16">
        <v>5360</v>
      </c>
      <c r="E16" t="s">
        <v>4071</v>
      </c>
      <c r="H16" t="s">
        <v>4072</v>
      </c>
      <c r="K16" s="31">
        <v>-7206484.0899999999</v>
      </c>
      <c r="M16" s="31">
        <v>-2485776.73</v>
      </c>
      <c r="O16" s="31">
        <v>-4720707.3600000003</v>
      </c>
      <c r="Q16">
        <v>-189.9</v>
      </c>
    </row>
    <row r="17" spans="3:18">
      <c r="C17">
        <v>5360</v>
      </c>
      <c r="E17" t="s">
        <v>4073</v>
      </c>
      <c r="H17" t="s">
        <v>4074</v>
      </c>
      <c r="K17" s="31">
        <v>-49036.59</v>
      </c>
      <c r="M17" s="31">
        <v>-29170.67</v>
      </c>
      <c r="O17" s="31">
        <v>-19865.919999999998</v>
      </c>
      <c r="Q17">
        <v>-68.099999999999994</v>
      </c>
    </row>
    <row r="18" spans="3:18">
      <c r="C18">
        <v>5360</v>
      </c>
      <c r="E18" t="s">
        <v>6025</v>
      </c>
      <c r="H18" t="s">
        <v>6026</v>
      </c>
      <c r="K18" s="31">
        <v>-185484.06</v>
      </c>
      <c r="M18">
        <v>0</v>
      </c>
      <c r="O18" s="31">
        <v>-185484.06</v>
      </c>
    </row>
    <row r="19" spans="3:18">
      <c r="C19">
        <v>5360</v>
      </c>
      <c r="E19" t="s">
        <v>4077</v>
      </c>
      <c r="H19" t="s">
        <v>4078</v>
      </c>
      <c r="K19" s="31">
        <v>-2032.81</v>
      </c>
      <c r="M19">
        <v>0</v>
      </c>
      <c r="O19" s="31">
        <v>-2032.81</v>
      </c>
    </row>
    <row r="20" spans="3:18">
      <c r="C20">
        <v>5360</v>
      </c>
      <c r="E20" t="s">
        <v>4079</v>
      </c>
      <c r="H20" t="s">
        <v>4080</v>
      </c>
      <c r="K20" s="31">
        <v>111136052.70999999</v>
      </c>
      <c r="M20" s="31">
        <v>93003787.049999997</v>
      </c>
      <c r="O20" s="31">
        <v>18132265.66</v>
      </c>
      <c r="Q20">
        <v>19.5</v>
      </c>
    </row>
    <row r="21" spans="3:18">
      <c r="C21">
        <v>5360</v>
      </c>
      <c r="E21" t="s">
        <v>4081</v>
      </c>
      <c r="H21" t="s">
        <v>4082</v>
      </c>
      <c r="K21" s="31">
        <v>4825592.2</v>
      </c>
      <c r="M21" s="31">
        <v>17861.580000000002</v>
      </c>
      <c r="O21" s="31">
        <v>4807730.62</v>
      </c>
      <c r="Q21">
        <v>26916.6</v>
      </c>
    </row>
    <row r="22" spans="3:18">
      <c r="C22">
        <v>5360</v>
      </c>
      <c r="E22" t="s">
        <v>4922</v>
      </c>
      <c r="H22" t="s">
        <v>4923</v>
      </c>
      <c r="K22" s="31">
        <v>302693.48</v>
      </c>
      <c r="M22" s="31">
        <v>6667.33</v>
      </c>
      <c r="O22" s="31">
        <v>296026.15000000002</v>
      </c>
      <c r="Q22">
        <v>4440</v>
      </c>
    </row>
    <row r="23" spans="3:18">
      <c r="C23">
        <v>5360</v>
      </c>
      <c r="E23" t="s">
        <v>5967</v>
      </c>
      <c r="H23" t="s">
        <v>5968</v>
      </c>
      <c r="K23" s="31">
        <v>138584.16</v>
      </c>
      <c r="M23" s="31">
        <v>138584.16</v>
      </c>
      <c r="O23">
        <v>0</v>
      </c>
    </row>
    <row r="24" spans="3:18">
      <c r="C24">
        <v>5360</v>
      </c>
      <c r="E24" t="s">
        <v>4083</v>
      </c>
      <c r="H24" t="s">
        <v>4084</v>
      </c>
      <c r="K24" s="31">
        <v>1967388.61</v>
      </c>
      <c r="M24" s="31">
        <v>4901952.67</v>
      </c>
      <c r="O24" s="31">
        <v>-2934564.06</v>
      </c>
      <c r="Q24">
        <v>-59.9</v>
      </c>
    </row>
    <row r="25" spans="3:18">
      <c r="C25">
        <v>5360</v>
      </c>
      <c r="E25" t="s">
        <v>4085</v>
      </c>
      <c r="H25" t="s">
        <v>4086</v>
      </c>
      <c r="K25" s="31">
        <v>11476847.699999999</v>
      </c>
      <c r="M25" s="31">
        <v>11476847.699999999</v>
      </c>
      <c r="O25">
        <v>0</v>
      </c>
    </row>
    <row r="26" spans="3:18">
      <c r="C26">
        <v>5360</v>
      </c>
      <c r="E26" t="s">
        <v>4089</v>
      </c>
      <c r="H26" t="s">
        <v>4090</v>
      </c>
      <c r="K26" s="31">
        <v>3090820.38</v>
      </c>
      <c r="M26" s="31">
        <v>1615274.8</v>
      </c>
      <c r="O26" s="31">
        <v>1475545.58</v>
      </c>
      <c r="Q26">
        <v>91.3</v>
      </c>
    </row>
    <row r="27" spans="3:18">
      <c r="C27">
        <v>5360</v>
      </c>
      <c r="E27" t="s">
        <v>4091</v>
      </c>
      <c r="H27" t="s">
        <v>4092</v>
      </c>
      <c r="K27" s="31">
        <v>-156256.32000000001</v>
      </c>
      <c r="M27" s="31">
        <v>-966236.68</v>
      </c>
      <c r="O27" s="31">
        <v>809980.36</v>
      </c>
      <c r="Q27">
        <v>83.8</v>
      </c>
    </row>
    <row r="28" spans="3:18">
      <c r="E28" t="s">
        <v>4093</v>
      </c>
      <c r="K28" s="31">
        <v>1610627532.22</v>
      </c>
      <c r="M28" s="31">
        <v>1701789938.9000001</v>
      </c>
      <c r="O28" s="31">
        <v>-91162406.680000007</v>
      </c>
      <c r="Q28">
        <v>-5.4</v>
      </c>
      <c r="R28" t="s">
        <v>658</v>
      </c>
    </row>
    <row r="29" spans="3:18">
      <c r="C29">
        <v>5360</v>
      </c>
      <c r="E29" t="s">
        <v>4094</v>
      </c>
      <c r="H29" t="s">
        <v>4095</v>
      </c>
      <c r="K29" s="31">
        <v>149908736.00999999</v>
      </c>
      <c r="M29" s="31">
        <v>223237028.09999999</v>
      </c>
      <c r="O29" s="31">
        <v>-73328292.090000004</v>
      </c>
      <c r="Q29">
        <v>-32.799999999999997</v>
      </c>
    </row>
    <row r="30" spans="3:18">
      <c r="C30">
        <v>5360</v>
      </c>
      <c r="E30" t="s">
        <v>4096</v>
      </c>
      <c r="H30" t="s">
        <v>4097</v>
      </c>
      <c r="K30" s="31">
        <v>4090026.63</v>
      </c>
      <c r="M30" s="31">
        <v>597835.36</v>
      </c>
      <c r="O30" s="31">
        <v>3492191.27</v>
      </c>
      <c r="Q30">
        <v>584.1</v>
      </c>
    </row>
    <row r="31" spans="3:18">
      <c r="C31">
        <v>5360</v>
      </c>
      <c r="E31" t="s">
        <v>4098</v>
      </c>
      <c r="H31" t="s">
        <v>4099</v>
      </c>
      <c r="K31" s="31">
        <v>73328292.090000004</v>
      </c>
      <c r="M31" s="31">
        <v>-66188824.920000002</v>
      </c>
      <c r="O31" s="31">
        <v>139517117.00999999</v>
      </c>
      <c r="Q31">
        <v>210.8</v>
      </c>
    </row>
    <row r="32" spans="3:18">
      <c r="C32">
        <v>5360</v>
      </c>
      <c r="E32" t="s">
        <v>4100</v>
      </c>
      <c r="H32" t="s">
        <v>4101</v>
      </c>
      <c r="K32" s="31">
        <v>-3492191.27</v>
      </c>
      <c r="M32" s="31">
        <v>507585.64</v>
      </c>
      <c r="O32" s="31">
        <v>-3999776.91</v>
      </c>
      <c r="Q32">
        <v>-788</v>
      </c>
    </row>
    <row r="33" spans="3:18">
      <c r="E33" t="s">
        <v>4102</v>
      </c>
      <c r="K33" s="31">
        <v>223834863.46000001</v>
      </c>
      <c r="M33" s="31">
        <v>158153624.18000001</v>
      </c>
      <c r="O33" s="31">
        <v>65681239.280000001</v>
      </c>
      <c r="Q33">
        <v>41.5</v>
      </c>
      <c r="R33" t="s">
        <v>658</v>
      </c>
    </row>
    <row r="34" spans="3:18">
      <c r="E34" t="s">
        <v>4103</v>
      </c>
      <c r="K34" s="31">
        <v>1834462395.6800001</v>
      </c>
      <c r="M34" s="31">
        <v>1859943563.0799999</v>
      </c>
      <c r="O34" s="31">
        <v>-25481167.399999999</v>
      </c>
      <c r="Q34">
        <v>-1.4</v>
      </c>
      <c r="R34" t="s">
        <v>569</v>
      </c>
    </row>
    <row r="35" spans="3:18">
      <c r="C35">
        <v>5360</v>
      </c>
      <c r="E35" t="s">
        <v>4104</v>
      </c>
      <c r="H35" t="s">
        <v>4105</v>
      </c>
      <c r="K35" s="31">
        <v>-441527589.74000001</v>
      </c>
      <c r="M35" s="31">
        <v>-475848478.56</v>
      </c>
      <c r="O35" s="31">
        <v>34320888.82</v>
      </c>
      <c r="Q35">
        <v>7.2</v>
      </c>
    </row>
    <row r="36" spans="3:18">
      <c r="C36">
        <v>5360</v>
      </c>
      <c r="E36" t="s">
        <v>4106</v>
      </c>
      <c r="H36" t="s">
        <v>4107</v>
      </c>
      <c r="K36" s="31">
        <v>18321.61</v>
      </c>
      <c r="M36">
        <v>0.01</v>
      </c>
      <c r="O36" s="31">
        <v>18321.599999999999</v>
      </c>
      <c r="Q36" t="s">
        <v>6049</v>
      </c>
    </row>
    <row r="37" spans="3:18">
      <c r="C37">
        <v>5360</v>
      </c>
      <c r="E37" t="s">
        <v>4108</v>
      </c>
      <c r="H37" t="s">
        <v>4109</v>
      </c>
      <c r="K37" s="31">
        <v>-5037153.3899999997</v>
      </c>
      <c r="M37" s="31">
        <v>-5027784.42</v>
      </c>
      <c r="O37" s="31">
        <v>-9368.9699999999993</v>
      </c>
      <c r="Q37">
        <v>-0.2</v>
      </c>
    </row>
    <row r="38" spans="3:18">
      <c r="C38">
        <v>5360</v>
      </c>
      <c r="E38" t="s">
        <v>4110</v>
      </c>
      <c r="H38" t="s">
        <v>4111</v>
      </c>
      <c r="K38" s="31">
        <v>-13950982.02</v>
      </c>
      <c r="M38" s="31">
        <v>-13153604.390000001</v>
      </c>
      <c r="O38" s="31">
        <v>-797377.63</v>
      </c>
      <c r="Q38">
        <v>-6.1</v>
      </c>
    </row>
    <row r="39" spans="3:18">
      <c r="C39">
        <v>5360</v>
      </c>
      <c r="E39" t="s">
        <v>4112</v>
      </c>
      <c r="H39" t="s">
        <v>4113</v>
      </c>
      <c r="K39" s="31">
        <v>103096.24</v>
      </c>
      <c r="M39" s="31">
        <v>103096.24</v>
      </c>
      <c r="O39">
        <v>0</v>
      </c>
    </row>
    <row r="40" spans="3:18">
      <c r="C40">
        <v>5360</v>
      </c>
      <c r="E40" t="s">
        <v>4114</v>
      </c>
      <c r="H40" t="s">
        <v>4115</v>
      </c>
      <c r="K40" s="31">
        <v>995251.8</v>
      </c>
      <c r="M40" s="31">
        <v>861588.62</v>
      </c>
      <c r="O40" s="31">
        <v>133663.18</v>
      </c>
      <c r="Q40">
        <v>15.5</v>
      </c>
    </row>
    <row r="41" spans="3:18">
      <c r="C41">
        <v>5360</v>
      </c>
      <c r="E41" t="s">
        <v>4116</v>
      </c>
      <c r="H41" t="s">
        <v>4117</v>
      </c>
      <c r="K41" s="31">
        <v>17044187.870000001</v>
      </c>
      <c r="M41" s="31">
        <v>17881207.949999999</v>
      </c>
      <c r="O41" s="31">
        <v>-837020.08</v>
      </c>
      <c r="Q41">
        <v>-4.7</v>
      </c>
    </row>
    <row r="42" spans="3:18">
      <c r="C42">
        <v>5360</v>
      </c>
      <c r="E42" t="s">
        <v>4118</v>
      </c>
      <c r="H42" t="s">
        <v>4119</v>
      </c>
      <c r="K42" s="31">
        <v>-82085.81</v>
      </c>
      <c r="M42" s="31">
        <v>-82085.81</v>
      </c>
      <c r="O42">
        <v>0</v>
      </c>
    </row>
    <row r="43" spans="3:18">
      <c r="C43">
        <v>5360</v>
      </c>
      <c r="E43" t="s">
        <v>4120</v>
      </c>
      <c r="H43" t="s">
        <v>4121</v>
      </c>
      <c r="K43" s="31">
        <v>-50214562.310000002</v>
      </c>
      <c r="M43" s="31">
        <v>-13264152.140000001</v>
      </c>
      <c r="O43" s="31">
        <v>-36950410.170000002</v>
      </c>
      <c r="Q43">
        <v>-278.60000000000002</v>
      </c>
    </row>
    <row r="44" spans="3:18">
      <c r="C44">
        <v>5360</v>
      </c>
      <c r="E44" t="s">
        <v>4122</v>
      </c>
      <c r="H44" t="s">
        <v>4109</v>
      </c>
      <c r="K44" s="31">
        <v>-39667.620000000003</v>
      </c>
      <c r="M44" s="31">
        <v>-9033.77</v>
      </c>
      <c r="O44" s="31">
        <v>-30633.85</v>
      </c>
      <c r="Q44">
        <v>-339.1</v>
      </c>
    </row>
    <row r="45" spans="3:18">
      <c r="C45">
        <v>5360</v>
      </c>
      <c r="E45" t="s">
        <v>4123</v>
      </c>
      <c r="H45" t="s">
        <v>4124</v>
      </c>
      <c r="K45" s="31">
        <v>-1044157.83</v>
      </c>
      <c r="M45" s="31">
        <v>-278165.09999999998</v>
      </c>
      <c r="O45" s="31">
        <v>-765992.73</v>
      </c>
      <c r="Q45">
        <v>-275.39999999999998</v>
      </c>
    </row>
    <row r="46" spans="3:18">
      <c r="C46">
        <v>5360</v>
      </c>
      <c r="E46" t="s">
        <v>4125</v>
      </c>
      <c r="H46" t="s">
        <v>4126</v>
      </c>
      <c r="K46" s="31">
        <v>-135357.06</v>
      </c>
      <c r="M46" s="31">
        <v>-34530.67</v>
      </c>
      <c r="O46" s="31">
        <v>-100826.39</v>
      </c>
      <c r="Q46">
        <v>-292</v>
      </c>
    </row>
    <row r="47" spans="3:18">
      <c r="C47">
        <v>5360</v>
      </c>
      <c r="E47" t="s">
        <v>4127</v>
      </c>
      <c r="H47" t="s">
        <v>4128</v>
      </c>
      <c r="K47" s="31">
        <v>-18321.599999999999</v>
      </c>
      <c r="M47">
        <v>0</v>
      </c>
      <c r="O47" s="31">
        <v>-18321.599999999999</v>
      </c>
    </row>
    <row r="48" spans="3:18">
      <c r="C48">
        <v>5360</v>
      </c>
      <c r="E48" t="s">
        <v>4129</v>
      </c>
      <c r="H48" t="s">
        <v>4130</v>
      </c>
      <c r="K48" s="31">
        <v>-333377.8</v>
      </c>
      <c r="M48">
        <v>0</v>
      </c>
      <c r="O48" s="31">
        <v>-333377.8</v>
      </c>
    </row>
    <row r="49" spans="3:17">
      <c r="C49">
        <v>5360</v>
      </c>
      <c r="E49" t="s">
        <v>4131</v>
      </c>
      <c r="H49" t="s">
        <v>4130</v>
      </c>
      <c r="K49" s="31">
        <v>11509689.050000001</v>
      </c>
      <c r="M49" s="31">
        <v>3500253.4</v>
      </c>
      <c r="O49" s="31">
        <v>8009435.6500000004</v>
      </c>
      <c r="Q49">
        <v>228.8</v>
      </c>
    </row>
    <row r="50" spans="3:17">
      <c r="C50">
        <v>5360</v>
      </c>
      <c r="E50" t="s">
        <v>4132</v>
      </c>
      <c r="H50" t="s">
        <v>4133</v>
      </c>
      <c r="K50" s="31">
        <v>7206484.0899999999</v>
      </c>
      <c r="M50" s="31">
        <v>2485776.73</v>
      </c>
      <c r="O50" s="31">
        <v>4720707.3600000003</v>
      </c>
      <c r="Q50">
        <v>189.9</v>
      </c>
    </row>
    <row r="51" spans="3:17">
      <c r="C51">
        <v>5360</v>
      </c>
      <c r="E51" t="s">
        <v>4134</v>
      </c>
      <c r="H51" t="s">
        <v>4109</v>
      </c>
      <c r="K51" s="31">
        <v>49036.59</v>
      </c>
      <c r="M51" s="31">
        <v>29170.67</v>
      </c>
      <c r="O51" s="31">
        <v>19865.919999999998</v>
      </c>
      <c r="Q51">
        <v>68.099999999999994</v>
      </c>
    </row>
    <row r="52" spans="3:17">
      <c r="C52">
        <v>5360</v>
      </c>
      <c r="E52" t="s">
        <v>6027</v>
      </c>
      <c r="H52" t="s">
        <v>6028</v>
      </c>
      <c r="K52" s="31">
        <v>185484.06</v>
      </c>
      <c r="M52">
        <v>0</v>
      </c>
      <c r="O52" s="31">
        <v>185484.06</v>
      </c>
    </row>
    <row r="53" spans="3:17">
      <c r="C53">
        <v>5360</v>
      </c>
      <c r="E53" t="s">
        <v>4136</v>
      </c>
      <c r="H53" t="s">
        <v>4137</v>
      </c>
      <c r="K53" s="31">
        <v>2032.81</v>
      </c>
      <c r="M53">
        <v>0</v>
      </c>
      <c r="O53" s="31">
        <v>2032.81</v>
      </c>
    </row>
    <row r="54" spans="3:17">
      <c r="C54">
        <v>5360</v>
      </c>
      <c r="E54" t="s">
        <v>4138</v>
      </c>
      <c r="H54" t="s">
        <v>4139</v>
      </c>
      <c r="K54" s="31">
        <v>8687189.4000000004</v>
      </c>
      <c r="M54" s="31">
        <v>1905062.54</v>
      </c>
      <c r="O54" s="31">
        <v>6782126.8600000003</v>
      </c>
      <c r="Q54">
        <v>356</v>
      </c>
    </row>
    <row r="55" spans="3:17">
      <c r="C55">
        <v>5360</v>
      </c>
      <c r="E55" t="s">
        <v>4140</v>
      </c>
      <c r="H55" t="s">
        <v>4141</v>
      </c>
      <c r="K55" s="31">
        <v>-10339291.17</v>
      </c>
      <c r="M55" s="31">
        <v>-1904044.16</v>
      </c>
      <c r="O55" s="31">
        <v>-8435247.0099999998</v>
      </c>
      <c r="Q55">
        <v>-443</v>
      </c>
    </row>
    <row r="56" spans="3:17">
      <c r="C56">
        <v>5360</v>
      </c>
      <c r="E56" t="s">
        <v>4142</v>
      </c>
      <c r="H56" t="s">
        <v>4143</v>
      </c>
      <c r="K56" s="31">
        <v>1656051.4</v>
      </c>
      <c r="M56" s="31">
        <v>-1018.38</v>
      </c>
      <c r="O56" s="31">
        <v>1657069.78</v>
      </c>
      <c r="Q56" t="s">
        <v>6050</v>
      </c>
    </row>
    <row r="57" spans="3:17">
      <c r="C57">
        <v>5360</v>
      </c>
      <c r="E57" t="s">
        <v>6051</v>
      </c>
      <c r="H57" t="s">
        <v>6052</v>
      </c>
      <c r="K57">
        <v>-338.93</v>
      </c>
      <c r="M57">
        <v>0</v>
      </c>
      <c r="O57">
        <v>-338.93</v>
      </c>
    </row>
    <row r="58" spans="3:17">
      <c r="C58">
        <v>5360</v>
      </c>
      <c r="E58" t="s">
        <v>4144</v>
      </c>
      <c r="H58" t="s">
        <v>4145</v>
      </c>
      <c r="K58" s="31">
        <v>161325160.84</v>
      </c>
      <c r="M58" s="31">
        <v>162122979.74000001</v>
      </c>
      <c r="O58" s="31">
        <v>-797818.9</v>
      </c>
      <c r="Q58">
        <v>-0.5</v>
      </c>
    </row>
    <row r="59" spans="3:17">
      <c r="C59">
        <v>5360</v>
      </c>
      <c r="E59" t="s">
        <v>4146</v>
      </c>
      <c r="H59" t="s">
        <v>4117</v>
      </c>
      <c r="K59" s="31">
        <v>1085656.3</v>
      </c>
      <c r="M59" s="31">
        <v>1178313.6000000001</v>
      </c>
      <c r="O59" s="31">
        <v>-92657.3</v>
      </c>
      <c r="Q59">
        <v>-7.9</v>
      </c>
    </row>
    <row r="60" spans="3:17">
      <c r="C60">
        <v>5360</v>
      </c>
      <c r="E60" t="s">
        <v>4147</v>
      </c>
      <c r="H60" t="s">
        <v>4148</v>
      </c>
      <c r="K60" s="31">
        <v>9463.18</v>
      </c>
      <c r="M60" s="31">
        <v>14414.23</v>
      </c>
      <c r="O60" s="31">
        <v>-4951.05</v>
      </c>
      <c r="Q60">
        <v>-34.299999999999997</v>
      </c>
    </row>
    <row r="61" spans="3:17">
      <c r="C61">
        <v>5360</v>
      </c>
      <c r="E61" t="s">
        <v>4149</v>
      </c>
      <c r="H61" t="s">
        <v>4150</v>
      </c>
      <c r="K61" s="31">
        <v>-6658653.0899999999</v>
      </c>
      <c r="M61" s="31">
        <v>-9427452.9499999993</v>
      </c>
      <c r="O61" s="31">
        <v>2768799.86</v>
      </c>
      <c r="Q61">
        <v>29.4</v>
      </c>
    </row>
    <row r="62" spans="3:17">
      <c r="C62">
        <v>5360</v>
      </c>
      <c r="E62" t="s">
        <v>4151</v>
      </c>
      <c r="H62" t="s">
        <v>4119</v>
      </c>
      <c r="K62" s="31">
        <v>-161325160.84</v>
      </c>
      <c r="M62" s="31">
        <v>-162122979.74000001</v>
      </c>
      <c r="O62" s="31">
        <v>797818.9</v>
      </c>
      <c r="Q62">
        <v>0.5</v>
      </c>
    </row>
    <row r="63" spans="3:17">
      <c r="C63">
        <v>5360</v>
      </c>
      <c r="E63" t="s">
        <v>4152</v>
      </c>
      <c r="H63" t="s">
        <v>4153</v>
      </c>
      <c r="K63" s="31">
        <v>4951.05</v>
      </c>
      <c r="M63" s="31">
        <v>1254.69</v>
      </c>
      <c r="O63" s="31">
        <v>3696.36</v>
      </c>
      <c r="Q63">
        <v>294.60000000000002</v>
      </c>
    </row>
    <row r="64" spans="3:17">
      <c r="C64">
        <v>5360</v>
      </c>
      <c r="E64" t="s">
        <v>4154</v>
      </c>
      <c r="H64" t="s">
        <v>4155</v>
      </c>
      <c r="K64" s="31">
        <v>-2878113.89</v>
      </c>
      <c r="M64" s="31">
        <v>-681013.77</v>
      </c>
      <c r="O64" s="31">
        <v>-2197100.12</v>
      </c>
      <c r="Q64">
        <v>-322.60000000000002</v>
      </c>
    </row>
    <row r="65" spans="3:18">
      <c r="C65">
        <v>5360</v>
      </c>
      <c r="E65" t="s">
        <v>4156</v>
      </c>
      <c r="H65" t="s">
        <v>4130</v>
      </c>
      <c r="K65" s="31">
        <v>92657.3</v>
      </c>
      <c r="M65">
        <v>399.79</v>
      </c>
      <c r="O65" s="31">
        <v>92257.51</v>
      </c>
      <c r="Q65">
        <v>23076.5</v>
      </c>
    </row>
    <row r="66" spans="3:18">
      <c r="C66">
        <v>5360</v>
      </c>
      <c r="E66" t="s">
        <v>4157</v>
      </c>
      <c r="H66" t="s">
        <v>4158</v>
      </c>
      <c r="K66" s="31">
        <v>109314.03</v>
      </c>
      <c r="M66" s="31">
        <v>837995.18</v>
      </c>
      <c r="O66" s="31">
        <v>-728681.15</v>
      </c>
      <c r="Q66">
        <v>-87</v>
      </c>
    </row>
    <row r="67" spans="3:18">
      <c r="E67" t="s">
        <v>4159</v>
      </c>
      <c r="K67" s="31">
        <v>-483500785.48000002</v>
      </c>
      <c r="M67" s="31">
        <v>-490912830.47000003</v>
      </c>
      <c r="O67" s="31">
        <v>7412044.9900000002</v>
      </c>
      <c r="Q67">
        <v>1.5</v>
      </c>
      <c r="R67" t="s">
        <v>658</v>
      </c>
    </row>
    <row r="68" spans="3:18">
      <c r="C68">
        <v>5360</v>
      </c>
      <c r="E68" t="s">
        <v>4160</v>
      </c>
      <c r="H68" t="s">
        <v>4161</v>
      </c>
      <c r="K68" s="31">
        <v>-19833570.02</v>
      </c>
      <c r="M68" s="31">
        <v>-19833570.02</v>
      </c>
      <c r="O68">
        <v>0</v>
      </c>
    </row>
    <row r="69" spans="3:18">
      <c r="E69" t="s">
        <v>4162</v>
      </c>
      <c r="K69" s="31">
        <v>-19833570.02</v>
      </c>
      <c r="M69" s="31">
        <v>-19833570.02</v>
      </c>
      <c r="O69">
        <v>0</v>
      </c>
      <c r="R69" t="s">
        <v>658</v>
      </c>
    </row>
    <row r="70" spans="3:18">
      <c r="E70" t="s">
        <v>4163</v>
      </c>
      <c r="K70" s="31">
        <v>-503334355.5</v>
      </c>
      <c r="M70" s="31">
        <v>-510746400.49000001</v>
      </c>
      <c r="O70" s="31">
        <v>7412044.9900000002</v>
      </c>
      <c r="Q70">
        <v>1.5</v>
      </c>
      <c r="R70" t="s">
        <v>569</v>
      </c>
    </row>
    <row r="71" spans="3:18">
      <c r="E71" t="s">
        <v>4164</v>
      </c>
      <c r="K71" s="31">
        <v>1331128040.1800001</v>
      </c>
      <c r="M71" s="31">
        <v>1349197162.5899999</v>
      </c>
      <c r="O71" s="31">
        <v>-18069122.41</v>
      </c>
      <c r="Q71">
        <v>-1.3</v>
      </c>
      <c r="R71" t="s">
        <v>611</v>
      </c>
    </row>
    <row r="73" spans="3:18">
      <c r="C73">
        <v>5360</v>
      </c>
      <c r="E73" t="s">
        <v>4165</v>
      </c>
      <c r="H73" t="s">
        <v>4166</v>
      </c>
      <c r="K73" s="31">
        <v>354598.6</v>
      </c>
      <c r="M73" s="31">
        <v>354598.6</v>
      </c>
      <c r="O73">
        <v>0</v>
      </c>
    </row>
    <row r="74" spans="3:18">
      <c r="C74">
        <v>5360</v>
      </c>
      <c r="E74" t="s">
        <v>4167</v>
      </c>
      <c r="H74" t="s">
        <v>4168</v>
      </c>
      <c r="K74" s="31">
        <v>-25307613.530000001</v>
      </c>
      <c r="M74" s="31">
        <v>-25307613.530000001</v>
      </c>
      <c r="O74">
        <v>0</v>
      </c>
    </row>
    <row r="75" spans="3:18">
      <c r="C75">
        <v>5360</v>
      </c>
      <c r="E75" t="s">
        <v>4169</v>
      </c>
      <c r="H75" t="s">
        <v>4170</v>
      </c>
      <c r="K75" s="31">
        <v>85846541.260000005</v>
      </c>
      <c r="M75" s="31">
        <v>70550191.829999998</v>
      </c>
      <c r="O75" s="31">
        <v>15296349.43</v>
      </c>
      <c r="Q75">
        <v>21.7</v>
      </c>
    </row>
    <row r="76" spans="3:18">
      <c r="C76">
        <v>5360</v>
      </c>
      <c r="E76" t="s">
        <v>4171</v>
      </c>
      <c r="H76" t="s">
        <v>4172</v>
      </c>
      <c r="K76" s="31">
        <v>-131934.84</v>
      </c>
      <c r="M76" s="31">
        <v>133586.10999999999</v>
      </c>
      <c r="O76" s="31">
        <v>-265520.95</v>
      </c>
      <c r="Q76">
        <v>-198.8</v>
      </c>
    </row>
    <row r="77" spans="3:18">
      <c r="C77">
        <v>5360</v>
      </c>
      <c r="E77" t="s">
        <v>4173</v>
      </c>
      <c r="H77" t="s">
        <v>4174</v>
      </c>
      <c r="K77" s="31">
        <v>174762431.72</v>
      </c>
      <c r="M77" s="31">
        <v>40333135.850000001</v>
      </c>
      <c r="O77" s="31">
        <v>134429295.87</v>
      </c>
      <c r="Q77">
        <v>333.3</v>
      </c>
    </row>
    <row r="78" spans="3:18">
      <c r="C78">
        <v>5360</v>
      </c>
      <c r="E78" t="s">
        <v>4175</v>
      </c>
      <c r="H78" t="s">
        <v>4176</v>
      </c>
      <c r="K78" s="31">
        <v>-3958341.95</v>
      </c>
      <c r="M78" s="31">
        <v>3000019.31</v>
      </c>
      <c r="O78" s="31">
        <v>-6958361.2599999998</v>
      </c>
      <c r="Q78">
        <v>-231.9</v>
      </c>
    </row>
    <row r="79" spans="3:18">
      <c r="C79">
        <v>5360</v>
      </c>
      <c r="E79" t="s">
        <v>4177</v>
      </c>
      <c r="H79" t="s">
        <v>4178</v>
      </c>
      <c r="K79" s="31">
        <v>151464.85</v>
      </c>
      <c r="M79" s="31">
        <v>3044275</v>
      </c>
      <c r="O79" s="31">
        <v>-2892810.15</v>
      </c>
      <c r="Q79">
        <v>-95</v>
      </c>
    </row>
    <row r="80" spans="3:18">
      <c r="C80">
        <v>5360</v>
      </c>
      <c r="E80" t="s">
        <v>4179</v>
      </c>
      <c r="H80" t="s">
        <v>4180</v>
      </c>
      <c r="K80" s="31">
        <v>114056.1</v>
      </c>
      <c r="M80" s="31">
        <v>6955.34</v>
      </c>
      <c r="O80" s="31">
        <v>107100.76</v>
      </c>
      <c r="Q80">
        <v>1539.8</v>
      </c>
    </row>
    <row r="81" spans="3:18">
      <c r="C81">
        <v>5360</v>
      </c>
      <c r="E81" t="s">
        <v>4181</v>
      </c>
      <c r="H81" t="s">
        <v>4182</v>
      </c>
      <c r="K81" s="31">
        <v>-186100439.19999999</v>
      </c>
      <c r="M81" s="31">
        <v>-27347076.68</v>
      </c>
      <c r="O81" s="31">
        <v>-158753362.52000001</v>
      </c>
      <c r="Q81">
        <v>-580.5</v>
      </c>
    </row>
    <row r="82" spans="3:18">
      <c r="E82" t="s">
        <v>4183</v>
      </c>
      <c r="K82" s="31">
        <v>45730763.009999998</v>
      </c>
      <c r="M82" s="31">
        <v>64768071.829999998</v>
      </c>
      <c r="O82" s="31">
        <v>-19037308.82</v>
      </c>
      <c r="Q82">
        <v>-29.4</v>
      </c>
      <c r="R82" t="s">
        <v>569</v>
      </c>
    </row>
    <row r="83" spans="3:18">
      <c r="E83" t="s">
        <v>4183</v>
      </c>
      <c r="K83" s="31">
        <v>45730763.009999998</v>
      </c>
      <c r="M83" s="31">
        <v>64768071.829999998</v>
      </c>
      <c r="O83" s="31">
        <v>-19037308.82</v>
      </c>
      <c r="Q83">
        <v>-29.4</v>
      </c>
      <c r="R83" t="s">
        <v>611</v>
      </c>
    </row>
    <row r="85" spans="3:18">
      <c r="E85" t="s">
        <v>4184</v>
      </c>
      <c r="K85" s="31">
        <v>1376858803.1900001</v>
      </c>
      <c r="M85" s="31">
        <v>1413965234.4200001</v>
      </c>
      <c r="O85" s="31">
        <v>-37106431.229999997</v>
      </c>
      <c r="Q85">
        <v>-2.6</v>
      </c>
      <c r="R85" t="s">
        <v>930</v>
      </c>
    </row>
    <row r="87" spans="3:18">
      <c r="C87">
        <v>5360</v>
      </c>
      <c r="E87" t="s">
        <v>4185</v>
      </c>
      <c r="H87" t="s">
        <v>4186</v>
      </c>
      <c r="K87" s="31">
        <v>235058056.38999999</v>
      </c>
      <c r="M87" s="31">
        <v>235058056.38999999</v>
      </c>
      <c r="O87">
        <v>0</v>
      </c>
    </row>
    <row r="88" spans="3:18">
      <c r="E88" t="s">
        <v>4187</v>
      </c>
      <c r="K88" s="31">
        <v>235058056.38999999</v>
      </c>
      <c r="M88" s="31">
        <v>235058056.38999999</v>
      </c>
      <c r="O88">
        <v>0</v>
      </c>
      <c r="R88" t="s">
        <v>611</v>
      </c>
    </row>
    <row r="90" spans="3:18">
      <c r="E90" t="s">
        <v>4188</v>
      </c>
      <c r="K90" s="31">
        <v>235058056.38999999</v>
      </c>
      <c r="M90" s="31">
        <v>235058056.38999999</v>
      </c>
      <c r="O90">
        <v>0</v>
      </c>
      <c r="R90" t="s">
        <v>930</v>
      </c>
    </row>
    <row r="92" spans="3:18">
      <c r="C92">
        <v>5360</v>
      </c>
      <c r="E92" t="s">
        <v>4189</v>
      </c>
      <c r="H92" t="s">
        <v>4190</v>
      </c>
      <c r="K92" s="31">
        <v>4041036.52</v>
      </c>
      <c r="M92" s="31">
        <v>4041036.52</v>
      </c>
      <c r="O92">
        <v>0</v>
      </c>
    </row>
    <row r="93" spans="3:18">
      <c r="E93" t="s">
        <v>4191</v>
      </c>
      <c r="K93" s="31">
        <v>4041036.52</v>
      </c>
      <c r="M93" s="31">
        <v>4041036.52</v>
      </c>
      <c r="O93">
        <v>0</v>
      </c>
      <c r="R93" t="s">
        <v>658</v>
      </c>
    </row>
    <row r="94" spans="3:18">
      <c r="E94" t="s">
        <v>4192</v>
      </c>
      <c r="K94" s="31">
        <v>4041036.52</v>
      </c>
      <c r="M94" s="31">
        <v>4041036.52</v>
      </c>
      <c r="O94">
        <v>0</v>
      </c>
      <c r="R94" t="s">
        <v>569</v>
      </c>
    </row>
    <row r="95" spans="3:18">
      <c r="E95" t="s">
        <v>4193</v>
      </c>
      <c r="K95" s="31">
        <v>4041036.52</v>
      </c>
      <c r="M95" s="31">
        <v>4041036.52</v>
      </c>
      <c r="O95">
        <v>0</v>
      </c>
      <c r="R95" t="s">
        <v>611</v>
      </c>
    </row>
    <row r="97" spans="3:18">
      <c r="C97">
        <v>5360</v>
      </c>
      <c r="E97" t="s">
        <v>4194</v>
      </c>
      <c r="H97" t="s">
        <v>4195</v>
      </c>
      <c r="K97" s="31">
        <v>57495</v>
      </c>
      <c r="M97">
        <v>0</v>
      </c>
      <c r="O97" s="31">
        <v>57495</v>
      </c>
    </row>
    <row r="98" spans="3:18">
      <c r="E98" t="s">
        <v>4196</v>
      </c>
      <c r="K98" s="31">
        <v>57495</v>
      </c>
      <c r="M98">
        <v>0</v>
      </c>
      <c r="O98" s="31">
        <v>57495</v>
      </c>
      <c r="R98" t="s">
        <v>611</v>
      </c>
    </row>
    <row r="100" spans="3:18">
      <c r="C100">
        <v>5360</v>
      </c>
      <c r="E100" t="s">
        <v>4197</v>
      </c>
      <c r="H100" t="s">
        <v>4198</v>
      </c>
      <c r="K100" s="31">
        <v>-50039.18</v>
      </c>
      <c r="M100" s="31">
        <v>-50039.18</v>
      </c>
      <c r="O100">
        <v>0</v>
      </c>
    </row>
    <row r="101" spans="3:18">
      <c r="C101">
        <v>5360</v>
      </c>
      <c r="E101" t="s">
        <v>5969</v>
      </c>
      <c r="H101" t="s">
        <v>5970</v>
      </c>
      <c r="K101" s="31">
        <v>452657.94</v>
      </c>
      <c r="M101" s="31">
        <v>452657.94</v>
      </c>
      <c r="O101">
        <v>0</v>
      </c>
    </row>
    <row r="102" spans="3:18">
      <c r="C102">
        <v>5360</v>
      </c>
      <c r="E102" t="s">
        <v>5971</v>
      </c>
      <c r="H102" t="s">
        <v>5972</v>
      </c>
      <c r="K102" s="31">
        <v>-90417.46</v>
      </c>
      <c r="M102" s="31">
        <v>-90417.46</v>
      </c>
      <c r="O102">
        <v>0</v>
      </c>
    </row>
    <row r="103" spans="3:18">
      <c r="E103" t="s">
        <v>909</v>
      </c>
      <c r="K103" s="31">
        <v>312201.3</v>
      </c>
      <c r="M103" s="31">
        <v>312201.3</v>
      </c>
      <c r="O103">
        <v>0</v>
      </c>
      <c r="R103" t="s">
        <v>611</v>
      </c>
    </row>
    <row r="105" spans="3:18">
      <c r="C105">
        <v>5360</v>
      </c>
      <c r="E105" t="s">
        <v>4215</v>
      </c>
      <c r="H105" t="s">
        <v>4216</v>
      </c>
      <c r="K105" s="31">
        <v>11677848.67</v>
      </c>
      <c r="M105" s="31">
        <v>13230189.23</v>
      </c>
      <c r="O105" s="31">
        <v>-1552340.56</v>
      </c>
      <c r="Q105">
        <v>-11.7</v>
      </c>
    </row>
    <row r="106" spans="3:18">
      <c r="E106" t="s">
        <v>4217</v>
      </c>
      <c r="K106" s="31">
        <v>11677848.67</v>
      </c>
      <c r="M106" s="31">
        <v>13230189.23</v>
      </c>
      <c r="O106" s="31">
        <v>-1552340.56</v>
      </c>
      <c r="Q106">
        <v>-11.7</v>
      </c>
      <c r="R106" t="s">
        <v>611</v>
      </c>
    </row>
    <row r="108" spans="3:18">
      <c r="E108" t="s">
        <v>4218</v>
      </c>
      <c r="K108" s="31">
        <v>16088581.49</v>
      </c>
      <c r="M108" s="31">
        <v>17583427.050000001</v>
      </c>
      <c r="O108" s="31">
        <v>-1494845.56</v>
      </c>
      <c r="Q108">
        <v>-8.5</v>
      </c>
      <c r="R108" t="s">
        <v>930</v>
      </c>
    </row>
    <row r="110" spans="3:18">
      <c r="C110">
        <v>5360</v>
      </c>
      <c r="E110" t="s">
        <v>4219</v>
      </c>
      <c r="H110" t="s">
        <v>4220</v>
      </c>
      <c r="K110" s="31">
        <v>-105951537.16</v>
      </c>
      <c r="M110" s="31">
        <v>-230786719.94</v>
      </c>
      <c r="O110" s="31">
        <v>124835182.78</v>
      </c>
      <c r="Q110">
        <v>54.1</v>
      </c>
    </row>
    <row r="111" spans="3:18">
      <c r="E111" t="s">
        <v>4221</v>
      </c>
      <c r="K111" s="31">
        <v>-105951537.16</v>
      </c>
      <c r="M111" s="31">
        <v>-230786719.94</v>
      </c>
      <c r="O111" s="31">
        <v>124835182.78</v>
      </c>
      <c r="Q111">
        <v>54.1</v>
      </c>
      <c r="R111" t="s">
        <v>569</v>
      </c>
    </row>
    <row r="112" spans="3:18">
      <c r="E112" t="s">
        <v>4222</v>
      </c>
      <c r="K112" s="31">
        <v>-105951537.16</v>
      </c>
      <c r="M112" s="31">
        <v>-230786719.94</v>
      </c>
      <c r="O112" s="31">
        <v>124835182.78</v>
      </c>
      <c r="Q112">
        <v>54.1</v>
      </c>
      <c r="R112" t="s">
        <v>611</v>
      </c>
    </row>
    <row r="114" spans="3:18">
      <c r="C114">
        <v>5360</v>
      </c>
      <c r="E114" t="s">
        <v>3668</v>
      </c>
      <c r="H114" t="s">
        <v>3603</v>
      </c>
      <c r="K114" s="31">
        <v>111775887.81</v>
      </c>
      <c r="M114" s="31">
        <v>70869815</v>
      </c>
      <c r="O114" s="31">
        <v>40906072.810000002</v>
      </c>
      <c r="Q114">
        <v>57.7</v>
      </c>
    </row>
    <row r="115" spans="3:18">
      <c r="C115">
        <v>5360</v>
      </c>
      <c r="E115" t="s">
        <v>4223</v>
      </c>
      <c r="H115" t="s">
        <v>4224</v>
      </c>
      <c r="K115" s="31">
        <v>-70487.23</v>
      </c>
      <c r="M115" s="31">
        <v>-70487.23</v>
      </c>
      <c r="O115">
        <v>0</v>
      </c>
    </row>
    <row r="116" spans="3:18">
      <c r="C116">
        <v>5360</v>
      </c>
      <c r="E116" t="s">
        <v>4225</v>
      </c>
      <c r="H116" t="s">
        <v>4226</v>
      </c>
      <c r="K116" s="31">
        <v>296718.09000000003</v>
      </c>
      <c r="M116" s="31">
        <v>157897.88</v>
      </c>
      <c r="O116" s="31">
        <v>138820.21</v>
      </c>
      <c r="Q116">
        <v>87.9</v>
      </c>
    </row>
    <row r="117" spans="3:18">
      <c r="C117">
        <v>5360</v>
      </c>
      <c r="E117" t="s">
        <v>4227</v>
      </c>
      <c r="H117" t="s">
        <v>4228</v>
      </c>
      <c r="K117">
        <v>-0.06</v>
      </c>
      <c r="M117">
        <v>-0.06</v>
      </c>
      <c r="O117">
        <v>0</v>
      </c>
    </row>
    <row r="118" spans="3:18">
      <c r="C118">
        <v>5360</v>
      </c>
      <c r="E118" t="s">
        <v>4229</v>
      </c>
      <c r="H118" t="s">
        <v>4230</v>
      </c>
      <c r="K118" s="31">
        <v>-4303.6499999999996</v>
      </c>
      <c r="M118">
        <v>-190</v>
      </c>
      <c r="O118" s="31">
        <v>-4113.6499999999996</v>
      </c>
      <c r="Q118">
        <v>-2165.1</v>
      </c>
    </row>
    <row r="119" spans="3:18">
      <c r="C119">
        <v>5360</v>
      </c>
      <c r="E119" t="s">
        <v>4232</v>
      </c>
      <c r="H119" t="s">
        <v>4233</v>
      </c>
      <c r="K119">
        <v>-0.23</v>
      </c>
      <c r="M119">
        <v>-0.23</v>
      </c>
      <c r="O119">
        <v>0</v>
      </c>
    </row>
    <row r="120" spans="3:18">
      <c r="C120">
        <v>5360</v>
      </c>
      <c r="E120" t="s">
        <v>4234</v>
      </c>
      <c r="H120" t="s">
        <v>4235</v>
      </c>
      <c r="K120" s="31">
        <v>-902693.97</v>
      </c>
      <c r="M120" s="31">
        <v>-902693.97</v>
      </c>
      <c r="O120">
        <v>0</v>
      </c>
    </row>
    <row r="121" spans="3:18">
      <c r="E121" t="s">
        <v>4236</v>
      </c>
      <c r="K121" s="31">
        <v>111095120.76000001</v>
      </c>
      <c r="M121" s="31">
        <v>70054341.390000001</v>
      </c>
      <c r="O121" s="31">
        <v>41040779.369999997</v>
      </c>
      <c r="Q121">
        <v>58.6</v>
      </c>
      <c r="R121" t="s">
        <v>611</v>
      </c>
    </row>
    <row r="123" spans="3:18">
      <c r="C123">
        <v>5360</v>
      </c>
      <c r="E123" t="s">
        <v>4237</v>
      </c>
      <c r="H123" t="s">
        <v>4238</v>
      </c>
      <c r="K123" s="31">
        <v>40055.49</v>
      </c>
      <c r="M123" s="31">
        <v>2701.27</v>
      </c>
      <c r="O123" s="31">
        <v>37354.22</v>
      </c>
      <c r="Q123">
        <v>1382.8</v>
      </c>
    </row>
    <row r="124" spans="3:18">
      <c r="C124">
        <v>5360</v>
      </c>
      <c r="E124" t="s">
        <v>4239</v>
      </c>
      <c r="H124" t="s">
        <v>4240</v>
      </c>
      <c r="K124" s="31">
        <v>690156.51</v>
      </c>
      <c r="M124" s="31">
        <v>574936.73</v>
      </c>
      <c r="O124" s="31">
        <v>115219.78</v>
      </c>
      <c r="Q124">
        <v>20</v>
      </c>
    </row>
    <row r="125" spans="3:18">
      <c r="C125">
        <v>5360</v>
      </c>
      <c r="E125" t="s">
        <v>4241</v>
      </c>
      <c r="H125" t="s">
        <v>4242</v>
      </c>
      <c r="K125" s="31">
        <v>3238942.03</v>
      </c>
      <c r="M125" s="31">
        <v>3238942.03</v>
      </c>
      <c r="O125">
        <v>0</v>
      </c>
    </row>
    <row r="126" spans="3:18">
      <c r="C126">
        <v>5360</v>
      </c>
      <c r="E126" t="s">
        <v>4243</v>
      </c>
      <c r="H126" t="s">
        <v>4244</v>
      </c>
      <c r="K126" s="31">
        <v>236756.91</v>
      </c>
      <c r="M126" s="31">
        <v>245641.91</v>
      </c>
      <c r="O126" s="31">
        <v>-8885</v>
      </c>
      <c r="Q126">
        <v>-3.6</v>
      </c>
    </row>
    <row r="127" spans="3:18">
      <c r="C127">
        <v>5360</v>
      </c>
      <c r="E127" t="s">
        <v>4245</v>
      </c>
      <c r="H127" t="s">
        <v>4246</v>
      </c>
      <c r="K127" s="31">
        <v>-38550.949999999997</v>
      </c>
      <c r="M127" s="31">
        <v>-42256.59</v>
      </c>
      <c r="O127" s="31">
        <v>3705.64</v>
      </c>
      <c r="Q127">
        <v>8.8000000000000007</v>
      </c>
    </row>
    <row r="128" spans="3:18">
      <c r="C128">
        <v>5360</v>
      </c>
      <c r="E128" t="s">
        <v>4247</v>
      </c>
      <c r="H128" t="s">
        <v>4248</v>
      </c>
      <c r="K128" s="31">
        <v>-1734</v>
      </c>
      <c r="M128" s="31">
        <v>-1734</v>
      </c>
      <c r="O128">
        <v>0</v>
      </c>
    </row>
    <row r="129" spans="3:18">
      <c r="C129">
        <v>5360</v>
      </c>
      <c r="E129" t="s">
        <v>4249</v>
      </c>
      <c r="H129" t="s">
        <v>4250</v>
      </c>
      <c r="K129" s="31">
        <v>-71359.960000000006</v>
      </c>
      <c r="M129" s="31">
        <v>-68249.75</v>
      </c>
      <c r="O129" s="31">
        <v>-3110.21</v>
      </c>
      <c r="Q129">
        <v>-4.5999999999999996</v>
      </c>
    </row>
    <row r="130" spans="3:18">
      <c r="C130">
        <v>5360</v>
      </c>
      <c r="E130" t="s">
        <v>4251</v>
      </c>
      <c r="H130" t="s">
        <v>4252</v>
      </c>
      <c r="K130" s="31">
        <v>1240</v>
      </c>
      <c r="M130" s="31">
        <v>1240</v>
      </c>
      <c r="O130">
        <v>0</v>
      </c>
    </row>
    <row r="131" spans="3:18">
      <c r="C131">
        <v>5360</v>
      </c>
      <c r="E131" t="s">
        <v>4253</v>
      </c>
      <c r="H131" t="s">
        <v>4254</v>
      </c>
      <c r="K131" s="31">
        <v>7329504.46</v>
      </c>
      <c r="M131" s="31">
        <v>1020025</v>
      </c>
      <c r="O131" s="31">
        <v>6309479.46</v>
      </c>
      <c r="Q131">
        <v>618.6</v>
      </c>
    </row>
    <row r="132" spans="3:18">
      <c r="C132">
        <v>5360</v>
      </c>
      <c r="E132" t="s">
        <v>4255</v>
      </c>
      <c r="H132" t="s">
        <v>4256</v>
      </c>
      <c r="K132" s="31">
        <v>130767.91</v>
      </c>
      <c r="M132" s="31">
        <v>130791.15</v>
      </c>
      <c r="O132">
        <v>-23.24</v>
      </c>
    </row>
    <row r="133" spans="3:18">
      <c r="C133">
        <v>5360</v>
      </c>
      <c r="E133" t="s">
        <v>4257</v>
      </c>
      <c r="H133" t="s">
        <v>4258</v>
      </c>
      <c r="K133" s="31">
        <v>44172.31</v>
      </c>
      <c r="M133" s="31">
        <v>42743.18</v>
      </c>
      <c r="O133" s="31">
        <v>1429.13</v>
      </c>
      <c r="Q133">
        <v>3.3</v>
      </c>
    </row>
    <row r="134" spans="3:18">
      <c r="E134" t="s">
        <v>4259</v>
      </c>
      <c r="K134" s="31">
        <v>11599950.710000001</v>
      </c>
      <c r="M134" s="31">
        <v>5144780.93</v>
      </c>
      <c r="O134" s="31">
        <v>6455169.7800000003</v>
      </c>
      <c r="Q134">
        <v>125.5</v>
      </c>
      <c r="R134" t="s">
        <v>611</v>
      </c>
    </row>
    <row r="136" spans="3:18">
      <c r="C136">
        <v>5360</v>
      </c>
      <c r="E136" t="s">
        <v>4260</v>
      </c>
      <c r="H136" t="s">
        <v>4261</v>
      </c>
      <c r="K136" s="31">
        <v>-20762665.829999998</v>
      </c>
      <c r="M136" s="31">
        <v>-20371896.559999999</v>
      </c>
      <c r="O136" s="31">
        <v>-390769.27</v>
      </c>
      <c r="Q136">
        <v>-1.9</v>
      </c>
    </row>
    <row r="137" spans="3:18">
      <c r="C137">
        <v>5360</v>
      </c>
      <c r="E137" t="s">
        <v>4262</v>
      </c>
      <c r="H137" t="s">
        <v>4263</v>
      </c>
      <c r="K137">
        <v>-651.09</v>
      </c>
      <c r="M137">
        <v>-651.09</v>
      </c>
      <c r="O137">
        <v>0</v>
      </c>
    </row>
    <row r="138" spans="3:18">
      <c r="C138">
        <v>5360</v>
      </c>
      <c r="E138" t="s">
        <v>4264</v>
      </c>
      <c r="H138" t="s">
        <v>4265</v>
      </c>
      <c r="K138" s="31">
        <v>-2016.38</v>
      </c>
      <c r="M138" s="31">
        <v>-2016.38</v>
      </c>
      <c r="O138">
        <v>0</v>
      </c>
    </row>
    <row r="139" spans="3:18">
      <c r="C139">
        <v>5360</v>
      </c>
      <c r="E139" t="s">
        <v>4266</v>
      </c>
      <c r="H139" t="s">
        <v>4267</v>
      </c>
      <c r="K139" s="31">
        <v>-4362595.0999999996</v>
      </c>
      <c r="M139" s="31">
        <v>-3749091.96</v>
      </c>
      <c r="O139" s="31">
        <v>-613503.14</v>
      </c>
      <c r="Q139">
        <v>-16.399999999999999</v>
      </c>
    </row>
    <row r="140" spans="3:18">
      <c r="E140" t="s">
        <v>4261</v>
      </c>
      <c r="K140" s="31">
        <v>-25127928.399999999</v>
      </c>
      <c r="M140" s="31">
        <v>-24123655.989999998</v>
      </c>
      <c r="O140" s="31">
        <v>-1004272.41</v>
      </c>
      <c r="Q140">
        <v>-4.2</v>
      </c>
      <c r="R140" t="s">
        <v>569</v>
      </c>
    </row>
    <row r="141" spans="3:18">
      <c r="E141" t="s">
        <v>4268</v>
      </c>
      <c r="K141" s="31">
        <v>-25127928.399999999</v>
      </c>
      <c r="M141" s="31">
        <v>-24123655.989999998</v>
      </c>
      <c r="O141" s="31">
        <v>-1004272.41</v>
      </c>
      <c r="Q141">
        <v>-4.2</v>
      </c>
      <c r="R141" t="s">
        <v>611</v>
      </c>
    </row>
    <row r="143" spans="3:18">
      <c r="C143">
        <v>5360</v>
      </c>
      <c r="E143" t="s">
        <v>4269</v>
      </c>
      <c r="H143" t="s">
        <v>4270</v>
      </c>
      <c r="K143" s="31">
        <v>3213636657.4400001</v>
      </c>
      <c r="M143" s="31">
        <v>3271409826.21</v>
      </c>
      <c r="O143" s="31">
        <v>-57773168.770000003</v>
      </c>
      <c r="Q143">
        <v>-1.8</v>
      </c>
    </row>
    <row r="144" spans="3:18">
      <c r="C144">
        <v>5360</v>
      </c>
      <c r="E144" t="s">
        <v>4271</v>
      </c>
      <c r="H144" t="s">
        <v>4272</v>
      </c>
      <c r="K144" s="31">
        <v>-2231180134.9099998</v>
      </c>
      <c r="M144" s="31">
        <v>-2236601934.2800002</v>
      </c>
      <c r="O144" s="31">
        <v>5421799.3700000001</v>
      </c>
      <c r="Q144">
        <v>0.2</v>
      </c>
    </row>
    <row r="145" spans="3:18">
      <c r="C145">
        <v>5360</v>
      </c>
      <c r="E145" t="s">
        <v>4273</v>
      </c>
      <c r="H145" t="s">
        <v>4274</v>
      </c>
      <c r="K145">
        <v>0</v>
      </c>
      <c r="M145" s="31">
        <v>77479341.170000002</v>
      </c>
      <c r="O145" s="31">
        <v>-77479341.170000002</v>
      </c>
      <c r="Q145">
        <v>-100</v>
      </c>
    </row>
    <row r="146" spans="3:18">
      <c r="C146">
        <v>5360</v>
      </c>
      <c r="E146" t="s">
        <v>4275</v>
      </c>
      <c r="H146" t="s">
        <v>4276</v>
      </c>
      <c r="K146" s="31">
        <v>124416.38</v>
      </c>
      <c r="M146" s="31">
        <v>124416.38</v>
      </c>
      <c r="O146">
        <v>0</v>
      </c>
    </row>
    <row r="147" spans="3:18">
      <c r="C147">
        <v>5360</v>
      </c>
      <c r="E147" t="s">
        <v>4277</v>
      </c>
      <c r="H147" t="s">
        <v>4270</v>
      </c>
      <c r="K147" s="31">
        <v>2750253.59</v>
      </c>
      <c r="M147">
        <v>0</v>
      </c>
      <c r="O147" s="31">
        <v>2750253.59</v>
      </c>
    </row>
    <row r="148" spans="3:18">
      <c r="C148">
        <v>5360</v>
      </c>
      <c r="E148" t="s">
        <v>4278</v>
      </c>
      <c r="H148" t="s">
        <v>4272</v>
      </c>
      <c r="K148" s="31">
        <v>-4675.92</v>
      </c>
      <c r="M148">
        <v>0</v>
      </c>
      <c r="O148" s="31">
        <v>-4675.92</v>
      </c>
    </row>
    <row r="149" spans="3:18">
      <c r="C149">
        <v>5360</v>
      </c>
      <c r="E149" t="s">
        <v>6053</v>
      </c>
      <c r="H149" t="s">
        <v>4274</v>
      </c>
      <c r="K149">
        <v>0</v>
      </c>
      <c r="M149" s="31">
        <v>150230.62</v>
      </c>
      <c r="O149" s="31">
        <v>-150230.62</v>
      </c>
      <c r="Q149">
        <v>-100</v>
      </c>
    </row>
    <row r="150" spans="3:18">
      <c r="E150" t="s">
        <v>4281</v>
      </c>
      <c r="K150" s="31">
        <v>985326516.58000004</v>
      </c>
      <c r="M150" s="31">
        <v>1112561880.0999999</v>
      </c>
      <c r="O150" s="31">
        <v>-127235363.52</v>
      </c>
      <c r="Q150">
        <v>-11.4</v>
      </c>
      <c r="R150" t="s">
        <v>611</v>
      </c>
    </row>
    <row r="152" spans="3:18">
      <c r="C152">
        <v>5360</v>
      </c>
      <c r="E152" t="s">
        <v>4282</v>
      </c>
      <c r="H152" t="s">
        <v>4283</v>
      </c>
      <c r="K152" s="31">
        <v>7807648.1799999997</v>
      </c>
      <c r="M152" s="31">
        <v>13745283.630000001</v>
      </c>
      <c r="O152" s="31">
        <v>-5937635.4500000002</v>
      </c>
      <c r="Q152">
        <v>-43.2</v>
      </c>
    </row>
    <row r="153" spans="3:18">
      <c r="C153">
        <v>5360</v>
      </c>
      <c r="E153" t="s">
        <v>4284</v>
      </c>
      <c r="H153" t="s">
        <v>4285</v>
      </c>
      <c r="K153" s="31">
        <v>4041820.6</v>
      </c>
      <c r="M153" s="31">
        <v>3768691.07</v>
      </c>
      <c r="O153" s="31">
        <v>273129.53000000003</v>
      </c>
      <c r="Q153">
        <v>7.2</v>
      </c>
    </row>
    <row r="154" spans="3:18">
      <c r="E154" t="s">
        <v>4286</v>
      </c>
      <c r="K154" s="31">
        <v>11849468.779999999</v>
      </c>
      <c r="M154" s="31">
        <v>17513974.699999999</v>
      </c>
      <c r="O154" s="31">
        <v>-5664505.9199999999</v>
      </c>
      <c r="Q154">
        <v>-32.299999999999997</v>
      </c>
      <c r="R154" t="s">
        <v>611</v>
      </c>
    </row>
    <row r="156" spans="3:18">
      <c r="C156">
        <v>5360</v>
      </c>
      <c r="E156" t="s">
        <v>4287</v>
      </c>
      <c r="H156" t="s">
        <v>4288</v>
      </c>
      <c r="K156" s="31">
        <v>205333.18</v>
      </c>
      <c r="M156" s="31">
        <v>207828.77</v>
      </c>
      <c r="O156" s="31">
        <v>-2495.59</v>
      </c>
      <c r="Q156">
        <v>-1.2</v>
      </c>
    </row>
    <row r="157" spans="3:18">
      <c r="C157">
        <v>5360</v>
      </c>
      <c r="E157" t="s">
        <v>4289</v>
      </c>
      <c r="H157" t="s">
        <v>4290</v>
      </c>
      <c r="K157" s="31">
        <v>9010873.3100000005</v>
      </c>
      <c r="M157" s="31">
        <v>6074695.9800000004</v>
      </c>
      <c r="O157" s="31">
        <v>2936177.33</v>
      </c>
      <c r="Q157">
        <v>48.3</v>
      </c>
    </row>
    <row r="158" spans="3:18">
      <c r="C158">
        <v>5360</v>
      </c>
      <c r="E158" t="s">
        <v>4291</v>
      </c>
      <c r="H158" t="s">
        <v>4292</v>
      </c>
      <c r="K158" s="31">
        <v>-109381.68</v>
      </c>
      <c r="M158" s="31">
        <v>-109381.68</v>
      </c>
      <c r="O158">
        <v>0</v>
      </c>
    </row>
    <row r="159" spans="3:18">
      <c r="C159">
        <v>5360</v>
      </c>
      <c r="E159" t="s">
        <v>4293</v>
      </c>
      <c r="H159" t="s">
        <v>4294</v>
      </c>
      <c r="K159" s="31">
        <v>1020982.34</v>
      </c>
      <c r="M159" s="31">
        <v>1127684.69</v>
      </c>
      <c r="O159" s="31">
        <v>-106702.35</v>
      </c>
      <c r="Q159">
        <v>-9.5</v>
      </c>
    </row>
    <row r="160" spans="3:18">
      <c r="C160">
        <v>5360</v>
      </c>
      <c r="E160" t="s">
        <v>4295</v>
      </c>
      <c r="H160" t="s">
        <v>4296</v>
      </c>
      <c r="K160" s="31">
        <v>4678472.9800000004</v>
      </c>
      <c r="M160" s="31">
        <v>4890430.51</v>
      </c>
      <c r="O160" s="31">
        <v>-211957.53</v>
      </c>
      <c r="Q160">
        <v>-4.3</v>
      </c>
    </row>
    <row r="161" spans="3:18">
      <c r="C161">
        <v>5360</v>
      </c>
      <c r="E161" t="s">
        <v>4297</v>
      </c>
      <c r="H161" t="s">
        <v>4296</v>
      </c>
      <c r="K161" s="31">
        <v>27354.51</v>
      </c>
      <c r="M161" s="31">
        <v>27354.51</v>
      </c>
      <c r="O161">
        <v>0</v>
      </c>
    </row>
    <row r="162" spans="3:18">
      <c r="E162" t="s">
        <v>4298</v>
      </c>
      <c r="K162" s="31">
        <v>14833634.640000001</v>
      </c>
      <c r="M162" s="31">
        <v>12218612.779999999</v>
      </c>
      <c r="O162" s="31">
        <v>2615021.86</v>
      </c>
      <c r="Q162">
        <v>21.4</v>
      </c>
      <c r="R162" t="s">
        <v>611</v>
      </c>
    </row>
    <row r="164" spans="3:18">
      <c r="C164">
        <v>5360</v>
      </c>
      <c r="E164" t="s">
        <v>4299</v>
      </c>
      <c r="H164" t="s">
        <v>4300</v>
      </c>
      <c r="K164" s="31">
        <v>434615.62</v>
      </c>
      <c r="M164" s="31">
        <v>145447.87</v>
      </c>
      <c r="O164" s="31">
        <v>289167.75</v>
      </c>
      <c r="Q164">
        <v>198.8</v>
      </c>
    </row>
    <row r="165" spans="3:18">
      <c r="C165">
        <v>5360</v>
      </c>
      <c r="E165" t="s">
        <v>4301</v>
      </c>
      <c r="H165" t="s">
        <v>4302</v>
      </c>
      <c r="K165">
        <v>0.09</v>
      </c>
      <c r="M165">
        <v>0</v>
      </c>
      <c r="O165">
        <v>0.09</v>
      </c>
    </row>
    <row r="166" spans="3:18">
      <c r="C166">
        <v>5360</v>
      </c>
      <c r="E166" t="s">
        <v>4303</v>
      </c>
      <c r="H166" t="s">
        <v>4304</v>
      </c>
      <c r="K166">
        <v>54.38</v>
      </c>
      <c r="M166">
        <v>54.39</v>
      </c>
      <c r="O166">
        <v>-0.01</v>
      </c>
    </row>
    <row r="167" spans="3:18">
      <c r="C167">
        <v>5360</v>
      </c>
      <c r="E167" t="s">
        <v>4305</v>
      </c>
      <c r="H167" t="s">
        <v>4306</v>
      </c>
      <c r="K167">
        <v>-0.09</v>
      </c>
      <c r="M167">
        <v>-0.09</v>
      </c>
      <c r="O167">
        <v>0</v>
      </c>
    </row>
    <row r="168" spans="3:18">
      <c r="E168" t="s">
        <v>4307</v>
      </c>
      <c r="K168" s="31">
        <v>434670</v>
      </c>
      <c r="M168" s="31">
        <v>145502.17000000001</v>
      </c>
      <c r="O168" s="31">
        <v>289167.83</v>
      </c>
      <c r="Q168">
        <v>198.7</v>
      </c>
      <c r="R168" t="s">
        <v>611</v>
      </c>
    </row>
    <row r="170" spans="3:18">
      <c r="C170">
        <v>5360</v>
      </c>
      <c r="E170" t="s">
        <v>4308</v>
      </c>
      <c r="H170" t="s">
        <v>4309</v>
      </c>
      <c r="K170" s="31">
        <v>-5499.7</v>
      </c>
      <c r="M170" s="31">
        <v>-3873.84</v>
      </c>
      <c r="O170" s="31">
        <v>-1625.86</v>
      </c>
      <c r="Q170">
        <v>-42</v>
      </c>
    </row>
    <row r="171" spans="3:18">
      <c r="E171" t="s">
        <v>4312</v>
      </c>
      <c r="K171" s="31">
        <v>-5499.7</v>
      </c>
      <c r="M171" s="31">
        <v>-3873.84</v>
      </c>
      <c r="O171" s="31">
        <v>-1625.86</v>
      </c>
      <c r="Q171">
        <v>-42</v>
      </c>
      <c r="R171" t="s">
        <v>611</v>
      </c>
    </row>
    <row r="173" spans="3:18">
      <c r="C173">
        <v>5360</v>
      </c>
      <c r="E173" t="s">
        <v>3607</v>
      </c>
      <c r="H173" t="s">
        <v>4313</v>
      </c>
      <c r="K173" s="31">
        <v>28928639.18</v>
      </c>
      <c r="M173" s="31">
        <v>8062793.7999999998</v>
      </c>
      <c r="O173" s="31">
        <v>20865845.379999999</v>
      </c>
      <c r="Q173">
        <v>258.8</v>
      </c>
    </row>
    <row r="174" spans="3:18">
      <c r="E174" t="s">
        <v>4314</v>
      </c>
      <c r="K174" s="31">
        <v>28928639.18</v>
      </c>
      <c r="M174" s="31">
        <v>8062793.7999999998</v>
      </c>
      <c r="O174" s="31">
        <v>20865845.379999999</v>
      </c>
      <c r="Q174">
        <v>258.8</v>
      </c>
      <c r="R174" t="s">
        <v>611</v>
      </c>
    </row>
    <row r="176" spans="3:18">
      <c r="C176">
        <v>5360</v>
      </c>
      <c r="E176" t="s">
        <v>4315</v>
      </c>
      <c r="H176" t="s">
        <v>4316</v>
      </c>
      <c r="K176" s="31">
        <v>11821.95</v>
      </c>
      <c r="M176" s="31">
        <v>11928.95</v>
      </c>
      <c r="O176">
        <v>-107</v>
      </c>
      <c r="Q176">
        <v>-0.9</v>
      </c>
    </row>
    <row r="177" spans="3:18">
      <c r="E177" t="s">
        <v>4317</v>
      </c>
      <c r="K177" s="31">
        <v>11821.95</v>
      </c>
      <c r="M177" s="31">
        <v>11928.95</v>
      </c>
      <c r="O177">
        <v>-107</v>
      </c>
      <c r="Q177">
        <v>-0.9</v>
      </c>
      <c r="R177" t="s">
        <v>611</v>
      </c>
    </row>
    <row r="179" spans="3:18">
      <c r="C179">
        <v>5360</v>
      </c>
      <c r="E179" t="s">
        <v>4318</v>
      </c>
      <c r="H179" t="s">
        <v>4319</v>
      </c>
      <c r="K179" s="31">
        <v>358891.87</v>
      </c>
      <c r="M179" s="31">
        <v>334542.83</v>
      </c>
      <c r="O179" s="31">
        <v>24349.040000000001</v>
      </c>
      <c r="Q179">
        <v>7.3</v>
      </c>
    </row>
    <row r="180" spans="3:18">
      <c r="C180">
        <v>5360</v>
      </c>
      <c r="E180" t="s">
        <v>4320</v>
      </c>
      <c r="H180" t="s">
        <v>4319</v>
      </c>
      <c r="K180" s="31">
        <v>55717008.969999999</v>
      </c>
      <c r="M180" s="31">
        <v>45724949.920000002</v>
      </c>
      <c r="O180" s="31">
        <v>9992059.0500000007</v>
      </c>
      <c r="Q180">
        <v>21.9</v>
      </c>
    </row>
    <row r="181" spans="3:18">
      <c r="E181" t="s">
        <v>4321</v>
      </c>
      <c r="K181" s="31">
        <v>56075900.840000004</v>
      </c>
      <c r="M181" s="31">
        <v>46059492.75</v>
      </c>
      <c r="O181" s="31">
        <v>10016408.09</v>
      </c>
      <c r="Q181">
        <v>21.7</v>
      </c>
      <c r="R181" t="s">
        <v>611</v>
      </c>
    </row>
    <row r="183" spans="3:18">
      <c r="E183" t="s">
        <v>4322</v>
      </c>
      <c r="K183" s="31">
        <v>1089070758.1800001</v>
      </c>
      <c r="M183" s="31">
        <v>1016859057.8</v>
      </c>
      <c r="O183" s="31">
        <v>72211700.379999995</v>
      </c>
      <c r="Q183">
        <v>7.1</v>
      </c>
      <c r="R183" t="s">
        <v>930</v>
      </c>
    </row>
    <row r="185" spans="3:18">
      <c r="C185">
        <v>5360</v>
      </c>
      <c r="E185" t="s">
        <v>4323</v>
      </c>
      <c r="H185" t="s">
        <v>4324</v>
      </c>
      <c r="K185" s="31">
        <v>30037.69</v>
      </c>
      <c r="M185" s="31">
        <v>30037.69</v>
      </c>
      <c r="O185">
        <v>0</v>
      </c>
    </row>
    <row r="186" spans="3:18">
      <c r="C186">
        <v>5360</v>
      </c>
      <c r="E186" t="s">
        <v>5975</v>
      </c>
      <c r="H186" t="s">
        <v>4341</v>
      </c>
      <c r="K186" s="31">
        <v>-5244127.04</v>
      </c>
      <c r="M186" s="31">
        <v>-5683129.21</v>
      </c>
      <c r="O186" s="31">
        <v>439002.17</v>
      </c>
      <c r="Q186">
        <v>7.7</v>
      </c>
    </row>
    <row r="187" spans="3:18">
      <c r="C187">
        <v>5360</v>
      </c>
      <c r="E187" t="s">
        <v>5976</v>
      </c>
      <c r="H187" t="s">
        <v>4343</v>
      </c>
      <c r="K187" s="31">
        <v>-8838</v>
      </c>
      <c r="M187" s="31">
        <v>-9795.17</v>
      </c>
      <c r="O187">
        <v>957.17</v>
      </c>
      <c r="Q187">
        <v>9.8000000000000007</v>
      </c>
    </row>
    <row r="188" spans="3:18">
      <c r="C188">
        <v>5360</v>
      </c>
      <c r="E188" t="s">
        <v>4325</v>
      </c>
      <c r="H188" t="s">
        <v>4326</v>
      </c>
      <c r="K188" s="31">
        <v>34393854.350000001</v>
      </c>
      <c r="M188" s="31">
        <v>33889840.340000004</v>
      </c>
      <c r="O188" s="31">
        <v>504014.01</v>
      </c>
      <c r="Q188">
        <v>1.5</v>
      </c>
    </row>
    <row r="189" spans="3:18">
      <c r="C189">
        <v>5360</v>
      </c>
      <c r="E189" t="s">
        <v>4327</v>
      </c>
      <c r="H189" t="s">
        <v>4328</v>
      </c>
      <c r="K189" s="31">
        <v>3979199.77</v>
      </c>
      <c r="M189" s="31">
        <v>4108222</v>
      </c>
      <c r="O189" s="31">
        <v>-129022.23</v>
      </c>
      <c r="Q189">
        <v>-3.1</v>
      </c>
    </row>
    <row r="190" spans="3:18">
      <c r="C190">
        <v>5360</v>
      </c>
      <c r="E190" t="s">
        <v>4329</v>
      </c>
      <c r="H190" t="s">
        <v>4330</v>
      </c>
      <c r="K190" s="31">
        <v>106907.05</v>
      </c>
      <c r="M190" s="31">
        <v>66867.460000000006</v>
      </c>
      <c r="O190" s="31">
        <v>40039.589999999997</v>
      </c>
      <c r="Q190">
        <v>59.9</v>
      </c>
    </row>
    <row r="191" spans="3:18">
      <c r="C191">
        <v>5360</v>
      </c>
      <c r="E191" t="s">
        <v>4331</v>
      </c>
      <c r="H191" t="s">
        <v>4324</v>
      </c>
      <c r="K191" s="31">
        <v>6866134.8499999996</v>
      </c>
      <c r="M191" s="31">
        <v>6767226.7800000003</v>
      </c>
      <c r="O191" s="31">
        <v>98908.07</v>
      </c>
      <c r="Q191">
        <v>1.5</v>
      </c>
    </row>
    <row r="192" spans="3:18">
      <c r="C192">
        <v>5360</v>
      </c>
      <c r="E192" t="s">
        <v>4332</v>
      </c>
      <c r="H192" t="s">
        <v>4333</v>
      </c>
      <c r="K192" s="31">
        <v>4603647.75</v>
      </c>
      <c r="M192" s="31">
        <v>12113883.640000001</v>
      </c>
      <c r="O192" s="31">
        <v>-7510235.8899999997</v>
      </c>
      <c r="Q192">
        <v>-62</v>
      </c>
    </row>
    <row r="193" spans="3:17">
      <c r="C193">
        <v>5360</v>
      </c>
      <c r="E193" t="s">
        <v>4336</v>
      </c>
      <c r="H193" t="s">
        <v>4337</v>
      </c>
      <c r="K193" s="31">
        <v>54079.46</v>
      </c>
      <c r="M193" s="31">
        <v>44536.04</v>
      </c>
      <c r="O193" s="31">
        <v>9543.42</v>
      </c>
      <c r="Q193">
        <v>21.4</v>
      </c>
    </row>
    <row r="194" spans="3:17">
      <c r="C194">
        <v>5360</v>
      </c>
      <c r="E194" t="s">
        <v>4340</v>
      </c>
      <c r="H194" t="s">
        <v>4341</v>
      </c>
      <c r="K194" s="31">
        <v>35663493.07</v>
      </c>
      <c r="M194" s="31">
        <v>35663493.07</v>
      </c>
      <c r="O194">
        <v>0</v>
      </c>
    </row>
    <row r="195" spans="3:17">
      <c r="C195">
        <v>5360</v>
      </c>
      <c r="E195" t="s">
        <v>4342</v>
      </c>
      <c r="H195" t="s">
        <v>4343</v>
      </c>
      <c r="K195" s="31">
        <v>-23902651.93</v>
      </c>
      <c r="M195" s="31">
        <v>-23902651.93</v>
      </c>
      <c r="O195">
        <v>0</v>
      </c>
    </row>
    <row r="196" spans="3:17">
      <c r="C196">
        <v>5360</v>
      </c>
      <c r="E196" t="s">
        <v>6054</v>
      </c>
      <c r="H196" t="s">
        <v>6055</v>
      </c>
      <c r="K196">
        <v>0</v>
      </c>
      <c r="M196" s="31">
        <v>5346869.72</v>
      </c>
      <c r="O196" s="31">
        <v>-5346869.72</v>
      </c>
      <c r="Q196">
        <v>-100</v>
      </c>
    </row>
    <row r="197" spans="3:17">
      <c r="C197">
        <v>5360</v>
      </c>
      <c r="E197" t="s">
        <v>4344</v>
      </c>
      <c r="H197" t="s">
        <v>4345</v>
      </c>
      <c r="K197" s="31">
        <v>261822.11</v>
      </c>
      <c r="M197" s="31">
        <v>152819.22</v>
      </c>
      <c r="O197" s="31">
        <v>109002.89</v>
      </c>
      <c r="Q197">
        <v>71.3</v>
      </c>
    </row>
    <row r="198" spans="3:17">
      <c r="C198">
        <v>5360</v>
      </c>
      <c r="E198" t="s">
        <v>4348</v>
      </c>
      <c r="H198" t="s">
        <v>4349</v>
      </c>
      <c r="K198" s="31">
        <v>3778341.93</v>
      </c>
      <c r="M198" s="31">
        <v>3078543.5</v>
      </c>
      <c r="O198" s="31">
        <v>699798.43</v>
      </c>
      <c r="Q198">
        <v>22.7</v>
      </c>
    </row>
    <row r="199" spans="3:17">
      <c r="C199">
        <v>5360</v>
      </c>
      <c r="E199" t="s">
        <v>4350</v>
      </c>
      <c r="H199" t="s">
        <v>4351</v>
      </c>
      <c r="K199" s="31">
        <v>1011862.64</v>
      </c>
      <c r="M199" s="31">
        <v>1110063.51</v>
      </c>
      <c r="O199" s="31">
        <v>-98200.87</v>
      </c>
      <c r="Q199">
        <v>-8.8000000000000007</v>
      </c>
    </row>
    <row r="200" spans="3:17">
      <c r="C200">
        <v>5360</v>
      </c>
      <c r="E200" t="s">
        <v>4352</v>
      </c>
      <c r="H200" t="s">
        <v>4353</v>
      </c>
      <c r="K200" s="31">
        <v>-130062.1</v>
      </c>
      <c r="M200" s="31">
        <v>-123669.64</v>
      </c>
      <c r="O200" s="31">
        <v>-6392.46</v>
      </c>
      <c r="Q200">
        <v>-5.2</v>
      </c>
    </row>
    <row r="201" spans="3:17">
      <c r="C201">
        <v>5360</v>
      </c>
      <c r="E201" t="s">
        <v>4354</v>
      </c>
      <c r="H201" t="s">
        <v>4355</v>
      </c>
      <c r="K201" s="31">
        <v>1112837.01</v>
      </c>
      <c r="M201" s="31">
        <v>1611189.14</v>
      </c>
      <c r="O201" s="31">
        <v>-498352.13</v>
      </c>
      <c r="Q201">
        <v>-30.9</v>
      </c>
    </row>
    <row r="202" spans="3:17">
      <c r="C202">
        <v>5360</v>
      </c>
      <c r="E202" t="s">
        <v>4356</v>
      </c>
      <c r="H202" t="s">
        <v>4357</v>
      </c>
      <c r="K202" s="31">
        <v>14368147.43</v>
      </c>
      <c r="M202" s="31">
        <v>14298353.33</v>
      </c>
      <c r="O202" s="31">
        <v>69794.100000000006</v>
      </c>
      <c r="Q202">
        <v>0.5</v>
      </c>
    </row>
    <row r="203" spans="3:17">
      <c r="C203">
        <v>5360</v>
      </c>
      <c r="E203" t="s">
        <v>4358</v>
      </c>
      <c r="H203" t="s">
        <v>4359</v>
      </c>
      <c r="K203" s="31">
        <v>35935201.590000004</v>
      </c>
      <c r="M203" s="31">
        <v>36597145.009999998</v>
      </c>
      <c r="O203" s="31">
        <v>-661943.42000000004</v>
      </c>
      <c r="Q203">
        <v>-1.8</v>
      </c>
    </row>
    <row r="204" spans="3:17">
      <c r="C204">
        <v>5360</v>
      </c>
      <c r="E204" t="s">
        <v>4360</v>
      </c>
      <c r="H204" t="s">
        <v>4361</v>
      </c>
      <c r="K204" s="31">
        <v>56274.91</v>
      </c>
      <c r="M204" s="31">
        <v>56274.91</v>
      </c>
      <c r="O204">
        <v>0</v>
      </c>
    </row>
    <row r="205" spans="3:17">
      <c r="C205">
        <v>5360</v>
      </c>
      <c r="E205" t="s">
        <v>4362</v>
      </c>
      <c r="H205" t="s">
        <v>4363</v>
      </c>
      <c r="K205" s="31">
        <v>54641.62</v>
      </c>
      <c r="M205" s="31">
        <v>54641.62</v>
      </c>
      <c r="O205">
        <v>0</v>
      </c>
    </row>
    <row r="206" spans="3:17">
      <c r="C206">
        <v>5360</v>
      </c>
      <c r="E206" t="s">
        <v>4366</v>
      </c>
      <c r="H206" t="s">
        <v>4367</v>
      </c>
      <c r="K206" s="31">
        <v>5775587.6799999997</v>
      </c>
      <c r="M206" s="31">
        <v>3535152.84</v>
      </c>
      <c r="O206" s="31">
        <v>2240434.84</v>
      </c>
      <c r="Q206">
        <v>63.4</v>
      </c>
    </row>
    <row r="207" spans="3:17">
      <c r="C207">
        <v>5360</v>
      </c>
      <c r="E207" t="s">
        <v>4368</v>
      </c>
      <c r="H207" t="s">
        <v>4369</v>
      </c>
      <c r="K207" s="31">
        <v>14711234.32</v>
      </c>
      <c r="M207">
        <v>0</v>
      </c>
      <c r="O207" s="31">
        <v>14711234.32</v>
      </c>
    </row>
    <row r="208" spans="3:17">
      <c r="C208">
        <v>5360</v>
      </c>
      <c r="E208" t="s">
        <v>4370</v>
      </c>
      <c r="H208" t="s">
        <v>4371</v>
      </c>
      <c r="K208" s="31">
        <v>301824.06</v>
      </c>
      <c r="M208" s="31">
        <v>195279.06</v>
      </c>
      <c r="O208" s="31">
        <v>106545</v>
      </c>
      <c r="Q208">
        <v>54.6</v>
      </c>
    </row>
    <row r="209" spans="3:18">
      <c r="C209">
        <v>5360</v>
      </c>
      <c r="E209" t="s">
        <v>4924</v>
      </c>
      <c r="H209" t="s">
        <v>4909</v>
      </c>
      <c r="K209" s="31">
        <v>581701.38</v>
      </c>
      <c r="M209">
        <v>0.03</v>
      </c>
      <c r="O209" s="31">
        <v>581701.35</v>
      </c>
      <c r="Q209" t="s">
        <v>6056</v>
      </c>
    </row>
    <row r="210" spans="3:18">
      <c r="E210" t="s">
        <v>4372</v>
      </c>
      <c r="K210" s="31">
        <v>134361151.59999999</v>
      </c>
      <c r="M210" s="31">
        <v>129001192.95999999</v>
      </c>
      <c r="O210" s="31">
        <v>5359958.6399999997</v>
      </c>
      <c r="Q210">
        <v>4.2</v>
      </c>
      <c r="R210" t="s">
        <v>611</v>
      </c>
    </row>
    <row r="212" spans="3:18">
      <c r="E212" t="s">
        <v>4373</v>
      </c>
      <c r="K212" s="31">
        <v>134361151.59999999</v>
      </c>
      <c r="M212" s="31">
        <v>129001192.95999999</v>
      </c>
      <c r="O212" s="31">
        <v>5359958.6399999997</v>
      </c>
      <c r="Q212">
        <v>4.2</v>
      </c>
      <c r="R212" t="s">
        <v>930</v>
      </c>
    </row>
    <row r="214" spans="3:18">
      <c r="C214">
        <v>5360</v>
      </c>
      <c r="E214" t="s">
        <v>4374</v>
      </c>
      <c r="H214" t="s">
        <v>4375</v>
      </c>
      <c r="K214" s="31">
        <v>21704.18</v>
      </c>
      <c r="M214" s="31">
        <v>19726.96</v>
      </c>
      <c r="O214" s="31">
        <v>1977.22</v>
      </c>
      <c r="Q214">
        <v>10</v>
      </c>
    </row>
    <row r="215" spans="3:18">
      <c r="E215" t="s">
        <v>4376</v>
      </c>
      <c r="K215" s="31">
        <v>21704.18</v>
      </c>
      <c r="M215" s="31">
        <v>19726.96</v>
      </c>
      <c r="O215" s="31">
        <v>1977.22</v>
      </c>
      <c r="Q215">
        <v>10</v>
      </c>
      <c r="R215" t="s">
        <v>611</v>
      </c>
    </row>
    <row r="217" spans="3:18">
      <c r="C217">
        <v>5360</v>
      </c>
      <c r="E217" t="s">
        <v>4377</v>
      </c>
      <c r="H217" t="s">
        <v>4378</v>
      </c>
      <c r="K217" s="31">
        <v>7365.16</v>
      </c>
      <c r="M217" s="31">
        <v>7365.16</v>
      </c>
      <c r="O217">
        <v>0</v>
      </c>
    </row>
    <row r="218" spans="3:18">
      <c r="E218" t="s">
        <v>4379</v>
      </c>
      <c r="K218" s="31">
        <v>7365.16</v>
      </c>
      <c r="M218" s="31">
        <v>7365.16</v>
      </c>
      <c r="O218">
        <v>0</v>
      </c>
      <c r="R218" t="s">
        <v>611</v>
      </c>
    </row>
    <row r="220" spans="3:18">
      <c r="C220">
        <v>5360</v>
      </c>
      <c r="E220" t="s">
        <v>4382</v>
      </c>
      <c r="H220" t="s">
        <v>4383</v>
      </c>
      <c r="K220">
        <v>0</v>
      </c>
      <c r="M220" s="31">
        <v>3235305.06</v>
      </c>
      <c r="O220" s="31">
        <v>-3235305.06</v>
      </c>
      <c r="Q220">
        <v>-100</v>
      </c>
    </row>
    <row r="221" spans="3:18">
      <c r="C221">
        <v>5360</v>
      </c>
      <c r="E221" t="s">
        <v>4384</v>
      </c>
      <c r="H221" t="s">
        <v>4385</v>
      </c>
      <c r="K221">
        <v>0</v>
      </c>
      <c r="M221" s="31">
        <v>380564.1</v>
      </c>
      <c r="O221" s="31">
        <v>-380564.1</v>
      </c>
      <c r="Q221">
        <v>-100</v>
      </c>
    </row>
    <row r="222" spans="3:18">
      <c r="C222">
        <v>5360</v>
      </c>
      <c r="E222" t="s">
        <v>4386</v>
      </c>
      <c r="H222" t="s">
        <v>4387</v>
      </c>
      <c r="K222">
        <v>0</v>
      </c>
      <c r="M222" s="31">
        <v>1045665.74</v>
      </c>
      <c r="O222" s="31">
        <v>-1045665.74</v>
      </c>
      <c r="Q222">
        <v>-100</v>
      </c>
    </row>
    <row r="223" spans="3:18">
      <c r="C223">
        <v>5360</v>
      </c>
      <c r="E223" t="s">
        <v>4388</v>
      </c>
      <c r="H223" t="s">
        <v>4389</v>
      </c>
      <c r="K223">
        <v>0</v>
      </c>
      <c r="M223" s="31">
        <v>42865.51</v>
      </c>
      <c r="O223" s="31">
        <v>-42865.51</v>
      </c>
      <c r="Q223">
        <v>-100</v>
      </c>
    </row>
    <row r="224" spans="3:18">
      <c r="C224">
        <v>5360</v>
      </c>
      <c r="E224" t="s">
        <v>4390</v>
      </c>
      <c r="H224" t="s">
        <v>4391</v>
      </c>
      <c r="K224">
        <v>0</v>
      </c>
      <c r="M224" s="31">
        <v>10368.129999999999</v>
      </c>
      <c r="O224" s="31">
        <v>-10368.129999999999</v>
      </c>
      <c r="Q224">
        <v>-100</v>
      </c>
    </row>
    <row r="225" spans="3:17">
      <c r="C225">
        <v>5360</v>
      </c>
      <c r="E225" t="s">
        <v>4392</v>
      </c>
      <c r="H225" t="s">
        <v>4393</v>
      </c>
      <c r="K225">
        <v>0</v>
      </c>
      <c r="M225" s="31">
        <v>2409.41</v>
      </c>
      <c r="O225" s="31">
        <v>-2409.41</v>
      </c>
      <c r="Q225">
        <v>-100</v>
      </c>
    </row>
    <row r="226" spans="3:17">
      <c r="C226">
        <v>5360</v>
      </c>
      <c r="E226" t="s">
        <v>4394</v>
      </c>
      <c r="H226" t="s">
        <v>4395</v>
      </c>
      <c r="K226">
        <v>0</v>
      </c>
      <c r="M226" s="31">
        <v>127068.71</v>
      </c>
      <c r="O226" s="31">
        <v>-127068.71</v>
      </c>
      <c r="Q226">
        <v>-100</v>
      </c>
    </row>
    <row r="227" spans="3:17">
      <c r="C227">
        <v>5360</v>
      </c>
      <c r="E227" t="s">
        <v>4398</v>
      </c>
      <c r="H227" t="s">
        <v>4399</v>
      </c>
      <c r="K227">
        <v>0</v>
      </c>
      <c r="M227" s="31">
        <v>30386.18</v>
      </c>
      <c r="O227" s="31">
        <v>-30386.18</v>
      </c>
      <c r="Q227">
        <v>-100</v>
      </c>
    </row>
    <row r="228" spans="3:17">
      <c r="C228">
        <v>5360</v>
      </c>
      <c r="E228" t="s">
        <v>4400</v>
      </c>
      <c r="H228" t="s">
        <v>4401</v>
      </c>
      <c r="K228">
        <v>0</v>
      </c>
      <c r="M228" s="31">
        <v>126272.12</v>
      </c>
      <c r="O228" s="31">
        <v>-126272.12</v>
      </c>
      <c r="Q228">
        <v>-100</v>
      </c>
    </row>
    <row r="229" spans="3:17">
      <c r="C229">
        <v>5360</v>
      </c>
      <c r="E229" t="s">
        <v>4404</v>
      </c>
      <c r="H229" t="s">
        <v>4405</v>
      </c>
      <c r="K229" s="31">
        <v>-5780698.6100000003</v>
      </c>
      <c r="M229" s="31">
        <v>-5265600.4400000004</v>
      </c>
      <c r="O229" s="31">
        <v>-515098.17</v>
      </c>
      <c r="Q229">
        <v>-9.8000000000000007</v>
      </c>
    </row>
    <row r="230" spans="3:17">
      <c r="C230">
        <v>5360</v>
      </c>
      <c r="E230" t="s">
        <v>4406</v>
      </c>
      <c r="H230" t="s">
        <v>4407</v>
      </c>
      <c r="K230" s="31">
        <v>-2125451.5</v>
      </c>
      <c r="M230" s="31">
        <v>-1954935.83</v>
      </c>
      <c r="O230" s="31">
        <v>-170515.67</v>
      </c>
      <c r="Q230">
        <v>-8.6999999999999993</v>
      </c>
    </row>
    <row r="231" spans="3:17">
      <c r="C231">
        <v>5360</v>
      </c>
      <c r="E231" t="s">
        <v>4408</v>
      </c>
      <c r="H231" t="s">
        <v>4409</v>
      </c>
      <c r="K231" s="31">
        <v>-176263.77</v>
      </c>
      <c r="M231" s="31">
        <v>-147857.76999999999</v>
      </c>
      <c r="O231" s="31">
        <v>-28406</v>
      </c>
      <c r="Q231">
        <v>-19.2</v>
      </c>
    </row>
    <row r="232" spans="3:17">
      <c r="C232">
        <v>5360</v>
      </c>
      <c r="E232" t="s">
        <v>4410</v>
      </c>
      <c r="H232" t="s">
        <v>4411</v>
      </c>
      <c r="K232" s="31">
        <v>-213584.33</v>
      </c>
      <c r="M232" s="31">
        <v>-459438.17</v>
      </c>
      <c r="O232" s="31">
        <v>245853.84</v>
      </c>
      <c r="Q232">
        <v>53.5</v>
      </c>
    </row>
    <row r="233" spans="3:17">
      <c r="C233">
        <v>5360</v>
      </c>
      <c r="E233" t="s">
        <v>4412</v>
      </c>
      <c r="H233" t="s">
        <v>4413</v>
      </c>
      <c r="K233" s="31">
        <v>106380382.14</v>
      </c>
      <c r="M233" s="31">
        <v>110291209.75</v>
      </c>
      <c r="O233" s="31">
        <v>-3910827.61</v>
      </c>
      <c r="Q233">
        <v>-3.5</v>
      </c>
    </row>
    <row r="234" spans="3:17">
      <c r="C234">
        <v>5360</v>
      </c>
      <c r="E234" t="s">
        <v>4414</v>
      </c>
      <c r="H234" t="s">
        <v>4415</v>
      </c>
      <c r="K234" s="31">
        <v>10823289.300000001</v>
      </c>
      <c r="M234" s="31">
        <v>11203824.199999999</v>
      </c>
      <c r="O234" s="31">
        <v>-380534.9</v>
      </c>
      <c r="Q234">
        <v>-3.4</v>
      </c>
    </row>
    <row r="235" spans="3:17">
      <c r="C235">
        <v>5360</v>
      </c>
      <c r="E235" t="s">
        <v>4416</v>
      </c>
      <c r="H235" t="s">
        <v>4417</v>
      </c>
      <c r="K235" s="31">
        <v>29283622.02</v>
      </c>
      <c r="M235" s="31">
        <v>31200035.359999999</v>
      </c>
      <c r="O235" s="31">
        <v>-1916413.34</v>
      </c>
      <c r="Q235">
        <v>-6.1</v>
      </c>
    </row>
    <row r="236" spans="3:17">
      <c r="C236">
        <v>5360</v>
      </c>
      <c r="E236" t="s">
        <v>4418</v>
      </c>
      <c r="H236" t="s">
        <v>4419</v>
      </c>
      <c r="K236" s="31">
        <v>2882648.7</v>
      </c>
      <c r="M236" s="31">
        <v>2926048.46</v>
      </c>
      <c r="O236" s="31">
        <v>-43399.76</v>
      </c>
      <c r="Q236">
        <v>-1.5</v>
      </c>
    </row>
    <row r="237" spans="3:17">
      <c r="C237">
        <v>5360</v>
      </c>
      <c r="E237" t="s">
        <v>4420</v>
      </c>
      <c r="H237" t="s">
        <v>4421</v>
      </c>
      <c r="K237" s="31">
        <v>154890.54999999999</v>
      </c>
      <c r="M237" s="31">
        <v>154890.54999999999</v>
      </c>
      <c r="O237">
        <v>0</v>
      </c>
    </row>
    <row r="238" spans="3:17">
      <c r="C238">
        <v>5360</v>
      </c>
      <c r="E238" t="s">
        <v>4422</v>
      </c>
      <c r="H238" t="s">
        <v>4423</v>
      </c>
      <c r="K238" s="31">
        <v>4452392.68</v>
      </c>
      <c r="M238" s="31">
        <v>-158173.07</v>
      </c>
      <c r="O238" s="31">
        <v>4610565.75</v>
      </c>
      <c r="Q238">
        <v>2914.9</v>
      </c>
    </row>
    <row r="239" spans="3:17">
      <c r="C239">
        <v>5360</v>
      </c>
      <c r="E239" t="s">
        <v>4424</v>
      </c>
      <c r="H239" t="s">
        <v>4425</v>
      </c>
      <c r="K239" s="31">
        <v>4905.92</v>
      </c>
      <c r="M239" s="31">
        <v>4401.0600000000004</v>
      </c>
      <c r="O239">
        <v>504.86</v>
      </c>
      <c r="Q239">
        <v>11.5</v>
      </c>
    </row>
    <row r="240" spans="3:17">
      <c r="C240">
        <v>5360</v>
      </c>
      <c r="E240" t="s">
        <v>4426</v>
      </c>
      <c r="H240" t="s">
        <v>4405</v>
      </c>
      <c r="K240" s="31">
        <v>56049557.43</v>
      </c>
      <c r="M240" s="31">
        <v>56049557.43</v>
      </c>
      <c r="O240">
        <v>0</v>
      </c>
    </row>
    <row r="241" spans="3:18">
      <c r="C241">
        <v>5360</v>
      </c>
      <c r="E241" t="s">
        <v>4427</v>
      </c>
      <c r="H241" t="s">
        <v>4428</v>
      </c>
      <c r="K241" s="31">
        <v>16950724.66</v>
      </c>
      <c r="M241" s="31">
        <v>16950724.66</v>
      </c>
      <c r="O241">
        <v>0</v>
      </c>
    </row>
    <row r="242" spans="3:18">
      <c r="E242" t="s">
        <v>4429</v>
      </c>
      <c r="K242" s="31">
        <v>218686415.19</v>
      </c>
      <c r="M242" s="31">
        <v>225795591.15000001</v>
      </c>
      <c r="O242" s="31">
        <v>-7109175.96</v>
      </c>
      <c r="Q242">
        <v>-3.1</v>
      </c>
      <c r="R242" t="s">
        <v>611</v>
      </c>
    </row>
    <row r="244" spans="3:18">
      <c r="C244">
        <v>5360</v>
      </c>
      <c r="E244" t="s">
        <v>4430</v>
      </c>
      <c r="H244" t="s">
        <v>4431</v>
      </c>
      <c r="K244" s="31">
        <v>-13952.84</v>
      </c>
      <c r="M244" s="31">
        <v>-16451</v>
      </c>
      <c r="O244" s="31">
        <v>2498.16</v>
      </c>
      <c r="Q244">
        <v>15.2</v>
      </c>
    </row>
    <row r="245" spans="3:18">
      <c r="C245">
        <v>5360</v>
      </c>
      <c r="E245" t="s">
        <v>4432</v>
      </c>
      <c r="H245" t="s">
        <v>4433</v>
      </c>
      <c r="K245" s="31">
        <v>-54257.96</v>
      </c>
      <c r="M245" s="31">
        <v>-54257.96</v>
      </c>
      <c r="O245">
        <v>0</v>
      </c>
    </row>
    <row r="246" spans="3:18">
      <c r="C246">
        <v>5360</v>
      </c>
      <c r="E246" t="s">
        <v>4434</v>
      </c>
      <c r="H246" t="s">
        <v>4435</v>
      </c>
      <c r="K246">
        <v>7.88</v>
      </c>
      <c r="M246">
        <v>7.88</v>
      </c>
      <c r="O246">
        <v>0</v>
      </c>
    </row>
    <row r="247" spans="3:18">
      <c r="C247">
        <v>5360</v>
      </c>
      <c r="E247" t="s">
        <v>4436</v>
      </c>
      <c r="H247" t="s">
        <v>6057</v>
      </c>
      <c r="K247">
        <v>0.03</v>
      </c>
      <c r="M247">
        <v>0.03</v>
      </c>
      <c r="O247">
        <v>0</v>
      </c>
    </row>
    <row r="248" spans="3:18">
      <c r="C248">
        <v>5360</v>
      </c>
      <c r="E248" t="s">
        <v>4438</v>
      </c>
      <c r="H248" t="s">
        <v>4439</v>
      </c>
      <c r="K248" s="31">
        <v>-28983.8</v>
      </c>
      <c r="M248" s="31">
        <v>82913.2</v>
      </c>
      <c r="O248" s="31">
        <v>-111897</v>
      </c>
      <c r="Q248">
        <v>-135</v>
      </c>
    </row>
    <row r="249" spans="3:18">
      <c r="C249">
        <v>5360</v>
      </c>
      <c r="E249" t="s">
        <v>6058</v>
      </c>
      <c r="H249" t="s">
        <v>5065</v>
      </c>
      <c r="K249" s="31">
        <v>-46038.48</v>
      </c>
      <c r="M249">
        <v>0</v>
      </c>
      <c r="O249" s="31">
        <v>-46038.48</v>
      </c>
    </row>
    <row r="250" spans="3:18">
      <c r="C250">
        <v>5360</v>
      </c>
      <c r="E250" t="s">
        <v>4440</v>
      </c>
      <c r="H250" t="s">
        <v>4441</v>
      </c>
      <c r="K250">
        <v>-0.09</v>
      </c>
      <c r="M250">
        <v>-0.09</v>
      </c>
      <c r="O250">
        <v>0</v>
      </c>
    </row>
    <row r="251" spans="3:18">
      <c r="C251">
        <v>5360</v>
      </c>
      <c r="E251" t="s">
        <v>4442</v>
      </c>
      <c r="H251" t="s">
        <v>4443</v>
      </c>
      <c r="K251" s="31">
        <v>-3393802932.8600001</v>
      </c>
      <c r="M251" s="31">
        <v>-3369865324.9200001</v>
      </c>
      <c r="O251" s="31">
        <v>-23937607.940000001</v>
      </c>
      <c r="Q251">
        <v>-0.7</v>
      </c>
    </row>
    <row r="252" spans="3:18">
      <c r="E252" t="s">
        <v>4444</v>
      </c>
      <c r="K252" s="31">
        <v>-3393946158.1199999</v>
      </c>
      <c r="M252" s="31">
        <v>-3369853112.8600001</v>
      </c>
      <c r="O252" s="31">
        <v>-24093045.260000002</v>
      </c>
      <c r="Q252">
        <v>-0.7</v>
      </c>
      <c r="R252" t="s">
        <v>569</v>
      </c>
    </row>
    <row r="253" spans="3:18">
      <c r="E253" t="s">
        <v>4444</v>
      </c>
      <c r="K253" s="31">
        <v>-3393946158.1199999</v>
      </c>
      <c r="M253" s="31">
        <v>-3369853112.8600001</v>
      </c>
      <c r="O253" s="31">
        <v>-24093045.260000002</v>
      </c>
      <c r="Q253">
        <v>-0.7</v>
      </c>
      <c r="R253" t="s">
        <v>611</v>
      </c>
    </row>
    <row r="255" spans="3:18">
      <c r="C255">
        <v>5360</v>
      </c>
      <c r="E255" t="s">
        <v>4445</v>
      </c>
      <c r="H255" t="s">
        <v>4446</v>
      </c>
      <c r="K255" s="31">
        <v>94884.43</v>
      </c>
      <c r="M255" s="31">
        <v>94884.43</v>
      </c>
      <c r="O255">
        <v>0</v>
      </c>
    </row>
    <row r="256" spans="3:18">
      <c r="C256">
        <v>5360</v>
      </c>
      <c r="E256" t="s">
        <v>4447</v>
      </c>
      <c r="H256" t="s">
        <v>4448</v>
      </c>
      <c r="K256" s="31">
        <v>7878083.6100000003</v>
      </c>
      <c r="M256" s="31">
        <v>7878083.6100000003</v>
      </c>
      <c r="O256">
        <v>0</v>
      </c>
    </row>
    <row r="257" spans="3:15">
      <c r="C257">
        <v>5360</v>
      </c>
      <c r="E257" t="s">
        <v>4449</v>
      </c>
      <c r="H257" t="s">
        <v>4450</v>
      </c>
      <c r="K257" s="31">
        <v>-1612655.92</v>
      </c>
      <c r="M257" s="31">
        <v>-1612655.92</v>
      </c>
      <c r="O257">
        <v>0</v>
      </c>
    </row>
    <row r="258" spans="3:15">
      <c r="C258">
        <v>5360</v>
      </c>
      <c r="E258" t="s">
        <v>4451</v>
      </c>
      <c r="H258" t="s">
        <v>4452</v>
      </c>
      <c r="K258" s="31">
        <v>6303.42</v>
      </c>
      <c r="M258" s="31">
        <v>6303.42</v>
      </c>
      <c r="O258">
        <v>0</v>
      </c>
    </row>
    <row r="259" spans="3:15">
      <c r="C259">
        <v>5360</v>
      </c>
      <c r="E259" t="s">
        <v>4453</v>
      </c>
      <c r="H259" t="s">
        <v>4454</v>
      </c>
      <c r="K259" s="31">
        <v>179552.76</v>
      </c>
      <c r="M259" s="31">
        <v>179552.76</v>
      </c>
      <c r="O259">
        <v>0</v>
      </c>
    </row>
    <row r="260" spans="3:15">
      <c r="C260">
        <v>5360</v>
      </c>
      <c r="E260" t="s">
        <v>4455</v>
      </c>
      <c r="H260" t="s">
        <v>4456</v>
      </c>
      <c r="K260" s="31">
        <v>369460.35</v>
      </c>
      <c r="M260" s="31">
        <v>369460.35</v>
      </c>
      <c r="O260">
        <v>0</v>
      </c>
    </row>
    <row r="261" spans="3:15">
      <c r="C261">
        <v>5360</v>
      </c>
      <c r="E261" t="s">
        <v>4457</v>
      </c>
      <c r="H261" t="s">
        <v>4458</v>
      </c>
      <c r="K261" s="31">
        <v>1003848.58</v>
      </c>
      <c r="M261" s="31">
        <v>1003848.58</v>
      </c>
      <c r="O261">
        <v>0</v>
      </c>
    </row>
    <row r="262" spans="3:15">
      <c r="C262">
        <v>5360</v>
      </c>
      <c r="E262" t="s">
        <v>4459</v>
      </c>
      <c r="H262" t="s">
        <v>4460</v>
      </c>
      <c r="K262" s="31">
        <v>1396494</v>
      </c>
      <c r="M262" s="31">
        <v>1396494</v>
      </c>
      <c r="O262">
        <v>0</v>
      </c>
    </row>
    <row r="263" spans="3:15">
      <c r="C263">
        <v>5360</v>
      </c>
      <c r="E263" t="s">
        <v>4461</v>
      </c>
      <c r="H263" t="s">
        <v>4462</v>
      </c>
      <c r="K263" s="31">
        <v>8148905</v>
      </c>
      <c r="M263" s="31">
        <v>8148905</v>
      </c>
      <c r="O263">
        <v>0</v>
      </c>
    </row>
    <row r="264" spans="3:15">
      <c r="C264">
        <v>5360</v>
      </c>
      <c r="E264" t="s">
        <v>4463</v>
      </c>
      <c r="H264" t="s">
        <v>4464</v>
      </c>
      <c r="K264">
        <v>0.1</v>
      </c>
      <c r="M264">
        <v>0.1</v>
      </c>
      <c r="O264">
        <v>0</v>
      </c>
    </row>
    <row r="265" spans="3:15">
      <c r="C265">
        <v>5360</v>
      </c>
      <c r="E265" t="s">
        <v>4465</v>
      </c>
      <c r="H265" t="s">
        <v>4466</v>
      </c>
      <c r="K265" s="31">
        <v>-9122158.75</v>
      </c>
      <c r="M265" s="31">
        <v>-9122158.75</v>
      </c>
      <c r="O265">
        <v>0</v>
      </c>
    </row>
    <row r="266" spans="3:15">
      <c r="C266">
        <v>5360</v>
      </c>
      <c r="E266" t="s">
        <v>4467</v>
      </c>
      <c r="H266" t="s">
        <v>4468</v>
      </c>
      <c r="K266" s="31">
        <v>915219.11</v>
      </c>
      <c r="M266" s="31">
        <v>915219.11</v>
      </c>
      <c r="O266">
        <v>0</v>
      </c>
    </row>
    <row r="267" spans="3:15">
      <c r="C267">
        <v>5360</v>
      </c>
      <c r="E267" t="s">
        <v>4469</v>
      </c>
      <c r="H267" t="s">
        <v>4470</v>
      </c>
      <c r="K267" s="31">
        <v>-4834152.7699999996</v>
      </c>
      <c r="M267" s="31">
        <v>-4834152.7699999996</v>
      </c>
      <c r="O267">
        <v>0</v>
      </c>
    </row>
    <row r="268" spans="3:15">
      <c r="C268">
        <v>5360</v>
      </c>
      <c r="E268" t="s">
        <v>4471</v>
      </c>
      <c r="H268" t="s">
        <v>4472</v>
      </c>
      <c r="K268" s="31">
        <v>12828105.73</v>
      </c>
      <c r="M268" s="31">
        <v>12828105.73</v>
      </c>
      <c r="O268">
        <v>0</v>
      </c>
    </row>
    <row r="269" spans="3:15">
      <c r="C269">
        <v>5360</v>
      </c>
      <c r="E269" t="s">
        <v>4473</v>
      </c>
      <c r="H269" t="s">
        <v>4474</v>
      </c>
      <c r="K269" s="31">
        <v>-3057643.51</v>
      </c>
      <c r="M269" s="31">
        <v>-3057643.51</v>
      </c>
      <c r="O269">
        <v>0</v>
      </c>
    </row>
    <row r="270" spans="3:15">
      <c r="C270">
        <v>5360</v>
      </c>
      <c r="E270" t="s">
        <v>4475</v>
      </c>
      <c r="H270" t="s">
        <v>4476</v>
      </c>
      <c r="K270" s="31">
        <v>-12030</v>
      </c>
      <c r="M270" s="31">
        <v>-12030</v>
      </c>
      <c r="O270">
        <v>0</v>
      </c>
    </row>
    <row r="271" spans="3:15">
      <c r="C271">
        <v>5360</v>
      </c>
      <c r="E271" t="s">
        <v>4477</v>
      </c>
      <c r="H271" t="s">
        <v>4478</v>
      </c>
      <c r="K271" s="31">
        <v>219361.8</v>
      </c>
      <c r="M271" s="31">
        <v>219361.8</v>
      </c>
      <c r="O271">
        <v>0</v>
      </c>
    </row>
    <row r="272" spans="3:15">
      <c r="C272">
        <v>5360</v>
      </c>
      <c r="E272" t="s">
        <v>4479</v>
      </c>
      <c r="H272" t="s">
        <v>4480</v>
      </c>
      <c r="K272" s="31">
        <v>-1366939</v>
      </c>
      <c r="M272" s="31">
        <v>-1366939</v>
      </c>
      <c r="O272">
        <v>0</v>
      </c>
    </row>
    <row r="273" spans="3:18">
      <c r="C273">
        <v>5360</v>
      </c>
      <c r="E273" t="s">
        <v>4481</v>
      </c>
      <c r="H273" t="s">
        <v>4482</v>
      </c>
      <c r="K273" s="31">
        <v>-565556.75</v>
      </c>
      <c r="M273" s="31">
        <v>-565556.75</v>
      </c>
      <c r="O273">
        <v>0</v>
      </c>
    </row>
    <row r="274" spans="3:18">
      <c r="C274">
        <v>5360</v>
      </c>
      <c r="E274" t="s">
        <v>4483</v>
      </c>
      <c r="H274" t="s">
        <v>4484</v>
      </c>
      <c r="K274" s="31">
        <v>14544328.130000001</v>
      </c>
      <c r="M274" s="31">
        <v>14544328.130000001</v>
      </c>
      <c r="O274">
        <v>0</v>
      </c>
    </row>
    <row r="275" spans="3:18">
      <c r="C275">
        <v>5360</v>
      </c>
      <c r="E275" t="s">
        <v>4485</v>
      </c>
      <c r="H275" t="s">
        <v>4486</v>
      </c>
      <c r="K275" s="31">
        <v>537415.69999999995</v>
      </c>
      <c r="M275" s="31">
        <v>537415.69999999995</v>
      </c>
      <c r="O275">
        <v>0</v>
      </c>
    </row>
    <row r="276" spans="3:18">
      <c r="C276">
        <v>5360</v>
      </c>
      <c r="E276" t="s">
        <v>4487</v>
      </c>
      <c r="H276" t="s">
        <v>4488</v>
      </c>
      <c r="K276" s="31">
        <v>9712860.1799999997</v>
      </c>
      <c r="M276" s="31">
        <v>9712860.1799999997</v>
      </c>
      <c r="O276">
        <v>0</v>
      </c>
    </row>
    <row r="277" spans="3:18">
      <c r="C277">
        <v>5360</v>
      </c>
      <c r="E277" t="s">
        <v>4489</v>
      </c>
      <c r="H277" t="s">
        <v>4490</v>
      </c>
      <c r="K277" s="31">
        <v>-309090.67</v>
      </c>
      <c r="M277" s="31">
        <v>-309090.67</v>
      </c>
      <c r="O277">
        <v>0</v>
      </c>
    </row>
    <row r="278" spans="3:18">
      <c r="C278">
        <v>5360</v>
      </c>
      <c r="E278" t="s">
        <v>4491</v>
      </c>
      <c r="H278" t="s">
        <v>4492</v>
      </c>
      <c r="K278" s="31">
        <v>111640.2</v>
      </c>
      <c r="M278" s="31">
        <v>111640.2</v>
      </c>
      <c r="O278">
        <v>0</v>
      </c>
    </row>
    <row r="279" spans="3:18">
      <c r="C279">
        <v>5360</v>
      </c>
      <c r="E279" t="s">
        <v>4493</v>
      </c>
      <c r="H279" t="s">
        <v>4494</v>
      </c>
      <c r="K279" s="31">
        <v>325362</v>
      </c>
      <c r="M279" s="31">
        <v>325362</v>
      </c>
      <c r="O279">
        <v>0</v>
      </c>
    </row>
    <row r="280" spans="3:18">
      <c r="C280">
        <v>5360</v>
      </c>
      <c r="E280" t="s">
        <v>4495</v>
      </c>
      <c r="H280" t="s">
        <v>4496</v>
      </c>
      <c r="K280" s="31">
        <v>256596.46</v>
      </c>
      <c r="M280" s="31">
        <v>256596.46</v>
      </c>
      <c r="O280">
        <v>0</v>
      </c>
    </row>
    <row r="281" spans="3:18">
      <c r="E281" t="s">
        <v>4497</v>
      </c>
      <c r="K281" s="31">
        <v>37648194.189999998</v>
      </c>
      <c r="M281" s="31">
        <v>37648194.189999998</v>
      </c>
      <c r="O281">
        <v>0</v>
      </c>
      <c r="R281" t="s">
        <v>569</v>
      </c>
    </row>
    <row r="282" spans="3:18">
      <c r="C282">
        <v>5360</v>
      </c>
      <c r="E282" t="s">
        <v>4498</v>
      </c>
      <c r="H282" t="s">
        <v>4499</v>
      </c>
      <c r="K282" s="31">
        <v>-63818.2</v>
      </c>
      <c r="M282" s="31">
        <v>-63818.2</v>
      </c>
      <c r="O282">
        <v>0</v>
      </c>
    </row>
    <row r="283" spans="3:18">
      <c r="C283">
        <v>5360</v>
      </c>
      <c r="E283" t="s">
        <v>4500</v>
      </c>
      <c r="H283" t="s">
        <v>4501</v>
      </c>
      <c r="K283" s="31">
        <v>4160110.14</v>
      </c>
      <c r="M283" s="31">
        <v>4160110.14</v>
      </c>
      <c r="O283">
        <v>0</v>
      </c>
    </row>
    <row r="284" spans="3:18">
      <c r="C284">
        <v>5360</v>
      </c>
      <c r="E284" t="s">
        <v>4502</v>
      </c>
      <c r="H284" t="s">
        <v>4503</v>
      </c>
      <c r="K284" s="31">
        <v>-6390</v>
      </c>
      <c r="M284" s="31">
        <v>-6390</v>
      </c>
      <c r="O284">
        <v>0</v>
      </c>
    </row>
    <row r="285" spans="3:18">
      <c r="C285">
        <v>5360</v>
      </c>
      <c r="E285" t="s">
        <v>4504</v>
      </c>
      <c r="H285" t="s">
        <v>4505</v>
      </c>
      <c r="K285" s="31">
        <v>-318972</v>
      </c>
      <c r="M285" s="31">
        <v>-318972</v>
      </c>
      <c r="O285">
        <v>0</v>
      </c>
    </row>
    <row r="286" spans="3:18">
      <c r="E286" t="s">
        <v>4506</v>
      </c>
      <c r="K286" s="31">
        <v>3770929.94</v>
      </c>
      <c r="M286" s="31">
        <v>3770929.94</v>
      </c>
      <c r="O286">
        <v>0</v>
      </c>
      <c r="R286" t="s">
        <v>569</v>
      </c>
    </row>
    <row r="287" spans="3:18">
      <c r="E287" t="s">
        <v>4507</v>
      </c>
      <c r="K287" s="31">
        <v>41419124.130000003</v>
      </c>
      <c r="M287" s="31">
        <v>41419124.130000003</v>
      </c>
      <c r="O287">
        <v>0</v>
      </c>
      <c r="R287" t="s">
        <v>611</v>
      </c>
    </row>
    <row r="289" spans="1:18">
      <c r="E289" t="s">
        <v>4508</v>
      </c>
      <c r="K289" s="31">
        <v>-3133811549.46</v>
      </c>
      <c r="M289" s="31">
        <v>-3102611305.46</v>
      </c>
      <c r="O289" s="31">
        <v>-31200244</v>
      </c>
      <c r="Q289">
        <v>-1</v>
      </c>
      <c r="R289" t="s">
        <v>930</v>
      </c>
    </row>
    <row r="291" spans="1:18">
      <c r="E291" t="s">
        <v>4058</v>
      </c>
      <c r="K291" s="31">
        <v>-282374198.61000001</v>
      </c>
      <c r="M291" s="31">
        <v>-290144336.83999997</v>
      </c>
      <c r="O291" s="31">
        <v>7770138.2300000004</v>
      </c>
      <c r="Q291">
        <v>2.7</v>
      </c>
      <c r="R291" t="s">
        <v>970</v>
      </c>
    </row>
    <row r="295" spans="1:18">
      <c r="A295" t="s">
        <v>6045</v>
      </c>
    </row>
    <row r="296" spans="1:18">
      <c r="A296" t="s">
        <v>6059</v>
      </c>
    </row>
    <row r="298" spans="1:18">
      <c r="A298" t="s">
        <v>535</v>
      </c>
      <c r="F298">
        <v>5360</v>
      </c>
      <c r="G298" t="s">
        <v>536</v>
      </c>
      <c r="I298" t="s">
        <v>537</v>
      </c>
      <c r="N298" t="s">
        <v>538</v>
      </c>
      <c r="P298" t="s">
        <v>539</v>
      </c>
    </row>
    <row r="300" spans="1:18">
      <c r="B300" t="s">
        <v>313</v>
      </c>
      <c r="C300" t="s">
        <v>540</v>
      </c>
      <c r="D300" t="s">
        <v>541</v>
      </c>
      <c r="E300" t="s">
        <v>542</v>
      </c>
      <c r="J300" t="s">
        <v>543</v>
      </c>
      <c r="L300" t="s">
        <v>544</v>
      </c>
      <c r="O300" t="s">
        <v>545</v>
      </c>
      <c r="Q300" t="s">
        <v>546</v>
      </c>
      <c r="R300" t="s">
        <v>4054</v>
      </c>
    </row>
    <row r="301" spans="1:18">
      <c r="B301" t="s">
        <v>201</v>
      </c>
      <c r="C301" t="s">
        <v>548</v>
      </c>
      <c r="D301" t="s">
        <v>549</v>
      </c>
      <c r="J301" t="s">
        <v>6047</v>
      </c>
      <c r="L301" t="s">
        <v>6048</v>
      </c>
      <c r="O301" t="s">
        <v>551</v>
      </c>
      <c r="Q301" t="s">
        <v>552</v>
      </c>
      <c r="R301" t="s">
        <v>4057</v>
      </c>
    </row>
    <row r="303" spans="1:18">
      <c r="E303" t="s">
        <v>4510</v>
      </c>
    </row>
    <row r="304" spans="1:18">
      <c r="C304">
        <v>5360</v>
      </c>
      <c r="E304" t="s">
        <v>4511</v>
      </c>
      <c r="H304" t="s">
        <v>4512</v>
      </c>
      <c r="K304" s="31">
        <v>-24493.34</v>
      </c>
      <c r="M304" s="31">
        <v>-24493.34</v>
      </c>
      <c r="O304">
        <v>0</v>
      </c>
    </row>
    <row r="305" spans="3:18">
      <c r="E305" t="s">
        <v>4513</v>
      </c>
      <c r="K305" s="31">
        <v>-24493.34</v>
      </c>
      <c r="M305" s="31">
        <v>-24493.34</v>
      </c>
      <c r="O305">
        <v>0</v>
      </c>
      <c r="R305" t="s">
        <v>658</v>
      </c>
    </row>
    <row r="306" spans="3:18">
      <c r="C306">
        <v>5360</v>
      </c>
      <c r="E306" t="s">
        <v>4514</v>
      </c>
      <c r="H306" t="s">
        <v>4515</v>
      </c>
      <c r="K306" s="31">
        <v>-365120837.67000002</v>
      </c>
      <c r="M306" s="31">
        <v>-413085335.86000001</v>
      </c>
      <c r="O306" s="31">
        <v>47964498.189999998</v>
      </c>
      <c r="Q306">
        <v>11.6</v>
      </c>
    </row>
    <row r="307" spans="3:18">
      <c r="C307">
        <v>5360</v>
      </c>
      <c r="E307" t="s">
        <v>4516</v>
      </c>
      <c r="H307" t="s">
        <v>4517</v>
      </c>
      <c r="K307" s="31">
        <v>-38819563.369999997</v>
      </c>
      <c r="M307" s="31">
        <v>-38819563.369999997</v>
      </c>
      <c r="O307">
        <v>0</v>
      </c>
    </row>
    <row r="308" spans="3:18">
      <c r="C308">
        <v>5360</v>
      </c>
      <c r="E308" t="s">
        <v>4518</v>
      </c>
      <c r="H308" t="s">
        <v>4519</v>
      </c>
      <c r="K308" s="31">
        <v>-79591318.069999993</v>
      </c>
      <c r="M308" s="31">
        <v>-120552589.26000001</v>
      </c>
      <c r="O308" s="31">
        <v>40961271.189999998</v>
      </c>
      <c r="Q308">
        <v>34</v>
      </c>
    </row>
    <row r="309" spans="3:18">
      <c r="E309" t="s">
        <v>4520</v>
      </c>
      <c r="K309" s="31">
        <v>-483531719.11000001</v>
      </c>
      <c r="M309" s="31">
        <v>-572457488.49000001</v>
      </c>
      <c r="O309" s="31">
        <v>88925769.379999995</v>
      </c>
      <c r="Q309">
        <v>15.5</v>
      </c>
      <c r="R309" t="s">
        <v>658</v>
      </c>
    </row>
    <row r="310" spans="3:18">
      <c r="E310" t="s">
        <v>4521</v>
      </c>
      <c r="K310" s="31">
        <v>1576403962.3099999</v>
      </c>
      <c r="M310" s="31">
        <v>1673504319.49</v>
      </c>
      <c r="O310" s="31">
        <v>-97100357.180000007</v>
      </c>
      <c r="Q310">
        <v>-5.8</v>
      </c>
      <c r="R310" t="s">
        <v>650</v>
      </c>
    </row>
    <row r="311" spans="3:18">
      <c r="E311" t="s">
        <v>4522</v>
      </c>
      <c r="K311" s="31">
        <v>1576403962.3099999</v>
      </c>
      <c r="M311" s="31">
        <v>1673504319.49</v>
      </c>
      <c r="O311" s="31">
        <v>-97100357.180000007</v>
      </c>
      <c r="Q311">
        <v>-5.8</v>
      </c>
      <c r="R311" t="s">
        <v>658</v>
      </c>
    </row>
    <row r="312" spans="3:18">
      <c r="C312">
        <v>5360</v>
      </c>
      <c r="E312" t="s">
        <v>5977</v>
      </c>
      <c r="H312" t="s">
        <v>5978</v>
      </c>
      <c r="K312" s="31">
        <v>166641.15</v>
      </c>
      <c r="M312" s="31">
        <v>166641.15</v>
      </c>
      <c r="O312">
        <v>0</v>
      </c>
    </row>
    <row r="313" spans="3:18">
      <c r="C313">
        <v>5360</v>
      </c>
      <c r="E313" t="s">
        <v>4523</v>
      </c>
      <c r="H313" t="s">
        <v>4524</v>
      </c>
      <c r="K313" s="31">
        <v>-2614432</v>
      </c>
      <c r="M313" s="31">
        <v>-2614432</v>
      </c>
      <c r="O313">
        <v>0</v>
      </c>
    </row>
    <row r="314" spans="3:18">
      <c r="E314" t="s">
        <v>4529</v>
      </c>
      <c r="K314" s="31">
        <v>-2447790.85</v>
      </c>
      <c r="M314" s="31">
        <v>-2447790.85</v>
      </c>
      <c r="O314">
        <v>0</v>
      </c>
      <c r="R314" t="s">
        <v>658</v>
      </c>
    </row>
    <row r="315" spans="3:18">
      <c r="E315" t="s">
        <v>4530</v>
      </c>
      <c r="K315" s="31">
        <v>1090399959.01</v>
      </c>
      <c r="M315" s="31">
        <v>1098574546.8099999</v>
      </c>
      <c r="O315" s="31">
        <v>-8174587.7999999998</v>
      </c>
      <c r="Q315">
        <v>-0.7</v>
      </c>
      <c r="R315" t="s">
        <v>569</v>
      </c>
    </row>
    <row r="316" spans="3:18">
      <c r="E316" t="s">
        <v>46</v>
      </c>
      <c r="K316" s="31">
        <v>1090399959.01</v>
      </c>
      <c r="M316" s="31">
        <v>1098574546.8099999</v>
      </c>
      <c r="O316" s="31">
        <v>-8174587.7999999998</v>
      </c>
      <c r="Q316">
        <v>-0.7</v>
      </c>
      <c r="R316" t="s">
        <v>611</v>
      </c>
    </row>
    <row r="318" spans="3:18">
      <c r="C318">
        <v>5360</v>
      </c>
      <c r="E318" t="s">
        <v>4531</v>
      </c>
      <c r="H318" t="s">
        <v>4532</v>
      </c>
      <c r="K318" s="31">
        <v>-48089000</v>
      </c>
      <c r="M318" s="31">
        <v>-48089000</v>
      </c>
      <c r="O318">
        <v>0</v>
      </c>
    </row>
    <row r="319" spans="3:18">
      <c r="E319" t="s">
        <v>506</v>
      </c>
      <c r="K319" s="31">
        <v>-48089000</v>
      </c>
      <c r="M319" s="31">
        <v>-48089000</v>
      </c>
      <c r="O319">
        <v>0</v>
      </c>
      <c r="R319" t="s">
        <v>569</v>
      </c>
    </row>
    <row r="320" spans="3:18">
      <c r="E320" t="s">
        <v>506</v>
      </c>
      <c r="K320" s="31">
        <v>-48089000</v>
      </c>
      <c r="M320" s="31">
        <v>-48089000</v>
      </c>
      <c r="O320">
        <v>0</v>
      </c>
      <c r="R320" t="s">
        <v>611</v>
      </c>
    </row>
    <row r="322" spans="3:18">
      <c r="E322" t="s">
        <v>4533</v>
      </c>
      <c r="K322" s="31">
        <v>1042310959.01</v>
      </c>
      <c r="M322" s="31">
        <v>1050485546.8099999</v>
      </c>
      <c r="O322" s="31">
        <v>-8174587.7999999998</v>
      </c>
      <c r="Q322">
        <v>-0.8</v>
      </c>
      <c r="R322" t="s">
        <v>930</v>
      </c>
    </row>
    <row r="324" spans="3:18">
      <c r="C324">
        <v>5360</v>
      </c>
      <c r="E324" t="s">
        <v>4534</v>
      </c>
      <c r="H324" t="s">
        <v>4535</v>
      </c>
      <c r="K324" s="31">
        <v>-1375000</v>
      </c>
      <c r="M324" s="31">
        <v>-1375000</v>
      </c>
      <c r="O324">
        <v>0</v>
      </c>
    </row>
    <row r="325" spans="3:18">
      <c r="E325" t="s">
        <v>4536</v>
      </c>
      <c r="K325" s="31">
        <v>-1375000</v>
      </c>
      <c r="M325" s="31">
        <v>-1375000</v>
      </c>
      <c r="O325">
        <v>0</v>
      </c>
      <c r="R325" t="s">
        <v>569</v>
      </c>
    </row>
    <row r="326" spans="3:18">
      <c r="C326">
        <v>5360</v>
      </c>
      <c r="E326" t="s">
        <v>4537</v>
      </c>
      <c r="H326" t="s">
        <v>4538</v>
      </c>
      <c r="K326" s="31">
        <v>-3175720.27</v>
      </c>
      <c r="M326" s="31">
        <v>-3276109.27</v>
      </c>
      <c r="O326" s="31">
        <v>100389</v>
      </c>
      <c r="Q326">
        <v>3.1</v>
      </c>
    </row>
    <row r="327" spans="3:18">
      <c r="C327">
        <v>5360</v>
      </c>
      <c r="E327" t="s">
        <v>4539</v>
      </c>
      <c r="H327" t="s">
        <v>4540</v>
      </c>
      <c r="K327" s="31">
        <v>-1019897.39</v>
      </c>
      <c r="M327" s="31">
        <v>-1341336.9099999999</v>
      </c>
      <c r="O327" s="31">
        <v>321439.52</v>
      </c>
      <c r="Q327">
        <v>24</v>
      </c>
    </row>
    <row r="328" spans="3:18">
      <c r="C328">
        <v>5360</v>
      </c>
      <c r="E328" t="s">
        <v>4541</v>
      </c>
      <c r="H328" t="s">
        <v>4542</v>
      </c>
      <c r="K328" s="31">
        <v>-5008.53</v>
      </c>
      <c r="M328" s="31">
        <v>-5008.53</v>
      </c>
      <c r="O328">
        <v>0</v>
      </c>
    </row>
    <row r="329" spans="3:18">
      <c r="C329">
        <v>5360</v>
      </c>
      <c r="E329" t="s">
        <v>4543</v>
      </c>
      <c r="H329" t="s">
        <v>4544</v>
      </c>
      <c r="K329" s="31">
        <v>34131.82</v>
      </c>
      <c r="M329" s="31">
        <v>34675.35</v>
      </c>
      <c r="O329">
        <v>-543.53</v>
      </c>
      <c r="Q329">
        <v>-1.6</v>
      </c>
    </row>
    <row r="330" spans="3:18">
      <c r="C330">
        <v>5360</v>
      </c>
      <c r="E330" t="s">
        <v>4545</v>
      </c>
      <c r="H330" t="s">
        <v>6060</v>
      </c>
      <c r="K330" s="31">
        <v>-9754.9500000000007</v>
      </c>
      <c r="M330" s="31">
        <v>-9754.9500000000007</v>
      </c>
      <c r="O330">
        <v>0</v>
      </c>
    </row>
    <row r="331" spans="3:18">
      <c r="C331">
        <v>5360</v>
      </c>
      <c r="E331" t="s">
        <v>4549</v>
      </c>
      <c r="H331" t="s">
        <v>4550</v>
      </c>
      <c r="K331" s="31">
        <v>-2447.09</v>
      </c>
      <c r="M331" s="31">
        <v>-2447.09</v>
      </c>
      <c r="O331">
        <v>0</v>
      </c>
    </row>
    <row r="332" spans="3:18">
      <c r="C332">
        <v>5360</v>
      </c>
      <c r="E332" t="s">
        <v>4551</v>
      </c>
      <c r="H332" t="s">
        <v>4552</v>
      </c>
      <c r="K332" s="31">
        <v>-30774449.609999999</v>
      </c>
      <c r="M332" s="31">
        <v>-13840339.640000001</v>
      </c>
      <c r="O332" s="31">
        <v>-16934109.969999999</v>
      </c>
      <c r="Q332">
        <v>-122.4</v>
      </c>
    </row>
    <row r="333" spans="3:18">
      <c r="C333">
        <v>5360</v>
      </c>
      <c r="E333" t="s">
        <v>4553</v>
      </c>
      <c r="H333" t="s">
        <v>4554</v>
      </c>
      <c r="K333" s="31">
        <v>-7359525.4000000004</v>
      </c>
      <c r="M333" s="31">
        <v>-8278445.5199999996</v>
      </c>
      <c r="O333" s="31">
        <v>918920.12</v>
      </c>
      <c r="Q333">
        <v>11.1</v>
      </c>
    </row>
    <row r="334" spans="3:18">
      <c r="C334">
        <v>5360</v>
      </c>
      <c r="E334" t="s">
        <v>4555</v>
      </c>
      <c r="H334" t="s">
        <v>4556</v>
      </c>
      <c r="K334" s="31">
        <v>126358.37</v>
      </c>
      <c r="M334" s="31">
        <v>126358.37</v>
      </c>
      <c r="O334">
        <v>0</v>
      </c>
    </row>
    <row r="335" spans="3:18">
      <c r="C335">
        <v>5360</v>
      </c>
      <c r="E335" t="s">
        <v>4557</v>
      </c>
      <c r="H335" t="s">
        <v>4558</v>
      </c>
      <c r="K335" s="31">
        <v>362400.49</v>
      </c>
      <c r="M335" s="31">
        <v>362400.49</v>
      </c>
      <c r="O335">
        <v>0</v>
      </c>
    </row>
    <row r="336" spans="3:18">
      <c r="C336">
        <v>5360</v>
      </c>
      <c r="E336" t="s">
        <v>4559</v>
      </c>
      <c r="H336" t="s">
        <v>4560</v>
      </c>
      <c r="K336" s="31">
        <v>-30019.93</v>
      </c>
      <c r="M336" s="31">
        <v>-43880.23</v>
      </c>
      <c r="O336" s="31">
        <v>13860.3</v>
      </c>
      <c r="Q336">
        <v>31.6</v>
      </c>
    </row>
    <row r="337" spans="3:17">
      <c r="C337">
        <v>5360</v>
      </c>
      <c r="E337" t="s">
        <v>4561</v>
      </c>
      <c r="H337" t="s">
        <v>4562</v>
      </c>
      <c r="K337" s="31">
        <v>-6682090.2800000003</v>
      </c>
      <c r="M337" s="31">
        <v>-6614924.8799999999</v>
      </c>
      <c r="O337" s="31">
        <v>-67165.399999999994</v>
      </c>
      <c r="Q337">
        <v>-1</v>
      </c>
    </row>
    <row r="338" spans="3:17">
      <c r="C338">
        <v>5360</v>
      </c>
      <c r="E338" t="s">
        <v>4563</v>
      </c>
      <c r="H338" t="s">
        <v>4564</v>
      </c>
      <c r="K338" s="31">
        <v>1471.41</v>
      </c>
      <c r="M338" s="31">
        <v>1471.41</v>
      </c>
      <c r="O338">
        <v>0</v>
      </c>
    </row>
    <row r="339" spans="3:17">
      <c r="C339">
        <v>5360</v>
      </c>
      <c r="E339" t="s">
        <v>4565</v>
      </c>
      <c r="H339" t="s">
        <v>4566</v>
      </c>
      <c r="K339" s="31">
        <v>27209.83</v>
      </c>
      <c r="M339" s="31">
        <v>27209.83</v>
      </c>
      <c r="O339">
        <v>0</v>
      </c>
    </row>
    <row r="340" spans="3:17">
      <c r="C340">
        <v>5360</v>
      </c>
      <c r="E340" t="s">
        <v>4567</v>
      </c>
      <c r="H340" t="s">
        <v>4568</v>
      </c>
      <c r="K340" s="31">
        <v>-1157560.48</v>
      </c>
      <c r="M340" s="31">
        <v>-1158734.98</v>
      </c>
      <c r="O340" s="31">
        <v>1174.5</v>
      </c>
      <c r="Q340">
        <v>0.1</v>
      </c>
    </row>
    <row r="341" spans="3:17">
      <c r="C341">
        <v>5360</v>
      </c>
      <c r="E341" t="s">
        <v>4569</v>
      </c>
      <c r="H341" t="s">
        <v>4570</v>
      </c>
      <c r="K341" s="31">
        <v>9298.35</v>
      </c>
      <c r="M341" s="31">
        <v>9298.35</v>
      </c>
      <c r="O341">
        <v>0</v>
      </c>
    </row>
    <row r="342" spans="3:17">
      <c r="C342">
        <v>5360</v>
      </c>
      <c r="E342" t="s">
        <v>4571</v>
      </c>
      <c r="H342" t="s">
        <v>4572</v>
      </c>
      <c r="K342" s="31">
        <v>-62691.97</v>
      </c>
      <c r="M342" s="31">
        <v>-64298.8</v>
      </c>
      <c r="O342" s="31">
        <v>1606.83</v>
      </c>
      <c r="Q342">
        <v>2.5</v>
      </c>
    </row>
    <row r="343" spans="3:17">
      <c r="C343">
        <v>5360</v>
      </c>
      <c r="E343" t="s">
        <v>4573</v>
      </c>
      <c r="H343" t="s">
        <v>4574</v>
      </c>
      <c r="K343">
        <v>187.65</v>
      </c>
      <c r="M343">
        <v>187.65</v>
      </c>
      <c r="O343">
        <v>0</v>
      </c>
    </row>
    <row r="344" spans="3:17">
      <c r="C344">
        <v>5360</v>
      </c>
      <c r="E344" t="s">
        <v>4575</v>
      </c>
      <c r="H344" t="s">
        <v>4576</v>
      </c>
      <c r="K344" s="31">
        <v>-7969280.0800000001</v>
      </c>
      <c r="M344" s="31">
        <v>-8103650.4299999997</v>
      </c>
      <c r="O344" s="31">
        <v>134370.35</v>
      </c>
      <c r="Q344">
        <v>1.7</v>
      </c>
    </row>
    <row r="345" spans="3:17">
      <c r="C345">
        <v>5360</v>
      </c>
      <c r="E345" t="s">
        <v>4577</v>
      </c>
      <c r="H345" t="s">
        <v>4578</v>
      </c>
      <c r="K345" s="31">
        <v>111850.83</v>
      </c>
      <c r="M345" s="31">
        <v>111850.83</v>
      </c>
      <c r="O345">
        <v>0</v>
      </c>
    </row>
    <row r="346" spans="3:17">
      <c r="C346">
        <v>5360</v>
      </c>
      <c r="E346" t="s">
        <v>4579</v>
      </c>
      <c r="H346" t="s">
        <v>4580</v>
      </c>
      <c r="K346" s="31">
        <v>-283956.51</v>
      </c>
      <c r="M346" s="31">
        <v>-283956.51</v>
      </c>
      <c r="O346">
        <v>0</v>
      </c>
    </row>
    <row r="347" spans="3:17">
      <c r="C347">
        <v>5360</v>
      </c>
      <c r="E347" t="s">
        <v>4581</v>
      </c>
      <c r="H347" t="s">
        <v>4582</v>
      </c>
      <c r="K347" s="31">
        <v>-280900.94</v>
      </c>
      <c r="M347" s="31">
        <v>-280900.94</v>
      </c>
      <c r="O347">
        <v>0</v>
      </c>
    </row>
    <row r="348" spans="3:17">
      <c r="C348">
        <v>5360</v>
      </c>
      <c r="E348" t="s">
        <v>4583</v>
      </c>
      <c r="H348" t="s">
        <v>4584</v>
      </c>
      <c r="K348" s="31">
        <v>-953663.18</v>
      </c>
      <c r="M348" s="31">
        <v>-953663.18</v>
      </c>
      <c r="O348">
        <v>0</v>
      </c>
    </row>
    <row r="349" spans="3:17">
      <c r="C349">
        <v>5360</v>
      </c>
      <c r="E349" t="s">
        <v>4585</v>
      </c>
      <c r="H349" t="s">
        <v>4586</v>
      </c>
      <c r="K349" s="31">
        <v>-1039901.58</v>
      </c>
      <c r="M349" s="31">
        <v>-1039901.58</v>
      </c>
      <c r="O349">
        <v>0</v>
      </c>
    </row>
    <row r="350" spans="3:17">
      <c r="C350">
        <v>5360</v>
      </c>
      <c r="E350" t="s">
        <v>4587</v>
      </c>
      <c r="H350" t="s">
        <v>4588</v>
      </c>
      <c r="K350" s="31">
        <v>-3714941.88</v>
      </c>
      <c r="M350" s="31">
        <v>-3714941.88</v>
      </c>
      <c r="O350">
        <v>0</v>
      </c>
    </row>
    <row r="351" spans="3:17">
      <c r="C351">
        <v>5360</v>
      </c>
      <c r="E351" t="s">
        <v>4589</v>
      </c>
      <c r="H351" t="s">
        <v>4590</v>
      </c>
      <c r="K351">
        <v>-8.3000000000000007</v>
      </c>
      <c r="M351">
        <v>-8.3000000000000007</v>
      </c>
      <c r="O351">
        <v>0</v>
      </c>
    </row>
    <row r="352" spans="3:17">
      <c r="C352">
        <v>5360</v>
      </c>
      <c r="E352" t="s">
        <v>4591</v>
      </c>
      <c r="H352" t="s">
        <v>4592</v>
      </c>
      <c r="K352">
        <v>860.38</v>
      </c>
      <c r="M352">
        <v>860.38</v>
      </c>
      <c r="O352">
        <v>0</v>
      </c>
    </row>
    <row r="353" spans="3:18">
      <c r="C353">
        <v>5360</v>
      </c>
      <c r="E353" t="s">
        <v>4593</v>
      </c>
      <c r="H353" t="s">
        <v>4594</v>
      </c>
      <c r="K353" s="31">
        <v>-6600</v>
      </c>
      <c r="M353" s="31">
        <v>-6600</v>
      </c>
      <c r="O353">
        <v>0</v>
      </c>
    </row>
    <row r="354" spans="3:18">
      <c r="C354">
        <v>5360</v>
      </c>
      <c r="E354" t="s">
        <v>4595</v>
      </c>
      <c r="H354" t="s">
        <v>4596</v>
      </c>
      <c r="K354" s="31">
        <v>-700344.92</v>
      </c>
      <c r="M354" s="31">
        <v>-725470.3</v>
      </c>
      <c r="O354" s="31">
        <v>25125.38</v>
      </c>
      <c r="Q354">
        <v>3.5</v>
      </c>
    </row>
    <row r="355" spans="3:18">
      <c r="C355">
        <v>5360</v>
      </c>
      <c r="E355" t="s">
        <v>4597</v>
      </c>
      <c r="H355" t="s">
        <v>4598</v>
      </c>
      <c r="K355" s="31">
        <v>395574.95</v>
      </c>
      <c r="M355" s="31">
        <v>395574.95</v>
      </c>
      <c r="O355">
        <v>0</v>
      </c>
    </row>
    <row r="356" spans="3:18">
      <c r="C356">
        <v>5360</v>
      </c>
      <c r="E356" t="s">
        <v>4599</v>
      </c>
      <c r="H356" t="s">
        <v>4600</v>
      </c>
      <c r="K356" s="31">
        <v>-3158270.85</v>
      </c>
      <c r="M356" s="31">
        <v>-5730615.1100000003</v>
      </c>
      <c r="O356" s="31">
        <v>2572344.2599999998</v>
      </c>
      <c r="Q356">
        <v>44.9</v>
      </c>
    </row>
    <row r="357" spans="3:18">
      <c r="C357">
        <v>5360</v>
      </c>
      <c r="E357" t="s">
        <v>4601</v>
      </c>
      <c r="H357" t="s">
        <v>4602</v>
      </c>
      <c r="K357" s="31">
        <v>-657058.89</v>
      </c>
      <c r="M357" s="31">
        <v>-326221.67</v>
      </c>
      <c r="O357" s="31">
        <v>-330837.21999999997</v>
      </c>
      <c r="Q357">
        <v>-101.4</v>
      </c>
    </row>
    <row r="358" spans="3:18">
      <c r="C358">
        <v>5360</v>
      </c>
      <c r="E358" t="s">
        <v>4603</v>
      </c>
      <c r="H358" t="s">
        <v>4604</v>
      </c>
      <c r="K358" s="31">
        <v>-1860100.29</v>
      </c>
      <c r="M358" s="31">
        <v>-7150838.2999999998</v>
      </c>
      <c r="O358" s="31">
        <v>5290738.01</v>
      </c>
      <c r="Q358">
        <v>74</v>
      </c>
    </row>
    <row r="359" spans="3:18">
      <c r="C359">
        <v>5360</v>
      </c>
      <c r="E359" t="s">
        <v>4926</v>
      </c>
      <c r="H359" t="s">
        <v>4927</v>
      </c>
      <c r="K359" s="31">
        <v>-8034.41</v>
      </c>
      <c r="M359">
        <v>0</v>
      </c>
      <c r="O359" s="31">
        <v>-8034.41</v>
      </c>
    </row>
    <row r="360" spans="3:18">
      <c r="C360">
        <v>5360</v>
      </c>
      <c r="E360" t="s">
        <v>4928</v>
      </c>
      <c r="H360" t="s">
        <v>4929</v>
      </c>
      <c r="K360">
        <v>11.86</v>
      </c>
      <c r="M360">
        <v>11.82</v>
      </c>
      <c r="O360">
        <v>0.04</v>
      </c>
      <c r="Q360">
        <v>0.3</v>
      </c>
    </row>
    <row r="361" spans="3:18">
      <c r="C361">
        <v>5360</v>
      </c>
      <c r="E361" t="s">
        <v>4605</v>
      </c>
      <c r="H361" t="s">
        <v>4606</v>
      </c>
      <c r="K361" s="31">
        <v>-63064.78</v>
      </c>
      <c r="M361" s="31">
        <v>-98486.65</v>
      </c>
      <c r="O361" s="31">
        <v>35421.870000000003</v>
      </c>
      <c r="Q361">
        <v>36</v>
      </c>
    </row>
    <row r="362" spans="3:18">
      <c r="C362">
        <v>5360</v>
      </c>
      <c r="E362" t="s">
        <v>4607</v>
      </c>
      <c r="H362" t="s">
        <v>4608</v>
      </c>
      <c r="K362" s="31">
        <v>290520</v>
      </c>
      <c r="M362" s="31">
        <v>290520</v>
      </c>
      <c r="O362">
        <v>0</v>
      </c>
    </row>
    <row r="363" spans="3:18">
      <c r="E363" t="s">
        <v>4609</v>
      </c>
      <c r="K363" s="31">
        <v>-69615416.569999993</v>
      </c>
      <c r="M363" s="31">
        <v>-61690116.219999999</v>
      </c>
      <c r="O363" s="31">
        <v>-7925300.3499999996</v>
      </c>
      <c r="Q363">
        <v>-12.8</v>
      </c>
      <c r="R363" t="s">
        <v>569</v>
      </c>
    </row>
    <row r="364" spans="3:18">
      <c r="C364">
        <v>5360</v>
      </c>
      <c r="E364" t="s">
        <v>4610</v>
      </c>
      <c r="H364" t="s">
        <v>4611</v>
      </c>
      <c r="K364" s="31">
        <v>-493138390</v>
      </c>
      <c r="M364" s="31">
        <v>-493138390</v>
      </c>
      <c r="O364">
        <v>0</v>
      </c>
    </row>
    <row r="365" spans="3:18">
      <c r="E365" t="s">
        <v>4612</v>
      </c>
      <c r="K365" s="31">
        <v>-493138390</v>
      </c>
      <c r="M365" s="31">
        <v>-493138390</v>
      </c>
      <c r="O365">
        <v>0</v>
      </c>
      <c r="R365" t="s">
        <v>569</v>
      </c>
    </row>
    <row r="366" spans="3:18">
      <c r="C366">
        <v>5360</v>
      </c>
      <c r="E366" t="s">
        <v>4613</v>
      </c>
      <c r="H366" t="s">
        <v>4614</v>
      </c>
      <c r="K366" s="31">
        <v>-14050627.34</v>
      </c>
      <c r="M366" s="31">
        <v>-2424334.7999999998</v>
      </c>
      <c r="O366" s="31">
        <v>-11626292.539999999</v>
      </c>
      <c r="Q366">
        <v>-479.6</v>
      </c>
    </row>
    <row r="367" spans="3:18">
      <c r="C367">
        <v>5360</v>
      </c>
      <c r="E367" t="s">
        <v>4615</v>
      </c>
      <c r="H367" t="s">
        <v>4616</v>
      </c>
      <c r="K367" s="31">
        <v>-751981.6</v>
      </c>
      <c r="M367" s="31">
        <v>-751983.4</v>
      </c>
      <c r="O367">
        <v>1.8</v>
      </c>
    </row>
    <row r="368" spans="3:18">
      <c r="C368">
        <v>5360</v>
      </c>
      <c r="E368" t="s">
        <v>4617</v>
      </c>
      <c r="H368" t="s">
        <v>4618</v>
      </c>
      <c r="K368">
        <v>0</v>
      </c>
      <c r="M368" s="31">
        <v>-35088558.649999999</v>
      </c>
      <c r="O368" s="31">
        <v>35088558.649999999</v>
      </c>
      <c r="Q368">
        <v>100</v>
      </c>
    </row>
    <row r="369" spans="3:18">
      <c r="C369">
        <v>5360</v>
      </c>
      <c r="E369" t="s">
        <v>4619</v>
      </c>
      <c r="H369" t="s">
        <v>4620</v>
      </c>
      <c r="K369" s="31">
        <v>149513.9</v>
      </c>
      <c r="M369" s="31">
        <v>149513.9</v>
      </c>
      <c r="O369">
        <v>0</v>
      </c>
    </row>
    <row r="370" spans="3:18">
      <c r="C370">
        <v>5360</v>
      </c>
      <c r="E370" t="s">
        <v>4621</v>
      </c>
      <c r="H370" t="s">
        <v>4614</v>
      </c>
      <c r="K370" s="31">
        <v>-8172466.5099999998</v>
      </c>
      <c r="M370">
        <v>0</v>
      </c>
      <c r="O370" s="31">
        <v>-8172466.5099999998</v>
      </c>
    </row>
    <row r="371" spans="3:18">
      <c r="C371">
        <v>5360</v>
      </c>
      <c r="E371" t="s">
        <v>6061</v>
      </c>
      <c r="H371" t="s">
        <v>4618</v>
      </c>
      <c r="K371">
        <v>0</v>
      </c>
      <c r="M371" s="31">
        <v>-11972.09</v>
      </c>
      <c r="O371" s="31">
        <v>11972.09</v>
      </c>
      <c r="Q371">
        <v>100</v>
      </c>
    </row>
    <row r="372" spans="3:18">
      <c r="C372">
        <v>5360</v>
      </c>
      <c r="E372" t="s">
        <v>4622</v>
      </c>
      <c r="H372" t="s">
        <v>4623</v>
      </c>
      <c r="K372" s="31">
        <v>-290520</v>
      </c>
      <c r="M372" s="31">
        <v>-290520</v>
      </c>
      <c r="O372">
        <v>0</v>
      </c>
    </row>
    <row r="373" spans="3:18">
      <c r="E373" t="s">
        <v>4624</v>
      </c>
      <c r="K373" s="31">
        <v>-23116081.550000001</v>
      </c>
      <c r="M373" s="31">
        <v>-38417855.039999999</v>
      </c>
      <c r="O373" s="31">
        <v>15301773.49</v>
      </c>
      <c r="Q373">
        <v>39.799999999999997</v>
      </c>
      <c r="R373" t="s">
        <v>658</v>
      </c>
    </row>
    <row r="374" spans="3:18">
      <c r="E374" t="s">
        <v>4625</v>
      </c>
      <c r="K374" s="31">
        <v>-23116081.550000001</v>
      </c>
      <c r="M374" s="31">
        <v>-38417855.039999999</v>
      </c>
      <c r="O374" s="31">
        <v>15301773.49</v>
      </c>
      <c r="Q374">
        <v>39.799999999999997</v>
      </c>
      <c r="R374" t="s">
        <v>569</v>
      </c>
    </row>
    <row r="375" spans="3:18">
      <c r="C375">
        <v>5360</v>
      </c>
      <c r="E375" t="s">
        <v>4626</v>
      </c>
      <c r="H375" t="s">
        <v>266</v>
      </c>
      <c r="K375" s="31">
        <v>-1871292.85</v>
      </c>
      <c r="M375" s="31">
        <v>-1823253.01</v>
      </c>
      <c r="O375" s="31">
        <v>-48039.839999999997</v>
      </c>
      <c r="Q375">
        <v>-2.6</v>
      </c>
    </row>
    <row r="376" spans="3:18">
      <c r="E376" t="s">
        <v>266</v>
      </c>
      <c r="K376" s="31">
        <v>-1871292.85</v>
      </c>
      <c r="M376" s="31">
        <v>-1823253.01</v>
      </c>
      <c r="O376" s="31">
        <v>-48039.839999999997</v>
      </c>
      <c r="Q376">
        <v>-2.6</v>
      </c>
      <c r="R376" t="s">
        <v>569</v>
      </c>
    </row>
    <row r="377" spans="3:18">
      <c r="C377">
        <v>5360</v>
      </c>
      <c r="E377" t="s">
        <v>4627</v>
      </c>
      <c r="H377" t="s">
        <v>4628</v>
      </c>
      <c r="K377" s="31">
        <v>57393736.770000003</v>
      </c>
      <c r="M377" s="31">
        <v>57393736.770000003</v>
      </c>
      <c r="O377">
        <v>0</v>
      </c>
    </row>
    <row r="378" spans="3:18">
      <c r="C378">
        <v>5360</v>
      </c>
      <c r="E378" t="s">
        <v>4629</v>
      </c>
      <c r="H378" t="s">
        <v>4630</v>
      </c>
      <c r="K378" s="31">
        <v>-9624048.2200000007</v>
      </c>
      <c r="M378" s="31">
        <v>-15174997.470000001</v>
      </c>
      <c r="O378" s="31">
        <v>5550949.25</v>
      </c>
      <c r="Q378">
        <v>36.6</v>
      </c>
    </row>
    <row r="379" spans="3:18">
      <c r="C379">
        <v>5360</v>
      </c>
      <c r="E379" t="s">
        <v>4631</v>
      </c>
      <c r="H379" t="s">
        <v>4632</v>
      </c>
      <c r="K379" s="31">
        <v>13275</v>
      </c>
      <c r="M379" s="31">
        <v>13275</v>
      </c>
      <c r="O379">
        <v>0</v>
      </c>
    </row>
    <row r="380" spans="3:18">
      <c r="C380">
        <v>5360</v>
      </c>
      <c r="E380" t="s">
        <v>4633</v>
      </c>
      <c r="H380" t="s">
        <v>4634</v>
      </c>
      <c r="K380" s="31">
        <v>-14540.71</v>
      </c>
      <c r="M380" s="31">
        <v>-14540.71</v>
      </c>
      <c r="O380">
        <v>0</v>
      </c>
    </row>
    <row r="381" spans="3:18">
      <c r="C381">
        <v>5360</v>
      </c>
      <c r="E381" t="s">
        <v>4635</v>
      </c>
      <c r="H381" t="s">
        <v>4636</v>
      </c>
      <c r="K381" s="31">
        <v>486315.21</v>
      </c>
      <c r="M381" s="31">
        <v>465009.53</v>
      </c>
      <c r="O381" s="31">
        <v>21305.68</v>
      </c>
      <c r="Q381">
        <v>4.5999999999999996</v>
      </c>
    </row>
    <row r="382" spans="3:18">
      <c r="C382">
        <v>5360</v>
      </c>
      <c r="E382" t="s">
        <v>4637</v>
      </c>
      <c r="H382" t="s">
        <v>4638</v>
      </c>
      <c r="K382" s="31">
        <v>125290.71</v>
      </c>
      <c r="M382" s="31">
        <v>159214.45000000001</v>
      </c>
      <c r="O382" s="31">
        <v>-33923.74</v>
      </c>
      <c r="Q382">
        <v>-21.3</v>
      </c>
    </row>
    <row r="383" spans="3:18">
      <c r="C383">
        <v>5360</v>
      </c>
      <c r="E383" t="s">
        <v>4639</v>
      </c>
      <c r="H383" t="s">
        <v>4640</v>
      </c>
      <c r="K383" s="31">
        <v>17271263</v>
      </c>
      <c r="M383" s="31">
        <v>17271263</v>
      </c>
      <c r="O383">
        <v>0</v>
      </c>
    </row>
    <row r="384" spans="3:18">
      <c r="C384">
        <v>5360</v>
      </c>
      <c r="E384" t="s">
        <v>4641</v>
      </c>
      <c r="H384" t="s">
        <v>4642</v>
      </c>
      <c r="K384" s="31">
        <v>94980494.189999998</v>
      </c>
      <c r="M384" s="31">
        <v>91620991.799999997</v>
      </c>
      <c r="O384" s="31">
        <v>3359502.39</v>
      </c>
      <c r="Q384">
        <v>3.7</v>
      </c>
    </row>
    <row r="385" spans="3:18">
      <c r="C385">
        <v>5360</v>
      </c>
      <c r="E385" t="s">
        <v>4643</v>
      </c>
      <c r="H385" t="s">
        <v>4644</v>
      </c>
      <c r="K385" s="31">
        <v>-4522773.8600000003</v>
      </c>
      <c r="M385" s="31">
        <v>-4522773.8600000003</v>
      </c>
      <c r="O385">
        <v>0</v>
      </c>
    </row>
    <row r="386" spans="3:18">
      <c r="C386">
        <v>5360</v>
      </c>
      <c r="E386" t="s">
        <v>4645</v>
      </c>
      <c r="H386" t="s">
        <v>4646</v>
      </c>
      <c r="K386" s="31">
        <v>-97811.83</v>
      </c>
      <c r="M386" s="31">
        <v>-97795.17</v>
      </c>
      <c r="O386">
        <v>-16.66</v>
      </c>
    </row>
    <row r="387" spans="3:18">
      <c r="C387">
        <v>5360</v>
      </c>
      <c r="E387" t="s">
        <v>4647</v>
      </c>
      <c r="H387" t="s">
        <v>4648</v>
      </c>
      <c r="K387" s="31">
        <v>63121.49</v>
      </c>
      <c r="M387" s="31">
        <v>521076.8</v>
      </c>
      <c r="O387" s="31">
        <v>-457955.31</v>
      </c>
      <c r="Q387">
        <v>-87.9</v>
      </c>
    </row>
    <row r="388" spans="3:18">
      <c r="C388">
        <v>5360</v>
      </c>
      <c r="E388" t="s">
        <v>4649</v>
      </c>
      <c r="H388" t="s">
        <v>4650</v>
      </c>
      <c r="K388">
        <v>-846.4</v>
      </c>
      <c r="M388">
        <v>-846.4</v>
      </c>
      <c r="O388">
        <v>0</v>
      </c>
    </row>
    <row r="389" spans="3:18">
      <c r="E389" t="s">
        <v>4651</v>
      </c>
      <c r="K389" s="31">
        <v>156073475.34999999</v>
      </c>
      <c r="M389" s="31">
        <v>147633613.74000001</v>
      </c>
      <c r="O389" s="31">
        <v>8439861.6099999994</v>
      </c>
      <c r="Q389">
        <v>5.7</v>
      </c>
      <c r="R389" t="s">
        <v>569</v>
      </c>
    </row>
    <row r="390" spans="3:18">
      <c r="C390">
        <v>5360</v>
      </c>
      <c r="E390" t="s">
        <v>4652</v>
      </c>
      <c r="H390" t="s">
        <v>4653</v>
      </c>
      <c r="K390" s="31">
        <v>-25841781.859999999</v>
      </c>
      <c r="M390" s="31">
        <v>-26063958.940000001</v>
      </c>
      <c r="O390" s="31">
        <v>222177.08</v>
      </c>
      <c r="Q390">
        <v>0.9</v>
      </c>
    </row>
    <row r="391" spans="3:18">
      <c r="C391">
        <v>5360</v>
      </c>
      <c r="E391" t="s">
        <v>4654</v>
      </c>
      <c r="H391" t="s">
        <v>4655</v>
      </c>
      <c r="K391">
        <v>-924.06</v>
      </c>
      <c r="M391">
        <v>-924.06</v>
      </c>
      <c r="O391">
        <v>0</v>
      </c>
    </row>
    <row r="392" spans="3:18">
      <c r="C392">
        <v>5360</v>
      </c>
      <c r="E392" t="s">
        <v>4656</v>
      </c>
      <c r="H392" t="s">
        <v>4657</v>
      </c>
      <c r="K392" s="31">
        <v>-4992.7700000000004</v>
      </c>
      <c r="M392" s="31">
        <v>-5190.83</v>
      </c>
      <c r="O392">
        <v>198.06</v>
      </c>
      <c r="Q392">
        <v>3.8</v>
      </c>
    </row>
    <row r="393" spans="3:18">
      <c r="E393" t="s">
        <v>4658</v>
      </c>
      <c r="K393" s="31">
        <v>-25847698.690000001</v>
      </c>
      <c r="M393" s="31">
        <v>-26070073.829999998</v>
      </c>
      <c r="O393" s="31">
        <v>222375.14</v>
      </c>
      <c r="Q393">
        <v>0.9</v>
      </c>
      <c r="R393" t="s">
        <v>569</v>
      </c>
    </row>
    <row r="394" spans="3:18">
      <c r="C394">
        <v>5360</v>
      </c>
      <c r="E394" t="s">
        <v>4659</v>
      </c>
      <c r="H394" t="s">
        <v>4660</v>
      </c>
      <c r="K394" s="31">
        <v>28468377.420000002</v>
      </c>
      <c r="M394" s="31">
        <v>30446616</v>
      </c>
      <c r="O394" s="31">
        <v>-1978238.58</v>
      </c>
      <c r="Q394">
        <v>-6.5</v>
      </c>
    </row>
    <row r="395" spans="3:18">
      <c r="C395">
        <v>5360</v>
      </c>
      <c r="E395" t="s">
        <v>4661</v>
      </c>
      <c r="H395" t="s">
        <v>4662</v>
      </c>
      <c r="K395" s="31">
        <v>-4783423.76</v>
      </c>
      <c r="M395" s="31">
        <v>-4783423.76</v>
      </c>
      <c r="O395">
        <v>0</v>
      </c>
    </row>
    <row r="396" spans="3:18">
      <c r="C396">
        <v>5360</v>
      </c>
      <c r="E396" t="s">
        <v>4663</v>
      </c>
      <c r="H396" t="s">
        <v>4664</v>
      </c>
      <c r="K396" s="31">
        <v>-132405.21</v>
      </c>
      <c r="M396" s="31">
        <v>-248085.14</v>
      </c>
      <c r="O396" s="31">
        <v>115679.93</v>
      </c>
      <c r="Q396">
        <v>46.6</v>
      </c>
    </row>
    <row r="397" spans="3:18">
      <c r="C397">
        <v>5360</v>
      </c>
      <c r="E397" t="s">
        <v>4665</v>
      </c>
      <c r="H397" t="s">
        <v>4666</v>
      </c>
      <c r="K397" s="31">
        <v>63012121.090000004</v>
      </c>
      <c r="M397" s="31">
        <v>67167406.299999997</v>
      </c>
      <c r="O397" s="31">
        <v>-4155285.21</v>
      </c>
      <c r="Q397">
        <v>-6.2</v>
      </c>
    </row>
    <row r="398" spans="3:18">
      <c r="C398">
        <v>5360</v>
      </c>
      <c r="E398" t="s">
        <v>4667</v>
      </c>
      <c r="H398" t="s">
        <v>4668</v>
      </c>
      <c r="K398" s="31">
        <v>-289395.53000000003</v>
      </c>
      <c r="M398" s="31">
        <v>-289395.53000000003</v>
      </c>
      <c r="O398">
        <v>0</v>
      </c>
    </row>
    <row r="399" spans="3:18">
      <c r="C399">
        <v>5360</v>
      </c>
      <c r="E399" t="s">
        <v>4669</v>
      </c>
      <c r="H399" t="s">
        <v>4670</v>
      </c>
      <c r="K399">
        <v>246.89</v>
      </c>
      <c r="M399">
        <v>246.89</v>
      </c>
      <c r="O399">
        <v>0</v>
      </c>
    </row>
    <row r="400" spans="3:18">
      <c r="C400">
        <v>5360</v>
      </c>
      <c r="E400" t="s">
        <v>4671</v>
      </c>
      <c r="H400" t="s">
        <v>4672</v>
      </c>
      <c r="K400" s="31">
        <v>12437270.58</v>
      </c>
      <c r="M400" s="31">
        <v>13586313.460000001</v>
      </c>
      <c r="O400" s="31">
        <v>-1149042.8799999999</v>
      </c>
      <c r="Q400">
        <v>-8.5</v>
      </c>
    </row>
    <row r="401" spans="3:18">
      <c r="E401" t="s">
        <v>4673</v>
      </c>
      <c r="K401" s="31">
        <v>98712791.480000004</v>
      </c>
      <c r="M401" s="31">
        <v>105879678.22</v>
      </c>
      <c r="O401" s="31">
        <v>-7166886.7400000002</v>
      </c>
      <c r="Q401">
        <v>-6.8</v>
      </c>
      <c r="R401" t="s">
        <v>569</v>
      </c>
    </row>
    <row r="402" spans="3:18">
      <c r="C402">
        <v>5360</v>
      </c>
      <c r="E402" t="s">
        <v>4674</v>
      </c>
      <c r="H402" t="s">
        <v>4675</v>
      </c>
      <c r="K402" s="31">
        <v>5210584.46</v>
      </c>
      <c r="M402" s="31">
        <v>5210584.46</v>
      </c>
      <c r="O402">
        <v>0</v>
      </c>
    </row>
    <row r="403" spans="3:18">
      <c r="C403">
        <v>5360</v>
      </c>
      <c r="E403" t="s">
        <v>4676</v>
      </c>
      <c r="H403" t="s">
        <v>4677</v>
      </c>
      <c r="K403" s="31">
        <v>2450000</v>
      </c>
      <c r="M403" s="31">
        <v>3350000</v>
      </c>
      <c r="O403" s="31">
        <v>-900000</v>
      </c>
      <c r="Q403">
        <v>-26.9</v>
      </c>
    </row>
    <row r="404" spans="3:18">
      <c r="C404">
        <v>5360</v>
      </c>
      <c r="E404" t="s">
        <v>4682</v>
      </c>
      <c r="H404" t="s">
        <v>4683</v>
      </c>
      <c r="K404">
        <v>-964</v>
      </c>
      <c r="M404">
        <v>-964</v>
      </c>
      <c r="O404">
        <v>0</v>
      </c>
    </row>
    <row r="405" spans="3:18">
      <c r="C405">
        <v>5360</v>
      </c>
      <c r="E405" t="s">
        <v>4684</v>
      </c>
      <c r="H405" t="s">
        <v>4685</v>
      </c>
      <c r="K405" s="31">
        <v>-175585</v>
      </c>
      <c r="M405" s="31">
        <v>-175585</v>
      </c>
      <c r="O405">
        <v>0</v>
      </c>
    </row>
    <row r="406" spans="3:18">
      <c r="C406">
        <v>5360</v>
      </c>
      <c r="E406" t="s">
        <v>4686</v>
      </c>
      <c r="H406" t="s">
        <v>4687</v>
      </c>
      <c r="K406" s="31">
        <v>-78971862.299999997</v>
      </c>
      <c r="M406" s="31">
        <v>-78757667.900000006</v>
      </c>
      <c r="O406" s="31">
        <v>-214194.4</v>
      </c>
      <c r="Q406">
        <v>-0.3</v>
      </c>
    </row>
    <row r="407" spans="3:18">
      <c r="C407">
        <v>5360</v>
      </c>
      <c r="E407" t="s">
        <v>4688</v>
      </c>
      <c r="H407" t="s">
        <v>4689</v>
      </c>
      <c r="K407" s="31">
        <v>-991777.77</v>
      </c>
      <c r="M407" s="31">
        <v>-1005851.02</v>
      </c>
      <c r="O407" s="31">
        <v>14073.25</v>
      </c>
      <c r="Q407">
        <v>1.4</v>
      </c>
    </row>
    <row r="408" spans="3:18">
      <c r="C408">
        <v>5360</v>
      </c>
      <c r="E408" t="s">
        <v>4690</v>
      </c>
      <c r="H408" t="s">
        <v>4691</v>
      </c>
      <c r="K408" s="31">
        <v>-2086885.51</v>
      </c>
      <c r="M408" s="31">
        <v>-3708640.28</v>
      </c>
      <c r="O408" s="31">
        <v>1621754.77</v>
      </c>
      <c r="Q408">
        <v>43.7</v>
      </c>
    </row>
    <row r="409" spans="3:18">
      <c r="C409">
        <v>5360</v>
      </c>
      <c r="E409" t="s">
        <v>4692</v>
      </c>
      <c r="H409" t="s">
        <v>4693</v>
      </c>
      <c r="K409" s="31">
        <v>1074233.19</v>
      </c>
      <c r="M409" s="31">
        <v>1074233.19</v>
      </c>
      <c r="O409">
        <v>0</v>
      </c>
    </row>
    <row r="410" spans="3:18">
      <c r="C410">
        <v>5360</v>
      </c>
      <c r="E410" t="s">
        <v>4694</v>
      </c>
      <c r="H410" t="s">
        <v>4695</v>
      </c>
      <c r="K410" s="31">
        <v>-1434728.13</v>
      </c>
      <c r="M410" s="31">
        <v>-1434728.13</v>
      </c>
      <c r="O410">
        <v>0</v>
      </c>
    </row>
    <row r="411" spans="3:18">
      <c r="C411">
        <v>5360</v>
      </c>
      <c r="E411" t="s">
        <v>4696</v>
      </c>
      <c r="H411" t="s">
        <v>4697</v>
      </c>
      <c r="K411" s="31">
        <v>-460731.17</v>
      </c>
      <c r="M411" s="31">
        <v>-460731.17</v>
      </c>
      <c r="O411">
        <v>0</v>
      </c>
    </row>
    <row r="412" spans="3:18">
      <c r="C412">
        <v>5360</v>
      </c>
      <c r="E412" t="s">
        <v>4698</v>
      </c>
      <c r="H412" t="s">
        <v>4699</v>
      </c>
      <c r="K412" s="31">
        <v>-1692831</v>
      </c>
      <c r="M412" s="31">
        <v>-1835737.2</v>
      </c>
      <c r="O412" s="31">
        <v>142906.20000000001</v>
      </c>
      <c r="Q412">
        <v>7.8</v>
      </c>
    </row>
    <row r="413" spans="3:18">
      <c r="C413">
        <v>5360</v>
      </c>
      <c r="E413" t="s">
        <v>4700</v>
      </c>
      <c r="H413" t="s">
        <v>4701</v>
      </c>
      <c r="K413" s="31">
        <v>-19004.64</v>
      </c>
      <c r="M413" s="31">
        <v>-18262.78</v>
      </c>
      <c r="O413">
        <v>-741.86</v>
      </c>
      <c r="Q413">
        <v>-4.0999999999999996</v>
      </c>
    </row>
    <row r="414" spans="3:18">
      <c r="C414">
        <v>5360</v>
      </c>
      <c r="E414" t="s">
        <v>4702</v>
      </c>
      <c r="H414" t="s">
        <v>4703</v>
      </c>
      <c r="K414" s="31">
        <v>-172000</v>
      </c>
      <c r="M414" s="31">
        <v>-172000</v>
      </c>
      <c r="O414">
        <v>0</v>
      </c>
    </row>
    <row r="415" spans="3:18">
      <c r="C415">
        <v>5360</v>
      </c>
      <c r="E415" t="s">
        <v>4704</v>
      </c>
      <c r="H415" t="s">
        <v>4705</v>
      </c>
      <c r="K415" s="31">
        <v>-401627.7</v>
      </c>
      <c r="M415" s="31">
        <v>-447057.94</v>
      </c>
      <c r="O415" s="31">
        <v>45430.239999999998</v>
      </c>
      <c r="Q415">
        <v>10.199999999999999</v>
      </c>
    </row>
    <row r="416" spans="3:18">
      <c r="C416">
        <v>5360</v>
      </c>
      <c r="E416" t="s">
        <v>4930</v>
      </c>
      <c r="H416" t="s">
        <v>4931</v>
      </c>
      <c r="K416" s="31">
        <v>-45430.239999999998</v>
      </c>
      <c r="M416">
        <v>0</v>
      </c>
      <c r="O416" s="31">
        <v>-45430.239999999998</v>
      </c>
    </row>
    <row r="417" spans="3:18">
      <c r="C417">
        <v>5360</v>
      </c>
      <c r="E417" t="s">
        <v>4706</v>
      </c>
      <c r="H417" t="s">
        <v>4707</v>
      </c>
      <c r="K417" s="31">
        <v>-1129621.1299999999</v>
      </c>
      <c r="M417" s="31">
        <v>-1078751.8500000001</v>
      </c>
      <c r="O417" s="31">
        <v>-50869.279999999999</v>
      </c>
      <c r="Q417">
        <v>-4.7</v>
      </c>
    </row>
    <row r="418" spans="3:18">
      <c r="C418">
        <v>5360</v>
      </c>
      <c r="E418" t="s">
        <v>4932</v>
      </c>
      <c r="H418" t="s">
        <v>4933</v>
      </c>
      <c r="K418" s="31">
        <v>50869.279999999999</v>
      </c>
      <c r="M418">
        <v>0</v>
      </c>
      <c r="O418" s="31">
        <v>50869.279999999999</v>
      </c>
    </row>
    <row r="419" spans="3:18">
      <c r="C419">
        <v>5360</v>
      </c>
      <c r="E419" t="s">
        <v>4708</v>
      </c>
      <c r="H419" t="s">
        <v>4709</v>
      </c>
      <c r="K419" s="31">
        <v>-4557753.5599999996</v>
      </c>
      <c r="M419" s="31">
        <v>-1761945.24</v>
      </c>
      <c r="O419" s="31">
        <v>-2795808.32</v>
      </c>
      <c r="Q419">
        <v>-158.69999999999999</v>
      </c>
    </row>
    <row r="420" spans="3:18">
      <c r="C420">
        <v>5360</v>
      </c>
      <c r="E420" t="s">
        <v>4710</v>
      </c>
      <c r="H420" t="s">
        <v>4711</v>
      </c>
      <c r="K420" s="31">
        <v>2795808.32</v>
      </c>
      <c r="M420" s="31">
        <v>-267287.51</v>
      </c>
      <c r="O420" s="31">
        <v>3063095.83</v>
      </c>
      <c r="Q420">
        <v>1146</v>
      </c>
    </row>
    <row r="421" spans="3:18">
      <c r="C421">
        <v>5360</v>
      </c>
      <c r="E421" t="s">
        <v>4712</v>
      </c>
      <c r="H421" t="s">
        <v>4713</v>
      </c>
      <c r="K421">
        <v>31.56</v>
      </c>
      <c r="M421">
        <v>31.56</v>
      </c>
      <c r="O421">
        <v>0</v>
      </c>
    </row>
    <row r="422" spans="3:18">
      <c r="C422">
        <v>5360</v>
      </c>
      <c r="E422" t="s">
        <v>4714</v>
      </c>
      <c r="H422" t="s">
        <v>4715</v>
      </c>
      <c r="K422" s="31">
        <v>172000</v>
      </c>
      <c r="M422" s="31">
        <v>172000</v>
      </c>
      <c r="O422">
        <v>0</v>
      </c>
    </row>
    <row r="423" spans="3:18">
      <c r="E423" t="s">
        <v>4716</v>
      </c>
      <c r="K423" s="31">
        <v>-80387275.340000004</v>
      </c>
      <c r="M423" s="31">
        <v>-81318360.810000002</v>
      </c>
      <c r="O423" s="31">
        <v>931085.47</v>
      </c>
      <c r="Q423">
        <v>1.1000000000000001</v>
      </c>
      <c r="R423" t="s">
        <v>569</v>
      </c>
    </row>
    <row r="424" spans="3:18">
      <c r="C424">
        <v>5360</v>
      </c>
      <c r="E424" t="s">
        <v>4717</v>
      </c>
      <c r="H424" t="s">
        <v>4718</v>
      </c>
      <c r="K424" s="31">
        <v>-2650007.9700000002</v>
      </c>
      <c r="M424" s="31">
        <v>-2272843.7799999998</v>
      </c>
      <c r="O424" s="31">
        <v>-377164.19</v>
      </c>
      <c r="Q424">
        <v>-16.600000000000001</v>
      </c>
    </row>
    <row r="425" spans="3:18">
      <c r="C425">
        <v>5360</v>
      </c>
      <c r="E425" t="s">
        <v>4719</v>
      </c>
      <c r="H425" t="s">
        <v>4720</v>
      </c>
      <c r="K425" s="31">
        <v>-560371.80000000005</v>
      </c>
      <c r="M425" s="31">
        <v>-241567.84</v>
      </c>
      <c r="O425" s="31">
        <v>-318803.96000000002</v>
      </c>
      <c r="Q425">
        <v>-132</v>
      </c>
    </row>
    <row r="426" spans="3:18">
      <c r="C426">
        <v>5360</v>
      </c>
      <c r="E426" t="s">
        <v>4721</v>
      </c>
      <c r="H426" t="s">
        <v>4722</v>
      </c>
      <c r="K426" s="31">
        <v>3090885.19</v>
      </c>
      <c r="M426" s="31">
        <v>779818.02</v>
      </c>
      <c r="O426" s="31">
        <v>2311067.17</v>
      </c>
      <c r="Q426">
        <v>296.39999999999998</v>
      </c>
    </row>
    <row r="427" spans="3:18">
      <c r="C427">
        <v>5360</v>
      </c>
      <c r="E427" t="s">
        <v>4723</v>
      </c>
      <c r="H427" t="s">
        <v>4724</v>
      </c>
      <c r="K427" s="31">
        <v>-182774.01</v>
      </c>
      <c r="M427" s="31">
        <v>-51563.03</v>
      </c>
      <c r="O427" s="31">
        <v>-131210.98000000001</v>
      </c>
      <c r="Q427">
        <v>-254.5</v>
      </c>
    </row>
    <row r="428" spans="3:18">
      <c r="C428">
        <v>5360</v>
      </c>
      <c r="E428" t="s">
        <v>4725</v>
      </c>
      <c r="H428" t="s">
        <v>4726</v>
      </c>
      <c r="K428" s="31">
        <v>-1970575.19</v>
      </c>
      <c r="M428" s="31">
        <v>-510383.87</v>
      </c>
      <c r="O428" s="31">
        <v>-1460191.32</v>
      </c>
      <c r="Q428">
        <v>-286.10000000000002</v>
      </c>
    </row>
    <row r="429" spans="3:18">
      <c r="E429" t="s">
        <v>4727</v>
      </c>
      <c r="K429" s="31">
        <v>-2272843.7799999998</v>
      </c>
      <c r="M429" s="31">
        <v>-2296540.5</v>
      </c>
      <c r="O429" s="31">
        <v>23696.720000000001</v>
      </c>
      <c r="Q429">
        <v>1</v>
      </c>
      <c r="R429" t="s">
        <v>569</v>
      </c>
    </row>
    <row r="430" spans="3:18">
      <c r="E430" t="s">
        <v>4728</v>
      </c>
      <c r="K430" s="31">
        <v>-442837731.94999999</v>
      </c>
      <c r="M430" s="31">
        <v>-452616297.44999999</v>
      </c>
      <c r="O430" s="31">
        <v>9778565.5</v>
      </c>
      <c r="Q430">
        <v>2.2000000000000002</v>
      </c>
      <c r="R430" t="s">
        <v>611</v>
      </c>
    </row>
    <row r="432" spans="3:18">
      <c r="C432">
        <v>5360</v>
      </c>
      <c r="E432" t="s">
        <v>4729</v>
      </c>
      <c r="H432" t="s">
        <v>4730</v>
      </c>
      <c r="K432" s="31">
        <v>-58665276.450000003</v>
      </c>
      <c r="M432" s="31">
        <v>-58665276.450000003</v>
      </c>
      <c r="O432">
        <v>0</v>
      </c>
    </row>
    <row r="433" spans="3:18">
      <c r="C433">
        <v>5360</v>
      </c>
      <c r="E433" t="s">
        <v>4731</v>
      </c>
      <c r="H433" t="s">
        <v>4732</v>
      </c>
      <c r="K433" s="31">
        <v>-46843108.600000001</v>
      </c>
      <c r="M433" s="31">
        <v>-47126186.090000004</v>
      </c>
      <c r="O433" s="31">
        <v>283077.49</v>
      </c>
      <c r="Q433">
        <v>0.6</v>
      </c>
    </row>
    <row r="434" spans="3:18">
      <c r="C434">
        <v>5360</v>
      </c>
      <c r="E434" t="s">
        <v>4733</v>
      </c>
      <c r="H434" t="s">
        <v>4734</v>
      </c>
      <c r="K434" s="31">
        <v>361689.78</v>
      </c>
      <c r="M434" s="31">
        <v>361689.78</v>
      </c>
      <c r="O434">
        <v>0</v>
      </c>
    </row>
    <row r="435" spans="3:18">
      <c r="E435" t="s">
        <v>4735</v>
      </c>
      <c r="K435" s="31">
        <v>-105146695.27</v>
      </c>
      <c r="M435" s="31">
        <v>-105429772.76000001</v>
      </c>
      <c r="O435" s="31">
        <v>283077.49</v>
      </c>
      <c r="Q435">
        <v>0.3</v>
      </c>
      <c r="R435" t="s">
        <v>650</v>
      </c>
    </row>
    <row r="436" spans="3:18">
      <c r="E436" t="s">
        <v>4736</v>
      </c>
      <c r="K436" s="31">
        <v>-105146695.27</v>
      </c>
      <c r="M436" s="31">
        <v>-105429772.76000001</v>
      </c>
      <c r="O436" s="31">
        <v>283077.49</v>
      </c>
      <c r="Q436">
        <v>0.3</v>
      </c>
      <c r="R436" t="s">
        <v>658</v>
      </c>
    </row>
    <row r="437" spans="3:18">
      <c r="C437">
        <v>5360</v>
      </c>
      <c r="E437" t="s">
        <v>4737</v>
      </c>
      <c r="H437" t="s">
        <v>4738</v>
      </c>
      <c r="K437" s="31">
        <v>-4304106.45</v>
      </c>
      <c r="M437" s="31">
        <v>-4304106.45</v>
      </c>
      <c r="O437">
        <v>0</v>
      </c>
    </row>
    <row r="438" spans="3:18">
      <c r="C438">
        <v>5360</v>
      </c>
      <c r="E438" t="s">
        <v>4739</v>
      </c>
      <c r="H438" t="s">
        <v>4740</v>
      </c>
      <c r="K438" s="31">
        <v>-1765159.65</v>
      </c>
      <c r="M438" s="31">
        <v>-1840408.09</v>
      </c>
      <c r="O438" s="31">
        <v>75248.44</v>
      </c>
      <c r="Q438">
        <v>4.0999999999999996</v>
      </c>
    </row>
    <row r="439" spans="3:18">
      <c r="C439">
        <v>5360</v>
      </c>
      <c r="E439" t="s">
        <v>4741</v>
      </c>
      <c r="H439" t="s">
        <v>4742</v>
      </c>
      <c r="K439" s="31">
        <v>1229000</v>
      </c>
      <c r="M439" s="31">
        <v>1229000</v>
      </c>
      <c r="O439">
        <v>0</v>
      </c>
    </row>
    <row r="440" spans="3:18">
      <c r="C440">
        <v>5360</v>
      </c>
      <c r="E440" t="s">
        <v>4743</v>
      </c>
      <c r="H440" t="s">
        <v>4744</v>
      </c>
      <c r="K440" s="31">
        <v>-1229000</v>
      </c>
      <c r="M440" s="31">
        <v>-1229000</v>
      </c>
      <c r="O440">
        <v>0</v>
      </c>
    </row>
    <row r="441" spans="3:18">
      <c r="C441">
        <v>5360</v>
      </c>
      <c r="E441" t="s">
        <v>4745</v>
      </c>
      <c r="H441" t="s">
        <v>4746</v>
      </c>
      <c r="K441" s="31">
        <v>-10140542.08</v>
      </c>
      <c r="M441" s="31">
        <v>-10140542.08</v>
      </c>
      <c r="O441">
        <v>0</v>
      </c>
    </row>
    <row r="442" spans="3:18">
      <c r="C442">
        <v>5360</v>
      </c>
      <c r="E442" t="s">
        <v>4747</v>
      </c>
      <c r="H442" t="s">
        <v>4748</v>
      </c>
      <c r="K442" s="31">
        <v>-59131.15</v>
      </c>
      <c r="M442" s="31">
        <v>-59131.15</v>
      </c>
      <c r="O442">
        <v>0</v>
      </c>
    </row>
    <row r="443" spans="3:18">
      <c r="C443">
        <v>5360</v>
      </c>
      <c r="E443" t="s">
        <v>4749</v>
      </c>
      <c r="H443" t="s">
        <v>4750</v>
      </c>
      <c r="K443" s="31">
        <v>-122338.21</v>
      </c>
      <c r="M443" s="31">
        <v>-122338.21</v>
      </c>
      <c r="O443">
        <v>0</v>
      </c>
    </row>
    <row r="444" spans="3:18">
      <c r="C444">
        <v>5360</v>
      </c>
      <c r="E444" t="s">
        <v>4751</v>
      </c>
      <c r="H444" t="s">
        <v>4752</v>
      </c>
      <c r="K444" s="31">
        <v>-91841.96</v>
      </c>
      <c r="M444" s="31">
        <v>-91841.96</v>
      </c>
      <c r="O444">
        <v>0</v>
      </c>
    </row>
    <row r="445" spans="3:18">
      <c r="C445">
        <v>5360</v>
      </c>
      <c r="E445" t="s">
        <v>4753</v>
      </c>
      <c r="H445" t="s">
        <v>4754</v>
      </c>
      <c r="K445" s="31">
        <v>988134.15</v>
      </c>
      <c r="M445" s="31">
        <v>988134.15</v>
      </c>
      <c r="O445">
        <v>0</v>
      </c>
    </row>
    <row r="446" spans="3:18">
      <c r="C446">
        <v>5360</v>
      </c>
      <c r="E446" t="s">
        <v>4755</v>
      </c>
      <c r="H446" t="s">
        <v>4756</v>
      </c>
      <c r="K446" s="31">
        <v>1173314.77</v>
      </c>
      <c r="M446" s="31">
        <v>1173314.77</v>
      </c>
      <c r="O446">
        <v>0</v>
      </c>
    </row>
    <row r="447" spans="3:18">
      <c r="C447">
        <v>5360</v>
      </c>
      <c r="E447" t="s">
        <v>4757</v>
      </c>
      <c r="H447" t="s">
        <v>4758</v>
      </c>
      <c r="K447" s="31">
        <v>2733749.4</v>
      </c>
      <c r="M447" s="31">
        <v>2733749.4</v>
      </c>
      <c r="O447">
        <v>0</v>
      </c>
    </row>
    <row r="448" spans="3:18">
      <c r="C448">
        <v>5360</v>
      </c>
      <c r="E448" t="s">
        <v>4759</v>
      </c>
      <c r="H448" t="s">
        <v>4760</v>
      </c>
      <c r="K448" s="31">
        <v>477227.75</v>
      </c>
      <c r="M448" s="31">
        <v>477227.75</v>
      </c>
      <c r="O448">
        <v>0</v>
      </c>
    </row>
    <row r="449" spans="3:18">
      <c r="C449">
        <v>5360</v>
      </c>
      <c r="E449" t="s">
        <v>4761</v>
      </c>
      <c r="H449" t="s">
        <v>4762</v>
      </c>
      <c r="K449" s="31">
        <v>-3059964.65</v>
      </c>
      <c r="M449" s="31">
        <v>-3059964.65</v>
      </c>
      <c r="O449">
        <v>0</v>
      </c>
    </row>
    <row r="450" spans="3:18">
      <c r="C450">
        <v>5360</v>
      </c>
      <c r="E450" t="s">
        <v>4763</v>
      </c>
      <c r="H450" t="s">
        <v>4764</v>
      </c>
      <c r="K450" s="31">
        <v>-8835069.6699999999</v>
      </c>
      <c r="M450" s="31">
        <v>-8835069.6699999999</v>
      </c>
      <c r="O450">
        <v>0</v>
      </c>
    </row>
    <row r="451" spans="3:18">
      <c r="C451">
        <v>5360</v>
      </c>
      <c r="E451" t="s">
        <v>4765</v>
      </c>
      <c r="H451" t="s">
        <v>4766</v>
      </c>
      <c r="K451" s="31">
        <v>3749167</v>
      </c>
      <c r="M451" s="31">
        <v>3749167</v>
      </c>
      <c r="O451">
        <v>0</v>
      </c>
    </row>
    <row r="452" spans="3:18">
      <c r="C452">
        <v>5360</v>
      </c>
      <c r="E452" t="s">
        <v>4767</v>
      </c>
      <c r="H452" t="s">
        <v>4768</v>
      </c>
      <c r="K452" s="31">
        <v>-34242752.409999996</v>
      </c>
      <c r="M452" s="31">
        <v>-34242752.409999996</v>
      </c>
      <c r="O452">
        <v>0</v>
      </c>
    </row>
    <row r="453" spans="3:18">
      <c r="C453">
        <v>5360</v>
      </c>
      <c r="E453" t="s">
        <v>4769</v>
      </c>
      <c r="H453" t="s">
        <v>4770</v>
      </c>
      <c r="K453" s="31">
        <v>-381618.17</v>
      </c>
      <c r="M453" s="31">
        <v>-381618.17</v>
      </c>
      <c r="O453">
        <v>0</v>
      </c>
    </row>
    <row r="454" spans="3:18">
      <c r="C454">
        <v>5360</v>
      </c>
      <c r="E454" t="s">
        <v>4771</v>
      </c>
      <c r="H454" t="s">
        <v>4772</v>
      </c>
      <c r="K454">
        <v>0.32</v>
      </c>
      <c r="M454">
        <v>0.32</v>
      </c>
      <c r="O454">
        <v>0</v>
      </c>
    </row>
    <row r="455" spans="3:18">
      <c r="E455" t="s">
        <v>4773</v>
      </c>
      <c r="K455" s="31">
        <v>-53880931.009999998</v>
      </c>
      <c r="M455" s="31">
        <v>-53956179.450000003</v>
      </c>
      <c r="O455" s="31">
        <v>75248.44</v>
      </c>
      <c r="Q455">
        <v>0.1</v>
      </c>
      <c r="R455" t="s">
        <v>650</v>
      </c>
    </row>
    <row r="456" spans="3:18">
      <c r="E456" t="s">
        <v>4774</v>
      </c>
      <c r="K456" s="31">
        <v>-53880931.009999998</v>
      </c>
      <c r="M456" s="31">
        <v>-53956179.450000003</v>
      </c>
      <c r="O456" s="31">
        <v>75248.44</v>
      </c>
      <c r="Q456">
        <v>0.1</v>
      </c>
      <c r="R456" t="s">
        <v>658</v>
      </c>
    </row>
    <row r="457" spans="3:18">
      <c r="E457" t="s">
        <v>4775</v>
      </c>
      <c r="K457" s="31">
        <v>-159027626.28</v>
      </c>
      <c r="M457" s="31">
        <v>-159385952.21000001</v>
      </c>
      <c r="O457" s="31">
        <v>358325.93</v>
      </c>
      <c r="Q457">
        <v>0.2</v>
      </c>
      <c r="R457" t="s">
        <v>569</v>
      </c>
    </row>
    <row r="458" spans="3:18">
      <c r="C458">
        <v>5360</v>
      </c>
      <c r="E458" t="s">
        <v>4776</v>
      </c>
      <c r="H458" t="s">
        <v>4777</v>
      </c>
      <c r="K458" s="31">
        <v>-3329009</v>
      </c>
      <c r="M458" s="31">
        <v>-1957021</v>
      </c>
      <c r="O458" s="31">
        <v>-1371988</v>
      </c>
      <c r="Q458">
        <v>-70.099999999999994</v>
      </c>
    </row>
    <row r="459" spans="3:18">
      <c r="C459">
        <v>5360</v>
      </c>
      <c r="E459" t="s">
        <v>4778</v>
      </c>
      <c r="H459" t="s">
        <v>4779</v>
      </c>
      <c r="K459" s="31">
        <v>-104077.03</v>
      </c>
      <c r="M459" s="31">
        <v>-104077.03</v>
      </c>
      <c r="O459">
        <v>0</v>
      </c>
    </row>
    <row r="460" spans="3:18">
      <c r="C460">
        <v>5360</v>
      </c>
      <c r="E460" t="s">
        <v>4780</v>
      </c>
      <c r="H460" t="s">
        <v>4781</v>
      </c>
      <c r="K460" s="31">
        <v>-30110.52</v>
      </c>
      <c r="M460" s="31">
        <v>-30110.52</v>
      </c>
      <c r="O460">
        <v>0</v>
      </c>
    </row>
    <row r="461" spans="3:18">
      <c r="C461">
        <v>5360</v>
      </c>
      <c r="E461" t="s">
        <v>4782</v>
      </c>
      <c r="H461" t="s">
        <v>4783</v>
      </c>
      <c r="K461" s="31">
        <v>109214.61</v>
      </c>
      <c r="M461" s="31">
        <v>32431.99</v>
      </c>
      <c r="O461" s="31">
        <v>76782.62</v>
      </c>
      <c r="Q461">
        <v>236.7</v>
      </c>
    </row>
    <row r="462" spans="3:18">
      <c r="C462">
        <v>5360</v>
      </c>
      <c r="E462" t="s">
        <v>4786</v>
      </c>
      <c r="H462" t="s">
        <v>4787</v>
      </c>
      <c r="K462" s="31">
        <v>-426393.09</v>
      </c>
      <c r="M462" s="31">
        <v>-486365.73</v>
      </c>
      <c r="O462" s="31">
        <v>59972.639999999999</v>
      </c>
      <c r="Q462">
        <v>12.3</v>
      </c>
    </row>
    <row r="463" spans="3:18">
      <c r="C463">
        <v>5360</v>
      </c>
      <c r="E463" t="s">
        <v>4788</v>
      </c>
      <c r="H463" t="s">
        <v>4789</v>
      </c>
      <c r="K463" s="31">
        <v>733369.6</v>
      </c>
      <c r="M463" s="31">
        <v>131310.92000000001</v>
      </c>
      <c r="O463" s="31">
        <v>602058.68000000005</v>
      </c>
      <c r="Q463">
        <v>458.5</v>
      </c>
    </row>
    <row r="464" spans="3:18">
      <c r="C464">
        <v>5360</v>
      </c>
      <c r="E464" t="s">
        <v>4790</v>
      </c>
      <c r="H464" t="s">
        <v>4791</v>
      </c>
      <c r="K464" s="31">
        <v>-793342.24</v>
      </c>
      <c r="M464" s="31">
        <v>-43399.76</v>
      </c>
      <c r="O464" s="31">
        <v>-749942.48</v>
      </c>
      <c r="Q464">
        <v>-1728</v>
      </c>
    </row>
    <row r="465" spans="3:17">
      <c r="C465">
        <v>5360</v>
      </c>
      <c r="E465" t="s">
        <v>4792</v>
      </c>
      <c r="H465" t="s">
        <v>4793</v>
      </c>
      <c r="K465" s="31">
        <v>1262773.3899999999</v>
      </c>
      <c r="M465" s="31">
        <v>104568.01</v>
      </c>
      <c r="O465" s="31">
        <v>1158205.3799999999</v>
      </c>
      <c r="Q465">
        <v>1107.5999999999999</v>
      </c>
    </row>
    <row r="466" spans="3:17">
      <c r="C466">
        <v>5360</v>
      </c>
      <c r="E466" t="s">
        <v>4934</v>
      </c>
      <c r="H466" t="s">
        <v>4935</v>
      </c>
      <c r="K466" s="31">
        <v>-50869.279999999999</v>
      </c>
      <c r="M466">
        <v>0</v>
      </c>
      <c r="O466" s="31">
        <v>-50869.279999999999</v>
      </c>
    </row>
    <row r="467" spans="3:17">
      <c r="C467">
        <v>5360</v>
      </c>
      <c r="E467" t="s">
        <v>4794</v>
      </c>
      <c r="H467" t="s">
        <v>4795</v>
      </c>
      <c r="K467" s="31">
        <v>-1038845.49</v>
      </c>
      <c r="M467" s="31">
        <v>-606850.23</v>
      </c>
      <c r="O467" s="31">
        <v>-431995.26</v>
      </c>
      <c r="Q467">
        <v>-71.2</v>
      </c>
    </row>
    <row r="468" spans="3:17">
      <c r="C468">
        <v>5360</v>
      </c>
      <c r="E468" t="s">
        <v>4798</v>
      </c>
      <c r="H468" t="s">
        <v>4799</v>
      </c>
      <c r="K468" s="31">
        <v>1159731.6499999999</v>
      </c>
      <c r="M468" s="31">
        <v>1108862.3700000001</v>
      </c>
      <c r="O468" s="31">
        <v>50869.279999999999</v>
      </c>
      <c r="Q468">
        <v>4.5999999999999996</v>
      </c>
    </row>
    <row r="469" spans="3:17">
      <c r="C469">
        <v>5360</v>
      </c>
      <c r="E469" t="s">
        <v>5979</v>
      </c>
      <c r="H469" t="s">
        <v>5980</v>
      </c>
      <c r="K469" s="31">
        <v>-30110.52</v>
      </c>
      <c r="M469" s="31">
        <v>-30110.52</v>
      </c>
      <c r="O469">
        <v>0</v>
      </c>
    </row>
    <row r="470" spans="3:17">
      <c r="C470">
        <v>5360</v>
      </c>
      <c r="E470" t="s">
        <v>4802</v>
      </c>
      <c r="H470" t="s">
        <v>4803</v>
      </c>
      <c r="K470" s="31">
        <v>-70512.210000000006</v>
      </c>
      <c r="M470" s="31">
        <v>-16416.8</v>
      </c>
      <c r="O470" s="31">
        <v>-54095.41</v>
      </c>
      <c r="Q470">
        <v>-329.5</v>
      </c>
    </row>
    <row r="471" spans="3:17">
      <c r="C471">
        <v>5360</v>
      </c>
      <c r="E471" t="s">
        <v>6062</v>
      </c>
      <c r="H471" t="s">
        <v>6063</v>
      </c>
      <c r="K471" s="31">
        <v>502507.47</v>
      </c>
      <c r="M471">
        <v>0</v>
      </c>
      <c r="O471" s="31">
        <v>502507.47</v>
      </c>
    </row>
    <row r="472" spans="3:17">
      <c r="C472">
        <v>5360</v>
      </c>
      <c r="E472" t="s">
        <v>4804</v>
      </c>
      <c r="H472" t="s">
        <v>4805</v>
      </c>
      <c r="K472" s="31">
        <v>-8582363.0899999999</v>
      </c>
      <c r="M472" s="31">
        <v>-8412719.5600000005</v>
      </c>
      <c r="O472" s="31">
        <v>-169643.53</v>
      </c>
      <c r="Q472">
        <v>-2</v>
      </c>
    </row>
    <row r="473" spans="3:17">
      <c r="C473">
        <v>5360</v>
      </c>
      <c r="E473" t="s">
        <v>4938</v>
      </c>
      <c r="H473" t="s">
        <v>4939</v>
      </c>
      <c r="K473" s="31">
        <v>45430.239999999998</v>
      </c>
      <c r="M473">
        <v>0</v>
      </c>
      <c r="O473" s="31">
        <v>45430.239999999998</v>
      </c>
    </row>
    <row r="474" spans="3:17">
      <c r="C474">
        <v>5360</v>
      </c>
      <c r="E474" t="s">
        <v>4806</v>
      </c>
      <c r="H474" t="s">
        <v>4807</v>
      </c>
      <c r="K474" s="31">
        <v>92657.3</v>
      </c>
      <c r="M474">
        <v>746.72</v>
      </c>
      <c r="O474" s="31">
        <v>91910.58</v>
      </c>
      <c r="Q474">
        <v>12308.6</v>
      </c>
    </row>
    <row r="475" spans="3:17">
      <c r="C475">
        <v>5360</v>
      </c>
      <c r="E475" t="s">
        <v>4808</v>
      </c>
      <c r="H475" t="s">
        <v>4809</v>
      </c>
      <c r="K475" s="31">
        <v>31555.99</v>
      </c>
      <c r="M475" s="31">
        <v>74794.94</v>
      </c>
      <c r="O475" s="31">
        <v>-43238.95</v>
      </c>
      <c r="Q475">
        <v>-57.8</v>
      </c>
    </row>
    <row r="476" spans="3:17">
      <c r="C476">
        <v>5360</v>
      </c>
      <c r="E476" t="s">
        <v>4810</v>
      </c>
      <c r="H476" t="s">
        <v>4811</v>
      </c>
      <c r="K476" s="31">
        <v>-227150.47</v>
      </c>
      <c r="M476" s="31">
        <v>-181636.16</v>
      </c>
      <c r="O476" s="31">
        <v>-45514.31</v>
      </c>
      <c r="Q476">
        <v>-25.1</v>
      </c>
    </row>
    <row r="477" spans="3:17">
      <c r="C477">
        <v>5360</v>
      </c>
      <c r="E477" t="s">
        <v>4812</v>
      </c>
      <c r="H477" t="s">
        <v>4813</v>
      </c>
      <c r="K477" s="31">
        <v>-4283622.59</v>
      </c>
      <c r="M477" s="31">
        <v>-4831502.03</v>
      </c>
      <c r="O477" s="31">
        <v>547879.43999999994</v>
      </c>
      <c r="Q477">
        <v>11.3</v>
      </c>
    </row>
    <row r="478" spans="3:17">
      <c r="C478">
        <v>5360</v>
      </c>
      <c r="E478" t="s">
        <v>4814</v>
      </c>
      <c r="H478" t="s">
        <v>4815</v>
      </c>
      <c r="K478" s="31">
        <v>-2530448.58</v>
      </c>
      <c r="M478" s="31">
        <v>-1373706.96</v>
      </c>
      <c r="O478" s="31">
        <v>-1156741.6200000001</v>
      </c>
      <c r="Q478">
        <v>-84.2</v>
      </c>
    </row>
    <row r="479" spans="3:17">
      <c r="C479">
        <v>5360</v>
      </c>
      <c r="E479" t="s">
        <v>4816</v>
      </c>
      <c r="H479" t="s">
        <v>4817</v>
      </c>
      <c r="K479" s="31">
        <v>11993.95</v>
      </c>
      <c r="M479" s="31">
        <v>79745.59</v>
      </c>
      <c r="O479" s="31">
        <v>-67751.64</v>
      </c>
      <c r="Q479">
        <v>-85</v>
      </c>
    </row>
    <row r="480" spans="3:17">
      <c r="C480">
        <v>5360</v>
      </c>
      <c r="E480" t="s">
        <v>4818</v>
      </c>
      <c r="H480" t="s">
        <v>4819</v>
      </c>
      <c r="K480" s="31">
        <v>1970575.19</v>
      </c>
      <c r="M480" s="31">
        <v>510383.87</v>
      </c>
      <c r="O480" s="31">
        <v>1460191.32</v>
      </c>
      <c r="Q480">
        <v>286.10000000000002</v>
      </c>
    </row>
    <row r="481" spans="3:18">
      <c r="C481">
        <v>5360</v>
      </c>
      <c r="E481" t="s">
        <v>4820</v>
      </c>
      <c r="H481" t="s">
        <v>4821</v>
      </c>
      <c r="K481" s="31">
        <v>-1956807.37</v>
      </c>
      <c r="M481" s="31">
        <v>1968664.51</v>
      </c>
      <c r="O481" s="31">
        <v>-3925471.88</v>
      </c>
      <c r="Q481">
        <v>-199.4</v>
      </c>
    </row>
    <row r="482" spans="3:18">
      <c r="C482">
        <v>5360</v>
      </c>
      <c r="E482" t="s">
        <v>4822</v>
      </c>
      <c r="H482" t="s">
        <v>4823</v>
      </c>
      <c r="K482" s="31">
        <v>-33335340.75</v>
      </c>
      <c r="M482" s="31">
        <v>-35292148.119999997</v>
      </c>
      <c r="O482" s="31">
        <v>1956807.37</v>
      </c>
      <c r="Q482">
        <v>5.5</v>
      </c>
    </row>
    <row r="483" spans="3:18">
      <c r="C483">
        <v>5360</v>
      </c>
      <c r="E483" t="s">
        <v>4824</v>
      </c>
      <c r="H483" t="s">
        <v>4811</v>
      </c>
      <c r="K483" s="31">
        <v>-2833827.63</v>
      </c>
      <c r="M483" s="31">
        <v>-2817783.31</v>
      </c>
      <c r="O483" s="31">
        <v>-16044.32</v>
      </c>
      <c r="Q483">
        <v>-0.6</v>
      </c>
    </row>
    <row r="484" spans="3:18">
      <c r="C484">
        <v>5360</v>
      </c>
      <c r="E484" t="s">
        <v>4825</v>
      </c>
      <c r="H484" t="s">
        <v>4826</v>
      </c>
      <c r="K484" s="31">
        <v>-2930974.21</v>
      </c>
      <c r="M484" s="31">
        <v>-1279669.22</v>
      </c>
      <c r="O484" s="31">
        <v>-1651304.99</v>
      </c>
      <c r="Q484">
        <v>-129</v>
      </c>
    </row>
    <row r="485" spans="3:18">
      <c r="E485" t="s">
        <v>4827</v>
      </c>
      <c r="K485" s="31">
        <v>-56633994.68</v>
      </c>
      <c r="M485" s="31">
        <v>-53452008.030000001</v>
      </c>
      <c r="O485" s="31">
        <v>-3181986.65</v>
      </c>
      <c r="Q485">
        <v>-6</v>
      </c>
      <c r="R485" t="s">
        <v>569</v>
      </c>
    </row>
    <row r="486" spans="3:18">
      <c r="C486">
        <v>5360</v>
      </c>
      <c r="E486" t="s">
        <v>4828</v>
      </c>
      <c r="H486" t="s">
        <v>4829</v>
      </c>
      <c r="K486">
        <v>-38</v>
      </c>
      <c r="M486">
        <v>-38</v>
      </c>
      <c r="O486">
        <v>0</v>
      </c>
    </row>
    <row r="487" spans="3:18">
      <c r="E487" t="s">
        <v>4830</v>
      </c>
      <c r="K487">
        <v>-38</v>
      </c>
      <c r="M487">
        <v>-38</v>
      </c>
      <c r="O487">
        <v>0</v>
      </c>
      <c r="R487" t="s">
        <v>569</v>
      </c>
    </row>
    <row r="488" spans="3:18">
      <c r="C488">
        <v>5360</v>
      </c>
      <c r="E488" t="s">
        <v>4831</v>
      </c>
      <c r="H488" t="s">
        <v>4832</v>
      </c>
      <c r="K488" s="31">
        <v>-600000.13</v>
      </c>
      <c r="M488" s="31">
        <v>-600000.13</v>
      </c>
      <c r="O488">
        <v>0</v>
      </c>
    </row>
    <row r="489" spans="3:18">
      <c r="C489">
        <v>5360</v>
      </c>
      <c r="E489" t="s">
        <v>4833</v>
      </c>
      <c r="H489" t="s">
        <v>4834</v>
      </c>
      <c r="K489" s="31">
        <v>-2515876.39</v>
      </c>
      <c r="M489" s="31">
        <v>-2515876.39</v>
      </c>
      <c r="O489">
        <v>0</v>
      </c>
    </row>
    <row r="490" spans="3:18">
      <c r="C490">
        <v>5360</v>
      </c>
      <c r="E490" t="s">
        <v>4835</v>
      </c>
      <c r="H490" t="s">
        <v>4836</v>
      </c>
      <c r="K490" s="31">
        <v>16227.16</v>
      </c>
      <c r="M490" s="31">
        <v>16227.16</v>
      </c>
      <c r="O490">
        <v>0</v>
      </c>
    </row>
    <row r="491" spans="3:18">
      <c r="C491">
        <v>5360</v>
      </c>
      <c r="E491" t="s">
        <v>4942</v>
      </c>
      <c r="H491" t="s">
        <v>4943</v>
      </c>
      <c r="K491" s="31">
        <v>18806.849999999999</v>
      </c>
      <c r="M491" s="31">
        <v>18806.849999999999</v>
      </c>
      <c r="O491">
        <v>0</v>
      </c>
    </row>
    <row r="492" spans="3:18">
      <c r="C492">
        <v>5360</v>
      </c>
      <c r="E492" t="s">
        <v>4837</v>
      </c>
      <c r="H492" t="s">
        <v>4838</v>
      </c>
      <c r="K492" s="31">
        <v>-46121.25</v>
      </c>
      <c r="M492" s="31">
        <v>-46121.25</v>
      </c>
      <c r="O492">
        <v>0</v>
      </c>
    </row>
    <row r="493" spans="3:18">
      <c r="C493">
        <v>5360</v>
      </c>
      <c r="E493" t="s">
        <v>5981</v>
      </c>
      <c r="H493" t="s">
        <v>5982</v>
      </c>
      <c r="K493" s="31">
        <v>2049750</v>
      </c>
      <c r="M493">
        <v>0</v>
      </c>
      <c r="O493" s="31">
        <v>2049750</v>
      </c>
    </row>
    <row r="494" spans="3:18">
      <c r="C494">
        <v>5360</v>
      </c>
      <c r="E494" t="s">
        <v>4839</v>
      </c>
      <c r="H494" t="s">
        <v>4840</v>
      </c>
      <c r="K494" s="31">
        <v>163562.34</v>
      </c>
      <c r="M494" s="31">
        <v>51761.54</v>
      </c>
      <c r="O494" s="31">
        <v>111800.8</v>
      </c>
      <c r="Q494">
        <v>216</v>
      </c>
    </row>
    <row r="495" spans="3:18">
      <c r="C495">
        <v>5360</v>
      </c>
      <c r="E495" t="s">
        <v>4841</v>
      </c>
      <c r="H495" t="s">
        <v>4842</v>
      </c>
      <c r="K495" s="31">
        <v>-5075041.41</v>
      </c>
      <c r="M495" s="31">
        <v>-5622499.8399999999</v>
      </c>
      <c r="O495" s="31">
        <v>547458.43000000005</v>
      </c>
      <c r="Q495">
        <v>9.6999999999999993</v>
      </c>
    </row>
    <row r="496" spans="3:18">
      <c r="C496">
        <v>5360</v>
      </c>
      <c r="E496" t="s">
        <v>4843</v>
      </c>
      <c r="H496" t="s">
        <v>4844</v>
      </c>
      <c r="K496" s="31">
        <v>9524846.8800000008</v>
      </c>
      <c r="M496" s="31">
        <v>11703191.869999999</v>
      </c>
      <c r="O496" s="31">
        <v>-2178344.9900000002</v>
      </c>
      <c r="Q496">
        <v>-18.600000000000001</v>
      </c>
    </row>
    <row r="497" spans="3:17">
      <c r="C497">
        <v>5360</v>
      </c>
      <c r="E497" t="s">
        <v>4845</v>
      </c>
      <c r="H497" t="s">
        <v>4846</v>
      </c>
      <c r="K497" s="31">
        <v>1272875.25</v>
      </c>
      <c r="M497" s="31">
        <v>1436437.59</v>
      </c>
      <c r="O497" s="31">
        <v>-163562.34</v>
      </c>
      <c r="Q497">
        <v>-11.4</v>
      </c>
    </row>
    <row r="498" spans="3:17">
      <c r="C498">
        <v>5360</v>
      </c>
      <c r="E498" t="s">
        <v>4847</v>
      </c>
      <c r="H498" t="s">
        <v>4848</v>
      </c>
      <c r="K498" s="31">
        <v>-463909.4</v>
      </c>
      <c r="M498">
        <v>310.2</v>
      </c>
      <c r="O498" s="31">
        <v>-464219.6</v>
      </c>
      <c r="Q498" t="s">
        <v>6064</v>
      </c>
    </row>
    <row r="499" spans="3:17">
      <c r="C499">
        <v>5360</v>
      </c>
      <c r="E499" t="s">
        <v>4849</v>
      </c>
      <c r="H499" t="s">
        <v>4850</v>
      </c>
      <c r="K499" s="31">
        <v>-1077825</v>
      </c>
      <c r="M499" s="31">
        <v>-1053398</v>
      </c>
      <c r="O499" s="31">
        <v>-24427</v>
      </c>
      <c r="Q499">
        <v>-2.2999999999999998</v>
      </c>
    </row>
    <row r="500" spans="3:17">
      <c r="C500">
        <v>5360</v>
      </c>
      <c r="E500" t="s">
        <v>4851</v>
      </c>
      <c r="H500" t="s">
        <v>4852</v>
      </c>
      <c r="K500" s="31">
        <v>-2795808.32</v>
      </c>
      <c r="M500" s="31">
        <v>267287.51</v>
      </c>
      <c r="O500" s="31">
        <v>-3063095.83</v>
      </c>
      <c r="Q500">
        <v>-1146</v>
      </c>
    </row>
    <row r="501" spans="3:17">
      <c r="C501">
        <v>5360</v>
      </c>
      <c r="E501" t="s">
        <v>5983</v>
      </c>
      <c r="H501" t="s">
        <v>4868</v>
      </c>
      <c r="K501" s="31">
        <v>-83549.03</v>
      </c>
      <c r="M501" s="31">
        <v>-10964.17</v>
      </c>
      <c r="O501" s="31">
        <v>-72584.86</v>
      </c>
      <c r="Q501">
        <v>-662</v>
      </c>
    </row>
    <row r="502" spans="3:17">
      <c r="C502">
        <v>5360</v>
      </c>
      <c r="E502" t="s">
        <v>4853</v>
      </c>
      <c r="H502" t="s">
        <v>4854</v>
      </c>
      <c r="K502" s="31">
        <v>24427</v>
      </c>
      <c r="M502" s="31">
        <v>-28406</v>
      </c>
      <c r="O502" s="31">
        <v>52833</v>
      </c>
      <c r="Q502">
        <v>186</v>
      </c>
    </row>
    <row r="503" spans="3:17">
      <c r="C503">
        <v>5360</v>
      </c>
      <c r="E503" t="s">
        <v>5984</v>
      </c>
      <c r="H503" t="s">
        <v>4870</v>
      </c>
      <c r="K503" s="31">
        <v>128594.99</v>
      </c>
      <c r="M503" s="31">
        <v>12962.83</v>
      </c>
      <c r="O503" s="31">
        <v>115632.16</v>
      </c>
      <c r="Q503">
        <v>892</v>
      </c>
    </row>
    <row r="504" spans="3:17">
      <c r="C504">
        <v>5360</v>
      </c>
      <c r="E504" t="s">
        <v>4855</v>
      </c>
      <c r="H504" t="s">
        <v>4856</v>
      </c>
      <c r="K504" s="31">
        <v>-397230.2</v>
      </c>
      <c r="M504" s="31">
        <v>-397230.2</v>
      </c>
      <c r="O504">
        <v>0</v>
      </c>
    </row>
    <row r="505" spans="3:17">
      <c r="C505">
        <v>5360</v>
      </c>
      <c r="E505" t="s">
        <v>4857</v>
      </c>
      <c r="H505" t="s">
        <v>4858</v>
      </c>
      <c r="K505" s="31">
        <v>-11221332.449999999</v>
      </c>
      <c r="M505" s="31">
        <v>-10739904.16</v>
      </c>
      <c r="O505" s="31">
        <v>-481428.29</v>
      </c>
      <c r="Q505">
        <v>-4.5</v>
      </c>
    </row>
    <row r="506" spans="3:17">
      <c r="C506">
        <v>5360</v>
      </c>
      <c r="E506" t="s">
        <v>4859</v>
      </c>
      <c r="H506" t="s">
        <v>4860</v>
      </c>
      <c r="K506" s="31">
        <v>3277236.61</v>
      </c>
      <c r="M506" s="31">
        <v>503983.98</v>
      </c>
      <c r="O506" s="31">
        <v>2773252.63</v>
      </c>
      <c r="Q506">
        <v>550.29999999999995</v>
      </c>
    </row>
    <row r="507" spans="3:17">
      <c r="C507">
        <v>5360</v>
      </c>
      <c r="E507" t="s">
        <v>4863</v>
      </c>
      <c r="H507" t="s">
        <v>4864</v>
      </c>
      <c r="K507" s="31">
        <v>-2438235.65</v>
      </c>
      <c r="M507">
        <v>0</v>
      </c>
      <c r="O507" s="31">
        <v>-2438235.65</v>
      </c>
    </row>
    <row r="508" spans="3:17">
      <c r="C508">
        <v>5360</v>
      </c>
      <c r="E508" t="s">
        <v>4865</v>
      </c>
      <c r="H508" t="s">
        <v>4842</v>
      </c>
      <c r="K508" s="31">
        <v>12534891.960000001</v>
      </c>
      <c r="M508" s="31">
        <v>17588471.960000001</v>
      </c>
      <c r="O508" s="31">
        <v>-5053580</v>
      </c>
      <c r="Q508">
        <v>-28.7</v>
      </c>
    </row>
    <row r="509" spans="3:17">
      <c r="C509">
        <v>5360</v>
      </c>
      <c r="E509" t="s">
        <v>4866</v>
      </c>
      <c r="H509" t="s">
        <v>4844</v>
      </c>
      <c r="K509" s="31">
        <v>-39554644.009999998</v>
      </c>
      <c r="M509" s="31">
        <v>-19853116.010000002</v>
      </c>
      <c r="O509" s="31">
        <v>-19701528</v>
      </c>
      <c r="Q509">
        <v>-99.2</v>
      </c>
    </row>
    <row r="510" spans="3:17">
      <c r="C510">
        <v>5360</v>
      </c>
      <c r="E510" t="s">
        <v>4944</v>
      </c>
      <c r="H510" t="s">
        <v>4945</v>
      </c>
      <c r="K510" s="31">
        <v>-975967.1</v>
      </c>
      <c r="M510">
        <v>0</v>
      </c>
      <c r="O510" s="31">
        <v>-975967.1</v>
      </c>
    </row>
    <row r="511" spans="3:17">
      <c r="C511">
        <v>5360</v>
      </c>
      <c r="E511" t="s">
        <v>4871</v>
      </c>
      <c r="H511" t="s">
        <v>4872</v>
      </c>
      <c r="K511" s="31">
        <v>-103414.45</v>
      </c>
      <c r="M511" s="31">
        <v>-103414.45</v>
      </c>
      <c r="O511">
        <v>0</v>
      </c>
    </row>
    <row r="512" spans="3:17">
      <c r="C512">
        <v>5360</v>
      </c>
      <c r="E512" t="s">
        <v>4946</v>
      </c>
      <c r="H512" t="s">
        <v>4947</v>
      </c>
      <c r="K512" s="31">
        <v>5053580</v>
      </c>
      <c r="M512">
        <v>0</v>
      </c>
      <c r="O512" s="31">
        <v>5053580</v>
      </c>
    </row>
    <row r="513" spans="3:18">
      <c r="C513">
        <v>5360</v>
      </c>
      <c r="E513" t="s">
        <v>4948</v>
      </c>
      <c r="H513" t="s">
        <v>4949</v>
      </c>
      <c r="K513" s="31">
        <v>19701528</v>
      </c>
      <c r="M513">
        <v>0</v>
      </c>
      <c r="O513" s="31">
        <v>19701528</v>
      </c>
    </row>
    <row r="514" spans="3:18">
      <c r="C514">
        <v>5360</v>
      </c>
      <c r="E514" t="s">
        <v>4873</v>
      </c>
      <c r="H514" t="s">
        <v>4858</v>
      </c>
      <c r="K514" s="31">
        <v>-22114008.300000001</v>
      </c>
      <c r="M514" s="31">
        <v>-24552243.949999999</v>
      </c>
      <c r="O514" s="31">
        <v>2438235.65</v>
      </c>
      <c r="Q514">
        <v>9.9</v>
      </c>
    </row>
    <row r="515" spans="3:18">
      <c r="C515">
        <v>5360</v>
      </c>
      <c r="E515" t="s">
        <v>4874</v>
      </c>
      <c r="H515" t="s">
        <v>4875</v>
      </c>
      <c r="K515" s="31">
        <v>35292148.119999997</v>
      </c>
      <c r="M515" s="31">
        <v>33323483.609999999</v>
      </c>
      <c r="O515" s="31">
        <v>1968664.51</v>
      </c>
      <c r="Q515">
        <v>5.9</v>
      </c>
    </row>
    <row r="516" spans="3:18">
      <c r="E516" t="s">
        <v>4876</v>
      </c>
      <c r="K516" s="31">
        <v>-404487.93</v>
      </c>
      <c r="M516" s="31">
        <v>-600249.44999999995</v>
      </c>
      <c r="O516" s="31">
        <v>195761.52</v>
      </c>
      <c r="Q516">
        <v>32.6</v>
      </c>
      <c r="R516" t="s">
        <v>569</v>
      </c>
    </row>
    <row r="517" spans="3:18">
      <c r="C517">
        <v>5360</v>
      </c>
      <c r="E517" t="s">
        <v>4877</v>
      </c>
      <c r="H517" t="s">
        <v>4878</v>
      </c>
      <c r="K517">
        <v>0.67</v>
      </c>
      <c r="M517">
        <v>0.67</v>
      </c>
      <c r="O517">
        <v>0</v>
      </c>
    </row>
    <row r="518" spans="3:18">
      <c r="C518">
        <v>5360</v>
      </c>
      <c r="E518" t="s">
        <v>4879</v>
      </c>
      <c r="H518" t="s">
        <v>4880</v>
      </c>
      <c r="K518">
        <v>-71.91</v>
      </c>
      <c r="M518">
        <v>-71.91</v>
      </c>
      <c r="O518">
        <v>0</v>
      </c>
    </row>
    <row r="519" spans="3:18">
      <c r="C519">
        <v>5360</v>
      </c>
      <c r="E519" t="s">
        <v>4881</v>
      </c>
      <c r="H519" t="s">
        <v>4882</v>
      </c>
      <c r="K519" s="31">
        <v>-21269571.190000001</v>
      </c>
      <c r="M519" s="31">
        <v>-19247200.710000001</v>
      </c>
      <c r="O519" s="31">
        <v>-2022370.48</v>
      </c>
      <c r="Q519">
        <v>-10.5</v>
      </c>
    </row>
    <row r="520" spans="3:18">
      <c r="C520">
        <v>5360</v>
      </c>
      <c r="E520" t="s">
        <v>4885</v>
      </c>
      <c r="H520" t="s">
        <v>4886</v>
      </c>
      <c r="K520">
        <v>-3.02</v>
      </c>
      <c r="M520">
        <v>-3.02</v>
      </c>
      <c r="O520">
        <v>0</v>
      </c>
    </row>
    <row r="521" spans="3:18">
      <c r="C521">
        <v>5360</v>
      </c>
      <c r="E521" t="s">
        <v>4887</v>
      </c>
      <c r="H521" t="s">
        <v>4878</v>
      </c>
      <c r="K521" s="31">
        <v>-29894.63</v>
      </c>
      <c r="M521" s="31">
        <v>-22302.75</v>
      </c>
      <c r="O521" s="31">
        <v>-7591.88</v>
      </c>
      <c r="Q521">
        <v>-34</v>
      </c>
    </row>
    <row r="522" spans="3:18">
      <c r="C522">
        <v>5360</v>
      </c>
      <c r="E522" t="s">
        <v>4888</v>
      </c>
      <c r="H522" t="s">
        <v>4880</v>
      </c>
      <c r="K522" s="31">
        <v>-516649.58</v>
      </c>
      <c r="M522" s="31">
        <v>-2260618.86</v>
      </c>
      <c r="O522" s="31">
        <v>1743969.28</v>
      </c>
      <c r="Q522">
        <v>77.099999999999994</v>
      </c>
    </row>
    <row r="523" spans="3:18">
      <c r="C523">
        <v>5360</v>
      </c>
      <c r="E523" t="s">
        <v>4889</v>
      </c>
      <c r="H523" t="s">
        <v>4890</v>
      </c>
      <c r="K523" s="31">
        <v>-83205.52</v>
      </c>
      <c r="M523" s="31">
        <v>-83205.52</v>
      </c>
      <c r="O523">
        <v>0</v>
      </c>
    </row>
    <row r="524" spans="3:18">
      <c r="C524">
        <v>5360</v>
      </c>
      <c r="E524" t="s">
        <v>5985</v>
      </c>
      <c r="H524" t="s">
        <v>5986</v>
      </c>
      <c r="K524">
        <v>0</v>
      </c>
      <c r="M524" s="31">
        <v>-5469211.5999999996</v>
      </c>
      <c r="O524" s="31">
        <v>5469211.5999999996</v>
      </c>
      <c r="Q524">
        <v>100</v>
      </c>
    </row>
    <row r="525" spans="3:18">
      <c r="C525">
        <v>5360</v>
      </c>
      <c r="E525" t="s">
        <v>4891</v>
      </c>
      <c r="H525" t="s">
        <v>3537</v>
      </c>
      <c r="K525" s="31">
        <v>-5649093.5800000001</v>
      </c>
      <c r="M525" s="31">
        <v>-5605288.1200000001</v>
      </c>
      <c r="O525" s="31">
        <v>-43805.46</v>
      </c>
      <c r="Q525">
        <v>-0.8</v>
      </c>
    </row>
    <row r="526" spans="3:18">
      <c r="C526">
        <v>5360</v>
      </c>
      <c r="E526" t="s">
        <v>4892</v>
      </c>
      <c r="H526" t="s">
        <v>4893</v>
      </c>
      <c r="K526" s="31">
        <v>-1513358.88</v>
      </c>
      <c r="M526" s="31">
        <v>-1129755.6100000001</v>
      </c>
      <c r="O526" s="31">
        <v>-383603.27</v>
      </c>
      <c r="Q526">
        <v>-34</v>
      </c>
    </row>
    <row r="527" spans="3:18">
      <c r="C527">
        <v>5360</v>
      </c>
      <c r="E527" t="s">
        <v>4894</v>
      </c>
      <c r="H527" t="s">
        <v>4895</v>
      </c>
      <c r="K527" s="31">
        <v>-2147.6799999999998</v>
      </c>
      <c r="M527" s="31">
        <v>-2147.6799999999998</v>
      </c>
      <c r="O527">
        <v>0</v>
      </c>
    </row>
    <row r="528" spans="3:18">
      <c r="C528">
        <v>5360</v>
      </c>
      <c r="E528" t="s">
        <v>4896</v>
      </c>
      <c r="H528" t="s">
        <v>4357</v>
      </c>
      <c r="K528" s="31">
        <v>-9941481</v>
      </c>
      <c r="M528" s="31">
        <v>-11238018.380000001</v>
      </c>
      <c r="O528" s="31">
        <v>1296537.3799999999</v>
      </c>
      <c r="Q528">
        <v>11.5</v>
      </c>
    </row>
    <row r="529" spans="3:18">
      <c r="C529">
        <v>5360</v>
      </c>
      <c r="E529" t="s">
        <v>4897</v>
      </c>
      <c r="H529" t="s">
        <v>4359</v>
      </c>
      <c r="K529">
        <v>-610.99</v>
      </c>
      <c r="M529">
        <v>-610.99</v>
      </c>
      <c r="O529">
        <v>0</v>
      </c>
    </row>
    <row r="530" spans="3:18">
      <c r="C530">
        <v>5360</v>
      </c>
      <c r="E530" t="s">
        <v>4898</v>
      </c>
      <c r="H530" t="s">
        <v>4361</v>
      </c>
      <c r="K530" s="31">
        <v>-41926.01</v>
      </c>
      <c r="M530" s="31">
        <v>-41555.769999999997</v>
      </c>
      <c r="O530">
        <v>-370.24</v>
      </c>
      <c r="Q530">
        <v>-0.9</v>
      </c>
    </row>
    <row r="531" spans="3:18">
      <c r="C531">
        <v>5360</v>
      </c>
      <c r="E531" t="s">
        <v>4899</v>
      </c>
      <c r="H531" t="s">
        <v>1704</v>
      </c>
      <c r="K531" s="31">
        <v>-4132243.69</v>
      </c>
      <c r="M531" s="31">
        <v>-1225686.5900000001</v>
      </c>
      <c r="O531" s="31">
        <v>-2906557.1</v>
      </c>
      <c r="Q531">
        <v>-237.1</v>
      </c>
    </row>
    <row r="532" spans="3:18">
      <c r="C532">
        <v>5360</v>
      </c>
      <c r="E532" t="s">
        <v>4900</v>
      </c>
      <c r="H532" t="s">
        <v>4363</v>
      </c>
      <c r="K532" s="31">
        <v>-30831.360000000001</v>
      </c>
      <c r="M532" s="31">
        <v>-30831.360000000001</v>
      </c>
      <c r="O532">
        <v>0</v>
      </c>
    </row>
    <row r="533" spans="3:18">
      <c r="C533">
        <v>5360</v>
      </c>
      <c r="E533" t="s">
        <v>4901</v>
      </c>
      <c r="H533" t="s">
        <v>4365</v>
      </c>
      <c r="K533" s="31">
        <v>-91862.8</v>
      </c>
      <c r="M533" s="31">
        <v>-60336.04</v>
      </c>
      <c r="O533" s="31">
        <v>-31526.76</v>
      </c>
      <c r="Q533">
        <v>-52.3</v>
      </c>
    </row>
    <row r="534" spans="3:18">
      <c r="C534">
        <v>5360</v>
      </c>
      <c r="E534" t="s">
        <v>4902</v>
      </c>
      <c r="H534" t="s">
        <v>4903</v>
      </c>
      <c r="K534" s="31">
        <v>-2058319.12</v>
      </c>
      <c r="M534" s="31">
        <v>-2441922.39</v>
      </c>
      <c r="O534" s="31">
        <v>383603.27</v>
      </c>
      <c r="Q534">
        <v>15.7</v>
      </c>
    </row>
    <row r="535" spans="3:18">
      <c r="C535">
        <v>5360</v>
      </c>
      <c r="E535" t="s">
        <v>5987</v>
      </c>
      <c r="H535" t="s">
        <v>4335</v>
      </c>
      <c r="K535" s="31">
        <v>-61630055.799999997</v>
      </c>
      <c r="M535" s="31">
        <v>-54857686.619999997</v>
      </c>
      <c r="O535" s="31">
        <v>-6772369.1799999997</v>
      </c>
      <c r="Q535">
        <v>-12.3</v>
      </c>
    </row>
    <row r="536" spans="3:18">
      <c r="C536">
        <v>5360</v>
      </c>
      <c r="E536" t="s">
        <v>4904</v>
      </c>
      <c r="H536" t="s">
        <v>4905</v>
      </c>
      <c r="K536" s="31">
        <v>-3179495.01</v>
      </c>
      <c r="M536">
        <v>0</v>
      </c>
      <c r="O536" s="31">
        <v>-3179495.01</v>
      </c>
    </row>
    <row r="537" spans="3:18">
      <c r="C537">
        <v>5360</v>
      </c>
      <c r="E537" t="s">
        <v>4906</v>
      </c>
      <c r="H537" t="s">
        <v>4907</v>
      </c>
      <c r="K537" s="31">
        <v>56338.37</v>
      </c>
      <c r="M537" s="31">
        <v>56910.080000000002</v>
      </c>
      <c r="O537">
        <v>-571.71</v>
      </c>
      <c r="Q537">
        <v>-1</v>
      </c>
    </row>
    <row r="538" spans="3:18">
      <c r="C538">
        <v>5360</v>
      </c>
      <c r="E538" t="s">
        <v>4908</v>
      </c>
      <c r="H538" t="s">
        <v>4909</v>
      </c>
      <c r="K538" s="31">
        <v>67048.759999999995</v>
      </c>
      <c r="M538">
        <v>0</v>
      </c>
      <c r="O538" s="31">
        <v>67048.759999999995</v>
      </c>
    </row>
    <row r="539" spans="3:18">
      <c r="E539" t="s">
        <v>4910</v>
      </c>
      <c r="K539" s="31">
        <v>-110047433.97</v>
      </c>
      <c r="M539" s="31">
        <v>-103659543.17</v>
      </c>
      <c r="O539" s="31">
        <v>-6387890.7999999998</v>
      </c>
      <c r="Q539">
        <v>-6.2</v>
      </c>
      <c r="R539" t="s">
        <v>569</v>
      </c>
    </row>
    <row r="540" spans="3:18">
      <c r="C540">
        <v>5360</v>
      </c>
      <c r="E540" t="s">
        <v>4911</v>
      </c>
      <c r="H540" t="s">
        <v>4912</v>
      </c>
      <c r="K540" s="31">
        <v>9014552.4100000001</v>
      </c>
      <c r="M540" s="31">
        <v>9372878.3399999999</v>
      </c>
      <c r="O540" s="31">
        <v>-358325.93</v>
      </c>
      <c r="Q540">
        <v>-3.8</v>
      </c>
    </row>
    <row r="541" spans="3:18">
      <c r="E541" t="s">
        <v>4913</v>
      </c>
      <c r="K541" s="31">
        <v>9014552.4100000001</v>
      </c>
      <c r="M541" s="31">
        <v>9372878.3399999999</v>
      </c>
      <c r="O541" s="31">
        <v>-358325.93</v>
      </c>
      <c r="Q541">
        <v>-3.8</v>
      </c>
      <c r="R541" t="s">
        <v>569</v>
      </c>
    </row>
    <row r="542" spans="3:18">
      <c r="E542" t="s">
        <v>4914</v>
      </c>
      <c r="K542" s="31">
        <v>-317099028.44999999</v>
      </c>
      <c r="M542" s="31">
        <v>-307724912.51999998</v>
      </c>
      <c r="O542" s="31">
        <v>-9374115.9299999997</v>
      </c>
      <c r="Q542">
        <v>-3</v>
      </c>
      <c r="R542" t="s">
        <v>611</v>
      </c>
    </row>
    <row r="544" spans="3:18">
      <c r="E544" t="s">
        <v>4915</v>
      </c>
      <c r="K544" s="31">
        <v>-759936760.39999998</v>
      </c>
      <c r="M544" s="31">
        <v>-760341209.97000003</v>
      </c>
      <c r="O544" s="31">
        <v>404449.57</v>
      </c>
      <c r="Q544">
        <v>0.1</v>
      </c>
      <c r="R544" t="s">
        <v>930</v>
      </c>
    </row>
    <row r="546" spans="1:18">
      <c r="E546" t="s">
        <v>4510</v>
      </c>
      <c r="K546" s="31">
        <v>282374198.61000001</v>
      </c>
      <c r="M546" s="31">
        <v>290144336.83999997</v>
      </c>
      <c r="O546" s="31">
        <v>-7770138.2300000004</v>
      </c>
      <c r="Q546">
        <v>-2.7</v>
      </c>
      <c r="R546" t="s">
        <v>970</v>
      </c>
    </row>
    <row r="550" spans="1:18">
      <c r="A550" t="s">
        <v>6045</v>
      </c>
    </row>
    <row r="551" spans="1:18">
      <c r="A551" t="s">
        <v>6065</v>
      </c>
    </row>
    <row r="553" spans="1:18">
      <c r="A553" t="s">
        <v>535</v>
      </c>
      <c r="F553">
        <v>5360</v>
      </c>
      <c r="G553" t="s">
        <v>536</v>
      </c>
      <c r="I553" t="s">
        <v>537</v>
      </c>
      <c r="N553" t="s">
        <v>538</v>
      </c>
      <c r="P553" t="s">
        <v>539</v>
      </c>
    </row>
    <row r="555" spans="1:18">
      <c r="B555" t="s">
        <v>313</v>
      </c>
      <c r="C555" t="s">
        <v>540</v>
      </c>
      <c r="D555" t="s">
        <v>541</v>
      </c>
      <c r="E555" t="s">
        <v>542</v>
      </c>
      <c r="J555" t="s">
        <v>543</v>
      </c>
      <c r="L555" t="s">
        <v>544</v>
      </c>
      <c r="O555" t="s">
        <v>545</v>
      </c>
      <c r="Q555" t="s">
        <v>546</v>
      </c>
      <c r="R555" t="s">
        <v>4054</v>
      </c>
    </row>
    <row r="556" spans="1:18">
      <c r="B556" t="s">
        <v>201</v>
      </c>
      <c r="C556" t="s">
        <v>548</v>
      </c>
      <c r="D556" t="s">
        <v>549</v>
      </c>
      <c r="J556" t="s">
        <v>6047</v>
      </c>
      <c r="L556" t="s">
        <v>6048</v>
      </c>
      <c r="O556" t="s">
        <v>551</v>
      </c>
      <c r="Q556" t="s">
        <v>552</v>
      </c>
      <c r="R556" t="s">
        <v>4057</v>
      </c>
    </row>
    <row r="558" spans="1:18">
      <c r="E558" t="s">
        <v>4951</v>
      </c>
    </row>
    <row r="559" spans="1:18">
      <c r="C559">
        <v>5360</v>
      </c>
      <c r="E559">
        <v>91010000</v>
      </c>
      <c r="H559" t="s">
        <v>4952</v>
      </c>
      <c r="K559" s="31">
        <v>958638825.70000005</v>
      </c>
      <c r="M559" s="31">
        <v>958638825.70000005</v>
      </c>
      <c r="O559">
        <v>0</v>
      </c>
    </row>
    <row r="560" spans="1:18">
      <c r="C560">
        <v>5360</v>
      </c>
      <c r="E560">
        <v>91011000</v>
      </c>
      <c r="H560" t="s">
        <v>4953</v>
      </c>
      <c r="K560" s="31">
        <v>142895235.49000001</v>
      </c>
      <c r="M560" s="31">
        <v>142895235.49000001</v>
      </c>
      <c r="O560">
        <v>0</v>
      </c>
    </row>
    <row r="561" spans="3:15">
      <c r="C561">
        <v>5360</v>
      </c>
      <c r="E561">
        <v>91060000</v>
      </c>
      <c r="H561" t="s">
        <v>4954</v>
      </c>
      <c r="K561" s="31">
        <v>57052537.340000004</v>
      </c>
      <c r="M561" s="31">
        <v>57052537.340000004</v>
      </c>
      <c r="O561">
        <v>0</v>
      </c>
    </row>
    <row r="562" spans="3:15">
      <c r="C562">
        <v>5360</v>
      </c>
      <c r="E562">
        <v>91070000</v>
      </c>
      <c r="H562" t="s">
        <v>4955</v>
      </c>
      <c r="K562" s="31">
        <v>74726180.260000005</v>
      </c>
      <c r="M562" s="31">
        <v>74726180.260000005</v>
      </c>
      <c r="O562">
        <v>0</v>
      </c>
    </row>
    <row r="563" spans="3:15">
      <c r="C563">
        <v>5360</v>
      </c>
      <c r="E563">
        <v>91080000</v>
      </c>
      <c r="H563" t="s">
        <v>4956</v>
      </c>
      <c r="K563" s="31">
        <v>-366679974.38999999</v>
      </c>
      <c r="M563" s="31">
        <v>-366679974.38999999</v>
      </c>
      <c r="O563">
        <v>0</v>
      </c>
    </row>
    <row r="564" spans="3:15">
      <c r="C564">
        <v>5360</v>
      </c>
      <c r="E564">
        <v>91110000</v>
      </c>
      <c r="H564" t="s">
        <v>4957</v>
      </c>
      <c r="K564" s="31">
        <v>-19833570.02</v>
      </c>
      <c r="M564" s="31">
        <v>-19833570.02</v>
      </c>
      <c r="O564">
        <v>0</v>
      </c>
    </row>
    <row r="565" spans="3:15">
      <c r="C565">
        <v>5360</v>
      </c>
      <c r="E565">
        <v>91140000</v>
      </c>
      <c r="H565" t="s">
        <v>4187</v>
      </c>
      <c r="K565" s="31">
        <v>235058056.38999999</v>
      </c>
      <c r="M565" s="31">
        <v>235058056.38999999</v>
      </c>
      <c r="O565">
        <v>0</v>
      </c>
    </row>
    <row r="566" spans="3:15">
      <c r="C566">
        <v>5360</v>
      </c>
      <c r="E566">
        <v>91210000</v>
      </c>
      <c r="H566" t="s">
        <v>4958</v>
      </c>
      <c r="K566" s="31">
        <v>4041036.52</v>
      </c>
      <c r="M566" s="31">
        <v>4041036.52</v>
      </c>
      <c r="O566">
        <v>0</v>
      </c>
    </row>
    <row r="567" spans="3:15">
      <c r="C567">
        <v>5360</v>
      </c>
      <c r="E567">
        <v>91231000</v>
      </c>
      <c r="H567" t="s">
        <v>4959</v>
      </c>
      <c r="K567" s="31">
        <v>-170988.32</v>
      </c>
      <c r="M567" s="31">
        <v>-170988.32</v>
      </c>
      <c r="O567">
        <v>0</v>
      </c>
    </row>
    <row r="568" spans="3:15">
      <c r="C568">
        <v>5360</v>
      </c>
      <c r="E568">
        <v>91240000</v>
      </c>
      <c r="H568" t="s">
        <v>4960</v>
      </c>
      <c r="K568" s="31">
        <v>57495</v>
      </c>
      <c r="M568" s="31">
        <v>57495</v>
      </c>
      <c r="O568">
        <v>0</v>
      </c>
    </row>
    <row r="569" spans="3:15">
      <c r="C569">
        <v>5360</v>
      </c>
      <c r="E569">
        <v>91340000</v>
      </c>
      <c r="H569" t="s">
        <v>4961</v>
      </c>
      <c r="K569" s="31">
        <v>1477251.19</v>
      </c>
      <c r="M569" s="31">
        <v>1477251.19</v>
      </c>
      <c r="O569">
        <v>0</v>
      </c>
    </row>
    <row r="570" spans="3:15">
      <c r="C570">
        <v>5360</v>
      </c>
      <c r="E570">
        <v>91420000</v>
      </c>
      <c r="H570" t="s">
        <v>3603</v>
      </c>
      <c r="K570" s="31">
        <v>60166796.869999997</v>
      </c>
      <c r="M570" s="31">
        <v>60166796.869999997</v>
      </c>
      <c r="O570">
        <v>0</v>
      </c>
    </row>
    <row r="571" spans="3:15">
      <c r="C571">
        <v>5360</v>
      </c>
      <c r="E571">
        <v>91430000</v>
      </c>
      <c r="H571" t="s">
        <v>4962</v>
      </c>
      <c r="K571" s="31">
        <v>5214367.53</v>
      </c>
      <c r="M571" s="31">
        <v>5214367.53</v>
      </c>
      <c r="O571">
        <v>0</v>
      </c>
    </row>
    <row r="572" spans="3:15">
      <c r="C572">
        <v>5360</v>
      </c>
      <c r="E572">
        <v>91440000</v>
      </c>
      <c r="H572" t="s">
        <v>4261</v>
      </c>
      <c r="K572" s="31">
        <v>-10672306.279999999</v>
      </c>
      <c r="M572" s="31">
        <v>-10672306.279999999</v>
      </c>
      <c r="O572">
        <v>0</v>
      </c>
    </row>
    <row r="573" spans="3:15">
      <c r="C573">
        <v>5360</v>
      </c>
      <c r="E573">
        <v>91460000</v>
      </c>
      <c r="H573" t="s">
        <v>4963</v>
      </c>
      <c r="K573" s="31">
        <v>1579912872.0699999</v>
      </c>
      <c r="M573" s="31">
        <v>1579912872.0699999</v>
      </c>
      <c r="O573">
        <v>0</v>
      </c>
    </row>
    <row r="574" spans="3:15">
      <c r="C574">
        <v>5360</v>
      </c>
      <c r="E574">
        <v>91540000</v>
      </c>
      <c r="H574" t="s">
        <v>4288</v>
      </c>
      <c r="K574" s="31">
        <v>3580099.58</v>
      </c>
      <c r="M574" s="31">
        <v>3580099.58</v>
      </c>
      <c r="O574">
        <v>0</v>
      </c>
    </row>
    <row r="575" spans="3:15">
      <c r="C575">
        <v>5360</v>
      </c>
      <c r="E575">
        <v>91630000</v>
      </c>
      <c r="H575" t="s">
        <v>4964</v>
      </c>
      <c r="K575" s="31">
        <v>1086591.3700000001</v>
      </c>
      <c r="M575" s="31">
        <v>1086591.3700000001</v>
      </c>
      <c r="O575">
        <v>0</v>
      </c>
    </row>
    <row r="576" spans="3:15">
      <c r="C576">
        <v>5360</v>
      </c>
      <c r="E576">
        <v>91641000</v>
      </c>
      <c r="H576" t="s">
        <v>4965</v>
      </c>
      <c r="K576" s="31">
        <v>8298258.54</v>
      </c>
      <c r="M576" s="31">
        <v>8298258.54</v>
      </c>
      <c r="O576">
        <v>0</v>
      </c>
    </row>
    <row r="577" spans="3:15">
      <c r="C577">
        <v>5360</v>
      </c>
      <c r="E577">
        <v>91642000</v>
      </c>
      <c r="H577" t="s">
        <v>4285</v>
      </c>
      <c r="K577" s="31">
        <v>2684514.44</v>
      </c>
      <c r="M577" s="31">
        <v>2684514.44</v>
      </c>
      <c r="O577">
        <v>0</v>
      </c>
    </row>
    <row r="578" spans="3:15">
      <c r="C578">
        <v>5360</v>
      </c>
      <c r="E578">
        <v>91650000</v>
      </c>
      <c r="H578" t="s">
        <v>4300</v>
      </c>
      <c r="K578" s="31">
        <v>864352.82</v>
      </c>
      <c r="M578" s="31">
        <v>864352.82</v>
      </c>
      <c r="O578">
        <v>0</v>
      </c>
    </row>
    <row r="579" spans="3:15">
      <c r="C579">
        <v>5360</v>
      </c>
      <c r="E579">
        <v>91730000</v>
      </c>
      <c r="H579" t="s">
        <v>4966</v>
      </c>
      <c r="K579" s="31">
        <v>40602978.560000002</v>
      </c>
      <c r="M579" s="31">
        <v>40602978.560000002</v>
      </c>
      <c r="O579">
        <v>0</v>
      </c>
    </row>
    <row r="580" spans="3:15">
      <c r="C580">
        <v>5360</v>
      </c>
      <c r="E580">
        <v>91740000</v>
      </c>
      <c r="H580" t="s">
        <v>4967</v>
      </c>
      <c r="K580" s="31">
        <v>176193.53</v>
      </c>
      <c r="M580" s="31">
        <v>176193.53</v>
      </c>
      <c r="O580">
        <v>0</v>
      </c>
    </row>
    <row r="581" spans="3:15">
      <c r="C581">
        <v>5360</v>
      </c>
      <c r="E581">
        <v>91760000</v>
      </c>
      <c r="H581" t="s">
        <v>4968</v>
      </c>
      <c r="K581" s="31">
        <v>2226639.31</v>
      </c>
      <c r="M581" s="31">
        <v>2226639.31</v>
      </c>
      <c r="O581">
        <v>0</v>
      </c>
    </row>
    <row r="582" spans="3:15">
      <c r="C582">
        <v>5360</v>
      </c>
      <c r="E582">
        <v>91810000</v>
      </c>
      <c r="H582" t="s">
        <v>4375</v>
      </c>
      <c r="K582" s="31">
        <v>80830.89</v>
      </c>
      <c r="M582" s="31">
        <v>80830.89</v>
      </c>
      <c r="O582">
        <v>0</v>
      </c>
    </row>
    <row r="583" spans="3:15">
      <c r="C583">
        <v>5360</v>
      </c>
      <c r="E583">
        <v>91823000</v>
      </c>
      <c r="H583" t="s">
        <v>4373</v>
      </c>
      <c r="K583" s="31">
        <v>138605232.56999999</v>
      </c>
      <c r="M583" s="31">
        <v>138605232.56999999</v>
      </c>
      <c r="O583">
        <v>0</v>
      </c>
    </row>
    <row r="584" spans="3:15">
      <c r="C584">
        <v>5360</v>
      </c>
      <c r="E584">
        <v>91830000</v>
      </c>
      <c r="H584" t="s">
        <v>4969</v>
      </c>
      <c r="K584" s="31">
        <v>-59643.66</v>
      </c>
      <c r="M584" s="31">
        <v>-59643.66</v>
      </c>
      <c r="O584">
        <v>0</v>
      </c>
    </row>
    <row r="585" spans="3:15">
      <c r="C585">
        <v>5360</v>
      </c>
      <c r="E585">
        <v>91831000</v>
      </c>
      <c r="H585" t="s">
        <v>4970</v>
      </c>
      <c r="K585" s="31">
        <v>67967.960000000006</v>
      </c>
      <c r="M585" s="31">
        <v>67967.960000000006</v>
      </c>
      <c r="O585">
        <v>0</v>
      </c>
    </row>
    <row r="586" spans="3:15">
      <c r="C586">
        <v>5360</v>
      </c>
      <c r="E586">
        <v>91840000</v>
      </c>
      <c r="H586" t="s">
        <v>4429</v>
      </c>
      <c r="K586" s="31">
        <v>116003694.04000001</v>
      </c>
      <c r="M586" s="31">
        <v>116003694.04000001</v>
      </c>
      <c r="O586">
        <v>0</v>
      </c>
    </row>
    <row r="587" spans="3:15">
      <c r="C587">
        <v>5360</v>
      </c>
      <c r="E587">
        <v>91860000</v>
      </c>
      <c r="H587" t="s">
        <v>4971</v>
      </c>
      <c r="K587" s="31">
        <v>598849193.57000005</v>
      </c>
      <c r="M587" s="31">
        <v>598849193.57000005</v>
      </c>
      <c r="O587">
        <v>0</v>
      </c>
    </row>
    <row r="588" spans="3:15">
      <c r="C588">
        <v>5360</v>
      </c>
      <c r="E588">
        <v>91869999</v>
      </c>
      <c r="H588" t="s">
        <v>4972</v>
      </c>
      <c r="K588" s="31">
        <v>-3561128.75</v>
      </c>
      <c r="M588" s="31">
        <v>-3561128.75</v>
      </c>
      <c r="O588">
        <v>0</v>
      </c>
    </row>
    <row r="589" spans="3:15">
      <c r="C589">
        <v>5360</v>
      </c>
      <c r="E589">
        <v>91900000</v>
      </c>
      <c r="H589" t="s">
        <v>4973</v>
      </c>
      <c r="K589" s="31">
        <v>41419124.130000003</v>
      </c>
      <c r="M589" s="31">
        <v>41419124.130000003</v>
      </c>
      <c r="O589">
        <v>0</v>
      </c>
    </row>
    <row r="590" spans="3:15">
      <c r="C590">
        <v>5360</v>
      </c>
      <c r="E590">
        <v>92100000</v>
      </c>
      <c r="H590" t="s">
        <v>4974</v>
      </c>
      <c r="K590" s="31">
        <v>-34359.71</v>
      </c>
      <c r="M590" s="31">
        <v>-34359.71</v>
      </c>
      <c r="O590">
        <v>0</v>
      </c>
    </row>
    <row r="591" spans="3:15">
      <c r="C591">
        <v>5360</v>
      </c>
      <c r="E591">
        <v>92150000</v>
      </c>
      <c r="H591" t="s">
        <v>4975</v>
      </c>
      <c r="K591">
        <v>804.51</v>
      </c>
      <c r="M591">
        <v>804.51</v>
      </c>
      <c r="O591">
        <v>0</v>
      </c>
    </row>
    <row r="592" spans="3:15">
      <c r="C592">
        <v>5360</v>
      </c>
      <c r="E592">
        <v>92160000</v>
      </c>
      <c r="H592" t="s">
        <v>4519</v>
      </c>
      <c r="K592" s="31">
        <v>-924012210.5</v>
      </c>
      <c r="M592" s="31">
        <v>-924012210.5</v>
      </c>
      <c r="O592">
        <v>0</v>
      </c>
    </row>
    <row r="593" spans="3:15">
      <c r="C593">
        <v>5360</v>
      </c>
      <c r="E593">
        <v>92190000</v>
      </c>
      <c r="H593" t="s">
        <v>4976</v>
      </c>
      <c r="K593" s="31">
        <v>-2614432</v>
      </c>
      <c r="M593" s="31">
        <v>-2614432</v>
      </c>
      <c r="O593">
        <v>0</v>
      </c>
    </row>
    <row r="594" spans="3:15">
      <c r="C594">
        <v>5360</v>
      </c>
      <c r="E594">
        <v>92210000</v>
      </c>
      <c r="H594" t="s">
        <v>4532</v>
      </c>
      <c r="K594" s="31">
        <v>-49464000</v>
      </c>
      <c r="M594" s="31">
        <v>-49464000</v>
      </c>
      <c r="O594">
        <v>0</v>
      </c>
    </row>
    <row r="595" spans="3:15">
      <c r="C595">
        <v>5360</v>
      </c>
      <c r="E595">
        <v>92281000</v>
      </c>
      <c r="H595" t="s">
        <v>4779</v>
      </c>
      <c r="K595" s="31">
        <v>-104077.03</v>
      </c>
      <c r="M595" s="31">
        <v>-104077.03</v>
      </c>
      <c r="O595">
        <v>0</v>
      </c>
    </row>
    <row r="596" spans="3:15">
      <c r="C596">
        <v>5360</v>
      </c>
      <c r="E596">
        <v>92282000</v>
      </c>
      <c r="H596" t="s">
        <v>4977</v>
      </c>
      <c r="K596" s="31">
        <v>-1045221.2</v>
      </c>
      <c r="M596" s="31">
        <v>-1045221.2</v>
      </c>
      <c r="O596">
        <v>0</v>
      </c>
    </row>
    <row r="597" spans="3:15">
      <c r="C597">
        <v>5360</v>
      </c>
      <c r="E597">
        <v>92300000</v>
      </c>
      <c r="H597" t="s">
        <v>4978</v>
      </c>
      <c r="K597" s="31">
        <v>-8356862.8899999997</v>
      </c>
      <c r="M597" s="31">
        <v>-8356862.8899999997</v>
      </c>
      <c r="O597">
        <v>0</v>
      </c>
    </row>
    <row r="598" spans="3:15">
      <c r="C598">
        <v>5360</v>
      </c>
      <c r="E598">
        <v>92320000</v>
      </c>
      <c r="H598" t="s">
        <v>4609</v>
      </c>
      <c r="K598" s="31">
        <v>-64821794.549999997</v>
      </c>
      <c r="M598" s="31">
        <v>-64821794.549999997</v>
      </c>
      <c r="O598">
        <v>0</v>
      </c>
    </row>
    <row r="599" spans="3:15">
      <c r="C599">
        <v>5360</v>
      </c>
      <c r="E599">
        <v>92330000</v>
      </c>
      <c r="H599" t="s">
        <v>4979</v>
      </c>
      <c r="K599" s="31">
        <v>-493138390</v>
      </c>
      <c r="M599" s="31">
        <v>-493138390</v>
      </c>
      <c r="O599">
        <v>0</v>
      </c>
    </row>
    <row r="600" spans="3:15">
      <c r="C600">
        <v>5360</v>
      </c>
      <c r="E600">
        <v>92340000</v>
      </c>
      <c r="H600" t="s">
        <v>4624</v>
      </c>
      <c r="K600" s="31">
        <v>-391413195.02999997</v>
      </c>
      <c r="M600" s="31">
        <v>-391413195.02999997</v>
      </c>
      <c r="O600">
        <v>0</v>
      </c>
    </row>
    <row r="601" spans="3:15">
      <c r="C601">
        <v>5360</v>
      </c>
      <c r="E601">
        <v>92350000</v>
      </c>
      <c r="H601" t="s">
        <v>266</v>
      </c>
      <c r="K601" s="31">
        <v>-1840626.81</v>
      </c>
      <c r="M601" s="31">
        <v>-1840626.81</v>
      </c>
      <c r="O601">
        <v>0</v>
      </c>
    </row>
    <row r="602" spans="3:15">
      <c r="C602">
        <v>5360</v>
      </c>
      <c r="E602">
        <v>92360000</v>
      </c>
      <c r="H602" t="s">
        <v>4980</v>
      </c>
      <c r="K602" s="31">
        <v>214381032.16999999</v>
      </c>
      <c r="M602" s="31">
        <v>214381032.16999999</v>
      </c>
      <c r="O602">
        <v>0</v>
      </c>
    </row>
    <row r="603" spans="3:15">
      <c r="C603">
        <v>5360</v>
      </c>
      <c r="E603">
        <v>92370000</v>
      </c>
      <c r="H603" t="s">
        <v>4658</v>
      </c>
      <c r="K603" s="31">
        <v>-16592944.26</v>
      </c>
      <c r="M603" s="31">
        <v>-16592944.26</v>
      </c>
      <c r="O603">
        <v>0</v>
      </c>
    </row>
    <row r="604" spans="3:15">
      <c r="C604">
        <v>5360</v>
      </c>
      <c r="E604">
        <v>92410000</v>
      </c>
      <c r="H604" t="s">
        <v>4660</v>
      </c>
      <c r="K604" s="31">
        <v>41941916.409999996</v>
      </c>
      <c r="M604" s="31">
        <v>41941916.409999996</v>
      </c>
      <c r="O604">
        <v>0</v>
      </c>
    </row>
    <row r="605" spans="3:15">
      <c r="C605">
        <v>5360</v>
      </c>
      <c r="E605">
        <v>92420000</v>
      </c>
      <c r="H605" t="s">
        <v>4675</v>
      </c>
      <c r="K605" s="31">
        <v>-81304043.370000005</v>
      </c>
      <c r="M605" s="31">
        <v>-81304043.370000005</v>
      </c>
      <c r="O605">
        <v>0</v>
      </c>
    </row>
    <row r="606" spans="3:15">
      <c r="C606">
        <v>5360</v>
      </c>
      <c r="E606">
        <v>92450000</v>
      </c>
      <c r="H606" t="s">
        <v>4981</v>
      </c>
      <c r="K606" s="31">
        <v>-5232239.5599999996</v>
      </c>
      <c r="M606" s="31">
        <v>-5232239.5599999996</v>
      </c>
      <c r="O606">
        <v>0</v>
      </c>
    </row>
    <row r="607" spans="3:15">
      <c r="C607">
        <v>5360</v>
      </c>
      <c r="E607">
        <v>92520000</v>
      </c>
      <c r="H607" t="s">
        <v>4829</v>
      </c>
      <c r="K607" s="31">
        <v>-2783.23</v>
      </c>
      <c r="M607" s="31">
        <v>-2783.23</v>
      </c>
      <c r="O607">
        <v>0</v>
      </c>
    </row>
    <row r="608" spans="3:15">
      <c r="C608">
        <v>5360</v>
      </c>
      <c r="E608">
        <v>92530000</v>
      </c>
      <c r="H608" t="s">
        <v>4876</v>
      </c>
      <c r="K608" s="31">
        <v>-83568580.890000001</v>
      </c>
      <c r="M608" s="31">
        <v>-83568580.890000001</v>
      </c>
      <c r="O608">
        <v>0</v>
      </c>
    </row>
    <row r="609" spans="3:17">
      <c r="C609">
        <v>5360</v>
      </c>
      <c r="E609">
        <v>92540000</v>
      </c>
      <c r="H609" t="s">
        <v>4982</v>
      </c>
      <c r="K609" s="31">
        <v>-11372068.48</v>
      </c>
      <c r="M609" s="31">
        <v>-11372068.48</v>
      </c>
      <c r="O609">
        <v>0</v>
      </c>
    </row>
    <row r="610" spans="3:17">
      <c r="C610">
        <v>5360</v>
      </c>
      <c r="E610">
        <v>92820000</v>
      </c>
      <c r="H610" t="s">
        <v>4983</v>
      </c>
      <c r="K610" s="31">
        <v>-98506750.129999995</v>
      </c>
      <c r="M610" s="31">
        <v>-98506750.129999995</v>
      </c>
      <c r="O610">
        <v>0</v>
      </c>
    </row>
    <row r="611" spans="3:17">
      <c r="C611">
        <v>5360</v>
      </c>
      <c r="E611">
        <v>92830000</v>
      </c>
      <c r="H611" t="s">
        <v>4984</v>
      </c>
      <c r="K611" s="31">
        <v>-52115963.719999999</v>
      </c>
      <c r="M611" s="31">
        <v>-52115963.719999999</v>
      </c>
      <c r="O611">
        <v>0</v>
      </c>
    </row>
    <row r="612" spans="3:17">
      <c r="C612">
        <v>5360</v>
      </c>
      <c r="E612" t="s">
        <v>4985</v>
      </c>
      <c r="H612" t="s">
        <v>4060</v>
      </c>
      <c r="K612" s="31">
        <v>-18316888.829999998</v>
      </c>
      <c r="M612" s="31">
        <v>-15160079.210000001</v>
      </c>
      <c r="O612" s="31">
        <v>-3156809.62</v>
      </c>
      <c r="Q612">
        <v>-20.8</v>
      </c>
    </row>
    <row r="613" spans="3:17">
      <c r="C613">
        <v>5360</v>
      </c>
      <c r="E613" t="s">
        <v>4986</v>
      </c>
      <c r="H613" t="s">
        <v>4062</v>
      </c>
      <c r="K613" s="31">
        <v>769140.45</v>
      </c>
      <c r="M613" s="31">
        <v>769140.45</v>
      </c>
      <c r="O613">
        <v>0</v>
      </c>
    </row>
    <row r="614" spans="3:17">
      <c r="C614">
        <v>5360</v>
      </c>
      <c r="E614" t="s">
        <v>4987</v>
      </c>
      <c r="H614" t="s">
        <v>4066</v>
      </c>
      <c r="K614" s="31">
        <v>1280483</v>
      </c>
      <c r="M614" s="31">
        <v>1280483</v>
      </c>
      <c r="O614">
        <v>0</v>
      </c>
    </row>
    <row r="615" spans="3:17">
      <c r="C615">
        <v>5360</v>
      </c>
      <c r="E615" t="s">
        <v>4988</v>
      </c>
      <c r="H615" t="s">
        <v>4068</v>
      </c>
      <c r="K615" s="31">
        <v>20926379.210000001</v>
      </c>
      <c r="M615" s="31">
        <v>20926379.210000001</v>
      </c>
      <c r="O615">
        <v>0</v>
      </c>
    </row>
    <row r="616" spans="3:17">
      <c r="C616">
        <v>5360</v>
      </c>
      <c r="E616" t="s">
        <v>5988</v>
      </c>
      <c r="H616" t="s">
        <v>5968</v>
      </c>
      <c r="K616" s="31">
        <v>138584.16</v>
      </c>
      <c r="M616" s="31">
        <v>138584.16</v>
      </c>
      <c r="O616">
        <v>0</v>
      </c>
    </row>
    <row r="617" spans="3:17">
      <c r="C617">
        <v>5360</v>
      </c>
      <c r="E617" t="s">
        <v>4989</v>
      </c>
      <c r="H617" t="s">
        <v>4084</v>
      </c>
      <c r="K617" s="31">
        <v>25404968.489999998</v>
      </c>
      <c r="M617" s="31">
        <v>27769997.379999999</v>
      </c>
      <c r="O617" s="31">
        <v>-2365028.89</v>
      </c>
      <c r="Q617">
        <v>-8.5</v>
      </c>
    </row>
    <row r="618" spans="3:17">
      <c r="C618">
        <v>5360</v>
      </c>
      <c r="E618" t="s">
        <v>4990</v>
      </c>
      <c r="H618" t="s">
        <v>4991</v>
      </c>
      <c r="K618" s="31">
        <v>3150755.27</v>
      </c>
      <c r="M618" s="31">
        <v>118140.61</v>
      </c>
      <c r="O618" s="31">
        <v>3032614.66</v>
      </c>
      <c r="Q618">
        <v>2567</v>
      </c>
    </row>
    <row r="619" spans="3:17">
      <c r="C619">
        <v>5360</v>
      </c>
      <c r="E619" t="s">
        <v>4993</v>
      </c>
      <c r="H619" t="s">
        <v>4090</v>
      </c>
      <c r="K619" s="31">
        <v>3090820.38</v>
      </c>
      <c r="M619" s="31">
        <v>1281688.8500000001</v>
      </c>
      <c r="O619" s="31">
        <v>1809131.53</v>
      </c>
      <c r="Q619">
        <v>141.19999999999999</v>
      </c>
    </row>
    <row r="620" spans="3:17">
      <c r="C620">
        <v>5360</v>
      </c>
      <c r="E620" t="s">
        <v>4994</v>
      </c>
      <c r="H620" t="s">
        <v>4092</v>
      </c>
      <c r="K620" s="31">
        <v>-725791.49</v>
      </c>
      <c r="M620" s="31">
        <v>-2139386.61</v>
      </c>
      <c r="O620" s="31">
        <v>1413595.12</v>
      </c>
      <c r="Q620">
        <v>66.099999999999994</v>
      </c>
    </row>
    <row r="621" spans="3:17">
      <c r="C621">
        <v>5360</v>
      </c>
      <c r="E621" t="s">
        <v>4995</v>
      </c>
      <c r="H621" t="s">
        <v>4080</v>
      </c>
      <c r="K621" s="31">
        <v>6054.35</v>
      </c>
      <c r="M621" s="31">
        <v>133264.53</v>
      </c>
      <c r="O621" s="31">
        <v>-127210.18</v>
      </c>
      <c r="Q621">
        <v>-95.5</v>
      </c>
    </row>
    <row r="622" spans="3:17">
      <c r="C622">
        <v>5360</v>
      </c>
      <c r="E622" t="s">
        <v>4997</v>
      </c>
      <c r="H622" t="s">
        <v>4998</v>
      </c>
      <c r="K622" s="31">
        <v>8401705.6199999992</v>
      </c>
      <c r="M622" s="31">
        <v>8401705.6199999992</v>
      </c>
      <c r="O622">
        <v>0</v>
      </c>
    </row>
    <row r="623" spans="3:17">
      <c r="C623">
        <v>5360</v>
      </c>
      <c r="E623" t="s">
        <v>4999</v>
      </c>
      <c r="H623" t="s">
        <v>4095</v>
      </c>
      <c r="K623" s="31">
        <v>-278533.61</v>
      </c>
      <c r="M623" s="31">
        <v>-278533.61</v>
      </c>
      <c r="O623">
        <v>0</v>
      </c>
    </row>
    <row r="624" spans="3:17">
      <c r="C624">
        <v>5360</v>
      </c>
      <c r="E624" t="s">
        <v>5000</v>
      </c>
      <c r="H624" t="s">
        <v>4170</v>
      </c>
      <c r="K624" s="31">
        <v>4456676.29</v>
      </c>
      <c r="M624" s="31">
        <v>2516465.37</v>
      </c>
      <c r="O624" s="31">
        <v>1940210.92</v>
      </c>
      <c r="Q624">
        <v>77.099999999999994</v>
      </c>
    </row>
    <row r="625" spans="3:17">
      <c r="C625">
        <v>5360</v>
      </c>
      <c r="E625" t="s">
        <v>5001</v>
      </c>
      <c r="H625" t="s">
        <v>5002</v>
      </c>
      <c r="K625" s="31">
        <v>-56331.56</v>
      </c>
      <c r="M625">
        <v>0</v>
      </c>
      <c r="O625" s="31">
        <v>-56331.56</v>
      </c>
    </row>
    <row r="626" spans="3:17">
      <c r="C626">
        <v>5360</v>
      </c>
      <c r="E626" t="s">
        <v>5003</v>
      </c>
      <c r="H626" t="s">
        <v>4176</v>
      </c>
      <c r="K626" s="31">
        <v>-1877825.01</v>
      </c>
      <c r="M626" s="31">
        <v>913039.43</v>
      </c>
      <c r="O626" s="31">
        <v>-2790864.44</v>
      </c>
      <c r="Q626">
        <v>-305.7</v>
      </c>
    </row>
    <row r="627" spans="3:17">
      <c r="C627">
        <v>5360</v>
      </c>
      <c r="E627" t="s">
        <v>5004</v>
      </c>
      <c r="H627" t="s">
        <v>4182</v>
      </c>
      <c r="K627" s="31">
        <v>-6054.35</v>
      </c>
      <c r="M627" s="31">
        <v>-133264.53</v>
      </c>
      <c r="O627" s="31">
        <v>127210.18</v>
      </c>
      <c r="Q627">
        <v>95.5</v>
      </c>
    </row>
    <row r="628" spans="3:17">
      <c r="C628">
        <v>5360</v>
      </c>
      <c r="E628" t="s">
        <v>5005</v>
      </c>
      <c r="H628" t="s">
        <v>4105</v>
      </c>
      <c r="K628" s="31">
        <v>126288934.37</v>
      </c>
      <c r="M628" s="31">
        <v>177472199.40000001</v>
      </c>
      <c r="O628" s="31">
        <v>-51183265.030000001</v>
      </c>
      <c r="Q628">
        <v>-28.8</v>
      </c>
    </row>
    <row r="629" spans="3:17">
      <c r="C629">
        <v>5360</v>
      </c>
      <c r="E629" t="s">
        <v>5006</v>
      </c>
      <c r="H629" t="s">
        <v>5007</v>
      </c>
      <c r="K629" s="31">
        <v>-16229.58</v>
      </c>
      <c r="M629" s="31">
        <v>-16229.58</v>
      </c>
      <c r="O629">
        <v>0</v>
      </c>
    </row>
    <row r="630" spans="3:17">
      <c r="C630">
        <v>5360</v>
      </c>
      <c r="E630" t="s">
        <v>5008</v>
      </c>
      <c r="H630" t="s">
        <v>4107</v>
      </c>
      <c r="K630" s="31">
        <v>-4729879.0599999996</v>
      </c>
      <c r="M630" s="31">
        <v>-4731512.66</v>
      </c>
      <c r="O630" s="31">
        <v>1633.6</v>
      </c>
    </row>
    <row r="631" spans="3:17">
      <c r="C631">
        <v>5360</v>
      </c>
      <c r="E631" t="s">
        <v>5009</v>
      </c>
      <c r="H631" t="s">
        <v>4111</v>
      </c>
      <c r="K631" s="31">
        <v>2712327.78</v>
      </c>
      <c r="M631" s="31">
        <v>2784269.57</v>
      </c>
      <c r="O631" s="31">
        <v>-71941.789999999994</v>
      </c>
      <c r="Q631">
        <v>-2.6</v>
      </c>
    </row>
    <row r="632" spans="3:17">
      <c r="C632">
        <v>5360</v>
      </c>
      <c r="E632" t="s">
        <v>5010</v>
      </c>
      <c r="H632" t="s">
        <v>4115</v>
      </c>
      <c r="K632" s="31">
        <v>-7040931.8099999996</v>
      </c>
      <c r="M632" s="31">
        <v>-7044565.7000000002</v>
      </c>
      <c r="O632" s="31">
        <v>3633.89</v>
      </c>
      <c r="Q632">
        <v>0.1</v>
      </c>
    </row>
    <row r="633" spans="3:17">
      <c r="C633">
        <v>5360</v>
      </c>
      <c r="E633" t="s">
        <v>5011</v>
      </c>
      <c r="H633" t="s">
        <v>5012</v>
      </c>
      <c r="K633" s="31">
        <v>-3466469.8</v>
      </c>
      <c r="M633" s="31">
        <v>-3466469.8</v>
      </c>
      <c r="O633">
        <v>0</v>
      </c>
    </row>
    <row r="634" spans="3:17">
      <c r="C634">
        <v>5360</v>
      </c>
      <c r="E634" t="s">
        <v>5013</v>
      </c>
      <c r="H634" t="s">
        <v>4117</v>
      </c>
      <c r="K634" s="31">
        <v>-64691190.159999996</v>
      </c>
      <c r="M634" s="31">
        <v>-75849179.810000002</v>
      </c>
      <c r="O634" s="31">
        <v>11157989.65</v>
      </c>
      <c r="Q634">
        <v>14.7</v>
      </c>
    </row>
    <row r="635" spans="3:17">
      <c r="C635">
        <v>5360</v>
      </c>
      <c r="E635" t="s">
        <v>5014</v>
      </c>
      <c r="H635" t="s">
        <v>4148</v>
      </c>
      <c r="K635" s="31">
        <v>-8528.16</v>
      </c>
      <c r="M635" s="31">
        <v>-12792.24</v>
      </c>
      <c r="O635" s="31">
        <v>4264.08</v>
      </c>
      <c r="Q635">
        <v>33.299999999999997</v>
      </c>
    </row>
    <row r="636" spans="3:17">
      <c r="C636">
        <v>5360</v>
      </c>
      <c r="E636" t="s">
        <v>5015</v>
      </c>
      <c r="H636" t="s">
        <v>4150</v>
      </c>
      <c r="K636" s="31">
        <v>-18575007.09</v>
      </c>
      <c r="M636" s="31">
        <v>-20794205.690000001</v>
      </c>
      <c r="O636" s="31">
        <v>2219198.6</v>
      </c>
      <c r="Q636">
        <v>10.7</v>
      </c>
    </row>
    <row r="637" spans="3:17">
      <c r="C637">
        <v>5360</v>
      </c>
      <c r="E637" t="s">
        <v>5016</v>
      </c>
      <c r="H637" t="s">
        <v>5017</v>
      </c>
      <c r="K637">
        <v>35.119999999999997</v>
      </c>
      <c r="M637">
        <v>35.119999999999997</v>
      </c>
      <c r="O637">
        <v>0</v>
      </c>
    </row>
    <row r="638" spans="3:17">
      <c r="C638">
        <v>5360</v>
      </c>
      <c r="E638" t="s">
        <v>5018</v>
      </c>
      <c r="H638" t="s">
        <v>4119</v>
      </c>
      <c r="K638" s="31">
        <v>14247.93</v>
      </c>
      <c r="M638" s="31">
        <v>14247.93</v>
      </c>
      <c r="O638">
        <v>0</v>
      </c>
    </row>
    <row r="639" spans="3:17">
      <c r="C639">
        <v>5360</v>
      </c>
      <c r="E639" t="s">
        <v>5021</v>
      </c>
      <c r="H639" t="s">
        <v>5022</v>
      </c>
      <c r="K639" s="31">
        <v>51183265.030000001</v>
      </c>
      <c r="M639" s="31">
        <v>9018977.8200000003</v>
      </c>
      <c r="O639" s="31">
        <v>42164287.210000001</v>
      </c>
      <c r="Q639">
        <v>467.5</v>
      </c>
    </row>
    <row r="640" spans="3:17">
      <c r="C640">
        <v>5360</v>
      </c>
      <c r="E640" t="s">
        <v>5023</v>
      </c>
      <c r="H640" t="s">
        <v>5024</v>
      </c>
      <c r="K640" s="31">
        <v>71941.789999999994</v>
      </c>
      <c r="M640" s="31">
        <v>12615.75</v>
      </c>
      <c r="O640" s="31">
        <v>59326.04</v>
      </c>
      <c r="Q640">
        <v>470.3</v>
      </c>
    </row>
    <row r="641" spans="3:17">
      <c r="C641">
        <v>5360</v>
      </c>
      <c r="E641" t="s">
        <v>6066</v>
      </c>
      <c r="H641" t="s">
        <v>4126</v>
      </c>
      <c r="K641" s="31">
        <v>-3633.89</v>
      </c>
      <c r="M641">
        <v>0</v>
      </c>
      <c r="O641" s="31">
        <v>-3633.89</v>
      </c>
    </row>
    <row r="642" spans="3:17">
      <c r="C642">
        <v>5360</v>
      </c>
      <c r="E642" t="s">
        <v>5025</v>
      </c>
      <c r="H642" t="s">
        <v>4153</v>
      </c>
      <c r="K642" s="31">
        <v>-4264.08</v>
      </c>
      <c r="M642">
        <v>-710.68</v>
      </c>
      <c r="O642" s="31">
        <v>-3553.4</v>
      </c>
      <c r="Q642">
        <v>-500</v>
      </c>
    </row>
    <row r="643" spans="3:17">
      <c r="C643">
        <v>5360</v>
      </c>
      <c r="E643" t="s">
        <v>5026</v>
      </c>
      <c r="H643" t="s">
        <v>4155</v>
      </c>
      <c r="K643" s="31">
        <v>-2895928.86</v>
      </c>
      <c r="M643" s="31">
        <v>-461400.68</v>
      </c>
      <c r="O643" s="31">
        <v>-2434528.1800000002</v>
      </c>
      <c r="Q643">
        <v>-527.6</v>
      </c>
    </row>
    <row r="644" spans="3:17">
      <c r="C644">
        <v>5360</v>
      </c>
      <c r="E644" t="s">
        <v>5027</v>
      </c>
      <c r="H644" t="s">
        <v>5028</v>
      </c>
      <c r="K644" s="31">
        <v>-1633.6</v>
      </c>
      <c r="M644">
        <v>0</v>
      </c>
      <c r="O644" s="31">
        <v>-1633.6</v>
      </c>
    </row>
    <row r="645" spans="3:17">
      <c r="C645">
        <v>5360</v>
      </c>
      <c r="E645" t="s">
        <v>5029</v>
      </c>
      <c r="H645" t="s">
        <v>4130</v>
      </c>
      <c r="K645" s="31">
        <v>-11157989.65</v>
      </c>
      <c r="M645" s="31">
        <v>-2920927.07</v>
      </c>
      <c r="O645" s="31">
        <v>-8237062.5800000001</v>
      </c>
      <c r="Q645">
        <v>-282</v>
      </c>
    </row>
    <row r="646" spans="3:17">
      <c r="C646">
        <v>5360</v>
      </c>
      <c r="E646" t="s">
        <v>5030</v>
      </c>
      <c r="H646" t="s">
        <v>4158</v>
      </c>
      <c r="K646" s="31">
        <v>676730.26</v>
      </c>
      <c r="M646" s="31">
        <v>2015137.75</v>
      </c>
      <c r="O646" s="31">
        <v>-1338407.49</v>
      </c>
      <c r="Q646">
        <v>-66.400000000000006</v>
      </c>
    </row>
    <row r="647" spans="3:17">
      <c r="C647">
        <v>5360</v>
      </c>
      <c r="E647" t="s">
        <v>5031</v>
      </c>
      <c r="H647" t="s">
        <v>5032</v>
      </c>
      <c r="K647" s="31">
        <v>355828.75</v>
      </c>
      <c r="M647" s="31">
        <v>355828.75</v>
      </c>
      <c r="O647">
        <v>0</v>
      </c>
    </row>
    <row r="648" spans="3:17">
      <c r="C648">
        <v>5360</v>
      </c>
      <c r="E648" t="s">
        <v>5033</v>
      </c>
      <c r="H648" t="s">
        <v>5034</v>
      </c>
      <c r="K648" s="31">
        <v>32068991.48</v>
      </c>
      <c r="M648" s="31">
        <v>32068991.48</v>
      </c>
      <c r="O648">
        <v>0</v>
      </c>
    </row>
    <row r="649" spans="3:17">
      <c r="C649">
        <v>5360</v>
      </c>
      <c r="E649" t="s">
        <v>5035</v>
      </c>
      <c r="H649" t="s">
        <v>5036</v>
      </c>
      <c r="K649" s="31">
        <v>-8631.2000000000007</v>
      </c>
      <c r="M649" s="31">
        <v>-8631.2000000000007</v>
      </c>
      <c r="O649">
        <v>0</v>
      </c>
    </row>
    <row r="650" spans="3:17">
      <c r="C650">
        <v>5360</v>
      </c>
      <c r="E650" t="s">
        <v>5037</v>
      </c>
      <c r="H650" t="s">
        <v>5038</v>
      </c>
      <c r="K650" s="31">
        <v>6579.97</v>
      </c>
      <c r="M650" s="31">
        <v>6579.97</v>
      </c>
      <c r="O650">
        <v>0</v>
      </c>
    </row>
    <row r="651" spans="3:17">
      <c r="C651">
        <v>5360</v>
      </c>
      <c r="E651" t="s">
        <v>5039</v>
      </c>
      <c r="H651" t="s">
        <v>5040</v>
      </c>
      <c r="K651" s="31">
        <v>1467845.2</v>
      </c>
      <c r="M651" s="31">
        <v>1467845.2</v>
      </c>
      <c r="O651">
        <v>0</v>
      </c>
    </row>
    <row r="652" spans="3:17">
      <c r="C652">
        <v>5360</v>
      </c>
      <c r="E652" t="s">
        <v>5043</v>
      </c>
      <c r="H652" t="s">
        <v>5044</v>
      </c>
      <c r="K652" s="31">
        <v>-2191220.29</v>
      </c>
      <c r="M652" s="31">
        <v>-1522243.9</v>
      </c>
      <c r="O652" s="31">
        <v>-668976.39</v>
      </c>
      <c r="Q652">
        <v>-43.9</v>
      </c>
    </row>
    <row r="653" spans="3:17">
      <c r="C653">
        <v>5360</v>
      </c>
      <c r="E653" t="s">
        <v>5045</v>
      </c>
      <c r="H653" t="s">
        <v>5046</v>
      </c>
      <c r="K653" s="31">
        <v>39468132.880000003</v>
      </c>
      <c r="M653" s="31">
        <v>45570665.280000001</v>
      </c>
      <c r="O653" s="31">
        <v>-6102532.4000000004</v>
      </c>
      <c r="Q653">
        <v>-13.4</v>
      </c>
    </row>
    <row r="654" spans="3:17">
      <c r="C654">
        <v>5360</v>
      </c>
      <c r="E654" t="s">
        <v>5047</v>
      </c>
      <c r="H654" t="s">
        <v>4272</v>
      </c>
      <c r="K654" s="31">
        <v>61749365.329999998</v>
      </c>
      <c r="M654" s="31">
        <v>61749365.329999998</v>
      </c>
      <c r="O654">
        <v>0</v>
      </c>
    </row>
    <row r="655" spans="3:17">
      <c r="C655">
        <v>5360</v>
      </c>
      <c r="E655" t="s">
        <v>6067</v>
      </c>
      <c r="H655" t="s">
        <v>4274</v>
      </c>
      <c r="K655">
        <v>0</v>
      </c>
      <c r="M655" s="31">
        <v>1174403.3899999999</v>
      </c>
      <c r="O655" s="31">
        <v>-1174403.3899999999</v>
      </c>
      <c r="Q655">
        <v>-100</v>
      </c>
    </row>
    <row r="656" spans="3:17">
      <c r="C656">
        <v>5360</v>
      </c>
      <c r="E656" t="s">
        <v>5048</v>
      </c>
      <c r="H656" t="s">
        <v>4288</v>
      </c>
      <c r="K656">
        <v>-35.549999999999997</v>
      </c>
      <c r="M656">
        <v>-35.549999999999997</v>
      </c>
      <c r="O656">
        <v>0</v>
      </c>
    </row>
    <row r="657" spans="3:17">
      <c r="C657">
        <v>5360</v>
      </c>
      <c r="E657" t="s">
        <v>5049</v>
      </c>
      <c r="H657" t="s">
        <v>4294</v>
      </c>
      <c r="K657" s="31">
        <v>-118276.92</v>
      </c>
      <c r="M657" s="31">
        <v>-118276.92</v>
      </c>
      <c r="O657">
        <v>0</v>
      </c>
    </row>
    <row r="658" spans="3:17">
      <c r="C658">
        <v>5360</v>
      </c>
      <c r="E658" t="s">
        <v>5050</v>
      </c>
      <c r="H658" t="s">
        <v>5051</v>
      </c>
      <c r="K658" s="31">
        <v>6666342.4000000004</v>
      </c>
      <c r="M658" s="31">
        <v>1362713.47</v>
      </c>
      <c r="O658" s="31">
        <v>5303628.93</v>
      </c>
      <c r="Q658">
        <v>389.2</v>
      </c>
    </row>
    <row r="659" spans="3:17">
      <c r="C659">
        <v>5360</v>
      </c>
      <c r="E659" t="s">
        <v>5052</v>
      </c>
      <c r="H659" t="s">
        <v>5053</v>
      </c>
      <c r="K659" s="31">
        <v>55717008.969999999</v>
      </c>
      <c r="M659" s="31">
        <v>45724949.920000002</v>
      </c>
      <c r="O659" s="31">
        <v>9992059.0500000007</v>
      </c>
      <c r="Q659">
        <v>21.9</v>
      </c>
    </row>
    <row r="660" spans="3:17">
      <c r="C660">
        <v>5360</v>
      </c>
      <c r="E660" t="s">
        <v>5054</v>
      </c>
      <c r="H660" t="s">
        <v>5055</v>
      </c>
      <c r="K660" s="31">
        <v>-426745.75</v>
      </c>
      <c r="M660" s="31">
        <v>-426745.75</v>
      </c>
      <c r="O660">
        <v>0</v>
      </c>
    </row>
    <row r="661" spans="3:17">
      <c r="C661">
        <v>5360</v>
      </c>
      <c r="E661" t="s">
        <v>5056</v>
      </c>
      <c r="H661" t="s">
        <v>5057</v>
      </c>
      <c r="K661" s="31">
        <v>1438462.87</v>
      </c>
      <c r="M661" s="31">
        <v>1438462.87</v>
      </c>
      <c r="O661">
        <v>0</v>
      </c>
    </row>
    <row r="662" spans="3:17">
      <c r="C662">
        <v>5360</v>
      </c>
      <c r="E662" t="s">
        <v>5058</v>
      </c>
      <c r="H662" t="s">
        <v>4324</v>
      </c>
      <c r="K662" s="31">
        <v>-3229117.63</v>
      </c>
      <c r="M662" s="31">
        <v>-3229117.63</v>
      </c>
      <c r="O662">
        <v>0</v>
      </c>
    </row>
    <row r="663" spans="3:17">
      <c r="C663">
        <v>5360</v>
      </c>
      <c r="E663" t="s">
        <v>5989</v>
      </c>
      <c r="H663" t="s">
        <v>4341</v>
      </c>
      <c r="K663" s="31">
        <v>5244127.04</v>
      </c>
      <c r="M663" s="31">
        <v>5683129.21</v>
      </c>
      <c r="O663" s="31">
        <v>-439002.17</v>
      </c>
      <c r="Q663">
        <v>-7.7</v>
      </c>
    </row>
    <row r="664" spans="3:17">
      <c r="C664">
        <v>5360</v>
      </c>
      <c r="E664" t="s">
        <v>5990</v>
      </c>
      <c r="H664" t="s">
        <v>4343</v>
      </c>
      <c r="K664" s="31">
        <v>8838</v>
      </c>
      <c r="M664" s="31">
        <v>9795.17</v>
      </c>
      <c r="O664">
        <v>-957.17</v>
      </c>
      <c r="Q664">
        <v>-9.8000000000000007</v>
      </c>
    </row>
    <row r="665" spans="3:17">
      <c r="C665">
        <v>5360</v>
      </c>
      <c r="E665" t="s">
        <v>5059</v>
      </c>
      <c r="H665" t="s">
        <v>4405</v>
      </c>
      <c r="K665" s="31">
        <v>8856225.4900000002</v>
      </c>
      <c r="M665" s="31">
        <v>8856225.4900000002</v>
      </c>
      <c r="O665">
        <v>0</v>
      </c>
    </row>
    <row r="666" spans="3:17">
      <c r="C666">
        <v>5360</v>
      </c>
      <c r="E666" t="s">
        <v>5060</v>
      </c>
      <c r="H666" t="s">
        <v>4428</v>
      </c>
      <c r="K666" s="31">
        <v>3190493.66</v>
      </c>
      <c r="M666" s="31">
        <v>3190493.66</v>
      </c>
      <c r="O666">
        <v>0</v>
      </c>
    </row>
    <row r="667" spans="3:17">
      <c r="C667">
        <v>5360</v>
      </c>
      <c r="E667" t="s">
        <v>5061</v>
      </c>
      <c r="H667" t="s">
        <v>4423</v>
      </c>
      <c r="K667" s="31">
        <v>551609.92000000004</v>
      </c>
      <c r="M667" s="31">
        <v>551609.92000000004</v>
      </c>
      <c r="O667">
        <v>0</v>
      </c>
    </row>
    <row r="668" spans="3:17">
      <c r="C668">
        <v>5360</v>
      </c>
      <c r="E668" t="s">
        <v>5062</v>
      </c>
      <c r="H668" t="s">
        <v>5063</v>
      </c>
      <c r="K668" s="31">
        <v>11677848.67</v>
      </c>
      <c r="M668" s="31">
        <v>13230189.23</v>
      </c>
      <c r="O668" s="31">
        <v>-1552340.56</v>
      </c>
      <c r="Q668">
        <v>-11.7</v>
      </c>
    </row>
    <row r="669" spans="3:17">
      <c r="C669">
        <v>5360</v>
      </c>
      <c r="E669" t="s">
        <v>5064</v>
      </c>
      <c r="H669" t="s">
        <v>5065</v>
      </c>
      <c r="K669" s="31">
        <v>6238619.5700000003</v>
      </c>
      <c r="M669" s="31">
        <v>224834.93</v>
      </c>
      <c r="O669" s="31">
        <v>6013784.6399999997</v>
      </c>
      <c r="Q669">
        <v>2674.8</v>
      </c>
    </row>
    <row r="670" spans="3:17">
      <c r="C670">
        <v>5360</v>
      </c>
      <c r="E670" t="s">
        <v>5066</v>
      </c>
      <c r="H670" t="s">
        <v>4468</v>
      </c>
      <c r="K670" s="31">
        <v>928861</v>
      </c>
      <c r="M670" s="31">
        <v>928861</v>
      </c>
      <c r="O670">
        <v>0</v>
      </c>
    </row>
    <row r="671" spans="3:17">
      <c r="C671">
        <v>5360</v>
      </c>
      <c r="E671" t="s">
        <v>5067</v>
      </c>
      <c r="H671" t="s">
        <v>4470</v>
      </c>
      <c r="K671" s="31">
        <v>4834150.7699999996</v>
      </c>
      <c r="M671" s="31">
        <v>4834150.7699999996</v>
      </c>
      <c r="O671">
        <v>0</v>
      </c>
    </row>
    <row r="672" spans="3:17">
      <c r="C672">
        <v>5360</v>
      </c>
      <c r="E672" t="s">
        <v>5068</v>
      </c>
      <c r="H672" t="s">
        <v>4476</v>
      </c>
      <c r="K672" s="31">
        <v>4586672</v>
      </c>
      <c r="M672" s="31">
        <v>4586672</v>
      </c>
      <c r="O672">
        <v>0</v>
      </c>
    </row>
    <row r="673" spans="3:17">
      <c r="C673">
        <v>5360</v>
      </c>
      <c r="E673" t="s">
        <v>5069</v>
      </c>
      <c r="H673" t="s">
        <v>4478</v>
      </c>
      <c r="K673" s="31">
        <v>-476783.87</v>
      </c>
      <c r="M673" s="31">
        <v>-476783.87</v>
      </c>
      <c r="O673">
        <v>0</v>
      </c>
    </row>
    <row r="674" spans="3:17">
      <c r="C674">
        <v>5360</v>
      </c>
      <c r="E674" t="s">
        <v>5070</v>
      </c>
      <c r="H674" t="s">
        <v>4480</v>
      </c>
      <c r="K674" s="31">
        <v>-10453106</v>
      </c>
      <c r="M674" s="31">
        <v>-10453106</v>
      </c>
      <c r="O674">
        <v>0</v>
      </c>
    </row>
    <row r="675" spans="3:17">
      <c r="C675">
        <v>5360</v>
      </c>
      <c r="E675" t="s">
        <v>5071</v>
      </c>
      <c r="H675" t="s">
        <v>4482</v>
      </c>
      <c r="K675" s="31">
        <v>565554.75</v>
      </c>
      <c r="M675" s="31">
        <v>565554.75</v>
      </c>
      <c r="O675">
        <v>0</v>
      </c>
    </row>
    <row r="676" spans="3:17">
      <c r="C676">
        <v>5360</v>
      </c>
      <c r="E676" t="s">
        <v>5072</v>
      </c>
      <c r="H676" t="s">
        <v>4494</v>
      </c>
      <c r="K676" s="31">
        <v>-325367</v>
      </c>
      <c r="M676" s="31">
        <v>-325367</v>
      </c>
      <c r="O676">
        <v>0</v>
      </c>
    </row>
    <row r="677" spans="3:17">
      <c r="C677">
        <v>5360</v>
      </c>
      <c r="E677" t="s">
        <v>5073</v>
      </c>
      <c r="H677" t="s">
        <v>4503</v>
      </c>
      <c r="K677" s="31">
        <v>-1799639</v>
      </c>
      <c r="M677" s="31">
        <v>-1799639</v>
      </c>
      <c r="O677">
        <v>0</v>
      </c>
    </row>
    <row r="678" spans="3:17">
      <c r="C678">
        <v>5360</v>
      </c>
      <c r="E678" t="s">
        <v>5074</v>
      </c>
      <c r="H678" t="s">
        <v>5075</v>
      </c>
      <c r="K678" s="31">
        <v>-3660836</v>
      </c>
      <c r="M678" s="31">
        <v>-3660836</v>
      </c>
      <c r="O678">
        <v>0</v>
      </c>
    </row>
    <row r="679" spans="3:17">
      <c r="C679">
        <v>5360</v>
      </c>
      <c r="E679" t="s">
        <v>5076</v>
      </c>
      <c r="H679" t="s">
        <v>4512</v>
      </c>
      <c r="K679" s="31">
        <v>-15524.37</v>
      </c>
      <c r="M679" s="31">
        <v>-15524.37</v>
      </c>
      <c r="O679">
        <v>0</v>
      </c>
    </row>
    <row r="680" spans="3:17">
      <c r="C680">
        <v>5360</v>
      </c>
      <c r="E680" t="s">
        <v>5077</v>
      </c>
      <c r="H680" t="s">
        <v>4519</v>
      </c>
      <c r="K680" s="31">
        <v>-145595063.31</v>
      </c>
      <c r="M680" s="31">
        <v>-278695209.95999998</v>
      </c>
      <c r="O680" s="31">
        <v>133100146.65000001</v>
      </c>
      <c r="Q680">
        <v>47.8</v>
      </c>
    </row>
    <row r="681" spans="3:17">
      <c r="C681">
        <v>5360</v>
      </c>
      <c r="E681" t="s">
        <v>5078</v>
      </c>
      <c r="H681" t="s">
        <v>5079</v>
      </c>
      <c r="K681" s="31">
        <v>5467045.0599999996</v>
      </c>
      <c r="M681" s="31">
        <v>5467045.0599999996</v>
      </c>
      <c r="O681">
        <v>0</v>
      </c>
    </row>
    <row r="682" spans="3:17">
      <c r="C682">
        <v>5360</v>
      </c>
      <c r="E682" t="s">
        <v>5082</v>
      </c>
      <c r="H682" t="s">
        <v>5083</v>
      </c>
      <c r="K682" s="31">
        <v>-26478977.77</v>
      </c>
      <c r="M682" s="31">
        <v>-26478977.77</v>
      </c>
      <c r="O682">
        <v>0</v>
      </c>
    </row>
    <row r="683" spans="3:17">
      <c r="C683">
        <v>5360</v>
      </c>
      <c r="E683" t="s">
        <v>5991</v>
      </c>
      <c r="H683" t="s">
        <v>5970</v>
      </c>
      <c r="K683" s="31">
        <v>-498243.48</v>
      </c>
      <c r="M683" s="31">
        <v>-498243.48</v>
      </c>
      <c r="O683">
        <v>0</v>
      </c>
    </row>
    <row r="684" spans="3:17">
      <c r="C684">
        <v>5360</v>
      </c>
      <c r="E684" t="s">
        <v>5084</v>
      </c>
      <c r="H684" t="s">
        <v>4524</v>
      </c>
      <c r="K684" s="31">
        <v>2614432</v>
      </c>
      <c r="M684" s="31">
        <v>2614432</v>
      </c>
      <c r="O684">
        <v>0</v>
      </c>
    </row>
    <row r="685" spans="3:17">
      <c r="C685">
        <v>5360</v>
      </c>
      <c r="E685" t="s">
        <v>5089</v>
      </c>
      <c r="H685" t="s">
        <v>4532</v>
      </c>
      <c r="K685" s="31">
        <v>8219818.3099999996</v>
      </c>
      <c r="M685" s="31">
        <v>8275186.3499999996</v>
      </c>
      <c r="O685" s="31">
        <v>-55368.04</v>
      </c>
      <c r="Q685">
        <v>-0.7</v>
      </c>
    </row>
    <row r="686" spans="3:17">
      <c r="C686">
        <v>5360</v>
      </c>
      <c r="E686" t="s">
        <v>5090</v>
      </c>
      <c r="H686" t="s">
        <v>5091</v>
      </c>
      <c r="K686" s="31">
        <v>-8577346.9000000004</v>
      </c>
      <c r="M686" s="31">
        <v>-8577346.9000000004</v>
      </c>
      <c r="O686">
        <v>0</v>
      </c>
    </row>
    <row r="687" spans="3:17">
      <c r="C687">
        <v>5360</v>
      </c>
      <c r="E687" t="s">
        <v>5092</v>
      </c>
      <c r="H687" t="s">
        <v>5093</v>
      </c>
      <c r="K687" s="31">
        <v>-8252994.1900000004</v>
      </c>
      <c r="M687" s="31">
        <v>-8252994.1900000004</v>
      </c>
      <c r="O687">
        <v>0</v>
      </c>
    </row>
    <row r="688" spans="3:17">
      <c r="C688">
        <v>5360</v>
      </c>
      <c r="E688" t="s">
        <v>5094</v>
      </c>
      <c r="H688" t="s">
        <v>4813</v>
      </c>
      <c r="K688" s="31">
        <v>-4323190.53</v>
      </c>
      <c r="M688" s="31">
        <v>-4871069.97</v>
      </c>
      <c r="O688" s="31">
        <v>547879.43999999994</v>
      </c>
      <c r="Q688">
        <v>11.2</v>
      </c>
    </row>
    <row r="689" spans="3:17">
      <c r="C689">
        <v>5360</v>
      </c>
      <c r="E689" t="s">
        <v>5095</v>
      </c>
      <c r="H689" t="s">
        <v>4815</v>
      </c>
      <c r="K689" s="31">
        <v>-2530448.58</v>
      </c>
      <c r="M689" s="31">
        <v>-1089898.93</v>
      </c>
      <c r="O689" s="31">
        <v>-1440549.65</v>
      </c>
      <c r="Q689">
        <v>-132.19999999999999</v>
      </c>
    </row>
    <row r="690" spans="3:17">
      <c r="C690">
        <v>5360</v>
      </c>
      <c r="E690" t="s">
        <v>5096</v>
      </c>
      <c r="H690" t="s">
        <v>4817</v>
      </c>
      <c r="K690" s="31">
        <v>11993.95</v>
      </c>
      <c r="M690" s="31">
        <v>79745.59</v>
      </c>
      <c r="O690" s="31">
        <v>-67751.64</v>
      </c>
      <c r="Q690">
        <v>-85</v>
      </c>
    </row>
    <row r="691" spans="3:17">
      <c r="C691">
        <v>5360</v>
      </c>
      <c r="E691" t="s">
        <v>5097</v>
      </c>
      <c r="H691" t="s">
        <v>4819</v>
      </c>
      <c r="K691" s="31">
        <v>1970575.19</v>
      </c>
      <c r="M691" s="31">
        <v>342015.84</v>
      </c>
      <c r="O691" s="31">
        <v>1628559.35</v>
      </c>
      <c r="Q691">
        <v>476.2</v>
      </c>
    </row>
    <row r="692" spans="3:17">
      <c r="C692">
        <v>5360</v>
      </c>
      <c r="E692" t="s">
        <v>5098</v>
      </c>
      <c r="H692" t="s">
        <v>4805</v>
      </c>
      <c r="K692">
        <v>-15.59</v>
      </c>
      <c r="M692">
        <v>-15.59</v>
      </c>
      <c r="O692">
        <v>0</v>
      </c>
    </row>
    <row r="693" spans="3:17">
      <c r="C693">
        <v>5360</v>
      </c>
      <c r="E693" t="s">
        <v>5099</v>
      </c>
      <c r="H693" t="s">
        <v>6060</v>
      </c>
      <c r="K693" s="31">
        <v>732371.61</v>
      </c>
      <c r="M693" s="31">
        <v>732371.61</v>
      </c>
      <c r="O693">
        <v>0</v>
      </c>
    </row>
    <row r="694" spans="3:17">
      <c r="C694">
        <v>5360</v>
      </c>
      <c r="E694" t="s">
        <v>5100</v>
      </c>
      <c r="H694" t="s">
        <v>4614</v>
      </c>
      <c r="K694" s="31">
        <v>-19697291.289999999</v>
      </c>
      <c r="M694" s="31">
        <v>-19764374.010000002</v>
      </c>
      <c r="O694" s="31">
        <v>67082.720000000001</v>
      </c>
      <c r="Q694">
        <v>0.3</v>
      </c>
    </row>
    <row r="695" spans="3:17">
      <c r="C695">
        <v>5360</v>
      </c>
      <c r="E695" t="s">
        <v>5101</v>
      </c>
      <c r="H695" t="s">
        <v>4616</v>
      </c>
      <c r="K695" s="31">
        <v>-32444284.84</v>
      </c>
      <c r="M695" s="31">
        <v>-32444284.84</v>
      </c>
      <c r="O695">
        <v>0</v>
      </c>
    </row>
    <row r="696" spans="3:17">
      <c r="C696">
        <v>5360</v>
      </c>
      <c r="E696" t="s">
        <v>5102</v>
      </c>
      <c r="H696" t="s">
        <v>5103</v>
      </c>
      <c r="K696" s="31">
        <v>-15808352.77</v>
      </c>
      <c r="M696" s="31">
        <v>-15808352.77</v>
      </c>
      <c r="O696">
        <v>0</v>
      </c>
    </row>
    <row r="697" spans="3:17">
      <c r="C697">
        <v>5360</v>
      </c>
      <c r="E697" t="s">
        <v>6068</v>
      </c>
      <c r="H697" t="s">
        <v>4618</v>
      </c>
      <c r="K697">
        <v>0</v>
      </c>
      <c r="M697" s="31">
        <v>-334994.71000000002</v>
      </c>
      <c r="O697" s="31">
        <v>334994.71000000002</v>
      </c>
      <c r="Q697">
        <v>100</v>
      </c>
    </row>
    <row r="698" spans="3:17">
      <c r="C698">
        <v>5360</v>
      </c>
      <c r="E698" t="s">
        <v>5104</v>
      </c>
      <c r="H698" t="s">
        <v>4628</v>
      </c>
      <c r="K698" s="31">
        <v>618592.41</v>
      </c>
      <c r="M698" s="31">
        <v>618592.41</v>
      </c>
      <c r="O698">
        <v>0</v>
      </c>
    </row>
    <row r="699" spans="3:17">
      <c r="C699">
        <v>5360</v>
      </c>
      <c r="E699" t="s">
        <v>5105</v>
      </c>
      <c r="H699" t="s">
        <v>4630</v>
      </c>
      <c r="K699" s="31">
        <v>9624048.2200000007</v>
      </c>
      <c r="M699" s="31">
        <v>15174997.470000001</v>
      </c>
      <c r="O699" s="31">
        <v>-5550949.25</v>
      </c>
      <c r="Q699">
        <v>-36.6</v>
      </c>
    </row>
    <row r="700" spans="3:17">
      <c r="C700">
        <v>5360</v>
      </c>
      <c r="E700" t="s">
        <v>5106</v>
      </c>
      <c r="H700" t="s">
        <v>5107</v>
      </c>
      <c r="K700" s="31">
        <v>-90164.84</v>
      </c>
      <c r="M700" s="31">
        <v>-90160.04</v>
      </c>
      <c r="O700">
        <v>-4.8</v>
      </c>
    </row>
    <row r="701" spans="3:17">
      <c r="C701">
        <v>5360</v>
      </c>
      <c r="E701" t="s">
        <v>5109</v>
      </c>
      <c r="H701" t="s">
        <v>5110</v>
      </c>
      <c r="K701" s="31">
        <v>-71839.429999999993</v>
      </c>
      <c r="M701" s="31">
        <v>-81073.22</v>
      </c>
      <c r="O701" s="31">
        <v>9233.7900000000009</v>
      </c>
      <c r="Q701">
        <v>11.4</v>
      </c>
    </row>
    <row r="702" spans="3:17">
      <c r="C702">
        <v>5360</v>
      </c>
      <c r="E702" t="s">
        <v>5111</v>
      </c>
      <c r="H702" t="s">
        <v>5112</v>
      </c>
      <c r="K702" s="31">
        <v>-10066.25</v>
      </c>
      <c r="M702" s="31">
        <v>-2589.9899999999998</v>
      </c>
      <c r="O702" s="31">
        <v>-7476.26</v>
      </c>
      <c r="Q702">
        <v>-288.7</v>
      </c>
    </row>
    <row r="703" spans="3:17">
      <c r="C703">
        <v>5360</v>
      </c>
      <c r="E703" t="s">
        <v>5113</v>
      </c>
      <c r="H703" t="s">
        <v>5114</v>
      </c>
      <c r="K703" s="31">
        <v>-29918.91</v>
      </c>
      <c r="M703" s="31">
        <v>-30526.99</v>
      </c>
      <c r="O703">
        <v>608.08000000000004</v>
      </c>
      <c r="Q703">
        <v>2</v>
      </c>
    </row>
    <row r="704" spans="3:17">
      <c r="C704">
        <v>5360</v>
      </c>
      <c r="E704" t="s">
        <v>5115</v>
      </c>
      <c r="H704" t="s">
        <v>4703</v>
      </c>
      <c r="K704" s="31">
        <v>-37619</v>
      </c>
      <c r="M704" s="31">
        <v>-37619</v>
      </c>
      <c r="O704">
        <v>0</v>
      </c>
    </row>
    <row r="705" spans="3:17">
      <c r="C705">
        <v>5360</v>
      </c>
      <c r="E705" t="s">
        <v>5116</v>
      </c>
      <c r="H705" t="s">
        <v>5117</v>
      </c>
      <c r="K705" s="31">
        <v>125144.84</v>
      </c>
      <c r="M705" s="31">
        <v>21962.82</v>
      </c>
      <c r="O705" s="31">
        <v>103182.02</v>
      </c>
      <c r="Q705">
        <v>469.8</v>
      </c>
    </row>
    <row r="706" spans="3:17">
      <c r="C706">
        <v>5360</v>
      </c>
      <c r="E706" t="s">
        <v>5118</v>
      </c>
      <c r="H706" t="s">
        <v>5119</v>
      </c>
      <c r="K706" s="31">
        <v>97756.76</v>
      </c>
      <c r="M706" s="31">
        <v>108856.5</v>
      </c>
      <c r="O706" s="31">
        <v>-11099.74</v>
      </c>
      <c r="Q706">
        <v>-10.199999999999999</v>
      </c>
    </row>
    <row r="707" spans="3:17">
      <c r="C707">
        <v>5360</v>
      </c>
      <c r="E707" t="s">
        <v>5120</v>
      </c>
      <c r="H707" t="s">
        <v>4709</v>
      </c>
      <c r="K707" s="31">
        <v>-30631.29</v>
      </c>
      <c r="M707" s="31">
        <v>-19862.5</v>
      </c>
      <c r="O707" s="31">
        <v>-10768.79</v>
      </c>
      <c r="Q707">
        <v>-54.2</v>
      </c>
    </row>
    <row r="708" spans="3:17">
      <c r="C708">
        <v>5360</v>
      </c>
      <c r="E708" t="s">
        <v>5121</v>
      </c>
      <c r="H708" t="s">
        <v>4711</v>
      </c>
      <c r="K708" s="31">
        <v>10768.79</v>
      </c>
      <c r="M708">
        <v>0</v>
      </c>
      <c r="O708" s="31">
        <v>10768.79</v>
      </c>
    </row>
    <row r="709" spans="3:17">
      <c r="C709">
        <v>5360</v>
      </c>
      <c r="E709" t="s">
        <v>5122</v>
      </c>
      <c r="H709" t="s">
        <v>5123</v>
      </c>
      <c r="K709" s="31">
        <v>-124312.38</v>
      </c>
      <c r="M709" s="31">
        <v>-21746.98</v>
      </c>
      <c r="O709" s="31">
        <v>-102565.4</v>
      </c>
      <c r="Q709">
        <v>-471.6</v>
      </c>
    </row>
    <row r="710" spans="3:17">
      <c r="C710">
        <v>5360</v>
      </c>
      <c r="E710" t="s">
        <v>5124</v>
      </c>
      <c r="H710" t="s">
        <v>5125</v>
      </c>
      <c r="K710" s="31">
        <v>-95263.52</v>
      </c>
      <c r="M710" s="31">
        <v>-106312.59</v>
      </c>
      <c r="O710" s="31">
        <v>11049.07</v>
      </c>
      <c r="Q710">
        <v>10.4</v>
      </c>
    </row>
    <row r="711" spans="3:17">
      <c r="C711">
        <v>5360</v>
      </c>
      <c r="E711" t="s">
        <v>5126</v>
      </c>
      <c r="H711" t="s">
        <v>5127</v>
      </c>
      <c r="K711" s="31">
        <v>-3716475.91</v>
      </c>
      <c r="M711" s="31">
        <v>-3716475.91</v>
      </c>
      <c r="O711">
        <v>0</v>
      </c>
    </row>
    <row r="712" spans="3:17">
      <c r="C712">
        <v>5360</v>
      </c>
      <c r="E712" t="s">
        <v>5128</v>
      </c>
      <c r="H712" t="s">
        <v>4718</v>
      </c>
      <c r="K712" s="31">
        <v>-2650007.9700000002</v>
      </c>
      <c r="M712" s="31">
        <v>-2272843.7799999998</v>
      </c>
      <c r="O712" s="31">
        <v>-377164.19</v>
      </c>
      <c r="Q712">
        <v>-16.600000000000001</v>
      </c>
    </row>
    <row r="713" spans="3:17">
      <c r="C713">
        <v>5360</v>
      </c>
      <c r="E713" t="s">
        <v>5129</v>
      </c>
      <c r="H713" t="s">
        <v>4720</v>
      </c>
      <c r="K713" s="31">
        <v>-560371.80000000005</v>
      </c>
      <c r="M713" s="31">
        <v>-191789.92</v>
      </c>
      <c r="O713" s="31">
        <v>-368581.88</v>
      </c>
      <c r="Q713">
        <v>-192.2</v>
      </c>
    </row>
    <row r="714" spans="3:17">
      <c r="C714">
        <v>5360</v>
      </c>
      <c r="E714" t="s">
        <v>5130</v>
      </c>
      <c r="H714" t="s">
        <v>4722</v>
      </c>
      <c r="K714" s="31">
        <v>3090885.19</v>
      </c>
      <c r="M714" s="31">
        <v>538750.36</v>
      </c>
      <c r="O714" s="31">
        <v>2552134.83</v>
      </c>
      <c r="Q714">
        <v>473.7</v>
      </c>
    </row>
    <row r="715" spans="3:17">
      <c r="C715">
        <v>5360</v>
      </c>
      <c r="E715" t="s">
        <v>5131</v>
      </c>
      <c r="H715" t="s">
        <v>4724</v>
      </c>
      <c r="K715" s="31">
        <v>-182774.01</v>
      </c>
      <c r="M715" s="31">
        <v>-34658.81</v>
      </c>
      <c r="O715" s="31">
        <v>-148115.20000000001</v>
      </c>
      <c r="Q715">
        <v>-427.4</v>
      </c>
    </row>
    <row r="716" spans="3:17">
      <c r="C716">
        <v>5360</v>
      </c>
      <c r="E716" t="s">
        <v>5132</v>
      </c>
      <c r="H716" t="s">
        <v>4726</v>
      </c>
      <c r="K716" s="31">
        <v>-1970575.19</v>
      </c>
      <c r="M716" s="31">
        <v>-342015.84</v>
      </c>
      <c r="O716" s="31">
        <v>-1628559.35</v>
      </c>
      <c r="Q716">
        <v>-476.2</v>
      </c>
    </row>
    <row r="717" spans="3:17">
      <c r="C717">
        <v>5360</v>
      </c>
      <c r="E717" t="s">
        <v>5133</v>
      </c>
      <c r="H717" t="s">
        <v>5134</v>
      </c>
      <c r="K717" s="31">
        <v>-2833827.63</v>
      </c>
      <c r="M717" s="31">
        <v>-2817783.31</v>
      </c>
      <c r="O717" s="31">
        <v>-16044.32</v>
      </c>
      <c r="Q717">
        <v>-0.6</v>
      </c>
    </row>
    <row r="718" spans="3:17">
      <c r="C718">
        <v>5360</v>
      </c>
      <c r="E718" t="s">
        <v>5137</v>
      </c>
      <c r="H718" t="s">
        <v>5138</v>
      </c>
      <c r="K718" s="31">
        <v>-10426630.67</v>
      </c>
      <c r="M718" s="31">
        <v>-10426302.050000001</v>
      </c>
      <c r="O718">
        <v>-328.62</v>
      </c>
    </row>
    <row r="719" spans="3:17">
      <c r="C719">
        <v>5360</v>
      </c>
      <c r="E719" t="s">
        <v>5139</v>
      </c>
      <c r="H719" t="s">
        <v>4842</v>
      </c>
      <c r="K719" s="31">
        <v>14789931.460000001</v>
      </c>
      <c r="M719" s="31">
        <v>13986596.550000001</v>
      </c>
      <c r="O719" s="31">
        <v>803334.91</v>
      </c>
      <c r="Q719">
        <v>5.7</v>
      </c>
    </row>
    <row r="720" spans="3:17">
      <c r="C720">
        <v>5360</v>
      </c>
      <c r="E720" t="s">
        <v>5140</v>
      </c>
      <c r="H720" t="s">
        <v>4844</v>
      </c>
      <c r="K720" s="31">
        <v>24608865.649999999</v>
      </c>
      <c r="M720" s="31">
        <v>20652108.710000001</v>
      </c>
      <c r="O720" s="31">
        <v>3956756.94</v>
      </c>
      <c r="Q720">
        <v>19.2</v>
      </c>
    </row>
    <row r="721" spans="3:17">
      <c r="C721">
        <v>5360</v>
      </c>
      <c r="E721" t="s">
        <v>5141</v>
      </c>
      <c r="H721" t="s">
        <v>4846</v>
      </c>
      <c r="K721" s="31">
        <v>5849968.6500000004</v>
      </c>
      <c r="M721" s="31">
        <v>5849968.6500000004</v>
      </c>
      <c r="O721">
        <v>0</v>
      </c>
    </row>
    <row r="722" spans="3:17">
      <c r="C722">
        <v>5360</v>
      </c>
      <c r="E722" t="s">
        <v>5142</v>
      </c>
      <c r="H722" t="s">
        <v>5143</v>
      </c>
      <c r="K722" s="31">
        <v>-3399502.45</v>
      </c>
      <c r="M722" s="31">
        <v>-3778866.37</v>
      </c>
      <c r="O722" s="31">
        <v>379363.92</v>
      </c>
      <c r="Q722">
        <v>10</v>
      </c>
    </row>
    <row r="723" spans="3:17">
      <c r="C723">
        <v>5360</v>
      </c>
      <c r="E723" t="s">
        <v>5144</v>
      </c>
      <c r="H723" t="s">
        <v>4852</v>
      </c>
      <c r="K723" s="31">
        <v>-10768.79</v>
      </c>
      <c r="M723">
        <v>0</v>
      </c>
      <c r="O723" s="31">
        <v>-10768.79</v>
      </c>
    </row>
    <row r="724" spans="3:17">
      <c r="C724">
        <v>5360</v>
      </c>
      <c r="E724" t="s">
        <v>5145</v>
      </c>
      <c r="H724" t="s">
        <v>4868</v>
      </c>
      <c r="K724" s="31">
        <v>-803334.91</v>
      </c>
      <c r="M724" s="31">
        <v>-105969.16</v>
      </c>
      <c r="O724" s="31">
        <v>-697365.75</v>
      </c>
      <c r="Q724">
        <v>-658.1</v>
      </c>
    </row>
    <row r="725" spans="3:17">
      <c r="C725">
        <v>5360</v>
      </c>
      <c r="E725" t="s">
        <v>5146</v>
      </c>
      <c r="H725" t="s">
        <v>4870</v>
      </c>
      <c r="K725" s="31">
        <v>-3956756.94</v>
      </c>
      <c r="M725" s="31">
        <v>-472233.5</v>
      </c>
      <c r="O725" s="31">
        <v>-3484523.44</v>
      </c>
      <c r="Q725">
        <v>-737.9</v>
      </c>
    </row>
    <row r="726" spans="3:17">
      <c r="C726">
        <v>5360</v>
      </c>
      <c r="E726" t="s">
        <v>5147</v>
      </c>
      <c r="H726" t="s">
        <v>5148</v>
      </c>
      <c r="K726" s="31">
        <v>-503676.3</v>
      </c>
      <c r="M726" s="31">
        <v>-129499.63</v>
      </c>
      <c r="O726" s="31">
        <v>-374176.67</v>
      </c>
      <c r="Q726">
        <v>-288.89999999999998</v>
      </c>
    </row>
    <row r="727" spans="3:17">
      <c r="C727">
        <v>5360</v>
      </c>
      <c r="E727" t="s">
        <v>5149</v>
      </c>
      <c r="H727" t="s">
        <v>5150</v>
      </c>
      <c r="K727" s="31">
        <v>-1495946.22</v>
      </c>
      <c r="M727" s="31">
        <v>-1526350.05</v>
      </c>
      <c r="O727" s="31">
        <v>30403.83</v>
      </c>
      <c r="Q727">
        <v>2</v>
      </c>
    </row>
    <row r="728" spans="3:17">
      <c r="C728">
        <v>5360</v>
      </c>
      <c r="E728" t="s">
        <v>5151</v>
      </c>
      <c r="H728" t="s">
        <v>5152</v>
      </c>
      <c r="K728" s="31">
        <v>-11154757.01</v>
      </c>
      <c r="M728" s="31">
        <v>-11154757.01</v>
      </c>
      <c r="O728">
        <v>0</v>
      </c>
    </row>
    <row r="729" spans="3:17">
      <c r="C729">
        <v>5360</v>
      </c>
      <c r="E729" t="s">
        <v>5153</v>
      </c>
      <c r="H729" t="s">
        <v>5154</v>
      </c>
      <c r="K729">
        <v>0.32</v>
      </c>
      <c r="M729">
        <v>0.32</v>
      </c>
      <c r="O729">
        <v>0</v>
      </c>
    </row>
    <row r="730" spans="3:17">
      <c r="C730">
        <v>5360</v>
      </c>
      <c r="E730" t="s">
        <v>5155</v>
      </c>
      <c r="H730" t="s">
        <v>5156</v>
      </c>
      <c r="K730" s="31">
        <v>-2930974.21</v>
      </c>
      <c r="M730" s="31">
        <v>-1279669.22</v>
      </c>
      <c r="O730" s="31">
        <v>-1651304.99</v>
      </c>
      <c r="Q730">
        <v>-129</v>
      </c>
    </row>
    <row r="731" spans="3:17">
      <c r="C731">
        <v>5360</v>
      </c>
      <c r="E731" t="s">
        <v>5157</v>
      </c>
      <c r="H731" t="s">
        <v>5123</v>
      </c>
      <c r="K731" s="31">
        <v>124312.38</v>
      </c>
      <c r="M731" s="31">
        <v>21746.98</v>
      </c>
      <c r="O731" s="31">
        <v>102565.4</v>
      </c>
      <c r="Q731">
        <v>471.6</v>
      </c>
    </row>
    <row r="732" spans="3:17">
      <c r="C732">
        <v>5360</v>
      </c>
      <c r="E732" t="s">
        <v>5158</v>
      </c>
      <c r="H732" t="s">
        <v>5159</v>
      </c>
      <c r="K732" s="31">
        <v>95263.52</v>
      </c>
      <c r="M732" s="31">
        <v>106312.59</v>
      </c>
      <c r="O732" s="31">
        <v>-11049.07</v>
      </c>
      <c r="Q732">
        <v>-10.4</v>
      </c>
    </row>
    <row r="733" spans="3:17">
      <c r="C733">
        <v>5360</v>
      </c>
      <c r="E733" t="s">
        <v>5160</v>
      </c>
      <c r="H733" t="s">
        <v>4858</v>
      </c>
      <c r="K733" s="31">
        <v>-20433036.739999998</v>
      </c>
      <c r="M733" s="31">
        <v>-22850630.48</v>
      </c>
      <c r="O733" s="31">
        <v>2417593.7400000002</v>
      </c>
      <c r="Q733">
        <v>10.6</v>
      </c>
    </row>
    <row r="734" spans="3:17">
      <c r="C734">
        <v>5360</v>
      </c>
      <c r="E734" t="s">
        <v>5161</v>
      </c>
      <c r="H734" t="s">
        <v>5162</v>
      </c>
      <c r="K734" s="31">
        <v>-1341698.8500000001</v>
      </c>
      <c r="M734">
        <v>0</v>
      </c>
      <c r="O734" s="31">
        <v>-1341698.8500000001</v>
      </c>
    </row>
    <row r="735" spans="3:17">
      <c r="C735">
        <v>5360</v>
      </c>
      <c r="E735" t="s">
        <v>5163</v>
      </c>
      <c r="H735" t="s">
        <v>5164</v>
      </c>
      <c r="K735" s="31">
        <v>178812.49</v>
      </c>
      <c r="M735">
        <v>0</v>
      </c>
      <c r="O735" s="31">
        <v>178812.49</v>
      </c>
    </row>
    <row r="736" spans="3:17">
      <c r="C736">
        <v>5360</v>
      </c>
      <c r="E736" t="s">
        <v>5165</v>
      </c>
      <c r="H736" t="s">
        <v>5166</v>
      </c>
      <c r="K736" s="31">
        <v>-1243938.5900000001</v>
      </c>
      <c r="M736">
        <v>0</v>
      </c>
      <c r="O736" s="31">
        <v>-1243938.5900000001</v>
      </c>
    </row>
    <row r="737" spans="3:17">
      <c r="C737">
        <v>5360</v>
      </c>
      <c r="E737" t="s">
        <v>5167</v>
      </c>
      <c r="H737" t="s">
        <v>4912</v>
      </c>
      <c r="K737" s="31">
        <v>-7303754.9500000002</v>
      </c>
      <c r="M737" s="31">
        <v>-7662080.8799999999</v>
      </c>
      <c r="O737" s="31">
        <v>358325.93</v>
      </c>
      <c r="Q737">
        <v>4.7</v>
      </c>
    </row>
    <row r="738" spans="3:17">
      <c r="C738">
        <v>5360</v>
      </c>
      <c r="E738" t="s">
        <v>5168</v>
      </c>
      <c r="H738" t="s">
        <v>4730</v>
      </c>
      <c r="K738" s="31">
        <v>44999298.329999998</v>
      </c>
      <c r="M738" s="31">
        <v>44999298.329999998</v>
      </c>
      <c r="O738">
        <v>0</v>
      </c>
    </row>
    <row r="739" spans="3:17">
      <c r="C739">
        <v>5360</v>
      </c>
      <c r="E739" t="s">
        <v>5169</v>
      </c>
      <c r="H739" t="s">
        <v>4732</v>
      </c>
      <c r="K739" s="31">
        <v>4028396.93</v>
      </c>
      <c r="M739" s="31">
        <v>4103645.37</v>
      </c>
      <c r="O739" s="31">
        <v>-75248.44</v>
      </c>
      <c r="Q739">
        <v>-1.8</v>
      </c>
    </row>
    <row r="740" spans="3:17">
      <c r="C740">
        <v>5360</v>
      </c>
      <c r="E740" t="s">
        <v>5170</v>
      </c>
      <c r="H740" t="s">
        <v>4734</v>
      </c>
      <c r="K740" s="31">
        <v>-998339.27</v>
      </c>
      <c r="M740" s="31">
        <v>-998339.27</v>
      </c>
      <c r="O740">
        <v>0</v>
      </c>
    </row>
    <row r="741" spans="3:17">
      <c r="C741">
        <v>5360</v>
      </c>
      <c r="E741" t="s">
        <v>5171</v>
      </c>
      <c r="H741" t="s">
        <v>5172</v>
      </c>
      <c r="K741" s="31">
        <v>16014449.6</v>
      </c>
      <c r="M741" s="31">
        <v>16014449.6</v>
      </c>
      <c r="O741">
        <v>0</v>
      </c>
    </row>
    <row r="742" spans="3:17">
      <c r="C742">
        <v>5360</v>
      </c>
      <c r="E742" t="s">
        <v>5173</v>
      </c>
      <c r="H742" t="s">
        <v>4752</v>
      </c>
      <c r="K742" s="31">
        <v>-352318.18</v>
      </c>
      <c r="M742" s="31">
        <v>-352318.18</v>
      </c>
      <c r="O742">
        <v>0</v>
      </c>
    </row>
    <row r="743" spans="3:17">
      <c r="C743">
        <v>5360</v>
      </c>
      <c r="E743" t="s">
        <v>5174</v>
      </c>
      <c r="H743" t="s">
        <v>4756</v>
      </c>
      <c r="K743" s="31">
        <v>-1173314.77</v>
      </c>
      <c r="M743" s="31">
        <v>-1173314.77</v>
      </c>
      <c r="O743">
        <v>0</v>
      </c>
    </row>
    <row r="744" spans="3:17">
      <c r="C744">
        <v>5360</v>
      </c>
      <c r="E744" t="s">
        <v>5175</v>
      </c>
      <c r="H744" t="s">
        <v>4758</v>
      </c>
      <c r="K744">
        <v>5</v>
      </c>
      <c r="M744">
        <v>5</v>
      </c>
      <c r="O744">
        <v>0</v>
      </c>
    </row>
    <row r="745" spans="3:17">
      <c r="C745">
        <v>5360</v>
      </c>
      <c r="E745" t="s">
        <v>5176</v>
      </c>
      <c r="H745" t="s">
        <v>4760</v>
      </c>
      <c r="K745" s="31">
        <v>-477225.75</v>
      </c>
      <c r="M745" s="31">
        <v>-477225.75</v>
      </c>
      <c r="O745">
        <v>0</v>
      </c>
    </row>
    <row r="746" spans="3:17">
      <c r="C746">
        <v>5360</v>
      </c>
      <c r="E746" t="s">
        <v>5177</v>
      </c>
      <c r="H746" t="s">
        <v>4762</v>
      </c>
      <c r="K746" s="31">
        <v>-909043.74</v>
      </c>
      <c r="M746" s="31">
        <v>-909043.74</v>
      </c>
      <c r="O746">
        <v>0</v>
      </c>
    </row>
    <row r="747" spans="3:17">
      <c r="C747">
        <v>5360</v>
      </c>
      <c r="E747" t="s">
        <v>5178</v>
      </c>
      <c r="H747" t="s">
        <v>4764</v>
      </c>
      <c r="K747" s="31">
        <v>19542408.370000001</v>
      </c>
      <c r="M747" s="31">
        <v>19542408.370000001</v>
      </c>
      <c r="O747">
        <v>0</v>
      </c>
    </row>
    <row r="748" spans="3:17">
      <c r="C748">
        <v>5360</v>
      </c>
      <c r="E748" t="s">
        <v>5179</v>
      </c>
      <c r="H748" t="s">
        <v>4766</v>
      </c>
      <c r="K748" s="31">
        <v>-88329</v>
      </c>
      <c r="M748" s="31">
        <v>-88329</v>
      </c>
      <c r="O748">
        <v>0</v>
      </c>
    </row>
    <row r="749" spans="3:17">
      <c r="C749">
        <v>5360</v>
      </c>
      <c r="E749" t="s">
        <v>5180</v>
      </c>
      <c r="H749" t="s">
        <v>5181</v>
      </c>
      <c r="K749" s="31">
        <v>-34495866.039999999</v>
      </c>
      <c r="M749" s="31">
        <v>-6174692.9199999999</v>
      </c>
      <c r="O749" s="31">
        <v>-28321173.120000001</v>
      </c>
      <c r="Q749">
        <v>-458.7</v>
      </c>
    </row>
    <row r="750" spans="3:17">
      <c r="C750">
        <v>5360</v>
      </c>
      <c r="E750" t="s">
        <v>5182</v>
      </c>
      <c r="H750" t="s">
        <v>5183</v>
      </c>
      <c r="K750" s="31">
        <v>2900192.94</v>
      </c>
      <c r="M750" s="31">
        <v>462111.36</v>
      </c>
      <c r="O750" s="31">
        <v>2438081.58</v>
      </c>
      <c r="Q750">
        <v>527.6</v>
      </c>
    </row>
    <row r="751" spans="3:17">
      <c r="C751">
        <v>5360</v>
      </c>
      <c r="E751" t="s">
        <v>5184</v>
      </c>
      <c r="H751" t="s">
        <v>5185</v>
      </c>
      <c r="K751" s="31">
        <v>665420.18999999994</v>
      </c>
      <c r="M751" s="31">
        <v>162136.49</v>
      </c>
      <c r="O751" s="31">
        <v>503283.7</v>
      </c>
      <c r="Q751">
        <v>310.39999999999998</v>
      </c>
    </row>
    <row r="752" spans="3:17">
      <c r="C752">
        <v>5360</v>
      </c>
      <c r="E752" t="s">
        <v>5186</v>
      </c>
      <c r="H752" t="s">
        <v>5187</v>
      </c>
      <c r="K752" s="31">
        <v>-71941.789999999994</v>
      </c>
      <c r="M752" s="31">
        <v>-12615.75</v>
      </c>
      <c r="O752" s="31">
        <v>-59326.04</v>
      </c>
      <c r="Q752">
        <v>-470.3</v>
      </c>
    </row>
    <row r="753" spans="3:17">
      <c r="C753">
        <v>5360</v>
      </c>
      <c r="E753" t="s">
        <v>6032</v>
      </c>
      <c r="H753" t="s">
        <v>5370</v>
      </c>
      <c r="K753" s="31">
        <v>-164297.92000000001</v>
      </c>
      <c r="M753" s="31">
        <v>-64587.09</v>
      </c>
      <c r="O753" s="31">
        <v>-99710.83</v>
      </c>
      <c r="Q753">
        <v>-154.4</v>
      </c>
    </row>
    <row r="754" spans="3:17">
      <c r="C754">
        <v>5360</v>
      </c>
      <c r="E754" t="s">
        <v>5188</v>
      </c>
      <c r="H754" t="s">
        <v>5181</v>
      </c>
      <c r="K754" s="31">
        <v>-16687398.99</v>
      </c>
      <c r="M754" s="31">
        <v>-2844284.9</v>
      </c>
      <c r="O754" s="31">
        <v>-13843114.09</v>
      </c>
      <c r="Q754">
        <v>-486.7</v>
      </c>
    </row>
    <row r="755" spans="3:17">
      <c r="C755">
        <v>5360</v>
      </c>
      <c r="E755" t="s">
        <v>5189</v>
      </c>
      <c r="H755" t="s">
        <v>5190</v>
      </c>
      <c r="K755" s="31">
        <v>-47664.01</v>
      </c>
      <c r="M755" s="31">
        <v>-1629.03</v>
      </c>
      <c r="O755" s="31">
        <v>-46034.98</v>
      </c>
      <c r="Q755">
        <v>-2825.9</v>
      </c>
    </row>
    <row r="756" spans="3:17">
      <c r="C756">
        <v>5360</v>
      </c>
      <c r="E756" t="s">
        <v>6069</v>
      </c>
      <c r="H756" t="s">
        <v>6070</v>
      </c>
      <c r="K756" s="31">
        <v>3633.89</v>
      </c>
      <c r="M756">
        <v>0</v>
      </c>
      <c r="O756" s="31">
        <v>3633.89</v>
      </c>
    </row>
    <row r="757" spans="3:17">
      <c r="C757">
        <v>5360</v>
      </c>
      <c r="E757" t="s">
        <v>6033</v>
      </c>
      <c r="H757" t="s">
        <v>6034</v>
      </c>
      <c r="K757" s="31">
        <v>-18239</v>
      </c>
      <c r="M757" s="31">
        <v>-7169.94</v>
      </c>
      <c r="O757" s="31">
        <v>-11069.06</v>
      </c>
      <c r="Q757">
        <v>-154.4</v>
      </c>
    </row>
    <row r="758" spans="3:17">
      <c r="C758">
        <v>5360</v>
      </c>
      <c r="E758" t="s">
        <v>6071</v>
      </c>
      <c r="H758" t="s">
        <v>5382</v>
      </c>
      <c r="K758">
        <v>0</v>
      </c>
      <c r="M758" s="31">
        <v>13574.29</v>
      </c>
      <c r="O758" s="31">
        <v>-13574.29</v>
      </c>
      <c r="Q758">
        <v>-100</v>
      </c>
    </row>
    <row r="759" spans="3:17">
      <c r="C759">
        <v>5360</v>
      </c>
      <c r="E759" t="s">
        <v>5191</v>
      </c>
      <c r="H759" t="s">
        <v>5192</v>
      </c>
      <c r="K759">
        <v>897.1</v>
      </c>
      <c r="M759">
        <v>50.23</v>
      </c>
      <c r="O759">
        <v>846.87</v>
      </c>
      <c r="Q759">
        <v>1686</v>
      </c>
    </row>
    <row r="760" spans="3:17">
      <c r="C760">
        <v>5360</v>
      </c>
      <c r="E760" t="s">
        <v>5193</v>
      </c>
      <c r="H760" t="s">
        <v>5194</v>
      </c>
      <c r="K760" s="31">
        <v>-2226830.16</v>
      </c>
      <c r="M760" s="31">
        <v>-247320.32000000001</v>
      </c>
      <c r="O760" s="31">
        <v>-1979509.84</v>
      </c>
      <c r="Q760">
        <v>-800.4</v>
      </c>
    </row>
    <row r="761" spans="3:17">
      <c r="C761">
        <v>5360</v>
      </c>
      <c r="E761" t="s">
        <v>5195</v>
      </c>
      <c r="H761" t="s">
        <v>5196</v>
      </c>
      <c r="K761" s="31">
        <v>31555.99</v>
      </c>
      <c r="M761" s="31">
        <v>104705.65</v>
      </c>
      <c r="O761" s="31">
        <v>-73149.66</v>
      </c>
      <c r="Q761">
        <v>-69.900000000000006</v>
      </c>
    </row>
    <row r="762" spans="3:17">
      <c r="C762">
        <v>5360</v>
      </c>
      <c r="E762" t="s">
        <v>5197</v>
      </c>
      <c r="H762" t="s">
        <v>5198</v>
      </c>
      <c r="K762" s="31">
        <v>2118.94</v>
      </c>
      <c r="M762">
        <v>102.91</v>
      </c>
      <c r="O762" s="31">
        <v>2016.03</v>
      </c>
      <c r="Q762">
        <v>1959</v>
      </c>
    </row>
    <row r="763" spans="3:17">
      <c r="C763">
        <v>5360</v>
      </c>
      <c r="E763" t="s">
        <v>6035</v>
      </c>
      <c r="H763" t="s">
        <v>6036</v>
      </c>
      <c r="K763">
        <v>-0.01</v>
      </c>
      <c r="M763">
        <v>0</v>
      </c>
      <c r="O763">
        <v>-0.01</v>
      </c>
    </row>
    <row r="764" spans="3:17">
      <c r="C764">
        <v>5360</v>
      </c>
      <c r="E764" t="s">
        <v>5199</v>
      </c>
      <c r="H764" t="s">
        <v>5200</v>
      </c>
      <c r="K764">
        <v>0</v>
      </c>
      <c r="M764">
        <v>-36.15</v>
      </c>
      <c r="O764">
        <v>36.15</v>
      </c>
      <c r="Q764">
        <v>100</v>
      </c>
    </row>
    <row r="765" spans="3:17">
      <c r="C765">
        <v>5360</v>
      </c>
      <c r="E765" t="s">
        <v>5201</v>
      </c>
      <c r="H765" t="s">
        <v>5202</v>
      </c>
      <c r="K765" s="31">
        <v>-9420351.9100000001</v>
      </c>
      <c r="M765" s="31">
        <v>-1801518.5</v>
      </c>
      <c r="O765" s="31">
        <v>-7618833.4100000001</v>
      </c>
      <c r="Q765">
        <v>-422.9</v>
      </c>
    </row>
    <row r="766" spans="3:17">
      <c r="C766">
        <v>5360</v>
      </c>
      <c r="E766" t="s">
        <v>5203</v>
      </c>
      <c r="H766" t="s">
        <v>5204</v>
      </c>
      <c r="K766" s="31">
        <v>1550272.98</v>
      </c>
      <c r="M766" s="31">
        <v>364801.82</v>
      </c>
      <c r="O766" s="31">
        <v>1185471.1599999999</v>
      </c>
      <c r="Q766">
        <v>325</v>
      </c>
    </row>
    <row r="767" spans="3:17">
      <c r="C767">
        <v>5360</v>
      </c>
      <c r="E767" t="s">
        <v>5992</v>
      </c>
      <c r="H767" t="s">
        <v>5993</v>
      </c>
      <c r="K767" s="31">
        <v>-3917.2</v>
      </c>
      <c r="M767" s="31">
        <v>-1413.46</v>
      </c>
      <c r="O767" s="31">
        <v>-2503.7399999999998</v>
      </c>
      <c r="Q767">
        <v>-177.1</v>
      </c>
    </row>
    <row r="768" spans="3:17">
      <c r="C768">
        <v>5360</v>
      </c>
      <c r="E768" t="s">
        <v>5209</v>
      </c>
      <c r="H768" t="s">
        <v>5210</v>
      </c>
      <c r="K768" s="31">
        <v>-111749.57</v>
      </c>
      <c r="M768">
        <v>0</v>
      </c>
      <c r="O768" s="31">
        <v>-111749.57</v>
      </c>
    </row>
    <row r="769" spans="3:17">
      <c r="C769">
        <v>5360</v>
      </c>
      <c r="E769" t="s">
        <v>5211</v>
      </c>
      <c r="H769" t="s">
        <v>5212</v>
      </c>
      <c r="K769" s="31">
        <v>-106591.85</v>
      </c>
      <c r="M769">
        <v>0</v>
      </c>
      <c r="O769" s="31">
        <v>-106591.85</v>
      </c>
    </row>
    <row r="770" spans="3:17">
      <c r="C770">
        <v>5360</v>
      </c>
      <c r="E770" t="s">
        <v>5994</v>
      </c>
      <c r="H770" t="s">
        <v>5922</v>
      </c>
      <c r="K770" s="31">
        <v>-1647500.03</v>
      </c>
      <c r="M770" s="31">
        <v>89058.83</v>
      </c>
      <c r="O770" s="31">
        <v>-1736558.86</v>
      </c>
      <c r="Q770">
        <v>-1949.9</v>
      </c>
    </row>
    <row r="771" spans="3:17">
      <c r="C771">
        <v>5360</v>
      </c>
      <c r="E771" t="s">
        <v>5995</v>
      </c>
      <c r="H771" t="s">
        <v>5924</v>
      </c>
      <c r="K771" s="31">
        <v>76446.899999999994</v>
      </c>
      <c r="M771" s="31">
        <v>141613.07999999999</v>
      </c>
      <c r="O771" s="31">
        <v>-65166.18</v>
      </c>
      <c r="Q771">
        <v>-46</v>
      </c>
    </row>
    <row r="772" spans="3:17">
      <c r="C772">
        <v>5360</v>
      </c>
      <c r="E772" t="s">
        <v>6037</v>
      </c>
      <c r="H772" t="s">
        <v>5926</v>
      </c>
      <c r="K772" s="31">
        <v>-18715548.449999999</v>
      </c>
      <c r="M772" s="31">
        <v>158594.32999999999</v>
      </c>
      <c r="O772" s="31">
        <v>-18874142.780000001</v>
      </c>
      <c r="Q772" t="s">
        <v>6072</v>
      </c>
    </row>
    <row r="773" spans="3:17">
      <c r="C773">
        <v>5360</v>
      </c>
      <c r="E773" t="s">
        <v>5996</v>
      </c>
      <c r="H773" t="s">
        <v>5928</v>
      </c>
      <c r="K773" s="31">
        <v>410541.01</v>
      </c>
      <c r="M773" s="31">
        <v>69182.06</v>
      </c>
      <c r="O773" s="31">
        <v>341358.95</v>
      </c>
      <c r="Q773">
        <v>493.4</v>
      </c>
    </row>
    <row r="774" spans="3:17">
      <c r="C774">
        <v>5360</v>
      </c>
      <c r="E774" t="s">
        <v>5213</v>
      </c>
      <c r="H774" t="s">
        <v>5214</v>
      </c>
      <c r="K774" s="31">
        <v>-332208.31</v>
      </c>
      <c r="M774" s="31">
        <v>-55368.04</v>
      </c>
      <c r="O774" s="31">
        <v>-276840.27</v>
      </c>
      <c r="Q774">
        <v>-500</v>
      </c>
    </row>
    <row r="775" spans="3:17">
      <c r="C775">
        <v>5360</v>
      </c>
      <c r="E775" t="s">
        <v>5215</v>
      </c>
      <c r="H775" t="s">
        <v>5216</v>
      </c>
      <c r="K775" s="31">
        <v>9569193</v>
      </c>
      <c r="M775" s="31">
        <v>1698840.26</v>
      </c>
      <c r="O775" s="31">
        <v>7870352.7400000002</v>
      </c>
      <c r="Q775">
        <v>463.3</v>
      </c>
    </row>
    <row r="776" spans="3:17">
      <c r="C776">
        <v>5360</v>
      </c>
      <c r="E776" t="s">
        <v>5217</v>
      </c>
      <c r="H776" t="s">
        <v>5218</v>
      </c>
      <c r="K776" s="31">
        <v>144936.07</v>
      </c>
      <c r="M776" s="31">
        <v>36121.75</v>
      </c>
      <c r="O776" s="31">
        <v>108814.32</v>
      </c>
      <c r="Q776">
        <v>301.2</v>
      </c>
    </row>
    <row r="777" spans="3:17">
      <c r="C777">
        <v>5360</v>
      </c>
      <c r="E777" t="s">
        <v>5219</v>
      </c>
      <c r="H777" t="s">
        <v>5220</v>
      </c>
      <c r="K777" s="31">
        <v>192807.81</v>
      </c>
      <c r="M777" s="31">
        <v>16924</v>
      </c>
      <c r="O777" s="31">
        <v>175883.81</v>
      </c>
      <c r="Q777">
        <v>1039.3</v>
      </c>
    </row>
    <row r="778" spans="3:17">
      <c r="C778">
        <v>5360</v>
      </c>
      <c r="E778" t="s">
        <v>5221</v>
      </c>
      <c r="H778" t="s">
        <v>5222</v>
      </c>
      <c r="K778" s="31">
        <v>-31555.99</v>
      </c>
      <c r="M778" s="31">
        <v>-104705.65</v>
      </c>
      <c r="O778" s="31">
        <v>73149.66</v>
      </c>
      <c r="Q778">
        <v>69.900000000000006</v>
      </c>
    </row>
    <row r="779" spans="3:17">
      <c r="C779">
        <v>5360</v>
      </c>
      <c r="E779" t="s">
        <v>5223</v>
      </c>
      <c r="H779" t="s">
        <v>5224</v>
      </c>
      <c r="K779" s="31">
        <v>7975.54</v>
      </c>
      <c r="M779" s="31">
        <v>1385.49</v>
      </c>
      <c r="O779" s="31">
        <v>6590.05</v>
      </c>
      <c r="Q779">
        <v>475.6</v>
      </c>
    </row>
    <row r="780" spans="3:17">
      <c r="C780">
        <v>5360</v>
      </c>
      <c r="E780" t="s">
        <v>5225</v>
      </c>
      <c r="H780" t="s">
        <v>5226</v>
      </c>
      <c r="K780" s="31">
        <v>1243938.5900000001</v>
      </c>
      <c r="M780">
        <v>0</v>
      </c>
      <c r="O780" s="31">
        <v>1243938.5900000001</v>
      </c>
    </row>
    <row r="781" spans="3:17">
      <c r="C781">
        <v>5360</v>
      </c>
      <c r="E781" t="s">
        <v>6073</v>
      </c>
      <c r="H781" t="s">
        <v>6074</v>
      </c>
      <c r="K781" s="31">
        <v>1250.93</v>
      </c>
      <c r="M781">
        <v>0</v>
      </c>
      <c r="O781" s="31">
        <v>1250.93</v>
      </c>
    </row>
    <row r="782" spans="3:17">
      <c r="C782">
        <v>5360</v>
      </c>
      <c r="E782" t="s">
        <v>5230</v>
      </c>
      <c r="H782" t="s">
        <v>3532</v>
      </c>
      <c r="K782" s="31">
        <v>-36640.51</v>
      </c>
      <c r="M782">
        <v>-5.42</v>
      </c>
      <c r="O782" s="31">
        <v>-36635.089999999997</v>
      </c>
      <c r="Q782" t="s">
        <v>6075</v>
      </c>
    </row>
    <row r="783" spans="3:17">
      <c r="C783">
        <v>5360</v>
      </c>
      <c r="E783" t="s">
        <v>5232</v>
      </c>
      <c r="H783" t="s">
        <v>5233</v>
      </c>
      <c r="K783" s="31">
        <v>-125144.84</v>
      </c>
      <c r="M783" s="31">
        <v>-21962.82</v>
      </c>
      <c r="O783" s="31">
        <v>-103182.02</v>
      </c>
      <c r="Q783">
        <v>-469.8</v>
      </c>
    </row>
    <row r="784" spans="3:17">
      <c r="C784">
        <v>5360</v>
      </c>
      <c r="E784" t="s">
        <v>5234</v>
      </c>
      <c r="H784" t="s">
        <v>5235</v>
      </c>
      <c r="K784" s="31">
        <v>-64153.31</v>
      </c>
      <c r="M784" s="31">
        <v>-11433.16</v>
      </c>
      <c r="O784" s="31">
        <v>-52720.15</v>
      </c>
      <c r="Q784">
        <v>-461.1</v>
      </c>
    </row>
    <row r="785" spans="3:17">
      <c r="C785">
        <v>5360</v>
      </c>
      <c r="E785" t="s">
        <v>5236</v>
      </c>
      <c r="H785" t="s">
        <v>5237</v>
      </c>
      <c r="K785" s="31">
        <v>843910.52</v>
      </c>
      <c r="M785" s="31">
        <v>206581.24</v>
      </c>
      <c r="O785" s="31">
        <v>637329.28</v>
      </c>
      <c r="Q785">
        <v>308.5</v>
      </c>
    </row>
    <row r="786" spans="3:17">
      <c r="C786">
        <v>5360</v>
      </c>
      <c r="E786" t="s">
        <v>5238</v>
      </c>
      <c r="H786" t="s">
        <v>5239</v>
      </c>
      <c r="K786">
        <v>98.89</v>
      </c>
      <c r="M786">
        <v>275.68</v>
      </c>
      <c r="O786">
        <v>-176.79</v>
      </c>
      <c r="Q786">
        <v>-64.099999999999994</v>
      </c>
    </row>
    <row r="787" spans="3:17">
      <c r="C787">
        <v>5360</v>
      </c>
      <c r="E787" t="s">
        <v>5240</v>
      </c>
      <c r="H787" t="s">
        <v>5241</v>
      </c>
      <c r="K787" s="31">
        <v>154246.78</v>
      </c>
      <c r="M787" s="31">
        <v>35081.29</v>
      </c>
      <c r="O787" s="31">
        <v>119165.49</v>
      </c>
      <c r="Q787">
        <v>339.7</v>
      </c>
    </row>
    <row r="788" spans="3:17">
      <c r="C788">
        <v>5360</v>
      </c>
      <c r="E788" t="s">
        <v>5242</v>
      </c>
      <c r="H788" t="s">
        <v>5243</v>
      </c>
      <c r="K788">
        <v>829.28</v>
      </c>
      <c r="M788" s="31">
        <v>1276.3800000000001</v>
      </c>
      <c r="O788">
        <v>-447.1</v>
      </c>
      <c r="Q788">
        <v>-35</v>
      </c>
    </row>
    <row r="789" spans="3:17">
      <c r="C789">
        <v>5360</v>
      </c>
      <c r="E789" t="s">
        <v>5244</v>
      </c>
      <c r="H789" t="s">
        <v>5245</v>
      </c>
      <c r="K789" s="31">
        <v>586032.06999999995</v>
      </c>
      <c r="M789" s="31">
        <v>147644.09</v>
      </c>
      <c r="O789" s="31">
        <v>438387.98</v>
      </c>
      <c r="Q789">
        <v>296.89999999999998</v>
      </c>
    </row>
    <row r="790" spans="3:17">
      <c r="C790">
        <v>5360</v>
      </c>
      <c r="E790" t="s">
        <v>5246</v>
      </c>
      <c r="H790" t="s">
        <v>5247</v>
      </c>
      <c r="K790">
        <v>964.48</v>
      </c>
      <c r="M790" s="31">
        <v>1601.61</v>
      </c>
      <c r="O790">
        <v>-637.13</v>
      </c>
      <c r="Q790">
        <v>-39.799999999999997</v>
      </c>
    </row>
    <row r="791" spans="3:17">
      <c r="C791">
        <v>5360</v>
      </c>
      <c r="E791" t="s">
        <v>5248</v>
      </c>
      <c r="H791" t="s">
        <v>5249</v>
      </c>
      <c r="K791">
        <v>-26.96</v>
      </c>
      <c r="M791">
        <v>16.149999999999999</v>
      </c>
      <c r="O791">
        <v>-43.11</v>
      </c>
      <c r="Q791">
        <v>-266.89999999999998</v>
      </c>
    </row>
    <row r="792" spans="3:17">
      <c r="C792">
        <v>5360</v>
      </c>
      <c r="E792" t="s">
        <v>5250</v>
      </c>
      <c r="H792" t="s">
        <v>5251</v>
      </c>
      <c r="K792" s="31">
        <v>-10206.15</v>
      </c>
      <c r="M792" s="31">
        <v>2632</v>
      </c>
      <c r="O792" s="31">
        <v>-12838.15</v>
      </c>
      <c r="Q792">
        <v>-487.8</v>
      </c>
    </row>
    <row r="793" spans="3:17">
      <c r="C793">
        <v>5360</v>
      </c>
      <c r="E793" t="s">
        <v>5252</v>
      </c>
      <c r="H793" t="s">
        <v>5253</v>
      </c>
      <c r="K793">
        <v>150.96</v>
      </c>
      <c r="M793">
        <v>201.83</v>
      </c>
      <c r="O793">
        <v>-50.87</v>
      </c>
      <c r="Q793">
        <v>-25.2</v>
      </c>
    </row>
    <row r="794" spans="3:17">
      <c r="C794">
        <v>5360</v>
      </c>
      <c r="E794" t="s">
        <v>5254</v>
      </c>
      <c r="H794" t="s">
        <v>5255</v>
      </c>
      <c r="K794" s="31">
        <v>88215.7</v>
      </c>
      <c r="M794" s="31">
        <v>14597.45</v>
      </c>
      <c r="O794" s="31">
        <v>73618.25</v>
      </c>
      <c r="Q794">
        <v>504.3</v>
      </c>
    </row>
    <row r="795" spans="3:17">
      <c r="C795">
        <v>5360</v>
      </c>
      <c r="E795" t="s">
        <v>5997</v>
      </c>
      <c r="H795" t="s">
        <v>5539</v>
      </c>
      <c r="K795">
        <v>40.22</v>
      </c>
      <c r="M795">
        <v>42.91</v>
      </c>
      <c r="O795">
        <v>-2.69</v>
      </c>
      <c r="Q795">
        <v>-6.3</v>
      </c>
    </row>
    <row r="796" spans="3:17">
      <c r="C796">
        <v>5360</v>
      </c>
      <c r="E796" t="s">
        <v>5256</v>
      </c>
      <c r="H796" t="s">
        <v>5257</v>
      </c>
      <c r="K796" s="31">
        <v>271548.89</v>
      </c>
      <c r="M796" s="31">
        <v>73333.399999999994</v>
      </c>
      <c r="O796" s="31">
        <v>198215.49</v>
      </c>
      <c r="Q796">
        <v>270.3</v>
      </c>
    </row>
    <row r="797" spans="3:17">
      <c r="C797">
        <v>5360</v>
      </c>
      <c r="E797" t="s">
        <v>5258</v>
      </c>
      <c r="H797" t="s">
        <v>5259</v>
      </c>
      <c r="K797">
        <v>351.57</v>
      </c>
      <c r="M797">
        <v>592.19000000000005</v>
      </c>
      <c r="O797">
        <v>-240.62</v>
      </c>
      <c r="Q797">
        <v>-40.6</v>
      </c>
    </row>
    <row r="798" spans="3:17">
      <c r="C798">
        <v>5360</v>
      </c>
      <c r="E798" t="s">
        <v>5260</v>
      </c>
      <c r="H798" t="s">
        <v>5261</v>
      </c>
      <c r="K798" s="31">
        <v>991083.12</v>
      </c>
      <c r="M798" s="31">
        <v>-212752.4</v>
      </c>
      <c r="O798" s="31">
        <v>1203835.52</v>
      </c>
      <c r="Q798">
        <v>565.79999999999995</v>
      </c>
    </row>
    <row r="799" spans="3:17">
      <c r="C799">
        <v>5360</v>
      </c>
      <c r="E799" t="s">
        <v>5262</v>
      </c>
      <c r="H799" t="s">
        <v>5263</v>
      </c>
      <c r="K799">
        <v>41.85</v>
      </c>
      <c r="M799">
        <v>63.37</v>
      </c>
      <c r="O799">
        <v>-21.52</v>
      </c>
      <c r="Q799">
        <v>-34</v>
      </c>
    </row>
    <row r="800" spans="3:17">
      <c r="C800">
        <v>5360</v>
      </c>
      <c r="E800" t="s">
        <v>5264</v>
      </c>
      <c r="H800" t="s">
        <v>5265</v>
      </c>
      <c r="K800" s="31">
        <v>9681.9500000000007</v>
      </c>
      <c r="M800">
        <v>-453.29</v>
      </c>
      <c r="O800" s="31">
        <v>10135.24</v>
      </c>
      <c r="Q800">
        <v>2235.9</v>
      </c>
    </row>
    <row r="801" spans="3:17">
      <c r="C801">
        <v>5360</v>
      </c>
      <c r="E801" t="s">
        <v>5266</v>
      </c>
      <c r="H801" t="s">
        <v>5267</v>
      </c>
      <c r="K801">
        <v>21.35</v>
      </c>
      <c r="M801">
        <v>-5.6</v>
      </c>
      <c r="O801">
        <v>26.95</v>
      </c>
      <c r="Q801">
        <v>481.3</v>
      </c>
    </row>
    <row r="802" spans="3:17">
      <c r="C802">
        <v>5360</v>
      </c>
      <c r="E802" t="s">
        <v>5268</v>
      </c>
      <c r="H802" t="s">
        <v>5269</v>
      </c>
      <c r="K802" s="31">
        <v>250361.54</v>
      </c>
      <c r="M802" s="31">
        <v>70645.94</v>
      </c>
      <c r="O802" s="31">
        <v>179715.6</v>
      </c>
      <c r="Q802">
        <v>254.4</v>
      </c>
    </row>
    <row r="803" spans="3:17">
      <c r="C803">
        <v>5360</v>
      </c>
      <c r="E803" t="s">
        <v>5270</v>
      </c>
      <c r="H803" t="s">
        <v>5271</v>
      </c>
      <c r="K803">
        <v>301.66000000000003</v>
      </c>
      <c r="M803">
        <v>488.41</v>
      </c>
      <c r="O803">
        <v>-186.75</v>
      </c>
      <c r="Q803">
        <v>-38.200000000000003</v>
      </c>
    </row>
    <row r="804" spans="3:17">
      <c r="C804">
        <v>5360</v>
      </c>
      <c r="E804" t="s">
        <v>5272</v>
      </c>
      <c r="H804" t="s">
        <v>5273</v>
      </c>
      <c r="K804" s="31">
        <v>24338.1</v>
      </c>
      <c r="M804" s="31">
        <v>6772.74</v>
      </c>
      <c r="O804" s="31">
        <v>17565.36</v>
      </c>
      <c r="Q804">
        <v>259.39999999999998</v>
      </c>
    </row>
    <row r="805" spans="3:17">
      <c r="C805">
        <v>5360</v>
      </c>
      <c r="E805" t="s">
        <v>5274</v>
      </c>
      <c r="H805" t="s">
        <v>5275</v>
      </c>
      <c r="K805">
        <v>18.440000000000001</v>
      </c>
      <c r="M805">
        <v>20.77</v>
      </c>
      <c r="O805">
        <v>-2.33</v>
      </c>
      <c r="Q805">
        <v>-11.2</v>
      </c>
    </row>
    <row r="806" spans="3:17">
      <c r="C806">
        <v>5360</v>
      </c>
      <c r="E806" t="s">
        <v>5276</v>
      </c>
      <c r="H806" t="s">
        <v>5277</v>
      </c>
      <c r="K806" s="31">
        <v>-257881.78</v>
      </c>
      <c r="M806" s="31">
        <v>-712981.9</v>
      </c>
      <c r="O806" s="31">
        <v>455100.12</v>
      </c>
      <c r="Q806">
        <v>63.8</v>
      </c>
    </row>
    <row r="807" spans="3:17">
      <c r="C807">
        <v>5360</v>
      </c>
      <c r="E807" t="s">
        <v>5278</v>
      </c>
      <c r="H807" t="s">
        <v>5279</v>
      </c>
      <c r="K807">
        <v>133.12</v>
      </c>
      <c r="M807">
        <v>202.21</v>
      </c>
      <c r="O807">
        <v>-69.09</v>
      </c>
      <c r="Q807">
        <v>-34.200000000000003</v>
      </c>
    </row>
    <row r="808" spans="3:17">
      <c r="C808">
        <v>5360</v>
      </c>
      <c r="E808" t="s">
        <v>5280</v>
      </c>
      <c r="H808" t="s">
        <v>5281</v>
      </c>
      <c r="K808" s="31">
        <v>81152.399999999994</v>
      </c>
      <c r="M808" s="31">
        <v>23056.39</v>
      </c>
      <c r="O808" s="31">
        <v>58096.01</v>
      </c>
      <c r="Q808">
        <v>252</v>
      </c>
    </row>
    <row r="809" spans="3:17">
      <c r="C809">
        <v>5360</v>
      </c>
      <c r="E809" t="s">
        <v>5282</v>
      </c>
      <c r="H809" t="s">
        <v>5283</v>
      </c>
      <c r="K809">
        <v>139.25</v>
      </c>
      <c r="M809">
        <v>225.03</v>
      </c>
      <c r="O809">
        <v>-85.78</v>
      </c>
      <c r="Q809">
        <v>-38.1</v>
      </c>
    </row>
    <row r="810" spans="3:17">
      <c r="C810">
        <v>5360</v>
      </c>
      <c r="E810" t="s">
        <v>5284</v>
      </c>
      <c r="H810" t="s">
        <v>5285</v>
      </c>
      <c r="K810" s="31">
        <v>38061.279999999999</v>
      </c>
      <c r="M810">
        <v>-645.92999999999995</v>
      </c>
      <c r="O810" s="31">
        <v>38707.21</v>
      </c>
      <c r="Q810">
        <v>5992.5</v>
      </c>
    </row>
    <row r="811" spans="3:17">
      <c r="C811">
        <v>5360</v>
      </c>
      <c r="E811" t="s">
        <v>5286</v>
      </c>
      <c r="H811" t="s">
        <v>5287</v>
      </c>
      <c r="K811">
        <v>26.91</v>
      </c>
      <c r="M811">
        <v>49.69</v>
      </c>
      <c r="O811">
        <v>-22.78</v>
      </c>
      <c r="Q811">
        <v>-45.8</v>
      </c>
    </row>
    <row r="812" spans="3:17">
      <c r="C812">
        <v>5360</v>
      </c>
      <c r="E812" t="s">
        <v>5288</v>
      </c>
      <c r="H812" t="s">
        <v>5289</v>
      </c>
      <c r="K812" s="31">
        <v>157754.41</v>
      </c>
      <c r="M812" s="31">
        <v>36295.78</v>
      </c>
      <c r="O812" s="31">
        <v>121458.63</v>
      </c>
      <c r="Q812">
        <v>334.6</v>
      </c>
    </row>
    <row r="813" spans="3:17">
      <c r="C813">
        <v>5360</v>
      </c>
      <c r="E813" t="s">
        <v>5290</v>
      </c>
      <c r="H813" t="s">
        <v>5291</v>
      </c>
      <c r="K813">
        <v>214.13</v>
      </c>
      <c r="M813">
        <v>293.37</v>
      </c>
      <c r="O813">
        <v>-79.239999999999995</v>
      </c>
      <c r="Q813">
        <v>-27</v>
      </c>
    </row>
    <row r="814" spans="3:17">
      <c r="C814">
        <v>5360</v>
      </c>
      <c r="E814" t="s">
        <v>5292</v>
      </c>
      <c r="H814" t="s">
        <v>5293</v>
      </c>
      <c r="K814" s="31">
        <v>-53955.47</v>
      </c>
      <c r="M814" s="31">
        <v>-40729.08</v>
      </c>
      <c r="O814" s="31">
        <v>-13226.39</v>
      </c>
      <c r="Q814">
        <v>-32.5</v>
      </c>
    </row>
    <row r="815" spans="3:17">
      <c r="C815">
        <v>5360</v>
      </c>
      <c r="E815" t="s">
        <v>5294</v>
      </c>
      <c r="H815" t="s">
        <v>5295</v>
      </c>
      <c r="K815" s="31">
        <v>145844.67000000001</v>
      </c>
      <c r="M815" s="31">
        <v>6994.83</v>
      </c>
      <c r="O815" s="31">
        <v>138849.84</v>
      </c>
      <c r="Q815">
        <v>1985</v>
      </c>
    </row>
    <row r="816" spans="3:17">
      <c r="C816">
        <v>5360</v>
      </c>
      <c r="E816" t="s">
        <v>5296</v>
      </c>
      <c r="H816" t="s">
        <v>5297</v>
      </c>
      <c r="K816">
        <v>0</v>
      </c>
      <c r="M816">
        <v>15.68</v>
      </c>
      <c r="O816">
        <v>-15.68</v>
      </c>
      <c r="Q816">
        <v>-100</v>
      </c>
    </row>
    <row r="817" spans="3:17">
      <c r="C817">
        <v>5360</v>
      </c>
      <c r="E817" t="s">
        <v>5298</v>
      </c>
      <c r="H817" t="s">
        <v>5299</v>
      </c>
      <c r="K817" s="31">
        <v>189146.61</v>
      </c>
      <c r="M817">
        <v>524.41</v>
      </c>
      <c r="O817" s="31">
        <v>188622.2</v>
      </c>
      <c r="Q817">
        <v>35968.5</v>
      </c>
    </row>
    <row r="818" spans="3:17">
      <c r="C818">
        <v>5360</v>
      </c>
      <c r="E818" t="s">
        <v>5300</v>
      </c>
      <c r="H818" t="s">
        <v>5301</v>
      </c>
      <c r="K818" s="31">
        <v>19892.05</v>
      </c>
      <c r="M818">
        <v>-216.23</v>
      </c>
      <c r="O818" s="31">
        <v>20108.28</v>
      </c>
      <c r="Q818">
        <v>9299.5</v>
      </c>
    </row>
    <row r="819" spans="3:17">
      <c r="C819">
        <v>5360</v>
      </c>
      <c r="E819" t="s">
        <v>5302</v>
      </c>
      <c r="H819" t="s">
        <v>5303</v>
      </c>
      <c r="K819" s="31">
        <v>-108802.66</v>
      </c>
      <c r="M819" s="31">
        <v>79606.03</v>
      </c>
      <c r="O819" s="31">
        <v>-188408.69</v>
      </c>
      <c r="Q819">
        <v>-236.7</v>
      </c>
    </row>
    <row r="820" spans="3:17">
      <c r="C820">
        <v>5360</v>
      </c>
      <c r="E820" t="s">
        <v>5304</v>
      </c>
      <c r="H820" t="s">
        <v>5305</v>
      </c>
      <c r="K820">
        <v>47.25</v>
      </c>
      <c r="M820">
        <v>0</v>
      </c>
      <c r="O820">
        <v>47.25</v>
      </c>
    </row>
    <row r="821" spans="3:17">
      <c r="C821">
        <v>5360</v>
      </c>
      <c r="E821" t="s">
        <v>5998</v>
      </c>
      <c r="H821" t="s">
        <v>5999</v>
      </c>
      <c r="K821">
        <v>-50.54</v>
      </c>
      <c r="M821">
        <v>0</v>
      </c>
      <c r="O821">
        <v>-50.54</v>
      </c>
    </row>
    <row r="822" spans="3:17">
      <c r="C822">
        <v>5360</v>
      </c>
      <c r="E822" t="s">
        <v>5306</v>
      </c>
      <c r="H822" t="s">
        <v>5307</v>
      </c>
      <c r="K822" s="31">
        <v>520922.51</v>
      </c>
      <c r="M822" s="31">
        <v>581716.26</v>
      </c>
      <c r="O822" s="31">
        <v>-60793.75</v>
      </c>
      <c r="Q822">
        <v>-10.5</v>
      </c>
    </row>
    <row r="823" spans="3:17">
      <c r="C823">
        <v>5360</v>
      </c>
      <c r="E823" t="s">
        <v>5310</v>
      </c>
      <c r="H823" t="s">
        <v>5311</v>
      </c>
      <c r="K823" s="31">
        <v>2889024.16</v>
      </c>
      <c r="M823" s="31">
        <v>506633.36</v>
      </c>
      <c r="O823" s="31">
        <v>2382390.7999999998</v>
      </c>
      <c r="Q823">
        <v>470.2</v>
      </c>
    </row>
    <row r="824" spans="3:17">
      <c r="C824">
        <v>5360</v>
      </c>
      <c r="E824" t="s">
        <v>5312</v>
      </c>
      <c r="H824" t="s">
        <v>5313</v>
      </c>
      <c r="K824" s="31">
        <v>5432.73</v>
      </c>
      <c r="M824">
        <v>744.18</v>
      </c>
      <c r="O824" s="31">
        <v>4688.55</v>
      </c>
      <c r="Q824">
        <v>630</v>
      </c>
    </row>
    <row r="825" spans="3:17">
      <c r="C825">
        <v>5360</v>
      </c>
      <c r="E825" t="s">
        <v>5314</v>
      </c>
      <c r="H825" t="s">
        <v>5315</v>
      </c>
      <c r="K825" s="31">
        <v>5695.11</v>
      </c>
      <c r="M825">
        <v>341.08</v>
      </c>
      <c r="O825" s="31">
        <v>5354.03</v>
      </c>
      <c r="Q825">
        <v>1569.7</v>
      </c>
    </row>
    <row r="826" spans="3:17">
      <c r="C826">
        <v>5360</v>
      </c>
      <c r="E826" t="s">
        <v>5316</v>
      </c>
      <c r="H826" t="s">
        <v>5317</v>
      </c>
      <c r="K826" s="31">
        <v>1030.7</v>
      </c>
      <c r="M826">
        <v>606.86</v>
      </c>
      <c r="O826">
        <v>423.84</v>
      </c>
      <c r="Q826">
        <v>69.8</v>
      </c>
    </row>
    <row r="827" spans="3:17">
      <c r="C827">
        <v>5360</v>
      </c>
      <c r="E827" t="s">
        <v>5318</v>
      </c>
      <c r="H827" t="s">
        <v>5319</v>
      </c>
      <c r="K827" s="31">
        <v>1651112.88</v>
      </c>
      <c r="M827" s="31">
        <v>172644.66</v>
      </c>
      <c r="O827" s="31">
        <v>1478468.22</v>
      </c>
      <c r="Q827">
        <v>856.4</v>
      </c>
    </row>
    <row r="828" spans="3:17">
      <c r="C828">
        <v>5360</v>
      </c>
      <c r="E828" t="s">
        <v>5320</v>
      </c>
      <c r="H828" t="s">
        <v>5321</v>
      </c>
      <c r="K828" s="31">
        <v>167461.24</v>
      </c>
      <c r="M828" s="31">
        <v>14169.78</v>
      </c>
      <c r="O828" s="31">
        <v>153291.46</v>
      </c>
      <c r="Q828">
        <v>1081.8</v>
      </c>
    </row>
    <row r="829" spans="3:17">
      <c r="C829">
        <v>5360</v>
      </c>
      <c r="E829" t="s">
        <v>5322</v>
      </c>
      <c r="H829" t="s">
        <v>5323</v>
      </c>
      <c r="K829" s="31">
        <v>75929.75</v>
      </c>
      <c r="M829" s="31">
        <v>8670.7000000000007</v>
      </c>
      <c r="O829" s="31">
        <v>67259.05</v>
      </c>
      <c r="Q829">
        <v>775.7</v>
      </c>
    </row>
    <row r="830" spans="3:17">
      <c r="C830">
        <v>5360</v>
      </c>
      <c r="E830" t="s">
        <v>5324</v>
      </c>
      <c r="H830" t="s">
        <v>5325</v>
      </c>
      <c r="K830" s="31">
        <v>3173.7</v>
      </c>
      <c r="M830">
        <v>0</v>
      </c>
      <c r="O830" s="31">
        <v>3173.7</v>
      </c>
    </row>
    <row r="831" spans="3:17">
      <c r="C831">
        <v>5360</v>
      </c>
      <c r="E831" t="s">
        <v>5326</v>
      </c>
      <c r="H831" t="s">
        <v>5327</v>
      </c>
      <c r="K831" s="31">
        <v>6241.79</v>
      </c>
      <c r="M831" s="31">
        <v>-1415.73</v>
      </c>
      <c r="O831" s="31">
        <v>7657.52</v>
      </c>
      <c r="Q831">
        <v>540.9</v>
      </c>
    </row>
    <row r="832" spans="3:17">
      <c r="C832">
        <v>5360</v>
      </c>
      <c r="E832" t="s">
        <v>5328</v>
      </c>
      <c r="H832" t="s">
        <v>5329</v>
      </c>
      <c r="K832" s="31">
        <v>3375.82</v>
      </c>
      <c r="M832">
        <v>189.01</v>
      </c>
      <c r="O832" s="31">
        <v>3186.81</v>
      </c>
      <c r="Q832">
        <v>1686.1</v>
      </c>
    </row>
    <row r="833" spans="3:17">
      <c r="C833">
        <v>5360</v>
      </c>
      <c r="E833" t="s">
        <v>5330</v>
      </c>
      <c r="H833" t="s">
        <v>5331</v>
      </c>
      <c r="K833">
        <v>298.44</v>
      </c>
      <c r="M833">
        <v>16.72</v>
      </c>
      <c r="O833">
        <v>281.72000000000003</v>
      </c>
      <c r="Q833">
        <v>1684.9</v>
      </c>
    </row>
    <row r="834" spans="3:17">
      <c r="C834">
        <v>5360</v>
      </c>
      <c r="E834" t="s">
        <v>5332</v>
      </c>
      <c r="H834" t="s">
        <v>5333</v>
      </c>
      <c r="K834" s="31">
        <v>114585.78</v>
      </c>
      <c r="M834" s="31">
        <v>-986526.65</v>
      </c>
      <c r="O834" s="31">
        <v>1101112.43</v>
      </c>
      <c r="Q834">
        <v>111.6</v>
      </c>
    </row>
    <row r="835" spans="3:17">
      <c r="C835">
        <v>5360</v>
      </c>
      <c r="E835" t="s">
        <v>5334</v>
      </c>
      <c r="H835" t="s">
        <v>5335</v>
      </c>
      <c r="K835" s="31">
        <v>-3018098.91</v>
      </c>
      <c r="M835" s="31">
        <v>-495812.94</v>
      </c>
      <c r="O835" s="31">
        <v>-2522285.9700000002</v>
      </c>
      <c r="Q835">
        <v>-508.7</v>
      </c>
    </row>
    <row r="836" spans="3:17">
      <c r="C836">
        <v>5360</v>
      </c>
      <c r="E836" t="s">
        <v>5336</v>
      </c>
      <c r="H836" t="s">
        <v>5337</v>
      </c>
      <c r="K836" s="31">
        <v>-914439.22</v>
      </c>
      <c r="M836" s="31">
        <v>-211308.98</v>
      </c>
      <c r="O836" s="31">
        <v>-703130.24</v>
      </c>
      <c r="Q836">
        <v>-332.7</v>
      </c>
    </row>
    <row r="837" spans="3:17">
      <c r="C837">
        <v>5360</v>
      </c>
      <c r="E837" t="s">
        <v>5338</v>
      </c>
      <c r="H837" t="s">
        <v>5339</v>
      </c>
      <c r="K837" s="31">
        <v>790244.61</v>
      </c>
      <c r="M837" s="31">
        <v>102035.59</v>
      </c>
      <c r="O837" s="31">
        <v>688209.02</v>
      </c>
      <c r="Q837">
        <v>674.5</v>
      </c>
    </row>
    <row r="838" spans="3:17">
      <c r="C838">
        <v>5360</v>
      </c>
      <c r="E838" t="s">
        <v>5342</v>
      </c>
      <c r="H838" t="s">
        <v>5343</v>
      </c>
      <c r="K838" s="31">
        <v>-24466.11</v>
      </c>
      <c r="M838" s="31">
        <v>-16234.9</v>
      </c>
      <c r="O838" s="31">
        <v>-8231.2099999999991</v>
      </c>
      <c r="Q838">
        <v>-50.7</v>
      </c>
    </row>
    <row r="839" spans="3:17">
      <c r="C839">
        <v>5360</v>
      </c>
      <c r="E839" t="s">
        <v>6038</v>
      </c>
      <c r="H839" t="s">
        <v>5343</v>
      </c>
      <c r="K839">
        <v>-31.68</v>
      </c>
      <c r="M839">
        <v>0</v>
      </c>
      <c r="O839">
        <v>-31.68</v>
      </c>
    </row>
    <row r="840" spans="3:17">
      <c r="C840">
        <v>5360</v>
      </c>
      <c r="E840" t="s">
        <v>6000</v>
      </c>
      <c r="H840" t="s">
        <v>5792</v>
      </c>
      <c r="K840">
        <v>-6.36</v>
      </c>
      <c r="M840">
        <v>0</v>
      </c>
      <c r="O840">
        <v>-6.36</v>
      </c>
    </row>
    <row r="841" spans="3:17">
      <c r="C841">
        <v>5360</v>
      </c>
      <c r="E841" t="s">
        <v>5344</v>
      </c>
      <c r="H841" t="s">
        <v>5345</v>
      </c>
      <c r="K841">
        <v>-92.19</v>
      </c>
      <c r="M841">
        <v>0</v>
      </c>
      <c r="O841">
        <v>-92.19</v>
      </c>
    </row>
    <row r="842" spans="3:17">
      <c r="C842">
        <v>5360</v>
      </c>
      <c r="E842" t="s">
        <v>6001</v>
      </c>
      <c r="H842" t="s">
        <v>6002</v>
      </c>
      <c r="K842" s="31">
        <v>-4069</v>
      </c>
      <c r="M842">
        <v>0</v>
      </c>
      <c r="O842" s="31">
        <v>-4069</v>
      </c>
    </row>
    <row r="843" spans="3:17">
      <c r="C843">
        <v>5360</v>
      </c>
      <c r="E843" t="s">
        <v>6076</v>
      </c>
      <c r="H843" t="s">
        <v>5823</v>
      </c>
      <c r="K843">
        <v>0</v>
      </c>
      <c r="M843">
        <v>-79.75</v>
      </c>
      <c r="O843">
        <v>79.75</v>
      </c>
      <c r="Q843">
        <v>100</v>
      </c>
    </row>
    <row r="844" spans="3:17">
      <c r="C844">
        <v>5360</v>
      </c>
      <c r="E844" t="s">
        <v>5346</v>
      </c>
      <c r="H844" t="s">
        <v>5347</v>
      </c>
      <c r="K844" s="31">
        <v>1735.85</v>
      </c>
      <c r="M844" s="31">
        <v>-176534.61</v>
      </c>
      <c r="O844" s="31">
        <v>178270.46</v>
      </c>
      <c r="Q844">
        <v>101</v>
      </c>
    </row>
    <row r="845" spans="3:17">
      <c r="C845">
        <v>5360</v>
      </c>
      <c r="E845" t="s">
        <v>5348</v>
      </c>
      <c r="H845" t="s">
        <v>5349</v>
      </c>
      <c r="K845">
        <v>0</v>
      </c>
      <c r="M845" s="31">
        <v>-20823.02</v>
      </c>
      <c r="O845" s="31">
        <v>20823.02</v>
      </c>
      <c r="Q845">
        <v>100</v>
      </c>
    </row>
    <row r="846" spans="3:17">
      <c r="C846">
        <v>5360</v>
      </c>
      <c r="E846" t="s">
        <v>5350</v>
      </c>
      <c r="H846" t="s">
        <v>5351</v>
      </c>
      <c r="K846" s="31">
        <v>3057.46</v>
      </c>
      <c r="M846" s="31">
        <v>1449.23</v>
      </c>
      <c r="O846" s="31">
        <v>1608.23</v>
      </c>
      <c r="Q846">
        <v>111</v>
      </c>
    </row>
    <row r="847" spans="3:17">
      <c r="C847">
        <v>5360</v>
      </c>
      <c r="E847" t="s">
        <v>5352</v>
      </c>
      <c r="H847" t="s">
        <v>5353</v>
      </c>
      <c r="K847">
        <v>14.37</v>
      </c>
      <c r="M847">
        <v>43.48</v>
      </c>
      <c r="O847">
        <v>-29.11</v>
      </c>
      <c r="Q847">
        <v>-67</v>
      </c>
    </row>
    <row r="848" spans="3:17">
      <c r="C848">
        <v>5360</v>
      </c>
      <c r="E848" t="s">
        <v>5354</v>
      </c>
      <c r="H848" t="s">
        <v>5355</v>
      </c>
      <c r="K848" s="31">
        <v>-143635.49</v>
      </c>
      <c r="M848" s="31">
        <v>-668976.39</v>
      </c>
      <c r="O848" s="31">
        <v>525340.9</v>
      </c>
      <c r="Q848">
        <v>78.5</v>
      </c>
    </row>
    <row r="849" spans="3:17">
      <c r="C849">
        <v>5360</v>
      </c>
      <c r="E849" t="s">
        <v>5358</v>
      </c>
      <c r="H849" t="s">
        <v>5359</v>
      </c>
      <c r="K849" s="31">
        <v>239917.76</v>
      </c>
      <c r="M849" s="31">
        <v>72268.17</v>
      </c>
      <c r="O849" s="31">
        <v>167649.59</v>
      </c>
      <c r="Q849">
        <v>232</v>
      </c>
    </row>
    <row r="850" spans="3:17">
      <c r="C850">
        <v>5360</v>
      </c>
      <c r="E850" t="s">
        <v>5362</v>
      </c>
      <c r="H850" t="s">
        <v>5363</v>
      </c>
      <c r="K850" s="31">
        <v>1317.13</v>
      </c>
      <c r="M850">
        <v>-66.88</v>
      </c>
      <c r="O850" s="31">
        <v>1384.01</v>
      </c>
      <c r="Q850">
        <v>2069.4</v>
      </c>
    </row>
    <row r="851" spans="3:17">
      <c r="C851">
        <v>5360</v>
      </c>
      <c r="E851" t="s">
        <v>5364</v>
      </c>
      <c r="H851" t="s">
        <v>5365</v>
      </c>
      <c r="K851">
        <v>0</v>
      </c>
      <c r="M851">
        <v>7.97</v>
      </c>
      <c r="O851">
        <v>-7.97</v>
      </c>
      <c r="Q851">
        <v>-100</v>
      </c>
    </row>
    <row r="852" spans="3:17">
      <c r="C852">
        <v>5360</v>
      </c>
      <c r="E852" t="s">
        <v>5366</v>
      </c>
      <c r="H852" t="s">
        <v>5367</v>
      </c>
      <c r="K852" s="31">
        <v>-71393187.359999999</v>
      </c>
      <c r="M852" s="31">
        <v>6772369.1799999997</v>
      </c>
      <c r="O852" s="31">
        <v>-78165556.540000007</v>
      </c>
      <c r="Q852">
        <v>-1154.2</v>
      </c>
    </row>
    <row r="853" spans="3:17">
      <c r="C853">
        <v>5360</v>
      </c>
      <c r="E853" t="s">
        <v>5368</v>
      </c>
      <c r="H853" t="s">
        <v>5187</v>
      </c>
      <c r="K853" s="31">
        <v>766838.13</v>
      </c>
      <c r="M853" s="31">
        <v>184029.92</v>
      </c>
      <c r="O853" s="31">
        <v>582808.21</v>
      </c>
      <c r="Q853">
        <v>316.7</v>
      </c>
    </row>
    <row r="854" spans="3:17">
      <c r="C854">
        <v>5360</v>
      </c>
      <c r="E854" t="s">
        <v>5369</v>
      </c>
      <c r="H854" t="s">
        <v>5370</v>
      </c>
      <c r="K854" s="31">
        <v>277319.7</v>
      </c>
      <c r="M854" s="31">
        <v>94135.18</v>
      </c>
      <c r="O854" s="31">
        <v>183184.52</v>
      </c>
      <c r="Q854">
        <v>194.6</v>
      </c>
    </row>
    <row r="855" spans="3:17">
      <c r="C855">
        <v>5360</v>
      </c>
      <c r="E855" t="s">
        <v>5371</v>
      </c>
      <c r="H855" t="s">
        <v>5181</v>
      </c>
      <c r="K855" s="31">
        <v>50207665.950000003</v>
      </c>
      <c r="M855" s="31">
        <v>13262280.76</v>
      </c>
      <c r="O855" s="31">
        <v>36945385.189999998</v>
      </c>
      <c r="Q855">
        <v>278.60000000000002</v>
      </c>
    </row>
    <row r="856" spans="3:17">
      <c r="C856">
        <v>5360</v>
      </c>
      <c r="E856" t="s">
        <v>5372</v>
      </c>
      <c r="H856" t="s">
        <v>5190</v>
      </c>
      <c r="K856" s="31">
        <v>6896.36</v>
      </c>
      <c r="M856" s="31">
        <v>1871.38</v>
      </c>
      <c r="O856" s="31">
        <v>5024.9799999999996</v>
      </c>
      <c r="Q856">
        <v>268.5</v>
      </c>
    </row>
    <row r="857" spans="3:17">
      <c r="C857">
        <v>5360</v>
      </c>
      <c r="E857" t="s">
        <v>5373</v>
      </c>
      <c r="H857" t="s">
        <v>5374</v>
      </c>
      <c r="K857" s="31">
        <v>-835083.93</v>
      </c>
      <c r="M857" s="31">
        <v>-241523.85</v>
      </c>
      <c r="O857" s="31">
        <v>-593560.07999999996</v>
      </c>
      <c r="Q857">
        <v>-245.8</v>
      </c>
    </row>
    <row r="858" spans="3:17">
      <c r="C858">
        <v>5360</v>
      </c>
      <c r="E858" t="s">
        <v>5375</v>
      </c>
      <c r="H858" t="s">
        <v>5376</v>
      </c>
      <c r="K858" s="31">
        <v>970440.99</v>
      </c>
      <c r="M858" s="31">
        <v>276054.52</v>
      </c>
      <c r="O858" s="31">
        <v>694386.47</v>
      </c>
      <c r="Q858">
        <v>251.5</v>
      </c>
    </row>
    <row r="859" spans="3:17">
      <c r="C859">
        <v>5360</v>
      </c>
      <c r="E859" t="s">
        <v>5377</v>
      </c>
      <c r="H859" t="s">
        <v>5378</v>
      </c>
      <c r="K859" s="31">
        <v>39667.620000000003</v>
      </c>
      <c r="M859" s="31">
        <v>9033.77</v>
      </c>
      <c r="O859" s="31">
        <v>30633.85</v>
      </c>
      <c r="Q859">
        <v>339.1</v>
      </c>
    </row>
    <row r="860" spans="3:17">
      <c r="C860">
        <v>5360</v>
      </c>
      <c r="E860" t="s">
        <v>5379</v>
      </c>
      <c r="H860" t="s">
        <v>5380</v>
      </c>
      <c r="K860" s="31">
        <v>-8232755.3700000001</v>
      </c>
      <c r="M860" s="31">
        <v>-1703988.07</v>
      </c>
      <c r="O860" s="31">
        <v>-6528767.2999999998</v>
      </c>
      <c r="Q860">
        <v>-383.1</v>
      </c>
    </row>
    <row r="861" spans="3:17">
      <c r="C861">
        <v>5360</v>
      </c>
      <c r="E861" t="s">
        <v>5381</v>
      </c>
      <c r="H861" t="s">
        <v>5382</v>
      </c>
      <c r="K861" s="31">
        <v>8232755.3700000001</v>
      </c>
      <c r="M861" s="31">
        <v>1703988.07</v>
      </c>
      <c r="O861" s="31">
        <v>6528767.2999999998</v>
      </c>
      <c r="Q861">
        <v>383.1</v>
      </c>
    </row>
    <row r="862" spans="3:17">
      <c r="C862">
        <v>5360</v>
      </c>
      <c r="E862" t="s">
        <v>5385</v>
      </c>
      <c r="H862" t="s">
        <v>5386</v>
      </c>
      <c r="K862" s="31">
        <v>-338416.23</v>
      </c>
      <c r="M862" s="31">
        <v>-245853.84</v>
      </c>
      <c r="O862" s="31">
        <v>-92562.39</v>
      </c>
      <c r="Q862">
        <v>-37.6</v>
      </c>
    </row>
    <row r="863" spans="3:17">
      <c r="C863">
        <v>5360</v>
      </c>
      <c r="E863" t="s">
        <v>5387</v>
      </c>
      <c r="H863" t="s">
        <v>5388</v>
      </c>
      <c r="K863" s="31">
        <v>-2676363.35</v>
      </c>
      <c r="M863" s="31">
        <v>-541689.18999999994</v>
      </c>
      <c r="O863" s="31">
        <v>-2134674.16</v>
      </c>
      <c r="Q863">
        <v>-394.1</v>
      </c>
    </row>
    <row r="864" spans="3:17">
      <c r="C864">
        <v>5360</v>
      </c>
      <c r="E864" t="s">
        <v>5389</v>
      </c>
      <c r="H864" t="s">
        <v>5390</v>
      </c>
      <c r="K864" s="31">
        <v>-230762.72</v>
      </c>
      <c r="M864" s="31">
        <v>-26253.47</v>
      </c>
      <c r="O864" s="31">
        <v>-204509.25</v>
      </c>
      <c r="Q864">
        <v>-779</v>
      </c>
    </row>
    <row r="865" spans="3:17">
      <c r="C865">
        <v>5360</v>
      </c>
      <c r="E865" t="s">
        <v>5391</v>
      </c>
      <c r="H865" t="s">
        <v>5392</v>
      </c>
      <c r="K865" s="31">
        <v>2815066.78</v>
      </c>
      <c r="M865" s="31">
        <v>490768.1</v>
      </c>
      <c r="O865" s="31">
        <v>2324298.6800000002</v>
      </c>
      <c r="Q865">
        <v>473.6</v>
      </c>
    </row>
    <row r="866" spans="3:17">
      <c r="C866">
        <v>5360</v>
      </c>
      <c r="E866" t="s">
        <v>5393</v>
      </c>
      <c r="H866" t="s">
        <v>5394</v>
      </c>
      <c r="K866">
        <v>935.81</v>
      </c>
      <c r="M866">
        <v>926.26</v>
      </c>
      <c r="O866">
        <v>9.5500000000000007</v>
      </c>
      <c r="Q866">
        <v>1</v>
      </c>
    </row>
    <row r="867" spans="3:17">
      <c r="C867">
        <v>5360</v>
      </c>
      <c r="E867" t="s">
        <v>5395</v>
      </c>
      <c r="H867" t="s">
        <v>5194</v>
      </c>
      <c r="K867" s="31">
        <v>33631048.890000001</v>
      </c>
      <c r="M867" s="31">
        <v>8385525.1399999997</v>
      </c>
      <c r="O867" s="31">
        <v>25245523.75</v>
      </c>
      <c r="Q867">
        <v>301.10000000000002</v>
      </c>
    </row>
    <row r="868" spans="3:17">
      <c r="C868">
        <v>5360</v>
      </c>
      <c r="E868" t="s">
        <v>5396</v>
      </c>
      <c r="H868" t="s">
        <v>5397</v>
      </c>
      <c r="K868" s="31">
        <v>4916.08</v>
      </c>
      <c r="M868" s="31">
        <v>1282.06</v>
      </c>
      <c r="O868" s="31">
        <v>3634.02</v>
      </c>
      <c r="Q868">
        <v>283.5</v>
      </c>
    </row>
    <row r="869" spans="3:17">
      <c r="C869">
        <v>5360</v>
      </c>
      <c r="E869" t="s">
        <v>5400</v>
      </c>
      <c r="H869" t="s">
        <v>5401</v>
      </c>
      <c r="K869" s="31">
        <v>5427.89</v>
      </c>
      <c r="M869" s="31">
        <v>4856.6000000000004</v>
      </c>
      <c r="O869">
        <v>571.29</v>
      </c>
      <c r="Q869">
        <v>11.8</v>
      </c>
    </row>
    <row r="870" spans="3:17">
      <c r="C870">
        <v>5360</v>
      </c>
      <c r="E870" t="s">
        <v>5402</v>
      </c>
      <c r="H870" t="s">
        <v>5403</v>
      </c>
      <c r="K870" s="31">
        <v>13446853.02</v>
      </c>
      <c r="M870" s="31">
        <v>3359502.39</v>
      </c>
      <c r="O870" s="31">
        <v>10087350.630000001</v>
      </c>
      <c r="Q870">
        <v>300.3</v>
      </c>
    </row>
    <row r="871" spans="3:17">
      <c r="C871">
        <v>5360</v>
      </c>
      <c r="E871" t="s">
        <v>5404</v>
      </c>
      <c r="H871" t="s">
        <v>5196</v>
      </c>
      <c r="K871" s="31">
        <v>-31555.99</v>
      </c>
      <c r="M871" s="31">
        <v>-74794.94</v>
      </c>
      <c r="O871" s="31">
        <v>43238.95</v>
      </c>
      <c r="Q871">
        <v>57.8</v>
      </c>
    </row>
    <row r="872" spans="3:17">
      <c r="C872">
        <v>5360</v>
      </c>
      <c r="E872" t="s">
        <v>5407</v>
      </c>
      <c r="H872" t="s">
        <v>5200</v>
      </c>
      <c r="K872" s="31">
        <v>-951116.35</v>
      </c>
      <c r="M872" s="31">
        <v>-71064.02</v>
      </c>
      <c r="O872" s="31">
        <v>-880052.33</v>
      </c>
      <c r="Q872">
        <v>-1238.4000000000001</v>
      </c>
    </row>
    <row r="873" spans="3:17">
      <c r="C873">
        <v>5360</v>
      </c>
      <c r="E873" t="s">
        <v>5408</v>
      </c>
      <c r="H873" t="s">
        <v>5409</v>
      </c>
      <c r="K873" s="31">
        <v>852067.36</v>
      </c>
      <c r="M873" s="31">
        <v>64361.88</v>
      </c>
      <c r="O873" s="31">
        <v>787705.48</v>
      </c>
      <c r="Q873">
        <v>1223.9000000000001</v>
      </c>
    </row>
    <row r="874" spans="3:17">
      <c r="C874">
        <v>5360</v>
      </c>
      <c r="E874" t="s">
        <v>5410</v>
      </c>
      <c r="H874" t="s">
        <v>5411</v>
      </c>
      <c r="K874" s="31">
        <v>741930.5</v>
      </c>
      <c r="M874" s="31">
        <v>204061.58</v>
      </c>
      <c r="O874" s="31">
        <v>537868.92000000004</v>
      </c>
      <c r="Q874">
        <v>263.60000000000002</v>
      </c>
    </row>
    <row r="875" spans="3:17">
      <c r="C875">
        <v>5360</v>
      </c>
      <c r="E875" t="s">
        <v>5412</v>
      </c>
      <c r="H875" t="s">
        <v>5413</v>
      </c>
      <c r="K875" s="31">
        <v>-138288.54</v>
      </c>
      <c r="M875" s="31">
        <v>-34998.959999999999</v>
      </c>
      <c r="O875" s="31">
        <v>-103289.58</v>
      </c>
      <c r="Q875">
        <v>-295.10000000000002</v>
      </c>
    </row>
    <row r="876" spans="3:17">
      <c r="C876">
        <v>5360</v>
      </c>
      <c r="E876" t="s">
        <v>5414</v>
      </c>
      <c r="H876" t="s">
        <v>5415</v>
      </c>
      <c r="K876">
        <v>106.55</v>
      </c>
      <c r="M876">
        <v>0</v>
      </c>
      <c r="O876">
        <v>106.55</v>
      </c>
    </row>
    <row r="877" spans="3:17">
      <c r="C877">
        <v>5360</v>
      </c>
      <c r="E877" t="s">
        <v>5416</v>
      </c>
      <c r="H877" t="s">
        <v>5204</v>
      </c>
      <c r="K877" s="31">
        <v>-1551074.15</v>
      </c>
      <c r="M877" s="31">
        <v>-565751.23</v>
      </c>
      <c r="O877" s="31">
        <v>-985322.92</v>
      </c>
      <c r="Q877">
        <v>-174.2</v>
      </c>
    </row>
    <row r="878" spans="3:17">
      <c r="C878">
        <v>5360</v>
      </c>
      <c r="E878" t="s">
        <v>5417</v>
      </c>
      <c r="H878" t="s">
        <v>5418</v>
      </c>
      <c r="K878">
        <v>807.41</v>
      </c>
      <c r="M878">
        <v>0</v>
      </c>
      <c r="O878">
        <v>807.41</v>
      </c>
    </row>
    <row r="879" spans="3:17">
      <c r="C879">
        <v>5360</v>
      </c>
      <c r="E879" t="s">
        <v>6077</v>
      </c>
      <c r="H879" t="s">
        <v>6078</v>
      </c>
      <c r="K879">
        <v>-6.24</v>
      </c>
      <c r="M879">
        <v>0</v>
      </c>
      <c r="O879">
        <v>-6.24</v>
      </c>
    </row>
    <row r="880" spans="3:17">
      <c r="C880">
        <v>5360</v>
      </c>
      <c r="E880" t="s">
        <v>5423</v>
      </c>
      <c r="H880" t="s">
        <v>5206</v>
      </c>
      <c r="K880">
        <v>575.83000000000004</v>
      </c>
      <c r="M880" s="31">
        <v>35344.19</v>
      </c>
      <c r="O880" s="31">
        <v>-34768.36</v>
      </c>
      <c r="Q880">
        <v>-98.4</v>
      </c>
    </row>
    <row r="881" spans="3:17">
      <c r="C881">
        <v>5360</v>
      </c>
      <c r="E881" t="s">
        <v>5424</v>
      </c>
      <c r="H881" t="s">
        <v>5425</v>
      </c>
      <c r="K881" s="31">
        <v>20078.12</v>
      </c>
      <c r="M881">
        <v>0</v>
      </c>
      <c r="O881" s="31">
        <v>20078.12</v>
      </c>
    </row>
    <row r="882" spans="3:17">
      <c r="C882">
        <v>5360</v>
      </c>
      <c r="E882" t="s">
        <v>5426</v>
      </c>
      <c r="H882" t="s">
        <v>5425</v>
      </c>
      <c r="K882" s="31">
        <v>19151.43</v>
      </c>
      <c r="M882">
        <v>0</v>
      </c>
      <c r="O882" s="31">
        <v>19151.43</v>
      </c>
    </row>
    <row r="883" spans="3:17">
      <c r="C883">
        <v>5360</v>
      </c>
      <c r="E883" t="s">
        <v>5429</v>
      </c>
      <c r="H883" t="s">
        <v>5430</v>
      </c>
      <c r="K883">
        <v>4.2</v>
      </c>
      <c r="M883">
        <v>0</v>
      </c>
      <c r="O883">
        <v>4.2</v>
      </c>
    </row>
    <row r="884" spans="3:17">
      <c r="C884">
        <v>5360</v>
      </c>
      <c r="E884" t="s">
        <v>5436</v>
      </c>
      <c r="H884" t="s">
        <v>5437</v>
      </c>
      <c r="K884" s="31">
        <v>230441.51</v>
      </c>
      <c r="M884" s="31">
        <v>13698.32</v>
      </c>
      <c r="O884" s="31">
        <v>216743.19</v>
      </c>
      <c r="Q884">
        <v>1582.3</v>
      </c>
    </row>
    <row r="885" spans="3:17">
      <c r="C885">
        <v>5360</v>
      </c>
      <c r="E885" t="s">
        <v>5438</v>
      </c>
      <c r="H885" t="s">
        <v>5439</v>
      </c>
      <c r="K885">
        <v>430.52</v>
      </c>
      <c r="M885">
        <v>62.4</v>
      </c>
      <c r="O885">
        <v>368.12</v>
      </c>
      <c r="Q885">
        <v>589.9</v>
      </c>
    </row>
    <row r="886" spans="3:17">
      <c r="C886">
        <v>5360</v>
      </c>
      <c r="E886" t="s">
        <v>6005</v>
      </c>
      <c r="H886" t="s">
        <v>5993</v>
      </c>
      <c r="K886" s="31">
        <v>3892.04</v>
      </c>
      <c r="M886" s="31">
        <v>1413.46</v>
      </c>
      <c r="O886" s="31">
        <v>2478.58</v>
      </c>
      <c r="Q886">
        <v>175.4</v>
      </c>
    </row>
    <row r="887" spans="3:17">
      <c r="C887">
        <v>5360</v>
      </c>
      <c r="E887" t="s">
        <v>5440</v>
      </c>
      <c r="H887" t="s">
        <v>312</v>
      </c>
      <c r="K887" s="31">
        <v>736050</v>
      </c>
      <c r="M887" s="31">
        <v>82050</v>
      </c>
      <c r="O887" s="31">
        <v>654000</v>
      </c>
      <c r="Q887">
        <v>797.1</v>
      </c>
    </row>
    <row r="888" spans="3:17">
      <c r="C888">
        <v>5360</v>
      </c>
      <c r="E888" t="s">
        <v>5443</v>
      </c>
      <c r="H888" t="s">
        <v>5444</v>
      </c>
      <c r="K888" s="31">
        <v>4852.17</v>
      </c>
      <c r="M888">
        <v>219.75</v>
      </c>
      <c r="O888" s="31">
        <v>4632.42</v>
      </c>
      <c r="Q888">
        <v>2108</v>
      </c>
    </row>
    <row r="889" spans="3:17">
      <c r="C889">
        <v>5360</v>
      </c>
      <c r="E889" t="s">
        <v>5445</v>
      </c>
      <c r="H889" t="s">
        <v>322</v>
      </c>
      <c r="K889" s="31">
        <v>305537.27</v>
      </c>
      <c r="M889" s="31">
        <v>5421949.8300000001</v>
      </c>
      <c r="O889" s="31">
        <v>-5116412.5599999996</v>
      </c>
      <c r="Q889">
        <v>-94.4</v>
      </c>
    </row>
    <row r="890" spans="3:17">
      <c r="C890">
        <v>5360</v>
      </c>
      <c r="E890" t="s">
        <v>5446</v>
      </c>
      <c r="H890" t="s">
        <v>5447</v>
      </c>
      <c r="K890">
        <v>-456.3</v>
      </c>
      <c r="M890">
        <v>-69.12</v>
      </c>
      <c r="O890">
        <v>-387.18</v>
      </c>
      <c r="Q890">
        <v>-560.20000000000005</v>
      </c>
    </row>
    <row r="891" spans="3:17">
      <c r="C891">
        <v>5360</v>
      </c>
      <c r="E891" t="s">
        <v>5448</v>
      </c>
      <c r="H891" t="s">
        <v>5449</v>
      </c>
      <c r="K891" s="31">
        <v>16231.52</v>
      </c>
      <c r="M891" s="31">
        <v>3599.71</v>
      </c>
      <c r="O891" s="31">
        <v>12631.81</v>
      </c>
      <c r="Q891">
        <v>350.9</v>
      </c>
    </row>
    <row r="892" spans="3:17">
      <c r="C892">
        <v>5360</v>
      </c>
      <c r="E892" t="s">
        <v>5450</v>
      </c>
      <c r="H892" t="s">
        <v>5210</v>
      </c>
      <c r="K892" s="31">
        <v>111749.58</v>
      </c>
      <c r="M892">
        <v>0</v>
      </c>
      <c r="O892" s="31">
        <v>111749.58</v>
      </c>
    </row>
    <row r="893" spans="3:17">
      <c r="C893">
        <v>5360</v>
      </c>
      <c r="E893" t="s">
        <v>5451</v>
      </c>
      <c r="H893" t="s">
        <v>5212</v>
      </c>
      <c r="K893" s="31">
        <v>106591.85</v>
      </c>
      <c r="M893">
        <v>0</v>
      </c>
      <c r="O893" s="31">
        <v>106591.85</v>
      </c>
    </row>
    <row r="894" spans="3:17">
      <c r="C894">
        <v>5360</v>
      </c>
      <c r="E894" t="s">
        <v>6006</v>
      </c>
      <c r="H894" t="s">
        <v>5922</v>
      </c>
      <c r="K894" s="31">
        <v>1647500.03</v>
      </c>
      <c r="M894" s="31">
        <v>-89058.83</v>
      </c>
      <c r="O894" s="31">
        <v>1736558.86</v>
      </c>
      <c r="Q894">
        <v>1949.9</v>
      </c>
    </row>
    <row r="895" spans="3:17">
      <c r="C895">
        <v>5360</v>
      </c>
      <c r="E895" t="s">
        <v>6007</v>
      </c>
      <c r="H895" t="s">
        <v>5924</v>
      </c>
      <c r="K895" s="31">
        <v>-76454.86</v>
      </c>
      <c r="M895" s="31">
        <v>-141613.07999999999</v>
      </c>
      <c r="O895" s="31">
        <v>65158.22</v>
      </c>
      <c r="Q895">
        <v>46</v>
      </c>
    </row>
    <row r="896" spans="3:17">
      <c r="C896">
        <v>5360</v>
      </c>
      <c r="E896" t="s">
        <v>6008</v>
      </c>
      <c r="H896" t="s">
        <v>5926</v>
      </c>
      <c r="K896" s="31">
        <v>17709762.440000001</v>
      </c>
      <c r="M896" s="31">
        <v>-158594.32999999999</v>
      </c>
      <c r="O896" s="31">
        <v>17868356.77</v>
      </c>
      <c r="Q896">
        <v>11266.7</v>
      </c>
    </row>
    <row r="897" spans="3:17">
      <c r="C897">
        <v>5360</v>
      </c>
      <c r="E897" t="s">
        <v>6009</v>
      </c>
      <c r="H897" t="s">
        <v>5928</v>
      </c>
      <c r="K897" s="31">
        <v>-408243.65</v>
      </c>
      <c r="M897" s="31">
        <v>-69182.06</v>
      </c>
      <c r="O897" s="31">
        <v>-339061.59</v>
      </c>
      <c r="Q897">
        <v>-490.1</v>
      </c>
    </row>
    <row r="898" spans="3:17">
      <c r="C898">
        <v>5360</v>
      </c>
      <c r="E898" t="s">
        <v>5452</v>
      </c>
      <c r="H898" t="s">
        <v>950</v>
      </c>
      <c r="K898" s="31">
        <v>1398031.25</v>
      </c>
      <c r="M898" s="31">
        <v>222177.08</v>
      </c>
      <c r="O898" s="31">
        <v>1175854.17</v>
      </c>
      <c r="Q898">
        <v>529.20000000000005</v>
      </c>
    </row>
    <row r="899" spans="3:17">
      <c r="C899">
        <v>5360</v>
      </c>
      <c r="E899" t="s">
        <v>5453</v>
      </c>
      <c r="H899" t="s">
        <v>5454</v>
      </c>
      <c r="K899" s="31">
        <v>11830.88</v>
      </c>
      <c r="M899" s="31">
        <v>1977.22</v>
      </c>
      <c r="O899" s="31">
        <v>9853.66</v>
      </c>
      <c r="Q899">
        <v>498.4</v>
      </c>
    </row>
    <row r="900" spans="3:17">
      <c r="C900">
        <v>5360</v>
      </c>
      <c r="E900" t="s">
        <v>5455</v>
      </c>
      <c r="H900" t="s">
        <v>120</v>
      </c>
      <c r="K900" s="31">
        <v>28754.68</v>
      </c>
      <c r="M900">
        <v>595.20000000000005</v>
      </c>
      <c r="O900" s="31">
        <v>28159.48</v>
      </c>
      <c r="Q900">
        <v>4731.1000000000004</v>
      </c>
    </row>
    <row r="901" spans="3:17">
      <c r="C901">
        <v>5360</v>
      </c>
      <c r="E901" t="s">
        <v>5456</v>
      </c>
      <c r="H901" t="s">
        <v>5457</v>
      </c>
      <c r="K901" s="31">
        <v>76158.39</v>
      </c>
      <c r="M901" s="31">
        <v>2038.11</v>
      </c>
      <c r="O901" s="31">
        <v>74120.28</v>
      </c>
      <c r="Q901">
        <v>3636.7</v>
      </c>
    </row>
    <row r="902" spans="3:17">
      <c r="C902">
        <v>5360</v>
      </c>
      <c r="E902" t="s">
        <v>5458</v>
      </c>
      <c r="H902" t="s">
        <v>5226</v>
      </c>
      <c r="K902" s="31">
        <v>70512.210000000006</v>
      </c>
      <c r="M902" s="31">
        <v>16416.8</v>
      </c>
      <c r="O902" s="31">
        <v>54095.41</v>
      </c>
      <c r="Q902">
        <v>329.5</v>
      </c>
    </row>
    <row r="903" spans="3:17">
      <c r="C903">
        <v>5360</v>
      </c>
      <c r="E903" t="s">
        <v>5459</v>
      </c>
      <c r="H903" t="s">
        <v>5460</v>
      </c>
      <c r="K903" s="31">
        <v>10181.790000000001</v>
      </c>
      <c r="M903" s="31">
        <v>2557.23</v>
      </c>
      <c r="O903" s="31">
        <v>7624.56</v>
      </c>
      <c r="Q903">
        <v>298.2</v>
      </c>
    </row>
    <row r="904" spans="3:17">
      <c r="C904">
        <v>5360</v>
      </c>
      <c r="E904" t="s">
        <v>5461</v>
      </c>
      <c r="H904" t="s">
        <v>5462</v>
      </c>
      <c r="K904" s="31">
        <v>-608779.96</v>
      </c>
      <c r="M904" s="31">
        <v>-206943.13</v>
      </c>
      <c r="O904" s="31">
        <v>-401836.83</v>
      </c>
      <c r="Q904">
        <v>-194.2</v>
      </c>
    </row>
    <row r="905" spans="3:17">
      <c r="C905">
        <v>5360</v>
      </c>
      <c r="E905" t="s">
        <v>5463</v>
      </c>
      <c r="H905" t="s">
        <v>5464</v>
      </c>
      <c r="K905">
        <v>40.86</v>
      </c>
      <c r="M905">
        <v>0</v>
      </c>
      <c r="O905">
        <v>40.86</v>
      </c>
    </row>
    <row r="906" spans="3:17">
      <c r="C906">
        <v>5360</v>
      </c>
      <c r="E906" t="s">
        <v>6079</v>
      </c>
      <c r="H906" t="s">
        <v>6080</v>
      </c>
      <c r="K906">
        <v>0.92</v>
      </c>
      <c r="M906">
        <v>0</v>
      </c>
      <c r="O906">
        <v>0.92</v>
      </c>
    </row>
    <row r="907" spans="3:17">
      <c r="C907">
        <v>5360</v>
      </c>
      <c r="E907" t="s">
        <v>6081</v>
      </c>
      <c r="H907" t="s">
        <v>6082</v>
      </c>
      <c r="K907">
        <v>0</v>
      </c>
      <c r="M907">
        <v>-20.21</v>
      </c>
      <c r="O907">
        <v>20.21</v>
      </c>
      <c r="Q907">
        <v>100</v>
      </c>
    </row>
    <row r="908" spans="3:17">
      <c r="C908">
        <v>5360</v>
      </c>
      <c r="E908" t="s">
        <v>6083</v>
      </c>
      <c r="H908" t="s">
        <v>6084</v>
      </c>
      <c r="K908" s="31">
        <v>-110876.04</v>
      </c>
      <c r="M908">
        <v>-10.32</v>
      </c>
      <c r="O908" s="31">
        <v>-110865.72</v>
      </c>
      <c r="Q908" t="s">
        <v>6085</v>
      </c>
    </row>
    <row r="909" spans="3:17">
      <c r="C909">
        <v>5360</v>
      </c>
      <c r="E909" t="s">
        <v>3670</v>
      </c>
      <c r="H909" t="s">
        <v>3604</v>
      </c>
      <c r="K909" s="31">
        <v>-199502057.02000001</v>
      </c>
      <c r="M909" s="31">
        <v>-20802433.699999999</v>
      </c>
      <c r="O909" s="31">
        <v>-178699623.31999999</v>
      </c>
      <c r="Q909">
        <v>-859</v>
      </c>
    </row>
    <row r="910" spans="3:17">
      <c r="C910">
        <v>5360</v>
      </c>
      <c r="E910" t="s">
        <v>5468</v>
      </c>
      <c r="H910" t="s">
        <v>5469</v>
      </c>
      <c r="K910" s="31">
        <v>-111475490.84</v>
      </c>
      <c r="M910" s="31">
        <v>-24112721.510000002</v>
      </c>
      <c r="O910" s="31">
        <v>-87362769.329999998</v>
      </c>
      <c r="Q910">
        <v>-362.3</v>
      </c>
    </row>
    <row r="911" spans="3:17">
      <c r="C911">
        <v>5360</v>
      </c>
      <c r="E911" t="s">
        <v>5470</v>
      </c>
      <c r="H911" t="s">
        <v>1084</v>
      </c>
      <c r="K911" s="31">
        <v>-9460626.1999999993</v>
      </c>
      <c r="M911" s="31">
        <v>-2128026.6</v>
      </c>
      <c r="O911" s="31">
        <v>-7332599.5999999996</v>
      </c>
      <c r="Q911">
        <v>-344.6</v>
      </c>
    </row>
    <row r="912" spans="3:17">
      <c r="C912">
        <v>5360</v>
      </c>
      <c r="E912" t="s">
        <v>5471</v>
      </c>
      <c r="H912" t="s">
        <v>5472</v>
      </c>
      <c r="K912" s="31">
        <v>-88572320.829999998</v>
      </c>
      <c r="M912" s="31">
        <v>-20093967.34</v>
      </c>
      <c r="O912" s="31">
        <v>-68478353.489999995</v>
      </c>
      <c r="Q912">
        <v>-340.8</v>
      </c>
    </row>
    <row r="913" spans="3:17">
      <c r="C913">
        <v>5360</v>
      </c>
      <c r="E913" t="s">
        <v>5473</v>
      </c>
      <c r="H913" t="s">
        <v>5474</v>
      </c>
      <c r="K913" s="31">
        <v>-2643473.9500000002</v>
      </c>
      <c r="M913" s="31">
        <v>-599691.69999999995</v>
      </c>
      <c r="O913" s="31">
        <v>-2043782.25</v>
      </c>
      <c r="Q913">
        <v>-340.8</v>
      </c>
    </row>
    <row r="914" spans="3:17">
      <c r="C914">
        <v>5360</v>
      </c>
      <c r="E914" t="s">
        <v>5475</v>
      </c>
      <c r="H914" t="s">
        <v>5476</v>
      </c>
      <c r="K914" s="31">
        <v>-24801141.530000001</v>
      </c>
      <c r="M914" s="31">
        <v>-4547680.5</v>
      </c>
      <c r="O914" s="31">
        <v>-20253461.030000001</v>
      </c>
      <c r="Q914">
        <v>-445.4</v>
      </c>
    </row>
    <row r="915" spans="3:17">
      <c r="C915">
        <v>5360</v>
      </c>
      <c r="E915" t="s">
        <v>6086</v>
      </c>
      <c r="H915" t="s">
        <v>6087</v>
      </c>
      <c r="K915">
        <v>0</v>
      </c>
      <c r="M915">
        <v>10.16</v>
      </c>
      <c r="O915">
        <v>-10.16</v>
      </c>
      <c r="Q915">
        <v>-100</v>
      </c>
    </row>
    <row r="916" spans="3:17">
      <c r="C916">
        <v>5360</v>
      </c>
      <c r="E916" t="s">
        <v>5477</v>
      </c>
      <c r="H916" t="s">
        <v>5478</v>
      </c>
      <c r="K916" s="31">
        <v>14862.55</v>
      </c>
      <c r="M916" s="31">
        <v>-2114</v>
      </c>
      <c r="O916" s="31">
        <v>16976.55</v>
      </c>
      <c r="Q916">
        <v>803.1</v>
      </c>
    </row>
    <row r="917" spans="3:17">
      <c r="C917">
        <v>5360</v>
      </c>
      <c r="E917" t="s">
        <v>3664</v>
      </c>
      <c r="H917" t="s">
        <v>3605</v>
      </c>
      <c r="K917" s="31">
        <v>-51651640.719999999</v>
      </c>
      <c r="M917" s="31">
        <v>-12741861.25</v>
      </c>
      <c r="O917" s="31">
        <v>-38909779.469999999</v>
      </c>
      <c r="Q917">
        <v>-305.39999999999998</v>
      </c>
    </row>
    <row r="918" spans="3:17">
      <c r="C918">
        <v>5360</v>
      </c>
      <c r="E918" t="s">
        <v>5479</v>
      </c>
      <c r="H918" t="s">
        <v>5480</v>
      </c>
      <c r="K918" s="31">
        <v>-753435.45</v>
      </c>
      <c r="M918" s="31">
        <v>-130607.22</v>
      </c>
      <c r="O918" s="31">
        <v>-622828.23</v>
      </c>
      <c r="Q918">
        <v>-476.9</v>
      </c>
    </row>
    <row r="919" spans="3:17">
      <c r="C919">
        <v>5360</v>
      </c>
      <c r="E919" t="s">
        <v>5481</v>
      </c>
      <c r="H919" t="s">
        <v>5482</v>
      </c>
      <c r="K919" s="31">
        <v>-1286638.17</v>
      </c>
      <c r="M919" s="31">
        <v>-349258.87</v>
      </c>
      <c r="O919" s="31">
        <v>-937379.3</v>
      </c>
      <c r="Q919">
        <v>-268.39999999999998</v>
      </c>
    </row>
    <row r="920" spans="3:17">
      <c r="C920">
        <v>5360</v>
      </c>
      <c r="E920" t="s">
        <v>5483</v>
      </c>
      <c r="H920" t="s">
        <v>295</v>
      </c>
      <c r="K920" s="31">
        <v>-2075028.22</v>
      </c>
      <c r="M920" s="31">
        <v>-524690.4</v>
      </c>
      <c r="O920" s="31">
        <v>-1550337.82</v>
      </c>
      <c r="Q920">
        <v>-295.5</v>
      </c>
    </row>
    <row r="921" spans="3:17">
      <c r="C921">
        <v>5360</v>
      </c>
      <c r="E921" t="s">
        <v>1763</v>
      </c>
      <c r="H921" t="s">
        <v>3532</v>
      </c>
      <c r="K921" s="31">
        <v>-13594262.09</v>
      </c>
      <c r="M921" s="31">
        <v>-1722788.81</v>
      </c>
      <c r="O921" s="31">
        <v>-11871473.279999999</v>
      </c>
      <c r="Q921">
        <v>-689.1</v>
      </c>
    </row>
    <row r="922" spans="3:17">
      <c r="C922">
        <v>5360</v>
      </c>
      <c r="E922" t="s">
        <v>1937</v>
      </c>
      <c r="H922" t="s">
        <v>5484</v>
      </c>
      <c r="K922" s="31">
        <v>642111</v>
      </c>
      <c r="M922" s="31">
        <v>7781.11</v>
      </c>
      <c r="O922" s="31">
        <v>634329.89</v>
      </c>
      <c r="Q922">
        <v>8152.2</v>
      </c>
    </row>
    <row r="923" spans="3:17">
      <c r="C923">
        <v>5360</v>
      </c>
      <c r="E923" t="s">
        <v>1770</v>
      </c>
      <c r="H923" t="s">
        <v>1365</v>
      </c>
      <c r="K923" s="31">
        <v>2117113.25</v>
      </c>
      <c r="M923" s="31">
        <v>342601.31</v>
      </c>
      <c r="O923" s="31">
        <v>1774511.94</v>
      </c>
      <c r="Q923">
        <v>518</v>
      </c>
    </row>
    <row r="924" spans="3:17">
      <c r="C924">
        <v>5360</v>
      </c>
      <c r="E924" t="s">
        <v>2062</v>
      </c>
      <c r="H924" t="s">
        <v>1369</v>
      </c>
      <c r="K924" s="31">
        <v>-627362.56999999995</v>
      </c>
      <c r="M924" s="31">
        <v>-210632.23</v>
      </c>
      <c r="O924" s="31">
        <v>-416730.34</v>
      </c>
      <c r="Q924">
        <v>-197.8</v>
      </c>
    </row>
    <row r="925" spans="3:17">
      <c r="C925">
        <v>5360</v>
      </c>
      <c r="E925" t="s">
        <v>3535</v>
      </c>
      <c r="H925" t="s">
        <v>5485</v>
      </c>
      <c r="K925" s="31">
        <v>558944.30000000005</v>
      </c>
      <c r="M925" s="31">
        <v>210632.23</v>
      </c>
      <c r="O925" s="31">
        <v>348312.07</v>
      </c>
      <c r="Q925">
        <v>165.4</v>
      </c>
    </row>
    <row r="926" spans="3:17">
      <c r="C926">
        <v>5360</v>
      </c>
      <c r="E926" t="s">
        <v>5486</v>
      </c>
      <c r="H926" t="s">
        <v>5237</v>
      </c>
      <c r="K926" s="31">
        <v>24124968.170000002</v>
      </c>
      <c r="M926" s="31">
        <v>6855961.1399999997</v>
      </c>
      <c r="O926" s="31">
        <v>17269007.030000001</v>
      </c>
      <c r="Q926">
        <v>251.9</v>
      </c>
    </row>
    <row r="927" spans="3:17">
      <c r="C927">
        <v>5360</v>
      </c>
      <c r="E927" t="s">
        <v>5487</v>
      </c>
      <c r="H927" t="s">
        <v>5488</v>
      </c>
      <c r="K927" s="31">
        <v>-13851292.34</v>
      </c>
      <c r="M927" s="31">
        <v>-3694563.12</v>
      </c>
      <c r="O927" s="31">
        <v>-10156729.220000001</v>
      </c>
      <c r="Q927">
        <v>-274.89999999999998</v>
      </c>
    </row>
    <row r="928" spans="3:17">
      <c r="C928">
        <v>5360</v>
      </c>
      <c r="E928" t="s">
        <v>5489</v>
      </c>
      <c r="H928" t="s">
        <v>5490</v>
      </c>
      <c r="K928" s="31">
        <v>-1373589.45</v>
      </c>
      <c r="M928" s="31">
        <v>-409171.41</v>
      </c>
      <c r="O928" s="31">
        <v>-964418.04</v>
      </c>
      <c r="Q928">
        <v>-235.7</v>
      </c>
    </row>
    <row r="929" spans="3:17">
      <c r="C929">
        <v>5360</v>
      </c>
      <c r="E929" t="s">
        <v>5491</v>
      </c>
      <c r="H929" t="s">
        <v>5492</v>
      </c>
      <c r="K929" s="31">
        <v>3099465.81</v>
      </c>
      <c r="M929" s="31">
        <v>440702.96</v>
      </c>
      <c r="O929" s="31">
        <v>2658762.85</v>
      </c>
      <c r="Q929">
        <v>603.29999999999995</v>
      </c>
    </row>
    <row r="930" spans="3:17">
      <c r="C930">
        <v>5360</v>
      </c>
      <c r="E930" t="s">
        <v>5493</v>
      </c>
      <c r="H930" t="s">
        <v>5494</v>
      </c>
      <c r="K930" s="31">
        <v>-69476.3</v>
      </c>
      <c r="M930" s="31">
        <v>-12457.41</v>
      </c>
      <c r="O930" s="31">
        <v>-57018.89</v>
      </c>
      <c r="Q930">
        <v>-457.7</v>
      </c>
    </row>
    <row r="931" spans="3:17">
      <c r="C931">
        <v>5360</v>
      </c>
      <c r="E931" t="s">
        <v>5495</v>
      </c>
      <c r="H931" t="s">
        <v>5241</v>
      </c>
      <c r="K931" s="31">
        <v>1459575.5</v>
      </c>
      <c r="M931" s="31">
        <v>1776947.5</v>
      </c>
      <c r="O931" s="31">
        <v>-317372</v>
      </c>
      <c r="Q931">
        <v>-17.899999999999999</v>
      </c>
    </row>
    <row r="932" spans="3:17">
      <c r="C932">
        <v>5360</v>
      </c>
      <c r="E932" t="s">
        <v>5496</v>
      </c>
      <c r="H932" t="s">
        <v>5497</v>
      </c>
      <c r="K932" s="31">
        <v>-9605153.6300000008</v>
      </c>
      <c r="M932" s="31">
        <v>-2647203.04</v>
      </c>
      <c r="O932" s="31">
        <v>-6957950.5899999999</v>
      </c>
      <c r="Q932">
        <v>-262.8</v>
      </c>
    </row>
    <row r="933" spans="3:17">
      <c r="C933">
        <v>5360</v>
      </c>
      <c r="E933" t="s">
        <v>5498</v>
      </c>
      <c r="H933" t="s">
        <v>5499</v>
      </c>
      <c r="K933" s="31">
        <v>-249802.98</v>
      </c>
      <c r="M933" s="31">
        <v>-144243.16</v>
      </c>
      <c r="O933" s="31">
        <v>-105559.82</v>
      </c>
      <c r="Q933">
        <v>-73.2</v>
      </c>
    </row>
    <row r="934" spans="3:17">
      <c r="C934">
        <v>5360</v>
      </c>
      <c r="E934" t="s">
        <v>5500</v>
      </c>
      <c r="H934" t="s">
        <v>5501</v>
      </c>
      <c r="K934" s="31">
        <v>22661771.510000002</v>
      </c>
      <c r="M934" s="31">
        <v>4636231.8499999996</v>
      </c>
      <c r="O934" s="31">
        <v>18025539.66</v>
      </c>
      <c r="Q934">
        <v>388.8</v>
      </c>
    </row>
    <row r="935" spans="3:17">
      <c r="C935">
        <v>5360</v>
      </c>
      <c r="E935" t="s">
        <v>5502</v>
      </c>
      <c r="H935" t="s">
        <v>5245</v>
      </c>
      <c r="K935" s="31">
        <v>12149078.01</v>
      </c>
      <c r="M935" s="31">
        <v>3456183.53</v>
      </c>
      <c r="O935" s="31">
        <v>8692894.4800000004</v>
      </c>
      <c r="Q935">
        <v>251.5</v>
      </c>
    </row>
    <row r="936" spans="3:17">
      <c r="C936">
        <v>5360</v>
      </c>
      <c r="E936" t="s">
        <v>5503</v>
      </c>
      <c r="H936" t="s">
        <v>5504</v>
      </c>
      <c r="K936" s="31">
        <v>-7920863.7199999997</v>
      </c>
      <c r="M936" s="31">
        <v>-2220671.2799999998</v>
      </c>
      <c r="O936" s="31">
        <v>-5700192.4400000004</v>
      </c>
      <c r="Q936">
        <v>-256.7</v>
      </c>
    </row>
    <row r="937" spans="3:17">
      <c r="C937">
        <v>5360</v>
      </c>
      <c r="E937" t="s">
        <v>5505</v>
      </c>
      <c r="H937" t="s">
        <v>5506</v>
      </c>
      <c r="K937" s="31">
        <v>-223873.73</v>
      </c>
      <c r="M937" s="31">
        <v>-143971.19</v>
      </c>
      <c r="O937" s="31">
        <v>-79902.539999999994</v>
      </c>
      <c r="Q937">
        <v>-55.5</v>
      </c>
    </row>
    <row r="938" spans="3:17">
      <c r="C938">
        <v>5360</v>
      </c>
      <c r="E938" t="s">
        <v>5507</v>
      </c>
      <c r="H938" t="s">
        <v>5508</v>
      </c>
      <c r="K938" s="31">
        <v>1093317.93</v>
      </c>
      <c r="M938" s="31">
        <v>64088.26</v>
      </c>
      <c r="O938" s="31">
        <v>1029229.67</v>
      </c>
      <c r="Q938">
        <v>1606</v>
      </c>
    </row>
    <row r="939" spans="3:17">
      <c r="C939">
        <v>5360</v>
      </c>
      <c r="E939" t="s">
        <v>5509</v>
      </c>
      <c r="H939" t="s">
        <v>5249</v>
      </c>
      <c r="K939" s="31">
        <v>2525.7199999999998</v>
      </c>
      <c r="M939">
        <v>0</v>
      </c>
      <c r="O939" s="31">
        <v>2525.7199999999998</v>
      </c>
    </row>
    <row r="940" spans="3:17">
      <c r="C940">
        <v>5360</v>
      </c>
      <c r="E940" t="s">
        <v>5510</v>
      </c>
      <c r="H940" t="s">
        <v>5511</v>
      </c>
      <c r="K940">
        <v>-97.08</v>
      </c>
      <c r="M940">
        <v>0</v>
      </c>
      <c r="O940">
        <v>-97.08</v>
      </c>
    </row>
    <row r="941" spans="3:17">
      <c r="C941">
        <v>5360</v>
      </c>
      <c r="E941" t="s">
        <v>5512</v>
      </c>
      <c r="H941" t="s">
        <v>5513</v>
      </c>
      <c r="K941" s="31">
        <v>-1097.76</v>
      </c>
      <c r="M941">
        <v>0</v>
      </c>
      <c r="O941" s="31">
        <v>-1097.76</v>
      </c>
    </row>
    <row r="942" spans="3:17">
      <c r="C942">
        <v>5360</v>
      </c>
      <c r="E942" t="s">
        <v>5514</v>
      </c>
      <c r="H942" t="s">
        <v>5515</v>
      </c>
      <c r="K942" s="31">
        <v>224661.76000000001</v>
      </c>
      <c r="M942" s="31">
        <v>37593.56</v>
      </c>
      <c r="O942" s="31">
        <v>187068.2</v>
      </c>
      <c r="Q942">
        <v>497.6</v>
      </c>
    </row>
    <row r="943" spans="3:17">
      <c r="C943">
        <v>5360</v>
      </c>
      <c r="E943" t="s">
        <v>5516</v>
      </c>
      <c r="H943" t="s">
        <v>5251</v>
      </c>
      <c r="K943" s="31">
        <v>953857.23</v>
      </c>
      <c r="M943" s="31">
        <v>185937.99</v>
      </c>
      <c r="O943" s="31">
        <v>767919.24</v>
      </c>
      <c r="Q943">
        <v>413</v>
      </c>
    </row>
    <row r="944" spans="3:17">
      <c r="C944">
        <v>5360</v>
      </c>
      <c r="E944" t="s">
        <v>5517</v>
      </c>
      <c r="H944" t="s">
        <v>5518</v>
      </c>
      <c r="K944" s="31">
        <v>-1712696.69</v>
      </c>
      <c r="M944" s="31">
        <v>-375559.48</v>
      </c>
      <c r="O944" s="31">
        <v>-1337137.21</v>
      </c>
      <c r="Q944">
        <v>-356</v>
      </c>
    </row>
    <row r="945" spans="3:17">
      <c r="C945">
        <v>5360</v>
      </c>
      <c r="E945" t="s">
        <v>5519</v>
      </c>
      <c r="H945" t="s">
        <v>5520</v>
      </c>
      <c r="K945" s="31">
        <v>105052.42</v>
      </c>
      <c r="M945">
        <v>-535.91</v>
      </c>
      <c r="O945" s="31">
        <v>105588.33</v>
      </c>
      <c r="Q945">
        <v>19702.599999999999</v>
      </c>
    </row>
    <row r="946" spans="3:17">
      <c r="C946">
        <v>5360</v>
      </c>
      <c r="E946" t="s">
        <v>5521</v>
      </c>
      <c r="H946" t="s">
        <v>5522</v>
      </c>
      <c r="K946" s="31">
        <v>3291852.51</v>
      </c>
      <c r="M946" s="31">
        <v>730670.33</v>
      </c>
      <c r="O946" s="31">
        <v>2561182.1800000002</v>
      </c>
      <c r="Q946">
        <v>350.5</v>
      </c>
    </row>
    <row r="947" spans="3:17">
      <c r="C947">
        <v>5360</v>
      </c>
      <c r="E947" t="s">
        <v>5525</v>
      </c>
      <c r="H947" t="s">
        <v>5526</v>
      </c>
      <c r="K947" s="31">
        <v>49707.85</v>
      </c>
      <c r="M947" s="31">
        <v>8940.7099999999991</v>
      </c>
      <c r="O947" s="31">
        <v>40767.14</v>
      </c>
      <c r="Q947">
        <v>456</v>
      </c>
    </row>
    <row r="948" spans="3:17">
      <c r="C948">
        <v>5360</v>
      </c>
      <c r="E948" t="s">
        <v>5529</v>
      </c>
      <c r="H948" t="s">
        <v>5530</v>
      </c>
      <c r="K948" s="31">
        <v>70541.14</v>
      </c>
      <c r="M948" s="31">
        <v>38021.980000000003</v>
      </c>
      <c r="O948" s="31">
        <v>32519.16</v>
      </c>
      <c r="Q948">
        <v>85.5</v>
      </c>
    </row>
    <row r="949" spans="3:17">
      <c r="C949">
        <v>5360</v>
      </c>
      <c r="E949" t="s">
        <v>5531</v>
      </c>
      <c r="H949" t="s">
        <v>5532</v>
      </c>
      <c r="K949" s="31">
        <v>154252.9</v>
      </c>
      <c r="M949" s="31">
        <v>12498.58</v>
      </c>
      <c r="O949" s="31">
        <v>141754.32</v>
      </c>
      <c r="Q949">
        <v>1134.2</v>
      </c>
    </row>
    <row r="950" spans="3:17">
      <c r="C950">
        <v>5360</v>
      </c>
      <c r="E950" t="s">
        <v>5533</v>
      </c>
      <c r="H950" t="s">
        <v>5255</v>
      </c>
      <c r="K950" s="31">
        <v>1552216.73</v>
      </c>
      <c r="M950" s="31">
        <v>348881.45</v>
      </c>
      <c r="O950" s="31">
        <v>1203335.28</v>
      </c>
      <c r="Q950">
        <v>344.9</v>
      </c>
    </row>
    <row r="951" spans="3:17">
      <c r="C951">
        <v>5360</v>
      </c>
      <c r="E951" t="s">
        <v>5534</v>
      </c>
      <c r="H951" t="s">
        <v>5535</v>
      </c>
      <c r="K951" s="31">
        <v>-917669.09</v>
      </c>
      <c r="M951" s="31">
        <v>-205222.2</v>
      </c>
      <c r="O951" s="31">
        <v>-712446.89</v>
      </c>
      <c r="Q951">
        <v>-347.2</v>
      </c>
    </row>
    <row r="952" spans="3:17">
      <c r="C952">
        <v>5360</v>
      </c>
      <c r="E952" t="s">
        <v>5536</v>
      </c>
      <c r="H952" t="s">
        <v>5537</v>
      </c>
      <c r="K952" s="31">
        <v>-38143.72</v>
      </c>
      <c r="M952" s="31">
        <v>-9880.0400000000009</v>
      </c>
      <c r="O952" s="31">
        <v>-28263.68</v>
      </c>
      <c r="Q952">
        <v>-286.10000000000002</v>
      </c>
    </row>
    <row r="953" spans="3:17">
      <c r="C953">
        <v>5360</v>
      </c>
      <c r="E953" t="s">
        <v>5538</v>
      </c>
      <c r="H953" t="s">
        <v>5539</v>
      </c>
      <c r="K953" s="31">
        <v>97363.199999999997</v>
      </c>
      <c r="M953" s="31">
        <v>13402.35</v>
      </c>
      <c r="O953" s="31">
        <v>83960.85</v>
      </c>
      <c r="Q953">
        <v>626.5</v>
      </c>
    </row>
    <row r="954" spans="3:17">
      <c r="C954">
        <v>5360</v>
      </c>
      <c r="E954" t="s">
        <v>5542</v>
      </c>
      <c r="H954" t="s">
        <v>5257</v>
      </c>
      <c r="K954" s="31">
        <v>7168269.1399999997</v>
      </c>
      <c r="M954" s="31">
        <v>2234818.6</v>
      </c>
      <c r="O954" s="31">
        <v>4933450.54</v>
      </c>
      <c r="Q954">
        <v>220.8</v>
      </c>
    </row>
    <row r="955" spans="3:17">
      <c r="C955">
        <v>5360</v>
      </c>
      <c r="E955" t="s">
        <v>5543</v>
      </c>
      <c r="H955" t="s">
        <v>5544</v>
      </c>
      <c r="K955" s="31">
        <v>-5916754.8200000003</v>
      </c>
      <c r="M955" s="31">
        <v>-1602385.51</v>
      </c>
      <c r="O955" s="31">
        <v>-4314369.3099999996</v>
      </c>
      <c r="Q955">
        <v>-269.2</v>
      </c>
    </row>
    <row r="956" spans="3:17">
      <c r="C956">
        <v>5360</v>
      </c>
      <c r="E956" t="s">
        <v>5545</v>
      </c>
      <c r="H956" t="s">
        <v>5546</v>
      </c>
      <c r="K956" s="31">
        <v>-272323.03999999998</v>
      </c>
      <c r="M956" s="31">
        <v>-55634.02</v>
      </c>
      <c r="O956" s="31">
        <v>-216689.02</v>
      </c>
      <c r="Q956">
        <v>-389.5</v>
      </c>
    </row>
    <row r="957" spans="3:17">
      <c r="C957">
        <v>5360</v>
      </c>
      <c r="E957" t="s">
        <v>5547</v>
      </c>
      <c r="H957" t="s">
        <v>5548</v>
      </c>
      <c r="K957" s="31">
        <v>4771213.68</v>
      </c>
      <c r="M957" s="31">
        <v>858982.21</v>
      </c>
      <c r="O957" s="31">
        <v>3912231.47</v>
      </c>
      <c r="Q957">
        <v>455.4</v>
      </c>
    </row>
    <row r="958" spans="3:17">
      <c r="C958">
        <v>5360</v>
      </c>
      <c r="E958" t="s">
        <v>5549</v>
      </c>
      <c r="H958" t="s">
        <v>5261</v>
      </c>
      <c r="K958" s="31">
        <v>2269475.61</v>
      </c>
      <c r="M958" s="31">
        <v>530797.31999999995</v>
      </c>
      <c r="O958" s="31">
        <v>1738678.29</v>
      </c>
      <c r="Q958">
        <v>327.60000000000002</v>
      </c>
    </row>
    <row r="959" spans="3:17">
      <c r="C959">
        <v>5360</v>
      </c>
      <c r="E959" t="s">
        <v>5550</v>
      </c>
      <c r="H959" t="s">
        <v>5551</v>
      </c>
      <c r="K959" s="31">
        <v>-1971813.31</v>
      </c>
      <c r="M959" s="31">
        <v>-415001.22</v>
      </c>
      <c r="O959" s="31">
        <v>-1556812.09</v>
      </c>
      <c r="Q959">
        <v>-375.1</v>
      </c>
    </row>
    <row r="960" spans="3:17">
      <c r="C960">
        <v>5360</v>
      </c>
      <c r="E960" t="s">
        <v>5552</v>
      </c>
      <c r="H960" t="s">
        <v>5553</v>
      </c>
      <c r="K960" s="31">
        <v>-36977.47</v>
      </c>
      <c r="M960" s="31">
        <v>-8916.17</v>
      </c>
      <c r="O960" s="31">
        <v>-28061.3</v>
      </c>
      <c r="Q960">
        <v>-314.7</v>
      </c>
    </row>
    <row r="961" spans="3:17">
      <c r="C961">
        <v>5360</v>
      </c>
      <c r="E961" t="s">
        <v>5554</v>
      </c>
      <c r="H961" t="s">
        <v>5263</v>
      </c>
      <c r="K961" s="31">
        <v>544348.12</v>
      </c>
      <c r="M961" s="31">
        <v>104070.01</v>
      </c>
      <c r="O961" s="31">
        <v>440278.11</v>
      </c>
      <c r="Q961">
        <v>423.1</v>
      </c>
    </row>
    <row r="962" spans="3:17">
      <c r="C962">
        <v>5360</v>
      </c>
      <c r="E962" t="s">
        <v>5555</v>
      </c>
      <c r="H962" t="s">
        <v>5265</v>
      </c>
      <c r="K962" s="31">
        <v>429578.37</v>
      </c>
      <c r="M962" s="31">
        <v>-39541.35</v>
      </c>
      <c r="O962" s="31">
        <v>469119.72</v>
      </c>
      <c r="Q962">
        <v>1186.4000000000001</v>
      </c>
    </row>
    <row r="963" spans="3:17">
      <c r="C963">
        <v>5360</v>
      </c>
      <c r="E963" t="s">
        <v>5556</v>
      </c>
      <c r="H963" t="s">
        <v>5557</v>
      </c>
      <c r="K963" s="31">
        <v>-274262.3</v>
      </c>
      <c r="M963" s="31">
        <v>8310.61</v>
      </c>
      <c r="O963" s="31">
        <v>-282572.90999999997</v>
      </c>
      <c r="Q963">
        <v>-3400.1</v>
      </c>
    </row>
    <row r="964" spans="3:17">
      <c r="C964">
        <v>5360</v>
      </c>
      <c r="E964" t="s">
        <v>5558</v>
      </c>
      <c r="H964" t="s">
        <v>5559</v>
      </c>
      <c r="K964" s="31">
        <v>-9775.64</v>
      </c>
      <c r="M964" s="31">
        <v>1677.64</v>
      </c>
      <c r="O964" s="31">
        <v>-11453.28</v>
      </c>
      <c r="Q964">
        <v>-682.7</v>
      </c>
    </row>
    <row r="965" spans="3:17">
      <c r="C965">
        <v>5360</v>
      </c>
      <c r="E965" t="s">
        <v>5561</v>
      </c>
      <c r="H965" t="s">
        <v>5267</v>
      </c>
      <c r="K965" s="31">
        <v>54208.71</v>
      </c>
      <c r="M965" s="31">
        <v>9681.52</v>
      </c>
      <c r="O965" s="31">
        <v>44527.19</v>
      </c>
      <c r="Q965">
        <v>459.9</v>
      </c>
    </row>
    <row r="966" spans="3:17">
      <c r="C966">
        <v>5360</v>
      </c>
      <c r="E966" t="s">
        <v>5562</v>
      </c>
      <c r="H966" t="s">
        <v>5269</v>
      </c>
      <c r="K966" s="31">
        <v>6687587.96</v>
      </c>
      <c r="M966" s="31">
        <v>2126225.85</v>
      </c>
      <c r="O966" s="31">
        <v>4561362.1100000003</v>
      </c>
      <c r="Q966">
        <v>214.5</v>
      </c>
    </row>
    <row r="967" spans="3:17">
      <c r="C967">
        <v>5360</v>
      </c>
      <c r="E967" t="s">
        <v>5563</v>
      </c>
      <c r="H967" t="s">
        <v>5564</v>
      </c>
      <c r="K967" s="31">
        <v>-21898399.879999999</v>
      </c>
      <c r="M967" s="31">
        <v>-5419890.2000000002</v>
      </c>
      <c r="O967" s="31">
        <v>-16478509.68</v>
      </c>
      <c r="Q967">
        <v>-304</v>
      </c>
    </row>
    <row r="968" spans="3:17">
      <c r="C968">
        <v>5360</v>
      </c>
      <c r="E968" t="s">
        <v>5565</v>
      </c>
      <c r="H968" t="s">
        <v>5566</v>
      </c>
      <c r="K968" s="31">
        <v>-225671.85</v>
      </c>
      <c r="M968" s="31">
        <v>-52525.85</v>
      </c>
      <c r="O968" s="31">
        <v>-173146</v>
      </c>
      <c r="Q968">
        <v>-329.6</v>
      </c>
    </row>
    <row r="969" spans="3:17">
      <c r="C969">
        <v>5360</v>
      </c>
      <c r="E969" t="s">
        <v>5567</v>
      </c>
      <c r="H969" t="s">
        <v>5271</v>
      </c>
      <c r="K969" s="31">
        <v>20720175.690000001</v>
      </c>
      <c r="M969" s="31">
        <v>4735887.99</v>
      </c>
      <c r="O969" s="31">
        <v>15984287.699999999</v>
      </c>
      <c r="Q969">
        <v>337.5</v>
      </c>
    </row>
    <row r="970" spans="3:17">
      <c r="C970">
        <v>5360</v>
      </c>
      <c r="E970" t="s">
        <v>5568</v>
      </c>
      <c r="H970" t="s">
        <v>5273</v>
      </c>
      <c r="K970" s="31">
        <v>742538.61</v>
      </c>
      <c r="M970" s="31">
        <v>237707.24</v>
      </c>
      <c r="O970" s="31">
        <v>504831.37</v>
      </c>
      <c r="Q970">
        <v>212.4</v>
      </c>
    </row>
    <row r="971" spans="3:17">
      <c r="C971">
        <v>5360</v>
      </c>
      <c r="E971" t="s">
        <v>5569</v>
      </c>
      <c r="H971" t="s">
        <v>5570</v>
      </c>
      <c r="K971" s="31">
        <v>-2185892.23</v>
      </c>
      <c r="M971" s="31">
        <v>-533150.06999999995</v>
      </c>
      <c r="O971" s="31">
        <v>-1652742.16</v>
      </c>
      <c r="Q971">
        <v>-310</v>
      </c>
    </row>
    <row r="972" spans="3:17">
      <c r="C972">
        <v>5360</v>
      </c>
      <c r="E972" t="s">
        <v>5571</v>
      </c>
      <c r="H972" t="s">
        <v>5572</v>
      </c>
      <c r="K972" s="31">
        <v>-13102.14</v>
      </c>
      <c r="M972" s="31">
        <v>-5801.13</v>
      </c>
      <c r="O972" s="31">
        <v>-7301.01</v>
      </c>
      <c r="Q972">
        <v>-125.9</v>
      </c>
    </row>
    <row r="973" spans="3:17">
      <c r="C973">
        <v>5360</v>
      </c>
      <c r="E973" t="s">
        <v>5573</v>
      </c>
      <c r="H973" t="s">
        <v>5574</v>
      </c>
      <c r="K973" s="31">
        <v>1917280.51</v>
      </c>
      <c r="M973" s="31">
        <v>425593.2</v>
      </c>
      <c r="O973" s="31">
        <v>1491687.31</v>
      </c>
      <c r="Q973">
        <v>350.5</v>
      </c>
    </row>
    <row r="974" spans="3:17">
      <c r="C974">
        <v>5360</v>
      </c>
      <c r="E974" t="s">
        <v>5575</v>
      </c>
      <c r="H974" t="s">
        <v>5576</v>
      </c>
      <c r="K974" s="31">
        <v>454447.29</v>
      </c>
      <c r="M974">
        <v>0</v>
      </c>
      <c r="O974" s="31">
        <v>454447.29</v>
      </c>
    </row>
    <row r="975" spans="3:17">
      <c r="C975">
        <v>5360</v>
      </c>
      <c r="E975" t="s">
        <v>5578</v>
      </c>
      <c r="H975" t="s">
        <v>5579</v>
      </c>
      <c r="K975" s="31">
        <v>-43006.38</v>
      </c>
      <c r="M975" s="31">
        <v>-13272.51</v>
      </c>
      <c r="O975" s="31">
        <v>-29733.87</v>
      </c>
      <c r="Q975">
        <v>-224</v>
      </c>
    </row>
    <row r="976" spans="3:17">
      <c r="C976">
        <v>5360</v>
      </c>
      <c r="E976" t="s">
        <v>5580</v>
      </c>
      <c r="H976" t="s">
        <v>5581</v>
      </c>
      <c r="K976" s="31">
        <v>253950.93</v>
      </c>
      <c r="M976" s="31">
        <v>72952.070000000007</v>
      </c>
      <c r="O976" s="31">
        <v>180998.86</v>
      </c>
      <c r="Q976">
        <v>248.1</v>
      </c>
    </row>
    <row r="977" spans="3:17">
      <c r="C977">
        <v>5360</v>
      </c>
      <c r="E977" t="s">
        <v>5582</v>
      </c>
      <c r="H977" t="s">
        <v>5277</v>
      </c>
      <c r="K977" s="31">
        <v>7461750.4199999999</v>
      </c>
      <c r="M977" s="31">
        <v>1686312.59</v>
      </c>
      <c r="O977" s="31">
        <v>5775437.8300000001</v>
      </c>
      <c r="Q977">
        <v>342.5</v>
      </c>
    </row>
    <row r="978" spans="3:17">
      <c r="C978">
        <v>5360</v>
      </c>
      <c r="E978" t="s">
        <v>5583</v>
      </c>
      <c r="H978" t="s">
        <v>5584</v>
      </c>
      <c r="K978" s="31">
        <v>-6420391.7199999997</v>
      </c>
      <c r="M978" s="31">
        <v>-1303616.3799999999</v>
      </c>
      <c r="O978" s="31">
        <v>-5116775.34</v>
      </c>
      <c r="Q978">
        <v>-392.5</v>
      </c>
    </row>
    <row r="979" spans="3:17">
      <c r="C979">
        <v>5360</v>
      </c>
      <c r="E979" t="s">
        <v>5585</v>
      </c>
      <c r="H979" t="s">
        <v>5586</v>
      </c>
      <c r="K979" s="31">
        <v>-117558.02</v>
      </c>
      <c r="M979" s="31">
        <v>-28964.01</v>
      </c>
      <c r="O979" s="31">
        <v>-88594.01</v>
      </c>
      <c r="Q979">
        <v>-305.89999999999998</v>
      </c>
    </row>
    <row r="980" spans="3:17">
      <c r="C980">
        <v>5360</v>
      </c>
      <c r="E980" t="s">
        <v>5587</v>
      </c>
      <c r="H980" t="s">
        <v>5279</v>
      </c>
      <c r="K980" s="31">
        <v>1766757.58</v>
      </c>
      <c r="M980" s="31">
        <v>319180.83</v>
      </c>
      <c r="O980" s="31">
        <v>1447576.75</v>
      </c>
      <c r="Q980">
        <v>453.5</v>
      </c>
    </row>
    <row r="981" spans="3:17">
      <c r="C981">
        <v>5360</v>
      </c>
      <c r="E981" t="s">
        <v>5588</v>
      </c>
      <c r="H981" t="s">
        <v>5281</v>
      </c>
      <c r="K981" s="31">
        <v>6707908.3700000001</v>
      </c>
      <c r="M981" s="31">
        <v>2606061.2200000002</v>
      </c>
      <c r="O981" s="31">
        <v>4101847.15</v>
      </c>
      <c r="Q981">
        <v>157.4</v>
      </c>
    </row>
    <row r="982" spans="3:17">
      <c r="C982">
        <v>5360</v>
      </c>
      <c r="E982" t="s">
        <v>5589</v>
      </c>
      <c r="H982" t="s">
        <v>5590</v>
      </c>
      <c r="K982" s="31">
        <v>-6604256.5700000003</v>
      </c>
      <c r="M982" s="31">
        <v>-2459516.37</v>
      </c>
      <c r="O982" s="31">
        <v>-4144740.2</v>
      </c>
      <c r="Q982">
        <v>-168.5</v>
      </c>
    </row>
    <row r="983" spans="3:17">
      <c r="C983">
        <v>5360</v>
      </c>
      <c r="E983" t="s">
        <v>5591</v>
      </c>
      <c r="H983" t="s">
        <v>5592</v>
      </c>
      <c r="K983" s="31">
        <v>-65155.89</v>
      </c>
      <c r="M983" s="31">
        <v>-17068.64</v>
      </c>
      <c r="O983" s="31">
        <v>-48087.25</v>
      </c>
      <c r="Q983">
        <v>-281.7</v>
      </c>
    </row>
    <row r="984" spans="3:17">
      <c r="C984">
        <v>5360</v>
      </c>
      <c r="E984" t="s">
        <v>5593</v>
      </c>
      <c r="H984" t="s">
        <v>5594</v>
      </c>
      <c r="K984" s="31">
        <v>2052461.36</v>
      </c>
      <c r="M984" s="31">
        <v>410506.3</v>
      </c>
      <c r="O984" s="31">
        <v>1641955.06</v>
      </c>
      <c r="Q984">
        <v>400</v>
      </c>
    </row>
    <row r="985" spans="3:17">
      <c r="C985">
        <v>5360</v>
      </c>
      <c r="E985" t="s">
        <v>5595</v>
      </c>
      <c r="H985" t="s">
        <v>5285</v>
      </c>
      <c r="K985" s="31">
        <v>1178191.29</v>
      </c>
      <c r="M985" s="31">
        <v>17929.509999999998</v>
      </c>
      <c r="O985" s="31">
        <v>1160261.78</v>
      </c>
      <c r="Q985">
        <v>6471.2</v>
      </c>
    </row>
    <row r="986" spans="3:17">
      <c r="C986">
        <v>5360</v>
      </c>
      <c r="E986" t="s">
        <v>5596</v>
      </c>
      <c r="H986" t="s">
        <v>5597</v>
      </c>
      <c r="K986" s="31">
        <v>-1841809.39</v>
      </c>
      <c r="M986" s="31">
        <v>-177470.48</v>
      </c>
      <c r="O986" s="31">
        <v>-1664338.91</v>
      </c>
      <c r="Q986">
        <v>-937.8</v>
      </c>
    </row>
    <row r="987" spans="3:17">
      <c r="C987">
        <v>5360</v>
      </c>
      <c r="E987" t="s">
        <v>5598</v>
      </c>
      <c r="H987" t="s">
        <v>5599</v>
      </c>
      <c r="K987" s="31">
        <v>2369.6</v>
      </c>
      <c r="M987">
        <v>604.9</v>
      </c>
      <c r="O987" s="31">
        <v>1764.7</v>
      </c>
      <c r="Q987">
        <v>291.7</v>
      </c>
    </row>
    <row r="988" spans="3:17">
      <c r="C988">
        <v>5360</v>
      </c>
      <c r="E988" t="s">
        <v>5600</v>
      </c>
      <c r="H988" t="s">
        <v>5287</v>
      </c>
      <c r="K988" s="31">
        <v>982012.15</v>
      </c>
      <c r="M988" s="31">
        <v>182011.61</v>
      </c>
      <c r="O988" s="31">
        <v>800000.54</v>
      </c>
      <c r="Q988">
        <v>439.5</v>
      </c>
    </row>
    <row r="989" spans="3:17">
      <c r="C989">
        <v>5360</v>
      </c>
      <c r="E989" t="s">
        <v>5601</v>
      </c>
      <c r="H989" t="s">
        <v>5289</v>
      </c>
      <c r="K989" s="31">
        <v>3399199.22</v>
      </c>
      <c r="M989" s="31">
        <v>1063514.45</v>
      </c>
      <c r="O989" s="31">
        <v>2335684.77</v>
      </c>
      <c r="Q989">
        <v>219.6</v>
      </c>
    </row>
    <row r="990" spans="3:17">
      <c r="C990">
        <v>5360</v>
      </c>
      <c r="E990" t="s">
        <v>5602</v>
      </c>
      <c r="H990" t="s">
        <v>5603</v>
      </c>
      <c r="K990">
        <v>-909.63</v>
      </c>
      <c r="M990">
        <v>0</v>
      </c>
      <c r="O990">
        <v>-909.63</v>
      </c>
    </row>
    <row r="991" spans="3:17">
      <c r="C991">
        <v>5360</v>
      </c>
      <c r="E991" t="s">
        <v>5605</v>
      </c>
      <c r="H991" t="s">
        <v>5606</v>
      </c>
      <c r="K991" s="31">
        <v>2440.58</v>
      </c>
      <c r="M991">
        <v>-1.78</v>
      </c>
      <c r="O991" s="31">
        <v>2442.36</v>
      </c>
      <c r="Q991" t="s">
        <v>6088</v>
      </c>
    </row>
    <row r="992" spans="3:17">
      <c r="C992">
        <v>5360</v>
      </c>
      <c r="E992" t="s">
        <v>5607</v>
      </c>
      <c r="H992" t="s">
        <v>5608</v>
      </c>
      <c r="K992" s="31">
        <v>1550380.68</v>
      </c>
      <c r="M992" s="31">
        <v>565751.23</v>
      </c>
      <c r="O992" s="31">
        <v>984629.45</v>
      </c>
      <c r="Q992">
        <v>174</v>
      </c>
    </row>
    <row r="993" spans="3:17">
      <c r="C993">
        <v>5360</v>
      </c>
      <c r="E993" t="s">
        <v>5609</v>
      </c>
      <c r="H993" t="s">
        <v>5610</v>
      </c>
      <c r="K993" s="31">
        <v>-1550385.6</v>
      </c>
      <c r="M993" s="31">
        <v>-565751.23</v>
      </c>
      <c r="O993" s="31">
        <v>-984634.37</v>
      </c>
      <c r="Q993">
        <v>-174</v>
      </c>
    </row>
    <row r="994" spans="3:17">
      <c r="C994">
        <v>5360</v>
      </c>
      <c r="E994" t="s">
        <v>5611</v>
      </c>
      <c r="H994" t="s">
        <v>5612</v>
      </c>
      <c r="K994">
        <v>572.29999999999995</v>
      </c>
      <c r="M994">
        <v>-1.01</v>
      </c>
      <c r="O994">
        <v>573.30999999999995</v>
      </c>
      <c r="Q994">
        <v>56763.4</v>
      </c>
    </row>
    <row r="995" spans="3:17">
      <c r="C995">
        <v>5360</v>
      </c>
      <c r="E995" t="s">
        <v>5613</v>
      </c>
      <c r="H995" t="s">
        <v>5608</v>
      </c>
      <c r="K995" s="31">
        <v>608779.96</v>
      </c>
      <c r="M995" s="31">
        <v>206943.13</v>
      </c>
      <c r="O995" s="31">
        <v>401836.83</v>
      </c>
      <c r="Q995">
        <v>194.2</v>
      </c>
    </row>
    <row r="996" spans="3:17">
      <c r="C996">
        <v>5360</v>
      </c>
      <c r="E996" t="s">
        <v>5614</v>
      </c>
      <c r="H996" t="s">
        <v>5615</v>
      </c>
      <c r="K996" s="31">
        <v>-608781.96</v>
      </c>
      <c r="M996" s="31">
        <v>-206943.13</v>
      </c>
      <c r="O996" s="31">
        <v>-401838.83</v>
      </c>
      <c r="Q996">
        <v>-194.2</v>
      </c>
    </row>
    <row r="997" spans="3:17">
      <c r="C997">
        <v>5360</v>
      </c>
      <c r="E997" t="s">
        <v>5616</v>
      </c>
      <c r="H997" t="s">
        <v>5617</v>
      </c>
      <c r="K997">
        <v>271.05</v>
      </c>
      <c r="M997">
        <v>-3.31</v>
      </c>
      <c r="O997">
        <v>274.36</v>
      </c>
      <c r="Q997">
        <v>8288.7999999999993</v>
      </c>
    </row>
    <row r="998" spans="3:17">
      <c r="C998">
        <v>5360</v>
      </c>
      <c r="E998" t="s">
        <v>5618</v>
      </c>
      <c r="H998" t="s">
        <v>5619</v>
      </c>
      <c r="K998" s="31">
        <v>1249782.01</v>
      </c>
      <c r="M998" s="31">
        <v>308670.81</v>
      </c>
      <c r="O998" s="31">
        <v>941111.2</v>
      </c>
      <c r="Q998">
        <v>304.89999999999998</v>
      </c>
    </row>
    <row r="999" spans="3:17">
      <c r="C999">
        <v>5360</v>
      </c>
      <c r="E999" t="s">
        <v>5620</v>
      </c>
      <c r="H999" t="s">
        <v>5621</v>
      </c>
      <c r="K999" s="31">
        <v>-469096.09</v>
      </c>
      <c r="M999" s="31">
        <v>-76601.69</v>
      </c>
      <c r="O999" s="31">
        <v>-392494.4</v>
      </c>
      <c r="Q999">
        <v>-512.4</v>
      </c>
    </row>
    <row r="1000" spans="3:17">
      <c r="C1000">
        <v>5360</v>
      </c>
      <c r="E1000" t="s">
        <v>5622</v>
      </c>
      <c r="H1000" t="s">
        <v>5623</v>
      </c>
      <c r="K1000" s="31">
        <v>-572931.24</v>
      </c>
      <c r="M1000" s="31">
        <v>-45676.94</v>
      </c>
      <c r="O1000" s="31">
        <v>-527254.30000000005</v>
      </c>
      <c r="Q1000">
        <v>-1154.3</v>
      </c>
    </row>
    <row r="1001" spans="3:17">
      <c r="C1001">
        <v>5360</v>
      </c>
      <c r="E1001" t="s">
        <v>5624</v>
      </c>
      <c r="H1001" t="s">
        <v>5625</v>
      </c>
      <c r="K1001" s="31">
        <v>10165.32</v>
      </c>
      <c r="M1001" s="31">
        <v>5865.54</v>
      </c>
      <c r="O1001" s="31">
        <v>4299.78</v>
      </c>
      <c r="Q1001">
        <v>73.3</v>
      </c>
    </row>
    <row r="1002" spans="3:17">
      <c r="C1002">
        <v>5360</v>
      </c>
      <c r="E1002" t="s">
        <v>5626</v>
      </c>
      <c r="H1002" t="s">
        <v>5295</v>
      </c>
      <c r="K1002" s="31">
        <v>11638454.689999999</v>
      </c>
      <c r="M1002" s="31">
        <v>1800112.67</v>
      </c>
      <c r="O1002" s="31">
        <v>9838342.0199999996</v>
      </c>
      <c r="Q1002">
        <v>546.5</v>
      </c>
    </row>
    <row r="1003" spans="3:17">
      <c r="C1003">
        <v>5360</v>
      </c>
      <c r="E1003" t="s">
        <v>5627</v>
      </c>
      <c r="H1003" t="s">
        <v>5628</v>
      </c>
      <c r="K1003" s="31">
        <v>-11007663.609999999</v>
      </c>
      <c r="M1003" s="31">
        <v>-1658155.5</v>
      </c>
      <c r="O1003" s="31">
        <v>-9349508.1099999994</v>
      </c>
      <c r="Q1003">
        <v>-563.79999999999995</v>
      </c>
    </row>
    <row r="1004" spans="3:17">
      <c r="C1004">
        <v>5360</v>
      </c>
      <c r="E1004" t="s">
        <v>5629</v>
      </c>
      <c r="H1004" t="s">
        <v>5630</v>
      </c>
      <c r="K1004" s="31">
        <v>-1151.04</v>
      </c>
      <c r="M1004">
        <v>-352.37</v>
      </c>
      <c r="O1004">
        <v>-798.67</v>
      </c>
      <c r="Q1004">
        <v>-226.7</v>
      </c>
    </row>
    <row r="1005" spans="3:17">
      <c r="C1005">
        <v>5360</v>
      </c>
      <c r="E1005" t="s">
        <v>5631</v>
      </c>
      <c r="H1005" t="s">
        <v>5297</v>
      </c>
      <c r="K1005" s="31">
        <v>227528.66</v>
      </c>
      <c r="M1005" s="31">
        <v>46333.33</v>
      </c>
      <c r="O1005" s="31">
        <v>181195.33</v>
      </c>
      <c r="Q1005">
        <v>391.1</v>
      </c>
    </row>
    <row r="1006" spans="3:17">
      <c r="C1006">
        <v>5360</v>
      </c>
      <c r="E1006" t="s">
        <v>5632</v>
      </c>
      <c r="H1006" t="s">
        <v>5633</v>
      </c>
      <c r="K1006" s="31">
        <v>332973.89</v>
      </c>
      <c r="M1006" s="31">
        <v>65386.11</v>
      </c>
      <c r="O1006" s="31">
        <v>267587.78000000003</v>
      </c>
      <c r="Q1006">
        <v>409.2</v>
      </c>
    </row>
    <row r="1007" spans="3:17">
      <c r="C1007">
        <v>5360</v>
      </c>
      <c r="E1007" t="s">
        <v>5634</v>
      </c>
      <c r="H1007" t="s">
        <v>5635</v>
      </c>
      <c r="K1007" s="31">
        <v>-53858.11</v>
      </c>
      <c r="M1007" s="31">
        <v>-6172.82</v>
      </c>
      <c r="O1007" s="31">
        <v>-47685.29</v>
      </c>
      <c r="Q1007">
        <v>-772.5</v>
      </c>
    </row>
    <row r="1008" spans="3:17">
      <c r="C1008">
        <v>5360</v>
      </c>
      <c r="E1008" t="s">
        <v>5636</v>
      </c>
      <c r="H1008" t="s">
        <v>5637</v>
      </c>
      <c r="K1008" s="31">
        <v>40736.449999999997</v>
      </c>
      <c r="M1008" s="31">
        <v>5664.28</v>
      </c>
      <c r="O1008" s="31">
        <v>35072.17</v>
      </c>
      <c r="Q1008">
        <v>619.20000000000005</v>
      </c>
    </row>
    <row r="1009" spans="3:17">
      <c r="C1009">
        <v>5360</v>
      </c>
      <c r="E1009" t="s">
        <v>5638</v>
      </c>
      <c r="H1009" t="s">
        <v>5639</v>
      </c>
      <c r="K1009" s="31">
        <v>30602</v>
      </c>
      <c r="M1009">
        <v>0</v>
      </c>
      <c r="O1009" s="31">
        <v>30602</v>
      </c>
    </row>
    <row r="1010" spans="3:17">
      <c r="C1010">
        <v>5360</v>
      </c>
      <c r="E1010" t="s">
        <v>5640</v>
      </c>
      <c r="H1010" t="s">
        <v>5641</v>
      </c>
      <c r="K1010" s="31">
        <v>-22682.84</v>
      </c>
      <c r="M1010">
        <v>-213.59</v>
      </c>
      <c r="O1010" s="31">
        <v>-22469.25</v>
      </c>
      <c r="Q1010" t="s">
        <v>6089</v>
      </c>
    </row>
    <row r="1011" spans="3:17">
      <c r="C1011">
        <v>5360</v>
      </c>
      <c r="E1011" t="s">
        <v>5642</v>
      </c>
      <c r="H1011" t="s">
        <v>5643</v>
      </c>
      <c r="K1011">
        <v>453.59</v>
      </c>
      <c r="M1011">
        <v>213.59</v>
      </c>
      <c r="O1011">
        <v>240</v>
      </c>
      <c r="Q1011">
        <v>112.4</v>
      </c>
    </row>
    <row r="1012" spans="3:17">
      <c r="C1012">
        <v>5360</v>
      </c>
      <c r="E1012" t="s">
        <v>5644</v>
      </c>
      <c r="H1012" t="s">
        <v>5645</v>
      </c>
      <c r="K1012" s="31">
        <v>217207.3</v>
      </c>
      <c r="M1012" s="31">
        <v>53758.62</v>
      </c>
      <c r="O1012" s="31">
        <v>163448.68</v>
      </c>
      <c r="Q1012">
        <v>304</v>
      </c>
    </row>
    <row r="1013" spans="3:17">
      <c r="C1013">
        <v>5360</v>
      </c>
      <c r="E1013" t="s">
        <v>5646</v>
      </c>
      <c r="H1013" t="s">
        <v>5647</v>
      </c>
      <c r="K1013" s="31">
        <v>3026.25</v>
      </c>
      <c r="M1013" s="31">
        <v>1918.8</v>
      </c>
      <c r="O1013" s="31">
        <v>1107.45</v>
      </c>
      <c r="Q1013">
        <v>57.7</v>
      </c>
    </row>
    <row r="1014" spans="3:17">
      <c r="C1014">
        <v>5360</v>
      </c>
      <c r="E1014" t="s">
        <v>5648</v>
      </c>
      <c r="H1014" t="s">
        <v>5649</v>
      </c>
      <c r="K1014" s="31">
        <v>-92655.38</v>
      </c>
      <c r="M1014" s="31">
        <v>-26338.83</v>
      </c>
      <c r="O1014" s="31">
        <v>-66316.55</v>
      </c>
      <c r="Q1014">
        <v>-251.8</v>
      </c>
    </row>
    <row r="1015" spans="3:17">
      <c r="C1015">
        <v>5360</v>
      </c>
      <c r="E1015" t="s">
        <v>5650</v>
      </c>
      <c r="H1015" t="s">
        <v>5651</v>
      </c>
      <c r="K1015" s="31">
        <v>-127923.9</v>
      </c>
      <c r="M1015" s="31">
        <v>-29338.59</v>
      </c>
      <c r="O1015" s="31">
        <v>-98585.31</v>
      </c>
      <c r="Q1015">
        <v>-336</v>
      </c>
    </row>
    <row r="1016" spans="3:17">
      <c r="C1016">
        <v>5360</v>
      </c>
      <c r="E1016" t="s">
        <v>5652</v>
      </c>
      <c r="H1016" t="s">
        <v>5653</v>
      </c>
      <c r="K1016">
        <v>345.73</v>
      </c>
      <c r="M1016">
        <v>0</v>
      </c>
      <c r="O1016">
        <v>345.73</v>
      </c>
    </row>
    <row r="1017" spans="3:17">
      <c r="C1017">
        <v>5360</v>
      </c>
      <c r="E1017" t="s">
        <v>5654</v>
      </c>
      <c r="H1017" t="s">
        <v>5299</v>
      </c>
      <c r="K1017" s="31">
        <v>10750338.92</v>
      </c>
      <c r="M1017" s="31">
        <v>2547208.4500000002</v>
      </c>
      <c r="O1017" s="31">
        <v>8203130.4699999997</v>
      </c>
      <c r="Q1017">
        <v>322</v>
      </c>
    </row>
    <row r="1018" spans="3:17">
      <c r="C1018">
        <v>5360</v>
      </c>
      <c r="E1018" t="s">
        <v>5655</v>
      </c>
      <c r="H1018" t="s">
        <v>5656</v>
      </c>
      <c r="K1018" s="31">
        <v>-9532377.3699999992</v>
      </c>
      <c r="M1018" s="31">
        <v>-2147218.21</v>
      </c>
      <c r="O1018" s="31">
        <v>-7385159.1600000001</v>
      </c>
      <c r="Q1018">
        <v>-343.9</v>
      </c>
    </row>
    <row r="1019" spans="3:17">
      <c r="C1019">
        <v>5360</v>
      </c>
      <c r="E1019" t="s">
        <v>5657</v>
      </c>
      <c r="H1019" t="s">
        <v>5658</v>
      </c>
      <c r="K1019" s="31">
        <v>29923.24</v>
      </c>
      <c r="M1019" s="31">
        <v>12601.87</v>
      </c>
      <c r="O1019" s="31">
        <v>17321.37</v>
      </c>
      <c r="Q1019">
        <v>137.5</v>
      </c>
    </row>
    <row r="1020" spans="3:17">
      <c r="C1020">
        <v>5360</v>
      </c>
      <c r="E1020" t="s">
        <v>5661</v>
      </c>
      <c r="H1020" t="s">
        <v>5662</v>
      </c>
      <c r="K1020">
        <v>-20.87</v>
      </c>
      <c r="M1020">
        <v>0</v>
      </c>
      <c r="O1020">
        <v>-20.87</v>
      </c>
    </row>
    <row r="1021" spans="3:17">
      <c r="C1021">
        <v>5360</v>
      </c>
      <c r="E1021" t="s">
        <v>6012</v>
      </c>
      <c r="H1021" t="s">
        <v>6013</v>
      </c>
      <c r="K1021">
        <v>20.87</v>
      </c>
      <c r="M1021">
        <v>0</v>
      </c>
      <c r="O1021">
        <v>20.87</v>
      </c>
    </row>
    <row r="1022" spans="3:17">
      <c r="C1022">
        <v>5360</v>
      </c>
      <c r="E1022" t="s">
        <v>5663</v>
      </c>
      <c r="H1022" t="s">
        <v>5301</v>
      </c>
      <c r="K1022" s="31">
        <v>1418914.99</v>
      </c>
      <c r="M1022" s="31">
        <v>371803.41</v>
      </c>
      <c r="O1022" s="31">
        <v>1047111.58</v>
      </c>
      <c r="Q1022">
        <v>281.60000000000002</v>
      </c>
    </row>
    <row r="1023" spans="3:17">
      <c r="C1023">
        <v>5360</v>
      </c>
      <c r="E1023" t="s">
        <v>5664</v>
      </c>
      <c r="H1023" t="s">
        <v>5665</v>
      </c>
      <c r="K1023" s="31">
        <v>-1257990.31</v>
      </c>
      <c r="M1023" s="31">
        <v>-312894.64</v>
      </c>
      <c r="O1023" s="31">
        <v>-945095.67</v>
      </c>
      <c r="Q1023">
        <v>-302</v>
      </c>
    </row>
    <row r="1024" spans="3:17">
      <c r="C1024">
        <v>5360</v>
      </c>
      <c r="E1024" t="s">
        <v>5666</v>
      </c>
      <c r="H1024" t="s">
        <v>5667</v>
      </c>
      <c r="K1024">
        <v>743.01</v>
      </c>
      <c r="M1024">
        <v>111.66</v>
      </c>
      <c r="O1024">
        <v>631.35</v>
      </c>
      <c r="Q1024">
        <v>565.4</v>
      </c>
    </row>
    <row r="1025" spans="3:17">
      <c r="C1025">
        <v>5360</v>
      </c>
      <c r="E1025" t="s">
        <v>5668</v>
      </c>
      <c r="H1025" t="s">
        <v>5303</v>
      </c>
      <c r="K1025" s="31">
        <v>-597281.38</v>
      </c>
      <c r="M1025" s="31">
        <v>5228314</v>
      </c>
      <c r="O1025" s="31">
        <v>-5825595.3799999999</v>
      </c>
      <c r="Q1025">
        <v>-111.4</v>
      </c>
    </row>
    <row r="1026" spans="3:17">
      <c r="C1026">
        <v>5360</v>
      </c>
      <c r="E1026" t="s">
        <v>5669</v>
      </c>
      <c r="H1026" t="s">
        <v>5670</v>
      </c>
      <c r="K1026" s="31">
        <v>458872.89</v>
      </c>
      <c r="M1026" s="31">
        <v>-5411453.2999999998</v>
      </c>
      <c r="O1026" s="31">
        <v>5870326.1900000004</v>
      </c>
      <c r="Q1026">
        <v>108.5</v>
      </c>
    </row>
    <row r="1027" spans="3:17">
      <c r="C1027">
        <v>5360</v>
      </c>
      <c r="E1027" t="s">
        <v>5671</v>
      </c>
      <c r="H1027" t="s">
        <v>5672</v>
      </c>
      <c r="K1027" s="31">
        <v>8896.5499999999993</v>
      </c>
      <c r="M1027" s="31">
        <v>-8882.15</v>
      </c>
      <c r="O1027" s="31">
        <v>17778.7</v>
      </c>
      <c r="Q1027">
        <v>200.2</v>
      </c>
    </row>
    <row r="1028" spans="3:17">
      <c r="C1028">
        <v>5360</v>
      </c>
      <c r="E1028" t="s">
        <v>5673</v>
      </c>
      <c r="H1028" t="s">
        <v>5305</v>
      </c>
      <c r="K1028">
        <v>-588.09</v>
      </c>
      <c r="M1028">
        <v>676.76</v>
      </c>
      <c r="O1028" s="31">
        <v>-1264.8499999999999</v>
      </c>
      <c r="Q1028">
        <v>-186.9</v>
      </c>
    </row>
    <row r="1029" spans="3:17">
      <c r="C1029">
        <v>5360</v>
      </c>
      <c r="E1029" t="s">
        <v>5674</v>
      </c>
      <c r="H1029" t="s">
        <v>5675</v>
      </c>
      <c r="K1029" s="31">
        <v>13563.98</v>
      </c>
      <c r="M1029">
        <v>-15.26</v>
      </c>
      <c r="O1029" s="31">
        <v>13579.24</v>
      </c>
      <c r="Q1029">
        <v>88985.8</v>
      </c>
    </row>
    <row r="1030" spans="3:17">
      <c r="C1030">
        <v>5360</v>
      </c>
      <c r="E1030" t="s">
        <v>5676</v>
      </c>
      <c r="H1030" t="s">
        <v>5677</v>
      </c>
      <c r="K1030" s="31">
        <v>282694.65999999997</v>
      </c>
      <c r="M1030" s="31">
        <v>29321.74</v>
      </c>
      <c r="O1030" s="31">
        <v>253372.92</v>
      </c>
      <c r="Q1030">
        <v>864.1</v>
      </c>
    </row>
    <row r="1031" spans="3:17">
      <c r="C1031">
        <v>5360</v>
      </c>
      <c r="E1031" t="s">
        <v>5678</v>
      </c>
      <c r="H1031" t="s">
        <v>5679</v>
      </c>
      <c r="K1031" s="31">
        <v>68927740.079999998</v>
      </c>
      <c r="M1031" s="31">
        <v>14462841.26</v>
      </c>
      <c r="O1031" s="31">
        <v>54464898.82</v>
      </c>
      <c r="Q1031">
        <v>376.6</v>
      </c>
    </row>
    <row r="1032" spans="3:17">
      <c r="C1032">
        <v>5360</v>
      </c>
      <c r="E1032" t="s">
        <v>5680</v>
      </c>
      <c r="H1032" t="s">
        <v>5681</v>
      </c>
      <c r="K1032" s="31">
        <v>-65183340.640000001</v>
      </c>
      <c r="M1032" s="31">
        <v>-13995705.4</v>
      </c>
      <c r="O1032" s="31">
        <v>-51187635.240000002</v>
      </c>
      <c r="Q1032">
        <v>-365.7</v>
      </c>
    </row>
    <row r="1033" spans="3:17">
      <c r="C1033">
        <v>5360</v>
      </c>
      <c r="E1033" t="s">
        <v>5684</v>
      </c>
      <c r="H1033" t="s">
        <v>5685</v>
      </c>
      <c r="K1033" s="31">
        <v>312839.36</v>
      </c>
      <c r="M1033" s="31">
        <v>42433.91</v>
      </c>
      <c r="O1033" s="31">
        <v>270405.45</v>
      </c>
      <c r="Q1033">
        <v>637.20000000000005</v>
      </c>
    </row>
    <row r="1034" spans="3:17">
      <c r="C1034">
        <v>5360</v>
      </c>
      <c r="E1034" t="s">
        <v>5686</v>
      </c>
      <c r="H1034" t="s">
        <v>5311</v>
      </c>
      <c r="K1034" s="31">
        <v>46886506.619999997</v>
      </c>
      <c r="M1034" s="31">
        <v>7576828.2300000004</v>
      </c>
      <c r="O1034" s="31">
        <v>39309678.390000001</v>
      </c>
      <c r="Q1034">
        <v>518.79999999999995</v>
      </c>
    </row>
    <row r="1035" spans="3:17">
      <c r="C1035">
        <v>5360</v>
      </c>
      <c r="E1035" t="s">
        <v>5687</v>
      </c>
      <c r="H1035" t="s">
        <v>5688</v>
      </c>
      <c r="K1035" s="31">
        <v>-13947986.939999999</v>
      </c>
      <c r="M1035" s="31">
        <v>-2682805.5</v>
      </c>
      <c r="O1035" s="31">
        <v>-11265181.439999999</v>
      </c>
      <c r="Q1035">
        <v>-419.9</v>
      </c>
    </row>
    <row r="1036" spans="3:17">
      <c r="C1036">
        <v>5360</v>
      </c>
      <c r="E1036" t="s">
        <v>5689</v>
      </c>
      <c r="H1036" t="s">
        <v>5690</v>
      </c>
      <c r="K1036" s="31">
        <v>-5324886.6900000004</v>
      </c>
      <c r="M1036" s="31">
        <v>-754475.64</v>
      </c>
      <c r="O1036" s="31">
        <v>-4570411.05</v>
      </c>
      <c r="Q1036">
        <v>-605.79999999999995</v>
      </c>
    </row>
    <row r="1037" spans="3:17">
      <c r="C1037">
        <v>5360</v>
      </c>
      <c r="E1037" t="s">
        <v>5691</v>
      </c>
      <c r="H1037" t="s">
        <v>5692</v>
      </c>
      <c r="K1037" s="31">
        <v>7923481.3099999996</v>
      </c>
      <c r="M1037" s="31">
        <v>1479285.32</v>
      </c>
      <c r="O1037" s="31">
        <v>6444195.9900000002</v>
      </c>
      <c r="Q1037">
        <v>435.6</v>
      </c>
    </row>
    <row r="1038" spans="3:17">
      <c r="C1038">
        <v>5360</v>
      </c>
      <c r="E1038" t="s">
        <v>5693</v>
      </c>
      <c r="H1038" t="s">
        <v>5315</v>
      </c>
      <c r="K1038" s="31">
        <v>826663.84</v>
      </c>
      <c r="M1038" s="31">
        <v>106190.07</v>
      </c>
      <c r="O1038" s="31">
        <v>720473.77</v>
      </c>
      <c r="Q1038">
        <v>678.5</v>
      </c>
    </row>
    <row r="1039" spans="3:17">
      <c r="C1039">
        <v>5360</v>
      </c>
      <c r="E1039" t="s">
        <v>5694</v>
      </c>
      <c r="H1039" t="s">
        <v>5695</v>
      </c>
      <c r="K1039" s="31">
        <v>-1244478.77</v>
      </c>
      <c r="M1039" s="31">
        <v>-142814.89000000001</v>
      </c>
      <c r="O1039" s="31">
        <v>-1101663.8799999999</v>
      </c>
      <c r="Q1039">
        <v>-771.4</v>
      </c>
    </row>
    <row r="1040" spans="3:17">
      <c r="C1040">
        <v>5360</v>
      </c>
      <c r="E1040" t="s">
        <v>5696</v>
      </c>
      <c r="H1040" t="s">
        <v>5317</v>
      </c>
      <c r="K1040" s="31">
        <v>1445633.03</v>
      </c>
      <c r="M1040" s="31">
        <v>369639.55</v>
      </c>
      <c r="O1040" s="31">
        <v>1075993.48</v>
      </c>
      <c r="Q1040">
        <v>291.10000000000002</v>
      </c>
    </row>
    <row r="1041" spans="3:17">
      <c r="C1041">
        <v>5360</v>
      </c>
      <c r="E1041" t="s">
        <v>5697</v>
      </c>
      <c r="H1041" t="s">
        <v>5319</v>
      </c>
      <c r="K1041" s="31">
        <v>15993003.18</v>
      </c>
      <c r="M1041" s="31">
        <v>3470314.76</v>
      </c>
      <c r="O1041" s="31">
        <v>12522688.42</v>
      </c>
      <c r="Q1041">
        <v>360.9</v>
      </c>
    </row>
    <row r="1042" spans="3:17">
      <c r="C1042">
        <v>5360</v>
      </c>
      <c r="E1042" t="s">
        <v>5698</v>
      </c>
      <c r="H1042" t="s">
        <v>5699</v>
      </c>
      <c r="K1042" s="31">
        <v>-15437806.6</v>
      </c>
      <c r="M1042" s="31">
        <v>-3221548.67</v>
      </c>
      <c r="O1042" s="31">
        <v>-12216257.93</v>
      </c>
      <c r="Q1042">
        <v>-379.2</v>
      </c>
    </row>
    <row r="1043" spans="3:17">
      <c r="C1043">
        <v>5360</v>
      </c>
      <c r="E1043" t="s">
        <v>5700</v>
      </c>
      <c r="H1043" t="s">
        <v>5701</v>
      </c>
      <c r="K1043">
        <v>9.49</v>
      </c>
      <c r="M1043" s="31">
        <v>13589.02</v>
      </c>
      <c r="O1043" s="31">
        <v>-13579.53</v>
      </c>
      <c r="Q1043">
        <v>-99.9</v>
      </c>
    </row>
    <row r="1044" spans="3:17">
      <c r="C1044">
        <v>5360</v>
      </c>
      <c r="E1044" t="s">
        <v>5702</v>
      </c>
      <c r="H1044" t="s">
        <v>5321</v>
      </c>
      <c r="K1044" s="31">
        <v>712657.73</v>
      </c>
      <c r="M1044" s="31">
        <v>142342.91</v>
      </c>
      <c r="O1044" s="31">
        <v>570314.81999999995</v>
      </c>
      <c r="Q1044">
        <v>400.7</v>
      </c>
    </row>
    <row r="1045" spans="3:17">
      <c r="C1045">
        <v>5360</v>
      </c>
      <c r="E1045" t="s">
        <v>5703</v>
      </c>
      <c r="H1045" t="s">
        <v>5704</v>
      </c>
      <c r="K1045" s="31">
        <v>-613308.82999999996</v>
      </c>
      <c r="M1045" s="31">
        <v>-115558.43</v>
      </c>
      <c r="O1045" s="31">
        <v>-497750.4</v>
      </c>
      <c r="Q1045">
        <v>-430.7</v>
      </c>
    </row>
    <row r="1046" spans="3:17">
      <c r="C1046">
        <v>5360</v>
      </c>
      <c r="E1046" t="s">
        <v>5705</v>
      </c>
      <c r="H1046" t="s">
        <v>5706</v>
      </c>
      <c r="K1046">
        <v>54.56</v>
      </c>
      <c r="M1046">
        <v>0</v>
      </c>
      <c r="O1046">
        <v>54.56</v>
      </c>
    </row>
    <row r="1047" spans="3:17">
      <c r="C1047">
        <v>5360</v>
      </c>
      <c r="E1047" t="s">
        <v>5707</v>
      </c>
      <c r="H1047" t="s">
        <v>5323</v>
      </c>
      <c r="K1047" s="31">
        <v>3320503.3</v>
      </c>
      <c r="M1047" s="31">
        <v>678544.71</v>
      </c>
      <c r="O1047" s="31">
        <v>2641958.59</v>
      </c>
      <c r="Q1047">
        <v>389.4</v>
      </c>
    </row>
    <row r="1048" spans="3:17">
      <c r="C1048">
        <v>5360</v>
      </c>
      <c r="E1048" t="s">
        <v>5708</v>
      </c>
      <c r="H1048" t="s">
        <v>5709</v>
      </c>
      <c r="K1048" s="31">
        <v>-6278324.75</v>
      </c>
      <c r="M1048" s="31">
        <v>-1037022.83</v>
      </c>
      <c r="O1048" s="31">
        <v>-5241301.92</v>
      </c>
      <c r="Q1048">
        <v>-505.4</v>
      </c>
    </row>
    <row r="1049" spans="3:17">
      <c r="C1049">
        <v>5360</v>
      </c>
      <c r="E1049" t="s">
        <v>5710</v>
      </c>
      <c r="H1049" t="s">
        <v>5325</v>
      </c>
      <c r="K1049" s="31">
        <v>6631206.7400000002</v>
      </c>
      <c r="M1049" s="31">
        <v>953954.09</v>
      </c>
      <c r="O1049" s="31">
        <v>5677252.6500000004</v>
      </c>
      <c r="Q1049">
        <v>595.1</v>
      </c>
    </row>
    <row r="1050" spans="3:17">
      <c r="C1050">
        <v>5360</v>
      </c>
      <c r="E1050" t="s">
        <v>5711</v>
      </c>
      <c r="H1050" t="s">
        <v>5327</v>
      </c>
      <c r="K1050" s="31">
        <v>244116.02</v>
      </c>
      <c r="M1050" s="31">
        <v>43072.95</v>
      </c>
      <c r="O1050" s="31">
        <v>201043.07</v>
      </c>
      <c r="Q1050">
        <v>466.8</v>
      </c>
    </row>
    <row r="1051" spans="3:17">
      <c r="C1051">
        <v>5360</v>
      </c>
      <c r="E1051" t="s">
        <v>5712</v>
      </c>
      <c r="H1051" t="s">
        <v>5713</v>
      </c>
      <c r="K1051" s="31">
        <v>-128280.81</v>
      </c>
      <c r="M1051" s="31">
        <v>-39795.06</v>
      </c>
      <c r="O1051" s="31">
        <v>-88485.75</v>
      </c>
      <c r="Q1051">
        <v>-222.4</v>
      </c>
    </row>
    <row r="1052" spans="3:17">
      <c r="C1052">
        <v>5360</v>
      </c>
      <c r="E1052" t="s">
        <v>5714</v>
      </c>
      <c r="H1052" t="s">
        <v>5715</v>
      </c>
      <c r="K1052" s="31">
        <v>587598.64</v>
      </c>
      <c r="M1052" s="31">
        <v>23941.05</v>
      </c>
      <c r="O1052" s="31">
        <v>563657.59</v>
      </c>
      <c r="Q1052">
        <v>2354.4</v>
      </c>
    </row>
    <row r="1053" spans="3:17">
      <c r="C1053">
        <v>5360</v>
      </c>
      <c r="E1053" t="s">
        <v>5716</v>
      </c>
      <c r="H1053" t="s">
        <v>5717</v>
      </c>
      <c r="K1053" s="31">
        <v>11357749.67</v>
      </c>
      <c r="M1053" s="31">
        <v>3417132.61</v>
      </c>
      <c r="O1053" s="31">
        <v>7940617.0599999996</v>
      </c>
      <c r="Q1053">
        <v>232.4</v>
      </c>
    </row>
    <row r="1054" spans="3:17">
      <c r="C1054">
        <v>5360</v>
      </c>
      <c r="E1054" t="s">
        <v>5718</v>
      </c>
      <c r="H1054" t="s">
        <v>5719</v>
      </c>
      <c r="K1054" s="31">
        <v>-369445.94</v>
      </c>
      <c r="M1054" s="31">
        <v>-157642.79999999999</v>
      </c>
      <c r="O1054" s="31">
        <v>-211803.14</v>
      </c>
      <c r="Q1054">
        <v>-134.4</v>
      </c>
    </row>
    <row r="1055" spans="3:17">
      <c r="C1055">
        <v>5360</v>
      </c>
      <c r="E1055" t="s">
        <v>5720</v>
      </c>
      <c r="H1055" t="s">
        <v>5721</v>
      </c>
      <c r="K1055" s="31">
        <v>105525.62</v>
      </c>
      <c r="M1055" s="31">
        <v>30532.1</v>
      </c>
      <c r="O1055" s="31">
        <v>74993.52</v>
      </c>
      <c r="Q1055">
        <v>245.6</v>
      </c>
    </row>
    <row r="1056" spans="3:17">
      <c r="C1056">
        <v>5360</v>
      </c>
      <c r="E1056" t="s">
        <v>5722</v>
      </c>
      <c r="H1056" t="s">
        <v>5723</v>
      </c>
      <c r="K1056" s="31">
        <v>237859.69</v>
      </c>
      <c r="M1056" s="31">
        <v>1036307.82</v>
      </c>
      <c r="O1056" s="31">
        <v>-798448.13</v>
      </c>
      <c r="Q1056">
        <v>-77</v>
      </c>
    </row>
    <row r="1057" spans="3:17">
      <c r="C1057">
        <v>5360</v>
      </c>
      <c r="E1057" t="s">
        <v>5724</v>
      </c>
      <c r="H1057" t="s">
        <v>5335</v>
      </c>
      <c r="K1057" s="31">
        <v>3075766.74</v>
      </c>
      <c r="M1057" s="31">
        <v>751840.83</v>
      </c>
      <c r="O1057" s="31">
        <v>2323925.91</v>
      </c>
      <c r="Q1057">
        <v>309.10000000000002</v>
      </c>
    </row>
    <row r="1058" spans="3:17">
      <c r="C1058">
        <v>5360</v>
      </c>
      <c r="E1058" t="s">
        <v>5725</v>
      </c>
      <c r="H1058" t="s">
        <v>5726</v>
      </c>
      <c r="K1058" s="31">
        <v>-3094294.37</v>
      </c>
      <c r="M1058" s="31">
        <v>-756495.05</v>
      </c>
      <c r="O1058" s="31">
        <v>-2337799.3199999998</v>
      </c>
      <c r="Q1058">
        <v>-309</v>
      </c>
    </row>
    <row r="1059" spans="3:17">
      <c r="C1059">
        <v>5360</v>
      </c>
      <c r="E1059" t="s">
        <v>5727</v>
      </c>
      <c r="H1059" t="s">
        <v>5337</v>
      </c>
      <c r="K1059" s="31">
        <v>908173.5</v>
      </c>
      <c r="M1059" s="31">
        <v>218309.39</v>
      </c>
      <c r="O1059" s="31">
        <v>689864.11</v>
      </c>
      <c r="Q1059">
        <v>316</v>
      </c>
    </row>
    <row r="1060" spans="3:17">
      <c r="C1060">
        <v>5360</v>
      </c>
      <c r="E1060" t="s">
        <v>5728</v>
      </c>
      <c r="H1060" t="s">
        <v>5729</v>
      </c>
      <c r="K1060" s="31">
        <v>7876.77</v>
      </c>
      <c r="M1060" s="31">
        <v>28767.69</v>
      </c>
      <c r="O1060" s="31">
        <v>-20890.919999999998</v>
      </c>
      <c r="Q1060">
        <v>-72.599999999999994</v>
      </c>
    </row>
    <row r="1061" spans="3:17">
      <c r="C1061">
        <v>5360</v>
      </c>
      <c r="E1061" t="s">
        <v>5730</v>
      </c>
      <c r="H1061" t="s">
        <v>5731</v>
      </c>
      <c r="K1061" s="31">
        <v>547562.14</v>
      </c>
      <c r="M1061" s="31">
        <v>78476.86</v>
      </c>
      <c r="O1061" s="31">
        <v>469085.28</v>
      </c>
      <c r="Q1061">
        <v>597.70000000000005</v>
      </c>
    </row>
    <row r="1062" spans="3:17">
      <c r="C1062">
        <v>5360</v>
      </c>
      <c r="E1062" t="s">
        <v>5732</v>
      </c>
      <c r="H1062" t="s">
        <v>5733</v>
      </c>
      <c r="K1062" s="31">
        <v>40553.07</v>
      </c>
      <c r="M1062" s="31">
        <v>3893.37</v>
      </c>
      <c r="O1062" s="31">
        <v>36659.699999999997</v>
      </c>
      <c r="Q1062">
        <v>941.6</v>
      </c>
    </row>
    <row r="1063" spans="3:17">
      <c r="C1063">
        <v>5360</v>
      </c>
      <c r="E1063" t="s">
        <v>5734</v>
      </c>
      <c r="H1063" t="s">
        <v>5735</v>
      </c>
      <c r="K1063" s="31">
        <v>-29345.09</v>
      </c>
      <c r="M1063" s="31">
        <v>-6049.85</v>
      </c>
      <c r="O1063" s="31">
        <v>-23295.24</v>
      </c>
      <c r="Q1063">
        <v>-385.1</v>
      </c>
    </row>
    <row r="1064" spans="3:17">
      <c r="C1064">
        <v>5360</v>
      </c>
      <c r="E1064" t="s">
        <v>5736</v>
      </c>
      <c r="H1064" t="s">
        <v>5737</v>
      </c>
      <c r="K1064" s="31">
        <v>46526.18</v>
      </c>
      <c r="M1064" s="31">
        <v>29114.14</v>
      </c>
      <c r="O1064" s="31">
        <v>17412.04</v>
      </c>
      <c r="Q1064">
        <v>59.8</v>
      </c>
    </row>
    <row r="1065" spans="3:17">
      <c r="C1065">
        <v>5360</v>
      </c>
      <c r="E1065" t="s">
        <v>5738</v>
      </c>
      <c r="H1065" t="s">
        <v>5739</v>
      </c>
      <c r="K1065" s="31">
        <v>32038.47</v>
      </c>
      <c r="M1065">
        <v>0</v>
      </c>
      <c r="O1065" s="31">
        <v>32038.47</v>
      </c>
    </row>
    <row r="1066" spans="3:17">
      <c r="C1066">
        <v>5360</v>
      </c>
      <c r="E1066" t="s">
        <v>5740</v>
      </c>
      <c r="H1066" t="s">
        <v>5741</v>
      </c>
      <c r="K1066" s="31">
        <v>134018.56</v>
      </c>
      <c r="M1066" s="31">
        <v>30386.65</v>
      </c>
      <c r="O1066" s="31">
        <v>103631.91</v>
      </c>
      <c r="Q1066">
        <v>341</v>
      </c>
    </row>
    <row r="1067" spans="3:17">
      <c r="C1067">
        <v>5360</v>
      </c>
      <c r="E1067" t="s">
        <v>5742</v>
      </c>
      <c r="H1067" t="s">
        <v>5743</v>
      </c>
      <c r="K1067" s="31">
        <v>164799.94</v>
      </c>
      <c r="M1067" s="31">
        <v>64873.91</v>
      </c>
      <c r="O1067" s="31">
        <v>99926.03</v>
      </c>
      <c r="Q1067">
        <v>154</v>
      </c>
    </row>
    <row r="1068" spans="3:17">
      <c r="C1068">
        <v>5360</v>
      </c>
      <c r="E1068" t="s">
        <v>5744</v>
      </c>
      <c r="H1068" t="s">
        <v>5745</v>
      </c>
      <c r="K1068" s="31">
        <v>-505231.05</v>
      </c>
      <c r="M1068" s="31">
        <v>-138751.88</v>
      </c>
      <c r="O1068" s="31">
        <v>-366479.17</v>
      </c>
      <c r="Q1068">
        <v>-264.10000000000002</v>
      </c>
    </row>
    <row r="1069" spans="3:17">
      <c r="C1069">
        <v>5360</v>
      </c>
      <c r="E1069" t="s">
        <v>5746</v>
      </c>
      <c r="H1069" t="s">
        <v>5747</v>
      </c>
      <c r="K1069">
        <v>-547.5</v>
      </c>
      <c r="M1069">
        <v>0</v>
      </c>
      <c r="O1069">
        <v>-547.5</v>
      </c>
    </row>
    <row r="1070" spans="3:17">
      <c r="C1070">
        <v>5360</v>
      </c>
      <c r="E1070" t="s">
        <v>5748</v>
      </c>
      <c r="H1070" t="s">
        <v>5749</v>
      </c>
      <c r="K1070" s="31">
        <v>4924008.8600000003</v>
      </c>
      <c r="M1070" s="31">
        <v>1216252.75</v>
      </c>
      <c r="O1070" s="31">
        <v>3707756.11</v>
      </c>
      <c r="Q1070">
        <v>304.89999999999998</v>
      </c>
    </row>
    <row r="1071" spans="3:17">
      <c r="C1071">
        <v>5360</v>
      </c>
      <c r="E1071" t="s">
        <v>5750</v>
      </c>
      <c r="H1071" t="s">
        <v>5751</v>
      </c>
      <c r="K1071" s="31">
        <v>-14043.22</v>
      </c>
      <c r="M1071">
        <v>0</v>
      </c>
      <c r="O1071" s="31">
        <v>-14043.22</v>
      </c>
    </row>
    <row r="1072" spans="3:17">
      <c r="C1072">
        <v>5360</v>
      </c>
      <c r="E1072" t="s">
        <v>5752</v>
      </c>
      <c r="H1072" t="s">
        <v>5753</v>
      </c>
      <c r="K1072" s="31">
        <v>44777.09</v>
      </c>
      <c r="M1072" s="31">
        <v>43736.07</v>
      </c>
      <c r="O1072" s="31">
        <v>1041.02</v>
      </c>
      <c r="Q1072">
        <v>2.4</v>
      </c>
    </row>
    <row r="1073" spans="3:17">
      <c r="C1073">
        <v>5360</v>
      </c>
      <c r="E1073" t="s">
        <v>1149</v>
      </c>
      <c r="H1073" t="s">
        <v>5339</v>
      </c>
      <c r="K1073" s="31">
        <v>1248820.8500000001</v>
      </c>
      <c r="M1073" s="31">
        <v>23131.59</v>
      </c>
      <c r="O1073" s="31">
        <v>1225689.26</v>
      </c>
      <c r="Q1073">
        <v>5298.8</v>
      </c>
    </row>
    <row r="1074" spans="3:17">
      <c r="C1074">
        <v>5360</v>
      </c>
      <c r="E1074" t="s">
        <v>5754</v>
      </c>
      <c r="H1074" t="s">
        <v>5755</v>
      </c>
      <c r="K1074" s="31">
        <v>-1180755.67</v>
      </c>
      <c r="M1074" s="31">
        <v>-51053.46</v>
      </c>
      <c r="O1074" s="31">
        <v>-1129702.21</v>
      </c>
      <c r="Q1074">
        <v>-2212.8000000000002</v>
      </c>
    </row>
    <row r="1075" spans="3:17">
      <c r="C1075">
        <v>5360</v>
      </c>
      <c r="E1075" t="s">
        <v>5756</v>
      </c>
      <c r="H1075" t="s">
        <v>5757</v>
      </c>
      <c r="K1075" s="31">
        <v>25710.06</v>
      </c>
      <c r="M1075" s="31">
        <v>-26043.62</v>
      </c>
      <c r="O1075" s="31">
        <v>51753.68</v>
      </c>
      <c r="Q1075">
        <v>198.7</v>
      </c>
    </row>
    <row r="1076" spans="3:17">
      <c r="C1076">
        <v>5360</v>
      </c>
      <c r="E1076" t="s">
        <v>5758</v>
      </c>
      <c r="H1076" t="s">
        <v>5341</v>
      </c>
      <c r="K1076" s="31">
        <v>197842.25</v>
      </c>
      <c r="M1076" s="31">
        <v>92339.98</v>
      </c>
      <c r="O1076" s="31">
        <v>105502.27</v>
      </c>
      <c r="Q1076">
        <v>114.3</v>
      </c>
    </row>
    <row r="1077" spans="3:17">
      <c r="C1077">
        <v>5360</v>
      </c>
      <c r="E1077" t="s">
        <v>5759</v>
      </c>
      <c r="H1077" t="s">
        <v>5343</v>
      </c>
      <c r="K1077" s="31">
        <v>-432913.06</v>
      </c>
      <c r="M1077" s="31">
        <v>-169946.52</v>
      </c>
      <c r="O1077" s="31">
        <v>-262966.53999999998</v>
      </c>
      <c r="Q1077">
        <v>-154.69999999999999</v>
      </c>
    </row>
    <row r="1078" spans="3:17">
      <c r="C1078">
        <v>5360</v>
      </c>
      <c r="E1078" t="s">
        <v>5760</v>
      </c>
      <c r="H1078" t="s">
        <v>5343</v>
      </c>
      <c r="K1078" s="31">
        <v>410919.42</v>
      </c>
      <c r="M1078" s="31">
        <v>160054.75</v>
      </c>
      <c r="O1078" s="31">
        <v>250864.67</v>
      </c>
      <c r="Q1078">
        <v>156.69999999999999</v>
      </c>
    </row>
    <row r="1079" spans="3:17">
      <c r="C1079">
        <v>5360</v>
      </c>
      <c r="E1079" t="s">
        <v>5761</v>
      </c>
      <c r="H1079" t="s">
        <v>5343</v>
      </c>
      <c r="K1079">
        <v>919.88</v>
      </c>
      <c r="M1079">
        <v>746.39</v>
      </c>
      <c r="O1079">
        <v>173.49</v>
      </c>
      <c r="Q1079">
        <v>23.2</v>
      </c>
    </row>
    <row r="1080" spans="3:17">
      <c r="C1080">
        <v>5360</v>
      </c>
      <c r="E1080" t="s">
        <v>5762</v>
      </c>
      <c r="H1080" t="s">
        <v>5343</v>
      </c>
      <c r="K1080" s="31">
        <v>-50929.67</v>
      </c>
      <c r="M1080" s="31">
        <v>-11856.89</v>
      </c>
      <c r="O1080" s="31">
        <v>-39072.78</v>
      </c>
      <c r="Q1080">
        <v>-329.5</v>
      </c>
    </row>
    <row r="1081" spans="3:17">
      <c r="C1081">
        <v>5360</v>
      </c>
      <c r="E1081" t="s">
        <v>6039</v>
      </c>
      <c r="H1081" t="s">
        <v>6040</v>
      </c>
      <c r="K1081" s="31">
        <v>7000</v>
      </c>
      <c r="M1081">
        <v>0</v>
      </c>
      <c r="O1081" s="31">
        <v>7000</v>
      </c>
    </row>
    <row r="1082" spans="3:17">
      <c r="C1082">
        <v>5360</v>
      </c>
      <c r="E1082" t="s">
        <v>5763</v>
      </c>
      <c r="H1082" t="s">
        <v>5764</v>
      </c>
      <c r="K1082" s="31">
        <v>274970.14</v>
      </c>
      <c r="M1082" s="31">
        <v>21192.720000000001</v>
      </c>
      <c r="O1082" s="31">
        <v>253777.42</v>
      </c>
      <c r="Q1082">
        <v>1197.5</v>
      </c>
    </row>
    <row r="1083" spans="3:17">
      <c r="C1083">
        <v>5360</v>
      </c>
      <c r="E1083" t="s">
        <v>5765</v>
      </c>
      <c r="H1083" t="s">
        <v>5766</v>
      </c>
      <c r="K1083" s="31">
        <v>57462.82</v>
      </c>
      <c r="M1083" s="31">
        <v>-4422.1899999999996</v>
      </c>
      <c r="O1083" s="31">
        <v>61885.01</v>
      </c>
      <c r="Q1083">
        <v>1399.4</v>
      </c>
    </row>
    <row r="1084" spans="3:17">
      <c r="C1084">
        <v>5360</v>
      </c>
      <c r="E1084" t="s">
        <v>5767</v>
      </c>
      <c r="H1084" t="s">
        <v>5768</v>
      </c>
      <c r="K1084" s="31">
        <v>-15205.19</v>
      </c>
      <c r="M1084" s="31">
        <v>-3598.63</v>
      </c>
      <c r="O1084" s="31">
        <v>-11606.56</v>
      </c>
      <c r="Q1084">
        <v>-322.5</v>
      </c>
    </row>
    <row r="1085" spans="3:17">
      <c r="C1085">
        <v>5360</v>
      </c>
      <c r="E1085" t="s">
        <v>5769</v>
      </c>
      <c r="H1085" t="s">
        <v>5770</v>
      </c>
      <c r="K1085" s="31">
        <v>366604.53</v>
      </c>
      <c r="M1085" s="31">
        <v>46358.7</v>
      </c>
      <c r="O1085" s="31">
        <v>320245.83</v>
      </c>
      <c r="Q1085">
        <v>690.8</v>
      </c>
    </row>
    <row r="1086" spans="3:17">
      <c r="C1086">
        <v>5360</v>
      </c>
      <c r="E1086" t="s">
        <v>5771</v>
      </c>
      <c r="H1086" t="s">
        <v>5772</v>
      </c>
      <c r="K1086">
        <v>9.27</v>
      </c>
      <c r="M1086">
        <v>0</v>
      </c>
      <c r="O1086">
        <v>9.27</v>
      </c>
    </row>
    <row r="1087" spans="3:17">
      <c r="C1087">
        <v>5360</v>
      </c>
      <c r="E1087" t="s">
        <v>5773</v>
      </c>
      <c r="H1087" t="s">
        <v>5774</v>
      </c>
      <c r="K1087">
        <v>-4.29</v>
      </c>
      <c r="M1087">
        <v>0</v>
      </c>
      <c r="O1087">
        <v>-4.29</v>
      </c>
    </row>
    <row r="1088" spans="3:17">
      <c r="C1088">
        <v>5360</v>
      </c>
      <c r="E1088" t="s">
        <v>5775</v>
      </c>
      <c r="H1088" t="s">
        <v>5776</v>
      </c>
      <c r="K1088" s="31">
        <v>1028025.24</v>
      </c>
      <c r="M1088" s="31">
        <v>293609.71000000002</v>
      </c>
      <c r="O1088" s="31">
        <v>734415.53</v>
      </c>
      <c r="Q1088">
        <v>250.1</v>
      </c>
    </row>
    <row r="1089" spans="3:17">
      <c r="C1089">
        <v>5360</v>
      </c>
      <c r="E1089" t="s">
        <v>5777</v>
      </c>
      <c r="H1089" t="s">
        <v>5778</v>
      </c>
      <c r="K1089" s="31">
        <v>57032.06</v>
      </c>
      <c r="M1089" s="31">
        <v>17743.78</v>
      </c>
      <c r="O1089" s="31">
        <v>39288.28</v>
      </c>
      <c r="Q1089">
        <v>221.4</v>
      </c>
    </row>
    <row r="1090" spans="3:17">
      <c r="C1090">
        <v>5360</v>
      </c>
      <c r="E1090" t="s">
        <v>5779</v>
      </c>
      <c r="H1090" t="s">
        <v>5780</v>
      </c>
      <c r="K1090">
        <v>-198.41</v>
      </c>
      <c r="M1090">
        <v>-68.17</v>
      </c>
      <c r="O1090">
        <v>-130.24</v>
      </c>
      <c r="Q1090">
        <v>-191.1</v>
      </c>
    </row>
    <row r="1091" spans="3:17">
      <c r="C1091">
        <v>5360</v>
      </c>
      <c r="E1091" t="s">
        <v>5781</v>
      </c>
      <c r="H1091" t="s">
        <v>5782</v>
      </c>
      <c r="K1091">
        <v>727.24</v>
      </c>
      <c r="M1091">
        <v>372.98</v>
      </c>
      <c r="O1091">
        <v>354.26</v>
      </c>
      <c r="Q1091">
        <v>95</v>
      </c>
    </row>
    <row r="1092" spans="3:17">
      <c r="C1092">
        <v>5360</v>
      </c>
      <c r="E1092" t="s">
        <v>5787</v>
      </c>
      <c r="H1092" t="s">
        <v>5788</v>
      </c>
      <c r="K1092" s="31">
        <v>60516.13</v>
      </c>
      <c r="M1092" s="31">
        <v>10785.73</v>
      </c>
      <c r="O1092" s="31">
        <v>49730.400000000001</v>
      </c>
      <c r="Q1092">
        <v>461.1</v>
      </c>
    </row>
    <row r="1093" spans="3:17">
      <c r="C1093">
        <v>5360</v>
      </c>
      <c r="E1093" t="s">
        <v>6090</v>
      </c>
      <c r="H1093" t="s">
        <v>6091</v>
      </c>
      <c r="K1093">
        <v>0</v>
      </c>
      <c r="M1093" s="31">
        <v>33963.33</v>
      </c>
      <c r="O1093" s="31">
        <v>-33963.33</v>
      </c>
      <c r="Q1093">
        <v>-100</v>
      </c>
    </row>
    <row r="1094" spans="3:17">
      <c r="C1094">
        <v>5360</v>
      </c>
      <c r="E1094" t="s">
        <v>6014</v>
      </c>
      <c r="H1094" t="s">
        <v>6015</v>
      </c>
      <c r="K1094">
        <v>-236.8</v>
      </c>
      <c r="M1094" s="31">
        <v>-19380</v>
      </c>
      <c r="O1094" s="31">
        <v>19143.2</v>
      </c>
      <c r="Q1094">
        <v>98.8</v>
      </c>
    </row>
    <row r="1095" spans="3:17">
      <c r="C1095">
        <v>5360</v>
      </c>
      <c r="E1095" t="s">
        <v>5789</v>
      </c>
      <c r="H1095" t="s">
        <v>5790</v>
      </c>
      <c r="K1095" s="31">
        <v>111606.87</v>
      </c>
      <c r="M1095" s="31">
        <v>8321.0499999999993</v>
      </c>
      <c r="O1095" s="31">
        <v>103285.82</v>
      </c>
      <c r="Q1095">
        <v>1241.3</v>
      </c>
    </row>
    <row r="1096" spans="3:17">
      <c r="C1096">
        <v>5360</v>
      </c>
      <c r="E1096" t="s">
        <v>5791</v>
      </c>
      <c r="H1096" t="s">
        <v>5792</v>
      </c>
      <c r="K1096" s="31">
        <v>-7051.35</v>
      </c>
      <c r="M1096">
        <v>0</v>
      </c>
      <c r="O1096" s="31">
        <v>-7051.35</v>
      </c>
    </row>
    <row r="1097" spans="3:17">
      <c r="C1097">
        <v>5360</v>
      </c>
      <c r="E1097" t="s">
        <v>5793</v>
      </c>
      <c r="H1097" t="s">
        <v>5794</v>
      </c>
      <c r="K1097" s="31">
        <v>-1104.8</v>
      </c>
      <c r="M1097">
        <v>0</v>
      </c>
      <c r="O1097" s="31">
        <v>-1104.8</v>
      </c>
    </row>
    <row r="1098" spans="3:17">
      <c r="C1098">
        <v>5360</v>
      </c>
      <c r="E1098" t="s">
        <v>5795</v>
      </c>
      <c r="H1098" t="s">
        <v>5796</v>
      </c>
      <c r="K1098" s="31">
        <v>795136.2</v>
      </c>
      <c r="M1098" s="31">
        <v>181529.13</v>
      </c>
      <c r="O1098" s="31">
        <v>613607.06999999995</v>
      </c>
      <c r="Q1098">
        <v>338</v>
      </c>
    </row>
    <row r="1099" spans="3:17">
      <c r="C1099">
        <v>5360</v>
      </c>
      <c r="E1099" t="s">
        <v>5797</v>
      </c>
      <c r="H1099" t="s">
        <v>5345</v>
      </c>
      <c r="K1099" s="31">
        <v>88711.11</v>
      </c>
      <c r="M1099" s="31">
        <v>32053.56</v>
      </c>
      <c r="O1099" s="31">
        <v>56657.55</v>
      </c>
      <c r="Q1099">
        <v>176.8</v>
      </c>
    </row>
    <row r="1100" spans="3:17">
      <c r="C1100">
        <v>5360</v>
      </c>
      <c r="E1100" t="s">
        <v>5798</v>
      </c>
      <c r="H1100" t="s">
        <v>5799</v>
      </c>
      <c r="K1100" s="31">
        <v>-2534.35</v>
      </c>
      <c r="M1100" s="31">
        <v>-7680.9</v>
      </c>
      <c r="O1100" s="31">
        <v>5146.55</v>
      </c>
      <c r="Q1100">
        <v>67</v>
      </c>
    </row>
    <row r="1101" spans="3:17">
      <c r="C1101">
        <v>5360</v>
      </c>
      <c r="E1101" t="s">
        <v>5800</v>
      </c>
      <c r="H1101" t="s">
        <v>5801</v>
      </c>
      <c r="K1101" s="31">
        <v>-68766.740000000005</v>
      </c>
      <c r="M1101">
        <v>0</v>
      </c>
      <c r="O1101" s="31">
        <v>-68766.740000000005</v>
      </c>
    </row>
    <row r="1102" spans="3:17">
      <c r="C1102">
        <v>5360</v>
      </c>
      <c r="E1102" t="s">
        <v>5802</v>
      </c>
      <c r="H1102" t="s">
        <v>5803</v>
      </c>
      <c r="K1102" s="31">
        <v>69322.13</v>
      </c>
      <c r="M1102" s="31">
        <v>3875.53</v>
      </c>
      <c r="O1102" s="31">
        <v>65446.6</v>
      </c>
      <c r="Q1102">
        <v>1688.7</v>
      </c>
    </row>
    <row r="1103" spans="3:17">
      <c r="C1103">
        <v>5360</v>
      </c>
      <c r="E1103" t="s">
        <v>5804</v>
      </c>
      <c r="H1103" t="s">
        <v>5805</v>
      </c>
      <c r="K1103" s="31">
        <v>-1262264.6599999999</v>
      </c>
      <c r="M1103" s="31">
        <v>-104568.01</v>
      </c>
      <c r="O1103" s="31">
        <v>-1157696.6499999999</v>
      </c>
      <c r="Q1103">
        <v>-1107.0999999999999</v>
      </c>
    </row>
    <row r="1104" spans="3:17">
      <c r="C1104">
        <v>5360</v>
      </c>
      <c r="E1104" t="s">
        <v>5808</v>
      </c>
      <c r="H1104" t="s">
        <v>5809</v>
      </c>
      <c r="K1104" s="31">
        <v>-22119.13</v>
      </c>
      <c r="M1104">
        <v>0</v>
      </c>
      <c r="O1104" s="31">
        <v>-22119.13</v>
      </c>
    </row>
    <row r="1105" spans="3:17">
      <c r="C1105">
        <v>5360</v>
      </c>
      <c r="E1105" t="s">
        <v>5810</v>
      </c>
      <c r="H1105" t="s">
        <v>5811</v>
      </c>
      <c r="K1105" s="31">
        <v>33079.53</v>
      </c>
      <c r="M1105">
        <v>127.19</v>
      </c>
      <c r="O1105" s="31">
        <v>32952.339999999997</v>
      </c>
      <c r="Q1105">
        <v>25908</v>
      </c>
    </row>
    <row r="1106" spans="3:17">
      <c r="C1106">
        <v>5360</v>
      </c>
      <c r="E1106" t="s">
        <v>5812</v>
      </c>
      <c r="H1106" t="s">
        <v>5813</v>
      </c>
      <c r="K1106" s="31">
        <v>-4069</v>
      </c>
      <c r="M1106" s="31">
        <v>-127766.67</v>
      </c>
      <c r="O1106" s="31">
        <v>123697.67</v>
      </c>
      <c r="Q1106">
        <v>96.8</v>
      </c>
    </row>
    <row r="1107" spans="3:17">
      <c r="C1107">
        <v>5360</v>
      </c>
      <c r="E1107" t="s">
        <v>5814</v>
      </c>
      <c r="H1107" t="s">
        <v>5815</v>
      </c>
      <c r="K1107" s="31">
        <v>12059.66</v>
      </c>
      <c r="M1107" s="31">
        <v>127994.34</v>
      </c>
      <c r="O1107" s="31">
        <v>-115934.68</v>
      </c>
      <c r="Q1107">
        <v>-90.6</v>
      </c>
    </row>
    <row r="1108" spans="3:17">
      <c r="C1108">
        <v>5360</v>
      </c>
      <c r="E1108" t="s">
        <v>5816</v>
      </c>
      <c r="H1108" t="s">
        <v>5817</v>
      </c>
      <c r="K1108" s="31">
        <v>-7990.66</v>
      </c>
      <c r="M1108">
        <v>-227.67</v>
      </c>
      <c r="O1108" s="31">
        <v>-7762.99</v>
      </c>
      <c r="Q1108">
        <v>-3409.8</v>
      </c>
    </row>
    <row r="1109" spans="3:17">
      <c r="C1109">
        <v>5360</v>
      </c>
      <c r="E1109" t="s">
        <v>5818</v>
      </c>
      <c r="H1109" t="s">
        <v>5819</v>
      </c>
      <c r="K1109" s="31">
        <v>-502507.47</v>
      </c>
      <c r="M1109">
        <v>0</v>
      </c>
      <c r="O1109" s="31">
        <v>-502507.47</v>
      </c>
    </row>
    <row r="1110" spans="3:17">
      <c r="C1110">
        <v>5360</v>
      </c>
      <c r="E1110" t="s">
        <v>5820</v>
      </c>
      <c r="H1110" t="s">
        <v>5821</v>
      </c>
      <c r="K1110" s="31">
        <v>-22628.29</v>
      </c>
      <c r="M1110">
        <v>0</v>
      </c>
      <c r="O1110" s="31">
        <v>-22628.29</v>
      </c>
    </row>
    <row r="1111" spans="3:17">
      <c r="C1111">
        <v>5360</v>
      </c>
      <c r="E1111" t="s">
        <v>6092</v>
      </c>
      <c r="H1111" t="s">
        <v>6093</v>
      </c>
      <c r="K1111">
        <v>551.20000000000005</v>
      </c>
      <c r="M1111">
        <v>0</v>
      </c>
      <c r="O1111">
        <v>551.20000000000005</v>
      </c>
    </row>
    <row r="1112" spans="3:17">
      <c r="C1112">
        <v>5360</v>
      </c>
      <c r="E1112" t="s">
        <v>5822</v>
      </c>
      <c r="H1112" t="s">
        <v>5823</v>
      </c>
      <c r="K1112" s="31">
        <v>120412.31</v>
      </c>
      <c r="M1112" s="31">
        <v>6275.75</v>
      </c>
      <c r="O1112" s="31">
        <v>114136.56</v>
      </c>
      <c r="Q1112">
        <v>1818.7</v>
      </c>
    </row>
    <row r="1113" spans="3:17">
      <c r="C1113">
        <v>5360</v>
      </c>
      <c r="E1113" t="s">
        <v>5824</v>
      </c>
      <c r="H1113" t="s">
        <v>5825</v>
      </c>
      <c r="K1113" s="31">
        <v>-91933.07</v>
      </c>
      <c r="M1113" s="31">
        <v>-7156.88</v>
      </c>
      <c r="O1113" s="31">
        <v>-84776.19</v>
      </c>
      <c r="Q1113">
        <v>-1184.5</v>
      </c>
    </row>
    <row r="1114" spans="3:17">
      <c r="C1114">
        <v>5360</v>
      </c>
      <c r="E1114" t="s">
        <v>5826</v>
      </c>
      <c r="H1114" t="s">
        <v>5827</v>
      </c>
      <c r="K1114" s="31">
        <v>195421.68</v>
      </c>
      <c r="M1114" s="31">
        <v>21852.58</v>
      </c>
      <c r="O1114" s="31">
        <v>173569.1</v>
      </c>
      <c r="Q1114">
        <v>794.3</v>
      </c>
    </row>
    <row r="1115" spans="3:17">
      <c r="C1115">
        <v>5360</v>
      </c>
      <c r="E1115" t="s">
        <v>5828</v>
      </c>
      <c r="H1115" t="s">
        <v>5829</v>
      </c>
      <c r="K1115" s="31">
        <v>2888290.49</v>
      </c>
      <c r="M1115" s="31">
        <v>3324199.69</v>
      </c>
      <c r="O1115" s="31">
        <v>-435909.2</v>
      </c>
      <c r="Q1115">
        <v>-13.1</v>
      </c>
    </row>
    <row r="1116" spans="3:17">
      <c r="C1116">
        <v>5360</v>
      </c>
      <c r="E1116" t="s">
        <v>6016</v>
      </c>
      <c r="H1116" t="s">
        <v>6017</v>
      </c>
      <c r="K1116">
        <v>58.61</v>
      </c>
      <c r="M1116">
        <v>0</v>
      </c>
      <c r="O1116">
        <v>58.61</v>
      </c>
    </row>
    <row r="1117" spans="3:17">
      <c r="C1117">
        <v>5360</v>
      </c>
      <c r="E1117" t="s">
        <v>6041</v>
      </c>
      <c r="H1117" t="s">
        <v>6042</v>
      </c>
      <c r="K1117">
        <v>21.1</v>
      </c>
      <c r="M1117">
        <v>0</v>
      </c>
      <c r="O1117">
        <v>21.1</v>
      </c>
    </row>
    <row r="1118" spans="3:17">
      <c r="C1118">
        <v>5360</v>
      </c>
      <c r="E1118" t="s">
        <v>5832</v>
      </c>
      <c r="H1118" t="s">
        <v>5347</v>
      </c>
      <c r="K1118">
        <v>134.69999999999999</v>
      </c>
      <c r="M1118">
        <v>0</v>
      </c>
      <c r="O1118">
        <v>134.69999999999999</v>
      </c>
    </row>
    <row r="1119" spans="3:17">
      <c r="C1119">
        <v>5360</v>
      </c>
      <c r="E1119" t="s">
        <v>5833</v>
      </c>
      <c r="H1119" t="s">
        <v>5834</v>
      </c>
      <c r="K1119">
        <v>-824.07</v>
      </c>
      <c r="M1119">
        <v>0</v>
      </c>
      <c r="O1119">
        <v>-824.07</v>
      </c>
    </row>
    <row r="1120" spans="3:17">
      <c r="C1120">
        <v>5360</v>
      </c>
      <c r="E1120" t="s">
        <v>5835</v>
      </c>
      <c r="H1120" t="s">
        <v>5836</v>
      </c>
      <c r="K1120">
        <v>57.89</v>
      </c>
      <c r="M1120">
        <v>-9.24</v>
      </c>
      <c r="O1120">
        <v>67.13</v>
      </c>
      <c r="Q1120">
        <v>726.5</v>
      </c>
    </row>
    <row r="1121" spans="3:17">
      <c r="C1121">
        <v>5360</v>
      </c>
      <c r="E1121" t="s">
        <v>5837</v>
      </c>
      <c r="H1121" t="s">
        <v>5838</v>
      </c>
      <c r="K1121" s="31">
        <v>-2451377.17</v>
      </c>
      <c r="M1121" s="31">
        <v>-643819.59</v>
      </c>
      <c r="O1121" s="31">
        <v>-1807557.58</v>
      </c>
      <c r="Q1121">
        <v>-280.8</v>
      </c>
    </row>
    <row r="1122" spans="3:17">
      <c r="C1122">
        <v>5360</v>
      </c>
      <c r="E1122" t="s">
        <v>6094</v>
      </c>
      <c r="H1122" t="s">
        <v>6095</v>
      </c>
      <c r="K1122">
        <v>0</v>
      </c>
      <c r="M1122">
        <v>-4.7699999999999996</v>
      </c>
      <c r="O1122">
        <v>4.7699999999999996</v>
      </c>
      <c r="Q1122">
        <v>100</v>
      </c>
    </row>
    <row r="1123" spans="3:17">
      <c r="C1123">
        <v>5360</v>
      </c>
      <c r="E1123" t="s">
        <v>1786</v>
      </c>
      <c r="H1123" t="s">
        <v>5351</v>
      </c>
      <c r="K1123" s="31">
        <v>257102.52</v>
      </c>
      <c r="M1123" s="31">
        <v>95458.75</v>
      </c>
      <c r="O1123" s="31">
        <v>161643.76999999999</v>
      </c>
      <c r="Q1123">
        <v>169.3</v>
      </c>
    </row>
    <row r="1124" spans="3:17">
      <c r="C1124">
        <v>5360</v>
      </c>
      <c r="E1124" t="s">
        <v>5839</v>
      </c>
      <c r="H1124" t="s">
        <v>5840</v>
      </c>
      <c r="K1124" s="31">
        <v>-71667.179999999993</v>
      </c>
      <c r="M1124" s="31">
        <v>-23327.360000000001</v>
      </c>
      <c r="O1124" s="31">
        <v>-48339.82</v>
      </c>
      <c r="Q1124">
        <v>-207.2</v>
      </c>
    </row>
    <row r="1125" spans="3:17">
      <c r="C1125">
        <v>5360</v>
      </c>
      <c r="E1125" t="s">
        <v>5841</v>
      </c>
      <c r="H1125" t="s">
        <v>5842</v>
      </c>
      <c r="K1125" s="31">
        <v>-110329.06</v>
      </c>
      <c r="M1125" s="31">
        <v>-27851.62</v>
      </c>
      <c r="O1125" s="31">
        <v>-82477.440000000002</v>
      </c>
      <c r="Q1125">
        <v>-296.10000000000002</v>
      </c>
    </row>
    <row r="1126" spans="3:17">
      <c r="C1126">
        <v>5360</v>
      </c>
      <c r="E1126" t="s">
        <v>5843</v>
      </c>
      <c r="H1126" t="s">
        <v>5844</v>
      </c>
      <c r="K1126" s="31">
        <v>92477.78</v>
      </c>
      <c r="M1126" s="31">
        <v>34846.519999999997</v>
      </c>
      <c r="O1126" s="31">
        <v>57631.26</v>
      </c>
      <c r="Q1126">
        <v>165.4</v>
      </c>
    </row>
    <row r="1127" spans="3:17">
      <c r="C1127">
        <v>5360</v>
      </c>
      <c r="E1127" t="s">
        <v>6096</v>
      </c>
      <c r="H1127" t="s">
        <v>6097</v>
      </c>
      <c r="K1127" s="31">
        <v>26864.19</v>
      </c>
      <c r="M1127">
        <v>0</v>
      </c>
      <c r="O1127" s="31">
        <v>26864.19</v>
      </c>
    </row>
    <row r="1128" spans="3:17">
      <c r="C1128">
        <v>5360</v>
      </c>
      <c r="E1128" t="s">
        <v>6098</v>
      </c>
      <c r="H1128" t="s">
        <v>6099</v>
      </c>
      <c r="K1128" s="31">
        <v>-26864.19</v>
      </c>
      <c r="M1128">
        <v>0</v>
      </c>
      <c r="O1128" s="31">
        <v>-26864.19</v>
      </c>
    </row>
    <row r="1129" spans="3:17">
      <c r="C1129">
        <v>5360</v>
      </c>
      <c r="E1129" t="s">
        <v>6100</v>
      </c>
      <c r="H1129" t="s">
        <v>6101</v>
      </c>
      <c r="K1129">
        <v>0</v>
      </c>
      <c r="M1129">
        <v>1.27</v>
      </c>
      <c r="O1129">
        <v>-1.27</v>
      </c>
      <c r="Q1129">
        <v>-100</v>
      </c>
    </row>
    <row r="1130" spans="3:17">
      <c r="C1130">
        <v>5360</v>
      </c>
      <c r="E1130" t="s">
        <v>6102</v>
      </c>
      <c r="H1130" t="s">
        <v>6103</v>
      </c>
      <c r="K1130">
        <v>0</v>
      </c>
      <c r="M1130" s="31">
        <v>-11381.13</v>
      </c>
      <c r="O1130" s="31">
        <v>11381.13</v>
      </c>
      <c r="Q1130">
        <v>100</v>
      </c>
    </row>
    <row r="1131" spans="3:17">
      <c r="C1131">
        <v>5360</v>
      </c>
      <c r="E1131" t="s">
        <v>6104</v>
      </c>
      <c r="H1131" t="s">
        <v>6105</v>
      </c>
      <c r="K1131">
        <v>0</v>
      </c>
      <c r="M1131">
        <v>-56.95</v>
      </c>
      <c r="O1131">
        <v>56.95</v>
      </c>
      <c r="Q1131">
        <v>100</v>
      </c>
    </row>
    <row r="1132" spans="3:17">
      <c r="C1132">
        <v>5360</v>
      </c>
      <c r="E1132" t="s">
        <v>6106</v>
      </c>
      <c r="H1132" t="s">
        <v>6107</v>
      </c>
      <c r="K1132">
        <v>0</v>
      </c>
      <c r="M1132" s="31">
        <v>17010.240000000002</v>
      </c>
      <c r="O1132" s="31">
        <v>-17010.240000000002</v>
      </c>
      <c r="Q1132">
        <v>-100</v>
      </c>
    </row>
    <row r="1133" spans="3:17">
      <c r="C1133">
        <v>5360</v>
      </c>
      <c r="E1133" t="s">
        <v>6108</v>
      </c>
      <c r="H1133" t="s">
        <v>6109</v>
      </c>
      <c r="K1133">
        <v>0</v>
      </c>
      <c r="M1133">
        <v>-296.87</v>
      </c>
      <c r="O1133">
        <v>296.87</v>
      </c>
      <c r="Q1133">
        <v>100</v>
      </c>
    </row>
    <row r="1134" spans="3:17">
      <c r="C1134">
        <v>5360</v>
      </c>
      <c r="E1134" t="s">
        <v>6110</v>
      </c>
      <c r="H1134" t="s">
        <v>6111</v>
      </c>
      <c r="K1134">
        <v>0</v>
      </c>
      <c r="M1134">
        <v>-38.869999999999997</v>
      </c>
      <c r="O1134">
        <v>38.869999999999997</v>
      </c>
      <c r="Q1134">
        <v>100</v>
      </c>
    </row>
    <row r="1135" spans="3:17">
      <c r="C1135">
        <v>5360</v>
      </c>
      <c r="E1135" t="s">
        <v>6112</v>
      </c>
      <c r="H1135" t="s">
        <v>6113</v>
      </c>
      <c r="K1135">
        <v>0</v>
      </c>
      <c r="M1135">
        <v>418.65</v>
      </c>
      <c r="O1135">
        <v>-418.65</v>
      </c>
      <c r="Q1135">
        <v>-100</v>
      </c>
    </row>
    <row r="1136" spans="3:17">
      <c r="C1136">
        <v>5360</v>
      </c>
      <c r="E1136" t="s">
        <v>5847</v>
      </c>
      <c r="H1136" t="s">
        <v>5355</v>
      </c>
      <c r="K1136" s="31">
        <v>9232891.1400000006</v>
      </c>
      <c r="M1136" s="31">
        <v>8726662.3800000008</v>
      </c>
      <c r="O1136" s="31">
        <v>506228.76</v>
      </c>
      <c r="Q1136">
        <v>5.8</v>
      </c>
    </row>
    <row r="1137" spans="3:17">
      <c r="C1137">
        <v>5360</v>
      </c>
      <c r="E1137" t="s">
        <v>5848</v>
      </c>
      <c r="H1137" t="s">
        <v>5849</v>
      </c>
      <c r="K1137" s="31">
        <v>9627.66</v>
      </c>
      <c r="M1137" s="31">
        <v>-6341.46</v>
      </c>
      <c r="O1137" s="31">
        <v>15969.12</v>
      </c>
      <c r="Q1137">
        <v>251.8</v>
      </c>
    </row>
    <row r="1138" spans="3:17">
      <c r="C1138">
        <v>5360</v>
      </c>
      <c r="E1138" t="s">
        <v>5850</v>
      </c>
      <c r="H1138" t="s">
        <v>5851</v>
      </c>
      <c r="K1138" s="31">
        <v>1499272.23</v>
      </c>
      <c r="M1138" s="31">
        <v>356366.54</v>
      </c>
      <c r="O1138" s="31">
        <v>1142905.69</v>
      </c>
      <c r="Q1138">
        <v>320.7</v>
      </c>
    </row>
    <row r="1139" spans="3:17">
      <c r="C1139">
        <v>5360</v>
      </c>
      <c r="E1139" t="s">
        <v>5852</v>
      </c>
      <c r="H1139" t="s">
        <v>5853</v>
      </c>
      <c r="K1139" s="31">
        <v>-1442743.86</v>
      </c>
      <c r="M1139" s="31">
        <v>-312951.67</v>
      </c>
      <c r="O1139" s="31">
        <v>-1129792.19</v>
      </c>
      <c r="Q1139">
        <v>-361</v>
      </c>
    </row>
    <row r="1140" spans="3:17">
      <c r="C1140">
        <v>5360</v>
      </c>
      <c r="E1140" t="s">
        <v>5854</v>
      </c>
      <c r="H1140" t="s">
        <v>5855</v>
      </c>
      <c r="K1140" s="31">
        <v>-3065.41</v>
      </c>
      <c r="M1140">
        <v>-832</v>
      </c>
      <c r="O1140" s="31">
        <v>-2233.41</v>
      </c>
      <c r="Q1140">
        <v>-268.39999999999998</v>
      </c>
    </row>
    <row r="1141" spans="3:17">
      <c r="C1141">
        <v>5360</v>
      </c>
      <c r="E1141" t="s">
        <v>5856</v>
      </c>
      <c r="H1141" t="s">
        <v>5857</v>
      </c>
      <c r="K1141" s="31">
        <v>306174.15999999997</v>
      </c>
      <c r="M1141" s="31">
        <v>11863.46</v>
      </c>
      <c r="O1141" s="31">
        <v>294310.7</v>
      </c>
      <c r="Q1141">
        <v>2480.8000000000002</v>
      </c>
    </row>
    <row r="1142" spans="3:17">
      <c r="C1142">
        <v>5360</v>
      </c>
      <c r="E1142" t="s">
        <v>5858</v>
      </c>
      <c r="H1142" t="s">
        <v>5357</v>
      </c>
      <c r="K1142" s="31">
        <v>120929.26</v>
      </c>
      <c r="M1142" s="31">
        <v>-102200.97</v>
      </c>
      <c r="O1142" s="31">
        <v>223130.23</v>
      </c>
      <c r="Q1142">
        <v>218.3</v>
      </c>
    </row>
    <row r="1143" spans="3:17">
      <c r="C1143">
        <v>5360</v>
      </c>
      <c r="E1143" t="s">
        <v>5859</v>
      </c>
      <c r="H1143" t="s">
        <v>5860</v>
      </c>
      <c r="K1143" s="31">
        <v>-215798.42</v>
      </c>
      <c r="M1143" s="31">
        <v>99830.06</v>
      </c>
      <c r="O1143" s="31">
        <v>-315628.48</v>
      </c>
      <c r="Q1143">
        <v>-316.2</v>
      </c>
    </row>
    <row r="1144" spans="3:17">
      <c r="C1144">
        <v>5360</v>
      </c>
      <c r="E1144" t="s">
        <v>5861</v>
      </c>
      <c r="H1144" t="s">
        <v>5862</v>
      </c>
      <c r="K1144" s="31">
        <v>94869.16</v>
      </c>
      <c r="M1144" s="31">
        <v>2370.91</v>
      </c>
      <c r="O1144" s="31">
        <v>92498.25</v>
      </c>
      <c r="Q1144">
        <v>3901.4</v>
      </c>
    </row>
    <row r="1145" spans="3:17">
      <c r="C1145">
        <v>5360</v>
      </c>
      <c r="E1145" t="s">
        <v>5863</v>
      </c>
      <c r="H1145" t="s">
        <v>5359</v>
      </c>
      <c r="K1145" s="31">
        <v>1590717.78</v>
      </c>
      <c r="M1145" s="31">
        <v>6784.64</v>
      </c>
      <c r="O1145" s="31">
        <v>1583933.14</v>
      </c>
      <c r="Q1145">
        <v>23345.9</v>
      </c>
    </row>
    <row r="1146" spans="3:17">
      <c r="C1146">
        <v>5360</v>
      </c>
      <c r="E1146" t="s">
        <v>5864</v>
      </c>
      <c r="H1146" t="s">
        <v>5865</v>
      </c>
      <c r="K1146" s="31">
        <v>2191997.38</v>
      </c>
      <c r="M1146" s="31">
        <v>662765.19999999995</v>
      </c>
      <c r="O1146" s="31">
        <v>1529232.18</v>
      </c>
      <c r="Q1146">
        <v>230.7</v>
      </c>
    </row>
    <row r="1147" spans="3:17">
      <c r="C1147">
        <v>5360</v>
      </c>
      <c r="E1147" t="s">
        <v>5866</v>
      </c>
      <c r="H1147" t="s">
        <v>5867</v>
      </c>
      <c r="K1147" s="31">
        <v>-726513.42</v>
      </c>
      <c r="M1147" s="31">
        <v>-35881.5</v>
      </c>
      <c r="O1147" s="31">
        <v>-690631.92</v>
      </c>
      <c r="Q1147">
        <v>-1924.8</v>
      </c>
    </row>
    <row r="1148" spans="3:17">
      <c r="C1148">
        <v>5360</v>
      </c>
      <c r="E1148" t="s">
        <v>5868</v>
      </c>
      <c r="H1148" t="s">
        <v>5869</v>
      </c>
      <c r="K1148" s="31">
        <v>441964.58</v>
      </c>
      <c r="M1148" s="31">
        <v>49664.34</v>
      </c>
      <c r="O1148" s="31">
        <v>392300.24</v>
      </c>
      <c r="Q1148">
        <v>789.9</v>
      </c>
    </row>
    <row r="1149" spans="3:17">
      <c r="C1149">
        <v>5360</v>
      </c>
      <c r="E1149" t="s">
        <v>5870</v>
      </c>
      <c r="H1149" t="s">
        <v>5871</v>
      </c>
      <c r="K1149" s="31">
        <v>2765047.08</v>
      </c>
      <c r="M1149" s="31">
        <v>289167.75</v>
      </c>
      <c r="O1149" s="31">
        <v>2475879.33</v>
      </c>
      <c r="Q1149">
        <v>856.2</v>
      </c>
    </row>
    <row r="1150" spans="3:17">
      <c r="C1150">
        <v>5360</v>
      </c>
      <c r="E1150" t="s">
        <v>5872</v>
      </c>
      <c r="H1150" t="s">
        <v>5873</v>
      </c>
      <c r="K1150" s="31">
        <v>2180.85</v>
      </c>
      <c r="M1150">
        <v>0</v>
      </c>
      <c r="O1150" s="31">
        <v>2180.85</v>
      </c>
    </row>
    <row r="1151" spans="3:17">
      <c r="C1151">
        <v>5360</v>
      </c>
      <c r="E1151" t="s">
        <v>5874</v>
      </c>
      <c r="H1151" t="s">
        <v>5875</v>
      </c>
      <c r="K1151" s="31">
        <v>273921.95</v>
      </c>
      <c r="M1151" s="31">
        <v>38721.65</v>
      </c>
      <c r="O1151" s="31">
        <v>235200.3</v>
      </c>
      <c r="Q1151">
        <v>607.4</v>
      </c>
    </row>
    <row r="1152" spans="3:17">
      <c r="C1152">
        <v>5360</v>
      </c>
      <c r="E1152" t="s">
        <v>5876</v>
      </c>
      <c r="H1152" t="s">
        <v>5877</v>
      </c>
      <c r="K1152" s="31">
        <v>-135786.32</v>
      </c>
      <c r="M1152" s="31">
        <v>-20663.52</v>
      </c>
      <c r="O1152" s="31">
        <v>-115122.8</v>
      </c>
      <c r="Q1152">
        <v>-557.1</v>
      </c>
    </row>
    <row r="1153" spans="3:17">
      <c r="C1153">
        <v>5360</v>
      </c>
      <c r="E1153" t="s">
        <v>5878</v>
      </c>
      <c r="H1153" t="s">
        <v>5879</v>
      </c>
      <c r="K1153" s="31">
        <v>204523.65</v>
      </c>
      <c r="M1153" s="31">
        <v>135207.03</v>
      </c>
      <c r="O1153" s="31">
        <v>69316.62</v>
      </c>
      <c r="Q1153">
        <v>51.3</v>
      </c>
    </row>
    <row r="1154" spans="3:17">
      <c r="C1154">
        <v>5360</v>
      </c>
      <c r="E1154" t="s">
        <v>5880</v>
      </c>
      <c r="H1154" t="s">
        <v>5881</v>
      </c>
      <c r="K1154">
        <v>934.16</v>
      </c>
      <c r="M1154">
        <v>-274.17</v>
      </c>
      <c r="O1154" s="31">
        <v>1208.33</v>
      </c>
      <c r="Q1154">
        <v>440.7</v>
      </c>
    </row>
    <row r="1155" spans="3:17">
      <c r="C1155">
        <v>5360</v>
      </c>
      <c r="E1155" t="s">
        <v>5882</v>
      </c>
      <c r="H1155" t="s">
        <v>5883</v>
      </c>
      <c r="K1155">
        <v>-400.22</v>
      </c>
      <c r="M1155">
        <v>-103.64</v>
      </c>
      <c r="O1155">
        <v>-296.58</v>
      </c>
      <c r="Q1155">
        <v>-286.2</v>
      </c>
    </row>
    <row r="1156" spans="3:17">
      <c r="C1156">
        <v>5360</v>
      </c>
      <c r="E1156" t="s">
        <v>5884</v>
      </c>
      <c r="H1156" t="s">
        <v>5885</v>
      </c>
      <c r="K1156" s="31">
        <v>594869.32999999996</v>
      </c>
      <c r="M1156" s="31">
        <v>133612.98000000001</v>
      </c>
      <c r="O1156" s="31">
        <v>461256.35</v>
      </c>
      <c r="Q1156">
        <v>345.2</v>
      </c>
    </row>
    <row r="1157" spans="3:17">
      <c r="C1157">
        <v>5360</v>
      </c>
      <c r="E1157" t="s">
        <v>5886</v>
      </c>
      <c r="H1157" t="s">
        <v>5363</v>
      </c>
      <c r="K1157" s="31">
        <v>87095.98</v>
      </c>
      <c r="M1157" s="31">
        <v>40855.730000000003</v>
      </c>
      <c r="O1157" s="31">
        <v>46240.25</v>
      </c>
      <c r="Q1157">
        <v>113.2</v>
      </c>
    </row>
    <row r="1158" spans="3:17">
      <c r="C1158">
        <v>5360</v>
      </c>
      <c r="E1158" t="s">
        <v>5887</v>
      </c>
      <c r="H1158" t="s">
        <v>5888</v>
      </c>
      <c r="K1158" s="31">
        <v>-465141.72</v>
      </c>
      <c r="M1158" s="31">
        <v>-139577.62</v>
      </c>
      <c r="O1158" s="31">
        <v>-325564.09999999998</v>
      </c>
      <c r="Q1158">
        <v>-233.2</v>
      </c>
    </row>
    <row r="1159" spans="3:17">
      <c r="C1159">
        <v>5360</v>
      </c>
      <c r="E1159" t="s">
        <v>5889</v>
      </c>
      <c r="H1159" t="s">
        <v>5890</v>
      </c>
      <c r="K1159" s="31">
        <v>21440.1</v>
      </c>
      <c r="M1159" s="31">
        <v>8319.69</v>
      </c>
      <c r="O1159" s="31">
        <v>13120.41</v>
      </c>
      <c r="Q1159">
        <v>157.69999999999999</v>
      </c>
    </row>
    <row r="1160" spans="3:17">
      <c r="C1160">
        <v>5360</v>
      </c>
      <c r="E1160" t="s">
        <v>5891</v>
      </c>
      <c r="H1160" t="s">
        <v>5892</v>
      </c>
      <c r="K1160" s="31">
        <v>592193.28000000003</v>
      </c>
      <c r="M1160" s="31">
        <v>154833.29</v>
      </c>
      <c r="O1160" s="31">
        <v>437359.99</v>
      </c>
      <c r="Q1160">
        <v>282.5</v>
      </c>
    </row>
    <row r="1161" spans="3:17">
      <c r="C1161">
        <v>5360</v>
      </c>
      <c r="E1161" t="s">
        <v>5893</v>
      </c>
      <c r="H1161" t="s">
        <v>5894</v>
      </c>
      <c r="K1161" s="31">
        <v>2293.0100000000002</v>
      </c>
      <c r="M1161">
        <v>0</v>
      </c>
      <c r="O1161" s="31">
        <v>2293.0100000000002</v>
      </c>
    </row>
    <row r="1162" spans="3:17">
      <c r="C1162">
        <v>5360</v>
      </c>
      <c r="E1162" t="s">
        <v>6043</v>
      </c>
      <c r="H1162" t="s">
        <v>5958</v>
      </c>
      <c r="K1162">
        <v>1.39</v>
      </c>
      <c r="M1162">
        <v>0</v>
      </c>
      <c r="O1162">
        <v>1.39</v>
      </c>
    </row>
    <row r="1163" spans="3:17">
      <c r="C1163">
        <v>5360</v>
      </c>
      <c r="E1163" t="s">
        <v>5895</v>
      </c>
      <c r="H1163" t="s">
        <v>5896</v>
      </c>
      <c r="K1163" s="31">
        <v>90210354.349999994</v>
      </c>
      <c r="M1163" s="31">
        <v>16485128.970000001</v>
      </c>
      <c r="O1163" s="31">
        <v>73725225.379999995</v>
      </c>
      <c r="Q1163">
        <v>447.2</v>
      </c>
    </row>
    <row r="1164" spans="3:17">
      <c r="C1164">
        <v>5360</v>
      </c>
      <c r="E1164" t="s">
        <v>5897</v>
      </c>
      <c r="H1164" t="s">
        <v>5898</v>
      </c>
      <c r="K1164" s="31">
        <v>107735161.66</v>
      </c>
      <c r="M1164" s="31">
        <v>15656306.01</v>
      </c>
      <c r="O1164" s="31">
        <v>92078855.650000006</v>
      </c>
      <c r="Q1164">
        <v>588.1</v>
      </c>
    </row>
    <row r="1165" spans="3:17">
      <c r="C1165">
        <v>5360</v>
      </c>
      <c r="E1165" t="s">
        <v>5899</v>
      </c>
      <c r="H1165" t="s">
        <v>5900</v>
      </c>
      <c r="K1165" s="31">
        <v>8168932.1900000004</v>
      </c>
      <c r="M1165" s="31">
        <v>493856.06</v>
      </c>
      <c r="O1165" s="31">
        <v>7675076.1299999999</v>
      </c>
      <c r="Q1165">
        <v>1554.1</v>
      </c>
    </row>
    <row r="1166" spans="3:17">
      <c r="C1166">
        <v>5360</v>
      </c>
      <c r="E1166" t="s">
        <v>5901</v>
      </c>
      <c r="H1166" t="s">
        <v>5902</v>
      </c>
      <c r="K1166" s="31">
        <v>-10621646.15</v>
      </c>
      <c r="M1166" s="31">
        <v>-6439272.6200000001</v>
      </c>
      <c r="O1166" s="31">
        <v>-4182373.53</v>
      </c>
      <c r="Q1166">
        <v>-65</v>
      </c>
    </row>
    <row r="1167" spans="3:17">
      <c r="C1167">
        <v>5360</v>
      </c>
      <c r="E1167" t="s">
        <v>5903</v>
      </c>
      <c r="H1167" t="s">
        <v>5904</v>
      </c>
      <c r="K1167" s="31">
        <v>1418477.78</v>
      </c>
      <c r="M1167" s="31">
        <v>264772.39</v>
      </c>
      <c r="O1167" s="31">
        <v>1153705.3899999999</v>
      </c>
      <c r="Q1167">
        <v>435.7</v>
      </c>
    </row>
    <row r="1168" spans="3:17">
      <c r="C1168">
        <v>5360</v>
      </c>
      <c r="E1168" t="s">
        <v>5905</v>
      </c>
      <c r="H1168" t="s">
        <v>5906</v>
      </c>
      <c r="K1168" s="31">
        <v>-2193926.4700000002</v>
      </c>
      <c r="M1168" s="31">
        <v>8357.14</v>
      </c>
      <c r="O1168" s="31">
        <v>-2202283.61</v>
      </c>
      <c r="Q1168" t="s">
        <v>6114</v>
      </c>
    </row>
    <row r="1169" spans="3:17">
      <c r="C1169">
        <v>5360</v>
      </c>
      <c r="E1169" t="s">
        <v>5907</v>
      </c>
      <c r="H1169" t="s">
        <v>5908</v>
      </c>
      <c r="K1169" s="31">
        <v>-69710.63</v>
      </c>
      <c r="M1169" s="31">
        <v>-20993.21</v>
      </c>
      <c r="O1169" s="31">
        <v>-48717.42</v>
      </c>
      <c r="Q1169">
        <v>-232.1</v>
      </c>
    </row>
    <row r="1170" spans="3:17">
      <c r="C1170">
        <v>5360</v>
      </c>
      <c r="E1170" t="s">
        <v>5909</v>
      </c>
      <c r="H1170" t="s">
        <v>5378</v>
      </c>
      <c r="K1170" s="31">
        <v>-39667.620000000003</v>
      </c>
      <c r="M1170" s="31">
        <v>-6197.37</v>
      </c>
      <c r="O1170" s="31">
        <v>-33470.25</v>
      </c>
      <c r="Q1170">
        <v>-540.1</v>
      </c>
    </row>
    <row r="1171" spans="3:17">
      <c r="C1171">
        <v>5360</v>
      </c>
      <c r="E1171" t="s">
        <v>5910</v>
      </c>
      <c r="H1171" t="s">
        <v>5911</v>
      </c>
      <c r="K1171" s="31">
        <v>426180</v>
      </c>
      <c r="M1171" s="31">
        <v>106545</v>
      </c>
      <c r="O1171" s="31">
        <v>319635</v>
      </c>
      <c r="Q1171">
        <v>300</v>
      </c>
    </row>
    <row r="1172" spans="3:17">
      <c r="C1172">
        <v>5360</v>
      </c>
      <c r="E1172" t="s">
        <v>6044</v>
      </c>
      <c r="H1172" t="s">
        <v>5386</v>
      </c>
      <c r="K1172">
        <v>-357.2</v>
      </c>
      <c r="M1172">
        <v>0</v>
      </c>
      <c r="O1172">
        <v>-357.2</v>
      </c>
    </row>
    <row r="1173" spans="3:17">
      <c r="C1173">
        <v>5360</v>
      </c>
      <c r="E1173" t="s">
        <v>5912</v>
      </c>
      <c r="H1173" t="s">
        <v>5196</v>
      </c>
      <c r="K1173" s="31">
        <v>31555.99</v>
      </c>
      <c r="M1173" s="31">
        <v>104705.65</v>
      </c>
      <c r="O1173" s="31">
        <v>-73149.66</v>
      </c>
      <c r="Q1173">
        <v>-69.900000000000006</v>
      </c>
    </row>
    <row r="1174" spans="3:17">
      <c r="C1174">
        <v>5360</v>
      </c>
      <c r="E1174" t="s">
        <v>6115</v>
      </c>
      <c r="H1174" t="s">
        <v>6036</v>
      </c>
      <c r="K1174">
        <v>0</v>
      </c>
      <c r="M1174" s="31">
        <v>850522.72</v>
      </c>
      <c r="O1174" s="31">
        <v>-850522.72</v>
      </c>
      <c r="Q1174">
        <v>-100</v>
      </c>
    </row>
    <row r="1175" spans="3:17">
      <c r="C1175">
        <v>5360</v>
      </c>
      <c r="E1175" t="s">
        <v>5913</v>
      </c>
      <c r="H1175" t="s">
        <v>5413</v>
      </c>
      <c r="K1175" s="31">
        <v>138288.54</v>
      </c>
      <c r="M1175" s="31">
        <v>34998.959999999999</v>
      </c>
      <c r="O1175" s="31">
        <v>103289.58</v>
      </c>
      <c r="Q1175">
        <v>295.10000000000002</v>
      </c>
    </row>
    <row r="1176" spans="3:17">
      <c r="C1176">
        <v>5360</v>
      </c>
      <c r="E1176" t="s">
        <v>5914</v>
      </c>
      <c r="H1176" t="s">
        <v>5415</v>
      </c>
      <c r="K1176" s="31">
        <v>-1787052.99</v>
      </c>
      <c r="M1176" s="31">
        <v>-388066.77</v>
      </c>
      <c r="O1176" s="31">
        <v>-1398986.22</v>
      </c>
      <c r="Q1176">
        <v>-360.5</v>
      </c>
    </row>
    <row r="1177" spans="3:17">
      <c r="C1177">
        <v>5360</v>
      </c>
      <c r="E1177" t="s">
        <v>5915</v>
      </c>
      <c r="H1177" t="s">
        <v>5916</v>
      </c>
      <c r="K1177" s="31">
        <v>-18490.849999999999</v>
      </c>
      <c r="M1177">
        <v>0</v>
      </c>
      <c r="O1177" s="31">
        <v>-18490.849999999999</v>
      </c>
    </row>
    <row r="1178" spans="3:17">
      <c r="C1178">
        <v>5360</v>
      </c>
      <c r="E1178" t="s">
        <v>5919</v>
      </c>
      <c r="H1178" t="s">
        <v>312</v>
      </c>
      <c r="K1178" s="31">
        <v>-141756.70000000001</v>
      </c>
      <c r="M1178" s="31">
        <v>-7714</v>
      </c>
      <c r="O1178" s="31">
        <v>-134042.70000000001</v>
      </c>
      <c r="Q1178">
        <v>-1737.7</v>
      </c>
    </row>
    <row r="1179" spans="3:17">
      <c r="C1179">
        <v>5360</v>
      </c>
      <c r="E1179" t="s">
        <v>5920</v>
      </c>
      <c r="H1179" t="s">
        <v>322</v>
      </c>
      <c r="K1179" s="31">
        <v>708993.41</v>
      </c>
      <c r="M1179" s="31">
        <v>-6397916.9299999997</v>
      </c>
      <c r="O1179" s="31">
        <v>7106910.3399999999</v>
      </c>
      <c r="Q1179">
        <v>111.1</v>
      </c>
    </row>
    <row r="1180" spans="3:17">
      <c r="C1180">
        <v>5360</v>
      </c>
      <c r="E1180" t="s">
        <v>5925</v>
      </c>
      <c r="H1180" t="s">
        <v>5926</v>
      </c>
      <c r="K1180" s="31">
        <v>-18715548.449999999</v>
      </c>
      <c r="M1180">
        <v>0</v>
      </c>
      <c r="O1180" s="31">
        <v>-18715548.449999999</v>
      </c>
    </row>
    <row r="1181" spans="3:17">
      <c r="C1181">
        <v>5360</v>
      </c>
      <c r="E1181" t="s">
        <v>5931</v>
      </c>
      <c r="H1181" t="s">
        <v>120</v>
      </c>
      <c r="K1181" s="31">
        <v>98010.21</v>
      </c>
      <c r="M1181" s="31">
        <v>112876.3</v>
      </c>
      <c r="O1181" s="31">
        <v>-14866.09</v>
      </c>
      <c r="Q1181">
        <v>-13.2</v>
      </c>
    </row>
    <row r="1182" spans="3:17">
      <c r="C1182">
        <v>5360</v>
      </c>
      <c r="E1182" t="s">
        <v>5932</v>
      </c>
      <c r="H1182" t="s">
        <v>5933</v>
      </c>
      <c r="K1182" s="31">
        <v>-11760.14</v>
      </c>
      <c r="M1182">
        <v>0</v>
      </c>
      <c r="O1182" s="31">
        <v>-11760.14</v>
      </c>
    </row>
    <row r="1183" spans="3:17">
      <c r="C1183">
        <v>5360</v>
      </c>
      <c r="E1183" t="s">
        <v>5934</v>
      </c>
      <c r="H1183" t="s">
        <v>1089</v>
      </c>
      <c r="K1183" s="31">
        <v>-128524.94</v>
      </c>
      <c r="M1183" s="31">
        <v>-5763865.1600000001</v>
      </c>
      <c r="O1183" s="31">
        <v>5635340.2199999997</v>
      </c>
      <c r="Q1183">
        <v>97.8</v>
      </c>
    </row>
    <row r="1184" spans="3:17">
      <c r="C1184">
        <v>5360</v>
      </c>
      <c r="E1184" t="s">
        <v>1792</v>
      </c>
      <c r="H1184" t="s">
        <v>3534</v>
      </c>
      <c r="K1184" s="31">
        <v>11674977.02</v>
      </c>
      <c r="M1184" s="31">
        <v>1716745.4</v>
      </c>
      <c r="O1184" s="31">
        <v>9958231.6199999992</v>
      </c>
      <c r="Q1184">
        <v>580.1</v>
      </c>
    </row>
    <row r="1185" spans="3:17">
      <c r="C1185">
        <v>5360</v>
      </c>
      <c r="E1185" t="s">
        <v>1841</v>
      </c>
      <c r="H1185" t="s">
        <v>5935</v>
      </c>
      <c r="K1185" s="31">
        <v>-7487918.6399999997</v>
      </c>
      <c r="M1185" s="31">
        <v>-8428497.6699999999</v>
      </c>
      <c r="O1185" s="31">
        <v>940579.03</v>
      </c>
      <c r="Q1185">
        <v>11.2</v>
      </c>
    </row>
    <row r="1186" spans="3:17">
      <c r="C1186">
        <v>5360</v>
      </c>
      <c r="E1186" t="s">
        <v>1837</v>
      </c>
      <c r="H1186" t="s">
        <v>1704</v>
      </c>
      <c r="K1186" s="31">
        <v>2520198.08</v>
      </c>
      <c r="M1186" s="31">
        <v>-2906557.1</v>
      </c>
      <c r="O1186" s="31">
        <v>5426755.1799999997</v>
      </c>
      <c r="Q1186">
        <v>186.7</v>
      </c>
    </row>
    <row r="1187" spans="3:17">
      <c r="C1187">
        <v>5360</v>
      </c>
      <c r="E1187" t="s">
        <v>1846</v>
      </c>
      <c r="H1187" t="s">
        <v>1727</v>
      </c>
      <c r="K1187" s="31">
        <v>720481.26</v>
      </c>
      <c r="M1187" s="31">
        <v>98438.57</v>
      </c>
      <c r="O1187" s="31">
        <v>622042.68999999994</v>
      </c>
      <c r="Q1187">
        <v>631.9</v>
      </c>
    </row>
    <row r="1188" spans="3:17">
      <c r="C1188">
        <v>5360</v>
      </c>
      <c r="E1188" t="s">
        <v>1778</v>
      </c>
      <c r="H1188" t="s">
        <v>3536</v>
      </c>
      <c r="K1188" s="31">
        <v>-8294474.1100000003</v>
      </c>
      <c r="M1188" s="31">
        <v>-1395889.03</v>
      </c>
      <c r="O1188" s="31">
        <v>-6898585.0800000001</v>
      </c>
      <c r="Q1188">
        <v>-494.2</v>
      </c>
    </row>
    <row r="1189" spans="3:17">
      <c r="C1189">
        <v>5360</v>
      </c>
      <c r="E1189" t="s">
        <v>6018</v>
      </c>
      <c r="H1189" t="s">
        <v>5237</v>
      </c>
      <c r="K1189">
        <v>1.67</v>
      </c>
      <c r="M1189">
        <v>0</v>
      </c>
      <c r="O1189">
        <v>1.67</v>
      </c>
    </row>
    <row r="1190" spans="3:17">
      <c r="C1190">
        <v>5360</v>
      </c>
      <c r="E1190" t="s">
        <v>5936</v>
      </c>
      <c r="H1190" t="s">
        <v>5241</v>
      </c>
      <c r="K1190" s="31">
        <v>-48089.18</v>
      </c>
      <c r="M1190" s="31">
        <v>-9493.68</v>
      </c>
      <c r="O1190" s="31">
        <v>-38595.5</v>
      </c>
      <c r="Q1190">
        <v>-406.5</v>
      </c>
    </row>
    <row r="1191" spans="3:17">
      <c r="C1191">
        <v>5360</v>
      </c>
      <c r="E1191" t="s">
        <v>6019</v>
      </c>
      <c r="H1191" t="s">
        <v>5245</v>
      </c>
      <c r="K1191">
        <v>-54.28</v>
      </c>
      <c r="M1191">
        <v>0</v>
      </c>
      <c r="O1191">
        <v>-54.28</v>
      </c>
    </row>
    <row r="1192" spans="3:17">
      <c r="C1192">
        <v>5360</v>
      </c>
      <c r="E1192" t="s">
        <v>5937</v>
      </c>
      <c r="H1192" t="s">
        <v>5251</v>
      </c>
      <c r="K1192" s="31">
        <v>-7648.78</v>
      </c>
      <c r="M1192" s="31">
        <v>-1192.26</v>
      </c>
      <c r="O1192" s="31">
        <v>-6456.52</v>
      </c>
      <c r="Q1192">
        <v>-541.5</v>
      </c>
    </row>
    <row r="1193" spans="3:17">
      <c r="C1193">
        <v>5360</v>
      </c>
      <c r="E1193" t="s">
        <v>6020</v>
      </c>
      <c r="H1193" t="s">
        <v>5255</v>
      </c>
      <c r="K1193">
        <v>-0.84</v>
      </c>
      <c r="M1193">
        <v>0</v>
      </c>
      <c r="O1193">
        <v>-0.84</v>
      </c>
    </row>
    <row r="1194" spans="3:17">
      <c r="C1194">
        <v>5360</v>
      </c>
      <c r="E1194" t="s">
        <v>5938</v>
      </c>
      <c r="H1194" t="s">
        <v>5257</v>
      </c>
      <c r="K1194" s="31">
        <v>-6296.66</v>
      </c>
      <c r="M1194" s="31">
        <v>-1364.59</v>
      </c>
      <c r="O1194" s="31">
        <v>-4932.07</v>
      </c>
      <c r="Q1194">
        <v>-361.4</v>
      </c>
    </row>
    <row r="1195" spans="3:17">
      <c r="C1195">
        <v>5360</v>
      </c>
      <c r="E1195" t="s">
        <v>5939</v>
      </c>
      <c r="H1195" t="s">
        <v>5261</v>
      </c>
      <c r="K1195" s="31">
        <v>178195.6</v>
      </c>
      <c r="M1195" s="31">
        <v>-98370.55</v>
      </c>
      <c r="O1195" s="31">
        <v>276566.15000000002</v>
      </c>
      <c r="Q1195">
        <v>281.10000000000002</v>
      </c>
    </row>
    <row r="1196" spans="3:17">
      <c r="C1196">
        <v>5360</v>
      </c>
      <c r="E1196" t="s">
        <v>5941</v>
      </c>
      <c r="H1196" t="s">
        <v>5263</v>
      </c>
      <c r="K1196">
        <v>729.58</v>
      </c>
      <c r="M1196">
        <v>0</v>
      </c>
      <c r="O1196">
        <v>729.58</v>
      </c>
    </row>
    <row r="1197" spans="3:17">
      <c r="C1197">
        <v>5360</v>
      </c>
      <c r="E1197" t="s">
        <v>5942</v>
      </c>
      <c r="H1197" t="s">
        <v>5265</v>
      </c>
      <c r="K1197">
        <v>-564.1</v>
      </c>
      <c r="M1197">
        <v>9.0299999999999994</v>
      </c>
      <c r="O1197">
        <v>-573.13</v>
      </c>
      <c r="Q1197">
        <v>-6347</v>
      </c>
    </row>
    <row r="1198" spans="3:17">
      <c r="C1198">
        <v>5360</v>
      </c>
      <c r="E1198" t="s">
        <v>5943</v>
      </c>
      <c r="H1198" t="s">
        <v>5269</v>
      </c>
      <c r="K1198" s="31">
        <v>-6263.98</v>
      </c>
      <c r="M1198" s="31">
        <v>-1327.43</v>
      </c>
      <c r="O1198" s="31">
        <v>-4936.55</v>
      </c>
      <c r="Q1198">
        <v>-371.9</v>
      </c>
    </row>
    <row r="1199" spans="3:17">
      <c r="C1199">
        <v>5360</v>
      </c>
      <c r="E1199" t="s">
        <v>5944</v>
      </c>
      <c r="H1199" t="s">
        <v>5273</v>
      </c>
      <c r="K1199">
        <v>-588.28</v>
      </c>
      <c r="M1199">
        <v>-89.43</v>
      </c>
      <c r="O1199">
        <v>-498.85</v>
      </c>
      <c r="Q1199">
        <v>-557.79999999999995</v>
      </c>
    </row>
    <row r="1200" spans="3:17">
      <c r="C1200">
        <v>5360</v>
      </c>
      <c r="E1200" t="s">
        <v>5945</v>
      </c>
      <c r="H1200" t="s">
        <v>5277</v>
      </c>
      <c r="K1200" s="31">
        <v>-354607.69</v>
      </c>
      <c r="M1200" s="31">
        <v>699264.89</v>
      </c>
      <c r="O1200" s="31">
        <v>-1053872.58</v>
      </c>
      <c r="Q1200">
        <v>-150.69999999999999</v>
      </c>
    </row>
    <row r="1201" spans="3:17">
      <c r="C1201">
        <v>5360</v>
      </c>
      <c r="E1201" t="s">
        <v>5947</v>
      </c>
      <c r="H1201" t="s">
        <v>5279</v>
      </c>
      <c r="K1201" s="31">
        <v>2417.5700000000002</v>
      </c>
      <c r="M1201">
        <v>0</v>
      </c>
      <c r="O1201" s="31">
        <v>2417.5700000000002</v>
      </c>
    </row>
    <row r="1202" spans="3:17">
      <c r="C1202">
        <v>5360</v>
      </c>
      <c r="E1202" t="s">
        <v>5948</v>
      </c>
      <c r="H1202" t="s">
        <v>5281</v>
      </c>
      <c r="K1202" s="31">
        <v>-3043.36</v>
      </c>
      <c r="M1202">
        <v>-611.67999999999995</v>
      </c>
      <c r="O1202" s="31">
        <v>-2431.6799999999998</v>
      </c>
      <c r="Q1202">
        <v>-397.5</v>
      </c>
    </row>
    <row r="1203" spans="3:17">
      <c r="C1203">
        <v>5360</v>
      </c>
      <c r="E1203" t="s">
        <v>5949</v>
      </c>
      <c r="H1203" t="s">
        <v>5285</v>
      </c>
      <c r="K1203" s="31">
        <v>-31368.95</v>
      </c>
      <c r="M1203">
        <v>-59.83</v>
      </c>
      <c r="O1203" s="31">
        <v>-31309.119999999999</v>
      </c>
      <c r="Q1203" t="s">
        <v>6116</v>
      </c>
    </row>
    <row r="1204" spans="3:17">
      <c r="C1204">
        <v>5360</v>
      </c>
      <c r="E1204" t="s">
        <v>5950</v>
      </c>
      <c r="H1204" t="s">
        <v>5307</v>
      </c>
      <c r="K1204" s="31">
        <v>-203069.22</v>
      </c>
      <c r="M1204" s="31">
        <v>-29824.74</v>
      </c>
      <c r="O1204" s="31">
        <v>-173244.48</v>
      </c>
      <c r="Q1204">
        <v>-580.9</v>
      </c>
    </row>
    <row r="1205" spans="3:17">
      <c r="C1205">
        <v>5360</v>
      </c>
      <c r="E1205" t="s">
        <v>5951</v>
      </c>
      <c r="H1205" t="s">
        <v>5323</v>
      </c>
      <c r="K1205" s="31">
        <v>-62703.03</v>
      </c>
      <c r="M1205" s="31">
        <v>-12033.03</v>
      </c>
      <c r="O1205" s="31">
        <v>-50670</v>
      </c>
      <c r="Q1205">
        <v>-421.1</v>
      </c>
    </row>
    <row r="1206" spans="3:17">
      <c r="C1206">
        <v>5360</v>
      </c>
      <c r="E1206" t="s">
        <v>5952</v>
      </c>
      <c r="H1206" t="s">
        <v>5327</v>
      </c>
      <c r="K1206" s="31">
        <v>-2415.5700000000002</v>
      </c>
      <c r="M1206" s="31">
        <v>1801.93</v>
      </c>
      <c r="O1206" s="31">
        <v>-4217.5</v>
      </c>
      <c r="Q1206">
        <v>-234.1</v>
      </c>
    </row>
    <row r="1207" spans="3:17">
      <c r="C1207">
        <v>5360</v>
      </c>
      <c r="E1207" t="s">
        <v>5953</v>
      </c>
      <c r="H1207" t="s">
        <v>5333</v>
      </c>
      <c r="K1207" s="31">
        <v>114585.78</v>
      </c>
      <c r="M1207" s="31">
        <v>-986526.65</v>
      </c>
      <c r="O1207" s="31">
        <v>1101112.43</v>
      </c>
      <c r="Q1207">
        <v>111.6</v>
      </c>
    </row>
    <row r="1208" spans="3:17">
      <c r="C1208">
        <v>5360</v>
      </c>
      <c r="E1208" t="s">
        <v>5954</v>
      </c>
      <c r="H1208" t="s">
        <v>5337</v>
      </c>
      <c r="K1208" s="31">
        <v>64517.68</v>
      </c>
      <c r="M1208" s="31">
        <v>-3381.9</v>
      </c>
      <c r="O1208" s="31">
        <v>67899.58</v>
      </c>
      <c r="Q1208">
        <v>2007.7</v>
      </c>
    </row>
    <row r="1209" spans="3:17">
      <c r="C1209">
        <v>5360</v>
      </c>
      <c r="E1209" t="s">
        <v>5955</v>
      </c>
      <c r="H1209" t="s">
        <v>5339</v>
      </c>
      <c r="K1209" s="31">
        <v>-8612784.3000000007</v>
      </c>
      <c r="M1209" s="31">
        <v>15983392.85</v>
      </c>
      <c r="O1209" s="31">
        <v>-24596177.149999999</v>
      </c>
      <c r="Q1209">
        <v>-153.9</v>
      </c>
    </row>
    <row r="1210" spans="3:17">
      <c r="C1210">
        <v>5360</v>
      </c>
      <c r="E1210" t="s">
        <v>6117</v>
      </c>
      <c r="H1210" t="s">
        <v>5343</v>
      </c>
      <c r="K1210">
        <v>-315.83999999999997</v>
      </c>
      <c r="M1210">
        <v>110.88</v>
      </c>
      <c r="O1210">
        <v>-426.72</v>
      </c>
      <c r="Q1210">
        <v>-384.8</v>
      </c>
    </row>
    <row r="1211" spans="3:17">
      <c r="C1211">
        <v>5360</v>
      </c>
      <c r="E1211" t="s">
        <v>6118</v>
      </c>
      <c r="H1211" t="s">
        <v>5823</v>
      </c>
      <c r="K1211">
        <v>0</v>
      </c>
      <c r="M1211">
        <v>-16.3</v>
      </c>
      <c r="O1211">
        <v>16.3</v>
      </c>
      <c r="Q1211">
        <v>100</v>
      </c>
    </row>
    <row r="1212" spans="3:17">
      <c r="C1212">
        <v>5360</v>
      </c>
      <c r="E1212" t="s">
        <v>6119</v>
      </c>
      <c r="H1212" t="s">
        <v>6101</v>
      </c>
      <c r="K1212">
        <v>0</v>
      </c>
      <c r="M1212">
        <v>-60.43</v>
      </c>
      <c r="O1212">
        <v>60.43</v>
      </c>
      <c r="Q1212">
        <v>100</v>
      </c>
    </row>
    <row r="1213" spans="3:17">
      <c r="C1213">
        <v>5360</v>
      </c>
      <c r="E1213" t="s">
        <v>6120</v>
      </c>
      <c r="H1213" t="s">
        <v>5359</v>
      </c>
      <c r="K1213">
        <v>0</v>
      </c>
      <c r="M1213">
        <v>-16</v>
      </c>
      <c r="O1213">
        <v>16</v>
      </c>
      <c r="Q1213">
        <v>100</v>
      </c>
    </row>
    <row r="1214" spans="3:17">
      <c r="C1214">
        <v>5360</v>
      </c>
      <c r="E1214" t="s">
        <v>5956</v>
      </c>
      <c r="H1214" t="s">
        <v>5363</v>
      </c>
      <c r="K1214">
        <v>-60.86</v>
      </c>
      <c r="M1214">
        <v>0</v>
      </c>
      <c r="O1214">
        <v>-60.86</v>
      </c>
    </row>
    <row r="1215" spans="3:17">
      <c r="C1215">
        <v>5360</v>
      </c>
      <c r="E1215" t="s">
        <v>5957</v>
      </c>
      <c r="H1215" t="s">
        <v>5958</v>
      </c>
      <c r="K1215" s="31">
        <v>-11674977.02</v>
      </c>
      <c r="M1215" s="31">
        <v>27223.88</v>
      </c>
      <c r="O1215" s="31">
        <v>-11702200.9</v>
      </c>
      <c r="Q1215" t="s">
        <v>6121</v>
      </c>
    </row>
    <row r="1216" spans="3:17">
      <c r="C1216">
        <v>5360</v>
      </c>
      <c r="E1216" t="s">
        <v>5960</v>
      </c>
      <c r="H1216" t="s">
        <v>5961</v>
      </c>
      <c r="K1216">
        <v>0</v>
      </c>
      <c r="M1216" s="31">
        <v>5469211.5999999996</v>
      </c>
      <c r="O1216" s="31">
        <v>-5469211.5999999996</v>
      </c>
      <c r="Q1216">
        <v>-100</v>
      </c>
    </row>
    <row r="1217" spans="11:18">
      <c r="K1217" s="31">
        <v>1576403962.3099999</v>
      </c>
      <c r="M1217" s="31">
        <v>1673504319.49</v>
      </c>
      <c r="O1217" s="31">
        <v>-97100357.180000007</v>
      </c>
      <c r="Q1217">
        <v>-5.8</v>
      </c>
      <c r="R1217" t="s">
        <v>970</v>
      </c>
    </row>
  </sheetData>
  <pageMargins left="0.7" right="0.7" top="0.75" bottom="0.75" header="0.3" footer="0.3"/>
  <pageSetup orientation="portrait" horizontalDpi="1200" verticalDpi="1200"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Sheet38">
    <tabColor rgb="FFFF0000"/>
    <pageSetUpPr fitToPage="1"/>
  </sheetPr>
  <dimension ref="A1:P32"/>
  <sheetViews>
    <sheetView workbookViewId="0"/>
  </sheetViews>
  <sheetFormatPr defaultColWidth="8.85546875" defaultRowHeight="15"/>
  <cols>
    <col min="1" max="1" width="30.7109375" style="26" customWidth="1"/>
    <col min="2" max="2" width="20.7109375" style="26" customWidth="1"/>
    <col min="3" max="8" width="14.7109375" style="26" customWidth="1"/>
    <col min="9" max="9" width="8.85546875" style="26"/>
    <col min="10" max="10" width="10.7109375" style="26" bestFit="1" customWidth="1"/>
    <col min="11" max="13" width="13.5703125" style="26" bestFit="1" customWidth="1"/>
    <col min="14" max="15" width="13.42578125" style="26" bestFit="1" customWidth="1"/>
    <col min="16" max="16384" width="8.85546875" style="26"/>
  </cols>
  <sheetData>
    <row r="1" spans="1:10">
      <c r="A1" s="26" t="s">
        <v>976</v>
      </c>
      <c r="B1" s="94" t="s">
        <v>6122</v>
      </c>
    </row>
    <row r="2" spans="1:10" hidden="1"/>
    <row r="3" spans="1:10">
      <c r="A3" s="26" t="s">
        <v>6123</v>
      </c>
    </row>
    <row r="4" spans="1:10">
      <c r="A4" s="26" t="s">
        <v>6124</v>
      </c>
    </row>
    <row r="5" spans="1:10">
      <c r="A5" s="26" t="s">
        <v>6125</v>
      </c>
    </row>
    <row r="6" spans="1:10">
      <c r="A6" s="26" t="s">
        <v>6126</v>
      </c>
    </row>
    <row r="9" spans="1:10">
      <c r="B9" s="96" t="s">
        <v>73</v>
      </c>
      <c r="C9" s="96" t="s">
        <v>74</v>
      </c>
      <c r="D9" s="96" t="s">
        <v>75</v>
      </c>
      <c r="E9" s="96" t="s">
        <v>6127</v>
      </c>
      <c r="F9" s="96" t="s">
        <v>248</v>
      </c>
      <c r="G9" s="96" t="s">
        <v>249</v>
      </c>
      <c r="H9" s="96" t="s">
        <v>6128</v>
      </c>
    </row>
    <row r="10" spans="1:10" ht="30">
      <c r="B10" s="96" t="s">
        <v>6129</v>
      </c>
      <c r="C10" s="96" t="s">
        <v>6130</v>
      </c>
      <c r="D10" s="184" t="s">
        <v>6131</v>
      </c>
      <c r="E10" s="184" t="s">
        <v>6132</v>
      </c>
      <c r="F10" s="96" t="s">
        <v>4912</v>
      </c>
      <c r="G10" s="328" t="s">
        <v>6133</v>
      </c>
      <c r="H10" s="96" t="s">
        <v>6134</v>
      </c>
    </row>
    <row r="11" spans="1:10">
      <c r="A11" s="185" t="s">
        <v>6135</v>
      </c>
      <c r="B11" s="27">
        <f>C22</f>
        <v>-149786386.88599375</v>
      </c>
      <c r="C11" s="27">
        <v>0</v>
      </c>
      <c r="D11" s="27">
        <f>C26</f>
        <v>40179390.453663528</v>
      </c>
      <c r="E11" s="27">
        <f>SUM(B11:D11)</f>
        <v>-109606996.43233022</v>
      </c>
      <c r="F11" s="27">
        <f>-C23</f>
        <v>-3179098.7082000002</v>
      </c>
      <c r="G11" s="27">
        <f>C24+C27</f>
        <v>-58151907.599024177</v>
      </c>
      <c r="H11" s="27">
        <f>E11-F11</f>
        <v>-106427897.72413021</v>
      </c>
    </row>
    <row r="12" spans="1:10">
      <c r="A12" s="186" t="s">
        <v>6136</v>
      </c>
      <c r="B12" s="27">
        <f>D22</f>
        <v>-150444935.9718056</v>
      </c>
      <c r="C12" s="27">
        <v>0</v>
      </c>
      <c r="D12" s="27">
        <f>D26</f>
        <v>39307698.397646286</v>
      </c>
      <c r="E12" s="27">
        <f>SUM(B12:D12)</f>
        <v>-111137237.57415932</v>
      </c>
      <c r="F12" s="27">
        <f>-D23</f>
        <v>-770441.0456389212</v>
      </c>
      <c r="G12" s="27">
        <f>D24+D27</f>
        <v>-58151907.599024177</v>
      </c>
      <c r="H12" s="27">
        <f>E12-F12</f>
        <v>-110366796.52852041</v>
      </c>
      <c r="J12" s="27"/>
    </row>
    <row r="13" spans="1:10">
      <c r="A13" s="186" t="s">
        <v>6137</v>
      </c>
      <c r="B13" s="27">
        <f>E22</f>
        <v>-155108607.67249784</v>
      </c>
      <c r="C13" s="27">
        <v>0</v>
      </c>
      <c r="D13" s="27">
        <f>E26</f>
        <v>39307698.397646286</v>
      </c>
      <c r="E13" s="27">
        <f>SUM(B13:D13)</f>
        <v>-115800909.27485156</v>
      </c>
      <c r="F13" s="27">
        <f>-E23</f>
        <v>-767260.46355838096</v>
      </c>
      <c r="G13" s="27">
        <f>E24+E27</f>
        <v>-58151907.599024177</v>
      </c>
      <c r="H13" s="27">
        <f>E13-F13</f>
        <v>-115033648.81129318</v>
      </c>
      <c r="J13" s="27"/>
    </row>
    <row r="14" spans="1:10">
      <c r="A14" s="186" t="s">
        <v>6138</v>
      </c>
      <c r="B14" s="27">
        <f>F22</f>
        <v>-151215880.47920242</v>
      </c>
      <c r="C14" s="27">
        <v>0</v>
      </c>
      <c r="D14" s="27">
        <f>F26</f>
        <v>32640751.748019017</v>
      </c>
      <c r="E14" s="27">
        <f>SUM(B14:D14)</f>
        <v>-118575128.73118341</v>
      </c>
      <c r="F14" s="27">
        <f>-F23</f>
        <v>-782147.97147784149</v>
      </c>
      <c r="G14" s="27">
        <f>F24+F27</f>
        <v>-58774217.4105317</v>
      </c>
      <c r="H14" s="27">
        <f>E14-F14</f>
        <v>-117792980.75970557</v>
      </c>
      <c r="J14" s="27"/>
    </row>
    <row r="15" spans="1:10">
      <c r="A15" s="186" t="s">
        <v>6139</v>
      </c>
      <c r="B15" s="27">
        <f>G22</f>
        <v>-153371420.15971971</v>
      </c>
      <c r="C15" s="27">
        <v>0</v>
      </c>
      <c r="D15" s="27">
        <f>G26</f>
        <v>33064407.738725223</v>
      </c>
      <c r="E15" s="27">
        <f>SUM(B15:D15)</f>
        <v>-120307012.42099449</v>
      </c>
      <c r="F15" s="27">
        <f>-G23</f>
        <v>-992709.83339081518</v>
      </c>
      <c r="G15" s="27">
        <f>G24+G27</f>
        <v>-58852071.797588974</v>
      </c>
      <c r="H15" s="27">
        <f>E15-F15</f>
        <v>-119314302.58760367</v>
      </c>
      <c r="J15" s="27"/>
    </row>
    <row r="18" spans="1:16">
      <c r="B18" s="27"/>
      <c r="C18" s="27"/>
      <c r="D18" s="27"/>
      <c r="E18" s="27"/>
      <c r="F18" s="27"/>
      <c r="G18" s="27"/>
      <c r="H18" s="27"/>
    </row>
    <row r="20" spans="1:16">
      <c r="A20" s="29" t="s">
        <v>6140</v>
      </c>
      <c r="C20" s="193">
        <v>43800</v>
      </c>
      <c r="D20" s="193">
        <v>43891</v>
      </c>
      <c r="E20" s="194">
        <v>43983</v>
      </c>
      <c r="F20" s="194">
        <v>44075</v>
      </c>
      <c r="G20" s="193">
        <v>44166</v>
      </c>
      <c r="H20" s="193"/>
      <c r="I20" s="193"/>
      <c r="J20" s="193"/>
      <c r="K20" s="193">
        <f>C20</f>
        <v>43800</v>
      </c>
      <c r="L20" s="193">
        <f>D20</f>
        <v>43891</v>
      </c>
      <c r="M20" s="193">
        <f>E20</f>
        <v>43983</v>
      </c>
      <c r="N20" s="193">
        <f>F20</f>
        <v>44075</v>
      </c>
      <c r="O20" s="193">
        <f>G20</f>
        <v>44166</v>
      </c>
    </row>
    <row r="22" spans="1:16">
      <c r="A22" s="26" t="s">
        <v>6141</v>
      </c>
      <c r="B22" s="26" t="s">
        <v>73</v>
      </c>
      <c r="C22" s="27">
        <v>-149786386.88599375</v>
      </c>
      <c r="D22" s="27">
        <v>-150444935.9718056</v>
      </c>
      <c r="E22" s="27">
        <v>-155108607.67249784</v>
      </c>
      <c r="F22" s="27">
        <v>-151215880.47920242</v>
      </c>
      <c r="G22" s="27">
        <v>-153371420.15971971</v>
      </c>
      <c r="H22" s="1"/>
      <c r="I22" s="1"/>
      <c r="J22" s="1"/>
      <c r="K22" s="27">
        <f>+C22+C23+C26</f>
        <v>-106427897.72413021</v>
      </c>
      <c r="L22" s="27">
        <f>+D22+D23+D26</f>
        <v>-110366796.52852041</v>
      </c>
      <c r="M22" s="27">
        <f>+E22+E23+E26</f>
        <v>-115033648.81129318</v>
      </c>
      <c r="N22" s="27">
        <f>+F22+F23+F26</f>
        <v>-117792980.75970557</v>
      </c>
      <c r="O22" s="27">
        <f>+G22+G23+G26</f>
        <v>-119314302.58760369</v>
      </c>
      <c r="P22" s="26" t="s">
        <v>6142</v>
      </c>
    </row>
    <row r="23" spans="1:16">
      <c r="A23" s="26" t="s">
        <v>6143</v>
      </c>
      <c r="B23" s="112" t="s">
        <v>6144</v>
      </c>
      <c r="C23" s="27">
        <v>3179098.7082000002</v>
      </c>
      <c r="D23" s="27">
        <v>770441.0456389212</v>
      </c>
      <c r="E23" s="27">
        <v>767260.46355838096</v>
      </c>
      <c r="F23" s="27">
        <v>782147.97147784149</v>
      </c>
      <c r="G23" s="27">
        <v>992709.83339081518</v>
      </c>
      <c r="H23" s="1"/>
      <c r="I23" s="1"/>
      <c r="J23" s="1"/>
      <c r="K23" s="27"/>
      <c r="L23" s="27"/>
      <c r="M23" s="27"/>
      <c r="N23" s="27"/>
      <c r="O23" s="27"/>
    </row>
    <row r="24" spans="1:16">
      <c r="A24" s="26" t="s">
        <v>6145</v>
      </c>
      <c r="B24" s="26" t="s">
        <v>249</v>
      </c>
      <c r="C24" s="27">
        <v>-78620827.749120116</v>
      </c>
      <c r="D24" s="27">
        <v>-78620827.749120116</v>
      </c>
      <c r="E24" s="27">
        <v>-78620827.749120116</v>
      </c>
      <c r="F24" s="325">
        <v>-83042393.411400199</v>
      </c>
      <c r="G24" s="325">
        <v>-83042393.411400199</v>
      </c>
      <c r="H24" s="195" t="s">
        <v>6146</v>
      </c>
      <c r="I24" s="195"/>
      <c r="J24" s="195"/>
      <c r="K24" s="27">
        <f>+C24+C27</f>
        <v>-58151907.599024177</v>
      </c>
      <c r="L24" s="27">
        <f>+D24+D27</f>
        <v>-58151907.599024177</v>
      </c>
      <c r="M24" s="27">
        <f>+E24+E27</f>
        <v>-58151907.599024177</v>
      </c>
      <c r="N24" s="27">
        <f>+F24+F27</f>
        <v>-58774217.4105317</v>
      </c>
      <c r="O24" s="27">
        <f>+G24+G27</f>
        <v>-58852071.797588974</v>
      </c>
      <c r="P24" s="26" t="s">
        <v>6147</v>
      </c>
    </row>
    <row r="25" spans="1:16">
      <c r="A25" s="26" t="s">
        <v>6148</v>
      </c>
      <c r="C25" s="27">
        <v>3137364.8206476001</v>
      </c>
      <c r="D25" s="27">
        <v>3197857.5705509251</v>
      </c>
      <c r="E25" s="27">
        <v>3258446.3204542496</v>
      </c>
      <c r="F25" s="27">
        <v>3319035.0703575746</v>
      </c>
      <c r="G25" s="27">
        <v>3596095.2680426836</v>
      </c>
      <c r="H25" s="195"/>
      <c r="I25" s="195"/>
      <c r="J25" s="195"/>
      <c r="K25" s="27"/>
      <c r="L25" s="27"/>
      <c r="M25" s="27"/>
      <c r="N25" s="27"/>
      <c r="O25" s="27"/>
    </row>
    <row r="26" spans="1:16">
      <c r="A26" s="26" t="s">
        <v>6149</v>
      </c>
      <c r="B26" s="26" t="s">
        <v>75</v>
      </c>
      <c r="C26" s="27">
        <v>40179390.453663528</v>
      </c>
      <c r="D26" s="27">
        <v>39307698.397646286</v>
      </c>
      <c r="E26" s="27">
        <v>39307698.397646286</v>
      </c>
      <c r="F26" s="27">
        <v>32640751.748019017</v>
      </c>
      <c r="G26" s="27">
        <v>33064407.738725223</v>
      </c>
      <c r="H26" s="1"/>
      <c r="I26" s="1"/>
      <c r="J26" s="1"/>
      <c r="K26" s="27">
        <f>+C25+C28</f>
        <v>2458898.3293734938</v>
      </c>
      <c r="L26" s="27">
        <f>+D25+D28</f>
        <v>2705424.5880027125</v>
      </c>
      <c r="M26" s="27">
        <f>+E25+E28</f>
        <v>2952046.8466319302</v>
      </c>
      <c r="N26" s="27">
        <f>+F25+F28</f>
        <v>3198669.1052611489</v>
      </c>
      <c r="O26" s="27">
        <f>+G25+G28</f>
        <v>3533251.6420968533</v>
      </c>
      <c r="P26" s="26" t="s">
        <v>6150</v>
      </c>
    </row>
    <row r="27" spans="1:16">
      <c r="A27" s="26" t="s">
        <v>6151</v>
      </c>
      <c r="B27" s="26" t="s">
        <v>249</v>
      </c>
      <c r="C27" s="27">
        <v>20468920.15009594</v>
      </c>
      <c r="D27" s="27">
        <v>20468920.15009594</v>
      </c>
      <c r="E27" s="27">
        <v>20468920.15009594</v>
      </c>
      <c r="F27" s="325">
        <v>24268176.000868496</v>
      </c>
      <c r="G27" s="325">
        <v>24190321.613811228</v>
      </c>
      <c r="H27" s="195" t="s">
        <v>6146</v>
      </c>
      <c r="I27" s="1"/>
      <c r="J27" s="1"/>
      <c r="K27" s="27"/>
      <c r="L27" s="27"/>
      <c r="M27" s="27"/>
      <c r="N27" s="27"/>
      <c r="O27" s="27"/>
    </row>
    <row r="28" spans="1:16">
      <c r="A28" s="26" t="s">
        <v>6152</v>
      </c>
      <c r="C28" s="27">
        <v>-678466.49127410643</v>
      </c>
      <c r="D28" s="27">
        <v>-492432.98254821287</v>
      </c>
      <c r="E28" s="27">
        <v>-306399.4738223193</v>
      </c>
      <c r="F28" s="27">
        <v>-120365.96509642589</v>
      </c>
      <c r="G28" s="27">
        <v>-62843.625945830252</v>
      </c>
      <c r="H28" s="1"/>
      <c r="I28" s="1"/>
      <c r="J28" s="1"/>
      <c r="K28" s="27"/>
      <c r="L28" s="27"/>
      <c r="M28" s="27"/>
      <c r="N28" s="27"/>
      <c r="O28" s="27"/>
    </row>
    <row r="29" spans="1:16">
      <c r="C29" s="1"/>
      <c r="D29" s="1"/>
      <c r="E29" s="1"/>
      <c r="F29" s="1"/>
      <c r="G29" s="1"/>
      <c r="H29" s="1"/>
      <c r="I29" s="1"/>
      <c r="J29" s="1"/>
      <c r="K29" s="27"/>
      <c r="L29" s="27"/>
      <c r="M29" s="27"/>
      <c r="N29" s="27"/>
      <c r="O29" s="27"/>
    </row>
    <row r="31" spans="1:16">
      <c r="A31" s="26" t="s">
        <v>6153</v>
      </c>
      <c r="C31" s="196">
        <v>-162120906.99378091</v>
      </c>
      <c r="D31" s="196">
        <v>-165813279.53954187</v>
      </c>
      <c r="E31" s="196">
        <v>-170233509.56368545</v>
      </c>
      <c r="F31" s="196">
        <v>-173368529.06497613</v>
      </c>
      <c r="G31" s="196">
        <v>-174633122.74309582</v>
      </c>
      <c r="H31" s="196"/>
      <c r="I31" s="113"/>
      <c r="J31" s="113"/>
      <c r="K31" s="196">
        <f>SUM(K22:K28)</f>
        <v>-162120906.99378091</v>
      </c>
      <c r="L31" s="196">
        <f>SUM(L22:L28)</f>
        <v>-165813279.53954187</v>
      </c>
      <c r="M31" s="196">
        <f>SUM(M22:M28)</f>
        <v>-170233509.56368542</v>
      </c>
      <c r="N31" s="196">
        <f>SUM(N22:N28)</f>
        <v>-173368529.06497613</v>
      </c>
      <c r="O31" s="196">
        <f>SUM(O22:O28)</f>
        <v>-174633122.74309582</v>
      </c>
    </row>
    <row r="32" spans="1:16">
      <c r="K32" s="113">
        <f>+K31-C31</f>
        <v>0</v>
      </c>
      <c r="L32" s="113">
        <f>+L31-D31</f>
        <v>0</v>
      </c>
      <c r="M32" s="113">
        <f>+M31-E31</f>
        <v>0</v>
      </c>
      <c r="N32" s="113">
        <f>+N31-F31</f>
        <v>0</v>
      </c>
      <c r="O32" s="113">
        <f>+O31-G31</f>
        <v>0</v>
      </c>
    </row>
  </sheetData>
  <pageMargins left="0.5" right="0.5" top="0.75" bottom="0.75" header="0.3" footer="0.3"/>
  <pageSetup scale="37"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F3EA0C-566B-4E5A-BAF8-2D7D9BCE4D17}">
  <sheetPr>
    <pageSetUpPr fitToPage="1"/>
  </sheetPr>
  <dimension ref="A1:Q207"/>
  <sheetViews>
    <sheetView topLeftCell="A6" workbookViewId="0"/>
  </sheetViews>
  <sheetFormatPr defaultRowHeight="15" outlineLevelRow="1"/>
  <cols>
    <col min="1" max="1" width="9.28515625" bestFit="1" customWidth="1"/>
    <col min="2" max="2" width="3" customWidth="1"/>
    <col min="3" max="3" width="3" bestFit="1" customWidth="1"/>
    <col min="4" max="4" width="2.7109375" customWidth="1"/>
    <col min="5" max="5" width="60.5703125" customWidth="1"/>
    <col min="6" max="6" width="8.7109375" bestFit="1" customWidth="1"/>
    <col min="7" max="7" width="16.7109375" customWidth="1"/>
    <col min="8" max="8" width="3.7109375" customWidth="1"/>
    <col min="9" max="9" width="14.7109375" customWidth="1"/>
    <col min="10" max="10" width="6.7109375" bestFit="1" customWidth="1"/>
    <col min="11" max="11" width="18.5703125" customWidth="1"/>
    <col min="12" max="12" width="23" customWidth="1"/>
  </cols>
  <sheetData>
    <row r="1" spans="1:13" hidden="1" outlineLevel="1">
      <c r="K1" s="2" t="str">
        <f>Contents!B1</f>
        <v>The Narragansett Electric Company</v>
      </c>
    </row>
    <row r="2" spans="1:13" hidden="1" outlineLevel="1">
      <c r="K2" s="2" t="str">
        <f>Contents!B2</f>
        <v>d/b/a National Grid</v>
      </c>
    </row>
    <row r="3" spans="1:13" hidden="1" outlineLevel="1">
      <c r="K3" s="2" t="str">
        <f>Contents!B3</f>
        <v>RIPUC Docket No. 4770</v>
      </c>
    </row>
    <row r="4" spans="1:13" hidden="1" outlineLevel="1">
      <c r="K4" s="2" t="str">
        <f>Contents!B4</f>
        <v>Gas Earnings Sharing Mechanism</v>
      </c>
    </row>
    <row r="5" spans="1:13" hidden="1" outlineLevel="1">
      <c r="K5" s="2"/>
    </row>
    <row r="6" spans="1:13" collapsed="1">
      <c r="A6" s="26"/>
      <c r="B6" s="26"/>
      <c r="C6" s="26"/>
      <c r="D6" s="26"/>
      <c r="E6" s="26"/>
      <c r="F6" s="26"/>
      <c r="G6" s="26"/>
      <c r="H6" s="26"/>
      <c r="I6" s="26"/>
      <c r="J6" s="26"/>
      <c r="K6" s="2" t="str">
        <f>Contents!B6</f>
        <v>The Narragansett Electric Company</v>
      </c>
      <c r="L6" s="26"/>
      <c r="M6" s="26"/>
    </row>
    <row r="7" spans="1:13">
      <c r="A7" s="26"/>
      <c r="B7" s="26"/>
      <c r="C7" s="26"/>
      <c r="D7" s="26"/>
      <c r="E7" s="26"/>
      <c r="F7" s="26"/>
      <c r="G7" s="26"/>
      <c r="H7" s="26"/>
      <c r="I7" s="26"/>
      <c r="J7" s="26"/>
      <c r="K7" s="2" t="str">
        <f>Contents!B7</f>
        <v>d/b/a Rhode Island Energy</v>
      </c>
      <c r="L7" s="26"/>
      <c r="M7" s="26"/>
    </row>
    <row r="8" spans="1:13">
      <c r="A8" s="26"/>
      <c r="B8" s="26"/>
      <c r="C8" s="26"/>
      <c r="D8" s="26"/>
      <c r="E8" s="26"/>
      <c r="F8" s="26"/>
      <c r="G8" s="26"/>
      <c r="H8" s="26"/>
      <c r="I8" s="26"/>
      <c r="J8" s="26"/>
      <c r="K8" s="2" t="str">
        <f>Contents!B8</f>
        <v>RIPUC Docket No. 4770</v>
      </c>
      <c r="L8" s="26"/>
      <c r="M8" s="26"/>
    </row>
    <row r="9" spans="1:13">
      <c r="A9" s="26"/>
      <c r="B9" s="26"/>
      <c r="C9" s="26"/>
      <c r="D9" s="26"/>
      <c r="E9" s="26"/>
      <c r="F9" s="26"/>
      <c r="G9" s="26"/>
      <c r="H9" s="26"/>
      <c r="I9" s="26"/>
      <c r="J9" s="26"/>
      <c r="K9" s="2" t="str">
        <f>Contents!B9</f>
        <v>CY 2025 Gas Earnings Report</v>
      </c>
      <c r="L9" s="26"/>
      <c r="M9" s="26"/>
    </row>
    <row r="10" spans="1:13">
      <c r="A10" s="26"/>
      <c r="B10" s="26"/>
      <c r="C10" s="26"/>
      <c r="D10" s="26"/>
      <c r="E10" s="26"/>
      <c r="F10" s="26"/>
      <c r="G10" s="26"/>
      <c r="H10" s="26"/>
      <c r="I10" s="26"/>
      <c r="J10" s="26"/>
      <c r="K10" s="2" t="str">
        <f>Contents!B10</f>
        <v>Schedule NECO-1</v>
      </c>
      <c r="L10" s="26"/>
      <c r="M10" s="26"/>
    </row>
    <row r="11" spans="1:13">
      <c r="A11" s="26"/>
      <c r="B11" s="26"/>
      <c r="C11" s="26"/>
      <c r="D11" s="26"/>
      <c r="E11" s="26"/>
      <c r="F11" s="26"/>
      <c r="G11" s="26"/>
      <c r="H11" s="26"/>
      <c r="I11" s="26"/>
      <c r="J11" s="26"/>
      <c r="K11" s="2" t="str">
        <f>Contents!B11</f>
        <v>June 15, 2026</v>
      </c>
      <c r="L11" s="26"/>
      <c r="M11" s="26"/>
    </row>
    <row r="12" spans="1:13">
      <c r="A12" s="26"/>
      <c r="B12" s="26"/>
      <c r="C12" s="26"/>
      <c r="D12" s="26"/>
      <c r="E12" s="26"/>
      <c r="F12" s="26"/>
      <c r="G12" s="26"/>
      <c r="H12" s="26"/>
      <c r="I12" s="26"/>
      <c r="J12" s="26"/>
      <c r="K12" s="2" t="str">
        <f>VLOOKUP($A$15,Index!A:C,3,FALSE)</f>
        <v>Page 2 of 15</v>
      </c>
      <c r="L12" s="26"/>
      <c r="M12" s="26"/>
    </row>
    <row r="13" spans="1:13">
      <c r="A13" s="26"/>
      <c r="B13" s="26"/>
      <c r="C13" s="26"/>
      <c r="D13" s="26"/>
      <c r="E13" s="26"/>
      <c r="F13" s="26"/>
      <c r="G13" s="26"/>
      <c r="H13" s="26"/>
      <c r="I13" s="26"/>
      <c r="J13" s="26"/>
      <c r="K13" s="2"/>
      <c r="L13" s="26"/>
      <c r="M13" s="26"/>
    </row>
    <row r="14" spans="1:13">
      <c r="A14" s="797" t="str">
        <f>Contents!A13</f>
        <v>Rhode Island Energy - RI Gas</v>
      </c>
      <c r="B14" s="797"/>
      <c r="C14" s="797"/>
      <c r="D14" s="797"/>
      <c r="E14" s="797"/>
      <c r="F14" s="797"/>
      <c r="G14" s="797"/>
      <c r="H14" s="797"/>
      <c r="I14" s="797"/>
      <c r="J14" s="797"/>
      <c r="K14" s="797"/>
      <c r="L14" s="26"/>
      <c r="M14" s="26"/>
    </row>
    <row r="15" spans="1:13">
      <c r="A15" s="797" t="s">
        <v>16</v>
      </c>
      <c r="B15" s="797"/>
      <c r="C15" s="797"/>
      <c r="D15" s="797"/>
      <c r="E15" s="797"/>
      <c r="F15" s="797"/>
      <c r="G15" s="797"/>
      <c r="H15" s="797"/>
      <c r="I15" s="797"/>
      <c r="J15" s="797"/>
      <c r="K15" s="797"/>
      <c r="L15" s="26"/>
      <c r="M15" s="26"/>
    </row>
    <row r="16" spans="1:13">
      <c r="A16" s="797" t="str">
        <f>Contents!A15</f>
        <v>For the Twelve Months ended December 31, 2025</v>
      </c>
      <c r="B16" s="797"/>
      <c r="C16" s="797"/>
      <c r="D16" s="797"/>
      <c r="E16" s="797"/>
      <c r="F16" s="797"/>
      <c r="G16" s="797"/>
      <c r="H16" s="797"/>
      <c r="I16" s="797"/>
      <c r="J16" s="797"/>
      <c r="K16" s="797"/>
      <c r="L16" s="26"/>
      <c r="M16" s="26"/>
    </row>
    <row r="17" spans="1:13">
      <c r="A17" s="797"/>
      <c r="B17" s="797"/>
      <c r="C17" s="797"/>
      <c r="D17" s="797"/>
      <c r="E17" s="797"/>
      <c r="F17" s="797"/>
      <c r="G17" s="797"/>
      <c r="H17" s="797"/>
      <c r="I17" s="797"/>
      <c r="J17" s="797"/>
      <c r="K17" s="797"/>
      <c r="L17" s="26"/>
      <c r="M17" s="26"/>
    </row>
    <row r="18" spans="1:13">
      <c r="A18" s="26"/>
      <c r="B18" s="26"/>
      <c r="C18" s="26"/>
      <c r="D18" s="26"/>
      <c r="E18" s="26"/>
      <c r="F18" s="26"/>
      <c r="G18" s="26"/>
      <c r="H18" s="26"/>
      <c r="I18" s="27"/>
      <c r="J18" s="26"/>
      <c r="K18" s="26"/>
      <c r="L18" s="26"/>
      <c r="M18" s="26"/>
    </row>
    <row r="19" spans="1:13">
      <c r="A19" s="26"/>
      <c r="B19" s="26"/>
      <c r="C19" s="26"/>
      <c r="D19" s="26"/>
      <c r="E19" s="26"/>
      <c r="F19" s="26"/>
      <c r="G19" s="8" t="s">
        <v>16</v>
      </c>
      <c r="H19" s="26"/>
      <c r="I19" s="8" t="s">
        <v>72</v>
      </c>
      <c r="J19" s="26"/>
      <c r="K19" s="8">
        <f>Index!G17</f>
        <v>2025</v>
      </c>
      <c r="L19" s="26" t="s">
        <v>72</v>
      </c>
      <c r="M19" s="26"/>
    </row>
    <row r="20" spans="1:13">
      <c r="A20" s="26"/>
      <c r="B20" s="26"/>
      <c r="C20" s="26"/>
      <c r="D20" s="26"/>
      <c r="E20" s="26"/>
      <c r="F20" s="26"/>
      <c r="G20" s="36" t="s">
        <v>73</v>
      </c>
      <c r="H20" s="26"/>
      <c r="I20" s="36" t="s">
        <v>74</v>
      </c>
      <c r="J20" s="26"/>
      <c r="K20" s="36" t="s">
        <v>75</v>
      </c>
      <c r="L20" s="26"/>
      <c r="M20" s="26"/>
    </row>
    <row r="21" spans="1:13">
      <c r="A21" s="36">
        <v>1</v>
      </c>
      <c r="B21" s="23" t="s">
        <v>76</v>
      </c>
      <c r="C21" s="26"/>
      <c r="D21" s="26"/>
      <c r="E21" s="26"/>
      <c r="F21" s="26"/>
      <c r="G21" s="26"/>
      <c r="H21" s="26"/>
      <c r="I21" s="26"/>
      <c r="J21" s="26"/>
      <c r="K21" s="26"/>
      <c r="L21" s="26"/>
      <c r="M21" s="26"/>
    </row>
    <row r="22" spans="1:13">
      <c r="A22" s="36">
        <f t="shared" ref="A22:A64" si="0">A21+1</f>
        <v>2</v>
      </c>
      <c r="B22" s="26"/>
      <c r="C22" s="26" t="s">
        <v>77</v>
      </c>
      <c r="D22" s="26"/>
      <c r="E22" s="26"/>
      <c r="F22" s="605" t="s">
        <v>136</v>
      </c>
      <c r="G22" s="27" t="e">
        <f>-#REF!</f>
        <v>#REF!</v>
      </c>
      <c r="H22" s="27" t="s">
        <v>192</v>
      </c>
      <c r="I22" s="27">
        <f>-G89-G90-G91-G92</f>
        <v>19075242</v>
      </c>
      <c r="J22" s="81" t="s">
        <v>78</v>
      </c>
      <c r="K22" s="27" t="e">
        <f>I22+G22</f>
        <v>#REF!</v>
      </c>
      <c r="L22" s="33" t="s">
        <v>79</v>
      </c>
      <c r="M22" s="26"/>
    </row>
    <row r="23" spans="1:13">
      <c r="A23" s="36">
        <f t="shared" si="0"/>
        <v>3</v>
      </c>
      <c r="B23" s="26"/>
      <c r="C23" s="26" t="s">
        <v>80</v>
      </c>
      <c r="D23" s="26"/>
      <c r="E23" s="26"/>
      <c r="F23" s="605" t="s">
        <v>136</v>
      </c>
      <c r="G23" s="27" t="e">
        <f>-#REF!</f>
        <v>#REF!</v>
      </c>
      <c r="H23" s="27" t="s">
        <v>193</v>
      </c>
      <c r="I23" s="27">
        <v>1062525.56</v>
      </c>
      <c r="J23" s="27" t="s">
        <v>81</v>
      </c>
      <c r="K23" s="27" t="e">
        <f>I23+G23</f>
        <v>#REF!</v>
      </c>
      <c r="L23" s="26" t="s">
        <v>82</v>
      </c>
      <c r="M23" s="26"/>
    </row>
    <row r="24" spans="1:13">
      <c r="A24" s="36">
        <f t="shared" si="0"/>
        <v>4</v>
      </c>
      <c r="B24" s="26"/>
      <c r="C24" s="26" t="s">
        <v>83</v>
      </c>
      <c r="D24" s="26"/>
      <c r="E24" s="26"/>
      <c r="F24" s="605" t="s">
        <v>136</v>
      </c>
      <c r="G24" s="27" t="e">
        <f>-#REF!</f>
        <v>#REF!</v>
      </c>
      <c r="H24" s="27" t="s">
        <v>194</v>
      </c>
      <c r="I24" s="113" t="e">
        <v>#REF!</v>
      </c>
      <c r="J24" s="27" t="s">
        <v>195</v>
      </c>
      <c r="K24" s="27" t="e">
        <f>I24+G24</f>
        <v>#REF!</v>
      </c>
      <c r="L24" s="26" t="s">
        <v>84</v>
      </c>
      <c r="M24" s="26"/>
    </row>
    <row r="25" spans="1:13">
      <c r="A25" s="36">
        <v>5</v>
      </c>
      <c r="B25" s="26"/>
      <c r="C25" s="26"/>
      <c r="D25" s="26" t="s">
        <v>85</v>
      </c>
      <c r="E25" s="26"/>
      <c r="F25" s="26"/>
      <c r="G25" s="606" t="e">
        <f>SUM(G22:G24)</f>
        <v>#REF!</v>
      </c>
      <c r="H25" s="27"/>
      <c r="I25" s="606" t="e">
        <f>SUM(I22:I24)</f>
        <v>#REF!</v>
      </c>
      <c r="J25" s="27"/>
      <c r="K25" s="606" t="e">
        <f>SUM(K22:K24)</f>
        <v>#REF!</v>
      </c>
      <c r="L25" s="26"/>
      <c r="M25" s="26"/>
    </row>
    <row r="26" spans="1:13">
      <c r="A26" s="36">
        <f t="shared" si="0"/>
        <v>6</v>
      </c>
      <c r="B26" s="26"/>
      <c r="C26" s="26"/>
      <c r="D26" s="26"/>
      <c r="E26" s="26"/>
      <c r="F26" s="26"/>
      <c r="G26" s="27"/>
      <c r="H26" s="27"/>
      <c r="I26" s="27"/>
      <c r="J26" s="27"/>
      <c r="K26" s="27"/>
      <c r="L26" s="26"/>
      <c r="M26" s="26"/>
    </row>
    <row r="27" spans="1:13">
      <c r="A27" s="36">
        <f>A26+1</f>
        <v>7</v>
      </c>
      <c r="B27" s="26"/>
      <c r="C27" s="24" t="s">
        <v>86</v>
      </c>
      <c r="D27" s="26"/>
      <c r="E27" s="26"/>
      <c r="F27" s="26"/>
      <c r="G27" s="27"/>
      <c r="H27" s="27"/>
      <c r="I27" s="27"/>
      <c r="J27" s="27"/>
      <c r="K27" s="27"/>
      <c r="L27" s="26"/>
      <c r="M27" s="26"/>
    </row>
    <row r="28" spans="1:13">
      <c r="A28" s="36">
        <f t="shared" si="0"/>
        <v>8</v>
      </c>
      <c r="B28" s="26"/>
      <c r="C28" s="26"/>
      <c r="D28" s="26" t="s">
        <v>87</v>
      </c>
      <c r="E28" s="26"/>
      <c r="F28" s="605" t="s">
        <v>136</v>
      </c>
      <c r="G28" s="27"/>
      <c r="H28" s="27"/>
      <c r="I28" s="27">
        <v>-1263056.7291742233</v>
      </c>
      <c r="J28" s="27" t="s">
        <v>88</v>
      </c>
      <c r="K28" s="27">
        <f>I28+G28</f>
        <v>-1263056.7291742233</v>
      </c>
      <c r="L28" s="26" t="s">
        <v>89</v>
      </c>
      <c r="M28" s="26"/>
    </row>
    <row r="29" spans="1:13">
      <c r="A29" s="715">
        <f t="shared" si="0"/>
        <v>9</v>
      </c>
      <c r="B29" s="716"/>
      <c r="C29" s="716"/>
      <c r="D29" s="716" t="s">
        <v>90</v>
      </c>
      <c r="E29" s="716"/>
      <c r="F29" s="718"/>
      <c r="G29" s="717"/>
      <c r="H29" s="717"/>
      <c r="I29" s="717">
        <v>9164707</v>
      </c>
      <c r="J29" s="717"/>
      <c r="K29" s="717">
        <f>+I29+G29</f>
        <v>9164707</v>
      </c>
      <c r="L29" s="716" t="s">
        <v>196</v>
      </c>
      <c r="M29" s="26"/>
    </row>
    <row r="30" spans="1:13">
      <c r="A30" s="36">
        <f t="shared" si="0"/>
        <v>10</v>
      </c>
      <c r="B30" s="26"/>
      <c r="C30" s="26"/>
      <c r="D30" s="26"/>
      <c r="E30" s="26" t="s">
        <v>91</v>
      </c>
      <c r="F30" s="26"/>
      <c r="G30" s="606" t="e">
        <f>SUM(G25:G29)</f>
        <v>#REF!</v>
      </c>
      <c r="H30" s="27"/>
      <c r="I30" s="606" t="e">
        <f>SUM(I25:I29)</f>
        <v>#REF!</v>
      </c>
      <c r="J30" s="27"/>
      <c r="K30" s="606" t="e">
        <f>SUM(K25:K29)</f>
        <v>#REF!</v>
      </c>
      <c r="L30" s="26"/>
      <c r="M30" s="26"/>
    </row>
    <row r="31" spans="1:13">
      <c r="A31" s="36">
        <f t="shared" si="0"/>
        <v>11</v>
      </c>
      <c r="B31" s="26"/>
      <c r="C31" s="26"/>
      <c r="D31" s="26"/>
      <c r="E31" s="26"/>
      <c r="F31" s="26"/>
      <c r="G31" s="27"/>
      <c r="H31" s="27"/>
      <c r="I31" s="27"/>
      <c r="J31" s="27"/>
      <c r="K31" s="27"/>
      <c r="L31" s="26"/>
      <c r="M31" s="26"/>
    </row>
    <row r="32" spans="1:13">
      <c r="A32" s="36">
        <f>A31+1</f>
        <v>12</v>
      </c>
      <c r="B32" s="23" t="s">
        <v>92</v>
      </c>
      <c r="C32" s="26"/>
      <c r="D32" s="26"/>
      <c r="E32" s="26"/>
      <c r="F32" s="26"/>
      <c r="G32" s="27"/>
      <c r="H32" s="27"/>
      <c r="I32" s="27"/>
      <c r="J32" s="27"/>
      <c r="K32" s="27"/>
      <c r="L32" s="26"/>
      <c r="M32" s="26"/>
    </row>
    <row r="33" spans="1:17">
      <c r="A33" s="36">
        <f t="shared" si="0"/>
        <v>13</v>
      </c>
      <c r="B33" s="26"/>
      <c r="C33" s="26" t="s">
        <v>93</v>
      </c>
      <c r="D33" s="26"/>
      <c r="E33" s="26"/>
      <c r="F33" s="605" t="s">
        <v>136</v>
      </c>
      <c r="G33" s="27" t="e">
        <f>#REF!</f>
        <v>#REF!</v>
      </c>
      <c r="H33" s="27" t="s">
        <v>197</v>
      </c>
      <c r="I33" s="27"/>
      <c r="J33" s="27"/>
      <c r="K33" s="27" t="e">
        <f t="shared" ref="K33:K38" si="1">I33+G33</f>
        <v>#REF!</v>
      </c>
      <c r="L33" s="26"/>
      <c r="M33" s="26"/>
    </row>
    <row r="34" spans="1:17">
      <c r="A34" s="36">
        <f t="shared" si="0"/>
        <v>14</v>
      </c>
      <c r="B34" s="26"/>
      <c r="C34" s="26" t="s">
        <v>94</v>
      </c>
      <c r="D34" s="26"/>
      <c r="E34" s="26"/>
      <c r="F34" s="605" t="s">
        <v>136</v>
      </c>
      <c r="G34" s="27" t="e">
        <f>#REF!</f>
        <v>#REF!</v>
      </c>
      <c r="H34" s="27" t="s">
        <v>198</v>
      </c>
      <c r="I34" s="27"/>
      <c r="J34" s="27"/>
      <c r="K34" s="27" t="e">
        <f t="shared" si="1"/>
        <v>#REF!</v>
      </c>
      <c r="L34" s="26"/>
      <c r="M34" s="26"/>
    </row>
    <row r="35" spans="1:17">
      <c r="A35" s="36">
        <f t="shared" si="0"/>
        <v>15</v>
      </c>
      <c r="B35" s="26"/>
      <c r="C35" s="26" t="s">
        <v>95</v>
      </c>
      <c r="D35" s="26"/>
      <c r="E35" s="26"/>
      <c r="F35" s="605" t="s">
        <v>136</v>
      </c>
      <c r="G35" s="27" t="e">
        <f>#REF!</f>
        <v>#REF!</v>
      </c>
      <c r="H35" s="27" t="s">
        <v>199</v>
      </c>
      <c r="I35" s="27"/>
      <c r="J35" s="27"/>
      <c r="K35" s="27" t="e">
        <f t="shared" si="1"/>
        <v>#REF!</v>
      </c>
      <c r="L35" s="26"/>
      <c r="M35" s="26"/>
    </row>
    <row r="36" spans="1:17">
      <c r="A36" s="36">
        <f t="shared" si="0"/>
        <v>16</v>
      </c>
      <c r="B36" s="26"/>
      <c r="C36" s="26" t="s">
        <v>96</v>
      </c>
      <c r="D36" s="26"/>
      <c r="E36" s="26"/>
      <c r="F36" s="605" t="s">
        <v>136</v>
      </c>
      <c r="G36" s="27" t="e">
        <f>#REF!</f>
        <v>#REF!</v>
      </c>
      <c r="H36" s="27" t="s">
        <v>200</v>
      </c>
      <c r="I36" s="27"/>
      <c r="J36" s="27"/>
      <c r="K36" s="27" t="e">
        <f t="shared" si="1"/>
        <v>#REF!</v>
      </c>
      <c r="L36" s="94"/>
      <c r="M36" s="26"/>
    </row>
    <row r="37" spans="1:17">
      <c r="A37" s="36">
        <f t="shared" si="0"/>
        <v>17</v>
      </c>
      <c r="B37" s="26"/>
      <c r="C37" s="26" t="s">
        <v>97</v>
      </c>
      <c r="D37" s="26"/>
      <c r="E37" s="26"/>
      <c r="F37" s="605" t="s">
        <v>136</v>
      </c>
      <c r="G37" s="27" t="e">
        <f>#REF!</f>
        <v>#REF!</v>
      </c>
      <c r="H37" s="27" t="s">
        <v>201</v>
      </c>
      <c r="I37" s="27" t="e">
        <v>#REF!</v>
      </c>
      <c r="J37" s="27" t="s">
        <v>202</v>
      </c>
      <c r="K37" s="27" t="e">
        <f t="shared" si="1"/>
        <v>#REF!</v>
      </c>
      <c r="L37" s="33" t="s">
        <v>203</v>
      </c>
      <c r="M37" s="26"/>
    </row>
    <row r="38" spans="1:17">
      <c r="A38" s="36">
        <f t="shared" si="0"/>
        <v>18</v>
      </c>
      <c r="B38" s="26"/>
      <c r="C38" s="26" t="s">
        <v>98</v>
      </c>
      <c r="D38" s="26"/>
      <c r="E38" s="26"/>
      <c r="F38" s="605" t="s">
        <v>136</v>
      </c>
      <c r="G38" s="27" t="e">
        <f>#REF!</f>
        <v>#REF!</v>
      </c>
      <c r="H38" s="27" t="s">
        <v>204</v>
      </c>
      <c r="I38" s="27" t="e">
        <f>-G38</f>
        <v>#REF!</v>
      </c>
      <c r="J38" s="27" t="s">
        <v>99</v>
      </c>
      <c r="K38" s="27" t="e">
        <f t="shared" si="1"/>
        <v>#REF!</v>
      </c>
      <c r="L38" s="26"/>
      <c r="M38" s="26"/>
    </row>
    <row r="39" spans="1:17">
      <c r="A39" s="36">
        <f t="shared" si="0"/>
        <v>19</v>
      </c>
      <c r="B39" s="26"/>
      <c r="C39" s="26" t="s">
        <v>100</v>
      </c>
      <c r="D39" s="26"/>
      <c r="E39" s="26"/>
      <c r="F39" s="605" t="s">
        <v>136</v>
      </c>
      <c r="G39" s="27" t="e">
        <f>#REF!</f>
        <v>#REF!</v>
      </c>
      <c r="H39" s="27" t="s">
        <v>205</v>
      </c>
      <c r="I39" s="27">
        <f>+G109+G110+G111</f>
        <v>-8271308.25</v>
      </c>
      <c r="J39" s="27" t="s">
        <v>101</v>
      </c>
      <c r="K39" s="27" t="e">
        <f>I39+G39</f>
        <v>#REF!</v>
      </c>
      <c r="L39" s="713" t="s">
        <v>102</v>
      </c>
      <c r="M39" s="26"/>
      <c r="Q39" s="79"/>
    </row>
    <row r="40" spans="1:17">
      <c r="A40" s="36">
        <f t="shared" si="0"/>
        <v>20</v>
      </c>
      <c r="B40" s="26"/>
      <c r="C40" s="26"/>
      <c r="D40" s="26" t="s">
        <v>103</v>
      </c>
      <c r="E40" s="26"/>
      <c r="F40" s="26"/>
      <c r="G40" s="606" t="e">
        <f>SUM(G33:G39)</f>
        <v>#REF!</v>
      </c>
      <c r="H40" s="27"/>
      <c r="I40" s="606" t="e">
        <f>SUM(I33:I39)</f>
        <v>#REF!</v>
      </c>
      <c r="J40" s="27"/>
      <c r="K40" s="606" t="e">
        <f>SUM(K33:K39)</f>
        <v>#REF!</v>
      </c>
      <c r="L40" s="26"/>
      <c r="M40" s="26"/>
    </row>
    <row r="41" spans="1:17">
      <c r="A41" s="36">
        <f t="shared" si="0"/>
        <v>21</v>
      </c>
      <c r="B41" s="26"/>
      <c r="C41" s="26"/>
      <c r="D41" s="26"/>
      <c r="E41" s="26"/>
      <c r="F41" s="26"/>
      <c r="G41" s="27"/>
      <c r="H41" s="27"/>
      <c r="I41" s="27"/>
      <c r="J41" s="27"/>
      <c r="K41" s="27"/>
      <c r="L41" s="27"/>
      <c r="M41" s="26"/>
    </row>
    <row r="42" spans="1:17">
      <c r="A42" s="36">
        <f t="shared" si="0"/>
        <v>22</v>
      </c>
      <c r="B42" s="23" t="s">
        <v>104</v>
      </c>
      <c r="C42" s="26"/>
      <c r="D42" s="26"/>
      <c r="E42" s="26"/>
      <c r="F42" s="26"/>
      <c r="G42" s="27"/>
      <c r="H42" s="27"/>
      <c r="I42" s="113"/>
      <c r="J42" s="27"/>
      <c r="K42" s="113"/>
      <c r="L42" s="26"/>
      <c r="M42" s="26"/>
    </row>
    <row r="43" spans="1:17">
      <c r="A43" s="36">
        <f t="shared" si="0"/>
        <v>23</v>
      </c>
      <c r="B43" s="26"/>
      <c r="C43" s="26" t="s">
        <v>105</v>
      </c>
      <c r="D43" s="26"/>
      <c r="E43" s="26"/>
      <c r="F43" s="605" t="s">
        <v>136</v>
      </c>
      <c r="G43" s="27" t="e">
        <f>#REF!</f>
        <v>#REF!</v>
      </c>
      <c r="H43" s="27" t="s">
        <v>206</v>
      </c>
      <c r="I43" s="27"/>
      <c r="J43" s="27"/>
      <c r="K43" s="27" t="e">
        <f>I43+G43</f>
        <v>#REF!</v>
      </c>
      <c r="L43" s="26"/>
      <c r="M43" s="26"/>
    </row>
    <row r="44" spans="1:17">
      <c r="A44" s="36">
        <f t="shared" si="0"/>
        <v>24</v>
      </c>
      <c r="B44" s="26"/>
      <c r="C44" s="26" t="s">
        <v>106</v>
      </c>
      <c r="D44" s="26"/>
      <c r="E44" s="26"/>
      <c r="F44" s="605" t="s">
        <v>136</v>
      </c>
      <c r="G44" s="27" t="e">
        <f>#REF!+#REF!+#REF!-#REF!</f>
        <v>#REF!</v>
      </c>
      <c r="H44" s="27" t="s">
        <v>207</v>
      </c>
      <c r="I44" s="113"/>
      <c r="J44" s="27"/>
      <c r="K44" s="27" t="e">
        <f>I44+G44</f>
        <v>#REF!</v>
      </c>
      <c r="L44" s="26"/>
      <c r="M44" s="26"/>
    </row>
    <row r="45" spans="1:17">
      <c r="A45" s="36">
        <f t="shared" si="0"/>
        <v>25</v>
      </c>
      <c r="B45" s="26"/>
      <c r="C45" s="26" t="s">
        <v>107</v>
      </c>
      <c r="D45" s="26"/>
      <c r="E45" s="26"/>
      <c r="F45" s="605" t="s">
        <v>136</v>
      </c>
      <c r="G45" s="27" t="e">
        <f>#REF!</f>
        <v>#REF!</v>
      </c>
      <c r="H45" s="27" t="s">
        <v>207</v>
      </c>
      <c r="I45" s="27"/>
      <c r="J45" s="27"/>
      <c r="K45" s="27" t="e">
        <f>I45+G45</f>
        <v>#REF!</v>
      </c>
      <c r="L45" s="26"/>
      <c r="M45" s="26"/>
    </row>
    <row r="46" spans="1:17">
      <c r="A46" s="36">
        <f t="shared" si="0"/>
        <v>26</v>
      </c>
      <c r="B46" s="26"/>
      <c r="C46" s="33" t="s">
        <v>108</v>
      </c>
      <c r="D46" s="26"/>
      <c r="E46" s="26"/>
      <c r="F46" s="605" t="s">
        <v>136</v>
      </c>
      <c r="G46" s="27" t="e">
        <f>#REF!</f>
        <v>#REF!</v>
      </c>
      <c r="H46" s="27" t="s">
        <v>208</v>
      </c>
      <c r="I46" s="27" t="e">
        <f>-G46+'FIT Calculation'!D42</f>
        <v>#REF!</v>
      </c>
      <c r="J46" s="27" t="s">
        <v>109</v>
      </c>
      <c r="K46" s="27" t="e">
        <f>I46+G46</f>
        <v>#REF!</v>
      </c>
      <c r="L46" s="114" t="s">
        <v>110</v>
      </c>
      <c r="M46" s="26"/>
    </row>
    <row r="47" spans="1:17">
      <c r="A47" s="36">
        <f t="shared" si="0"/>
        <v>27</v>
      </c>
      <c r="B47" s="26"/>
      <c r="C47" s="26"/>
      <c r="D47" s="26" t="s">
        <v>111</v>
      </c>
      <c r="E47" s="26"/>
      <c r="F47" s="605" t="s">
        <v>136</v>
      </c>
      <c r="G47" s="606" t="e">
        <f>SUM(G43:G46)</f>
        <v>#REF!</v>
      </c>
      <c r="H47" s="27"/>
      <c r="I47" s="606" t="e">
        <f>SUM(I43:I46)</f>
        <v>#REF!</v>
      </c>
      <c r="J47" s="27"/>
      <c r="K47" s="606" t="e">
        <f>SUM(K43:K46)</f>
        <v>#REF!</v>
      </c>
      <c r="L47" s="27"/>
      <c r="M47" s="26"/>
    </row>
    <row r="48" spans="1:17">
      <c r="A48" s="36">
        <f t="shared" si="0"/>
        <v>28</v>
      </c>
      <c r="B48" s="26"/>
      <c r="C48" s="26"/>
      <c r="D48" s="26"/>
      <c r="E48" s="26"/>
      <c r="F48" s="26"/>
      <c r="G48" s="27"/>
      <c r="H48" s="27"/>
      <c r="I48" s="27"/>
      <c r="J48" s="27"/>
      <c r="K48" s="27"/>
      <c r="L48" s="92"/>
      <c r="M48" s="26"/>
    </row>
    <row r="49" spans="1:13">
      <c r="A49" s="36">
        <f t="shared" si="0"/>
        <v>29</v>
      </c>
      <c r="B49" s="7" t="s">
        <v>112</v>
      </c>
      <c r="C49" s="26"/>
      <c r="D49" s="26"/>
      <c r="E49" s="26"/>
      <c r="F49" s="26"/>
      <c r="G49" s="606" t="e">
        <f>(G30-G40-G47)</f>
        <v>#REF!</v>
      </c>
      <c r="H49" s="27"/>
      <c r="I49" s="606" t="e">
        <f>(I30-I40-I47)</f>
        <v>#REF!</v>
      </c>
      <c r="J49" s="27"/>
      <c r="K49" s="606" t="e">
        <f>(K30-K40-K47)</f>
        <v>#REF!</v>
      </c>
      <c r="L49" s="90"/>
      <c r="M49" s="26"/>
    </row>
    <row r="50" spans="1:13">
      <c r="A50" s="36">
        <f t="shared" si="0"/>
        <v>30</v>
      </c>
      <c r="B50" s="26"/>
      <c r="C50" s="26"/>
      <c r="D50" s="26"/>
      <c r="E50" s="26"/>
      <c r="F50" s="26"/>
      <c r="G50" s="27"/>
      <c r="H50" s="27"/>
      <c r="I50" s="27"/>
      <c r="J50" s="27"/>
      <c r="K50" s="27"/>
      <c r="L50" s="26"/>
      <c r="M50" s="26"/>
    </row>
    <row r="51" spans="1:13">
      <c r="A51" s="36">
        <f t="shared" si="0"/>
        <v>31</v>
      </c>
      <c r="B51" s="23" t="s">
        <v>113</v>
      </c>
      <c r="C51" s="26"/>
      <c r="D51" s="26"/>
      <c r="E51" s="26"/>
      <c r="F51" s="26"/>
      <c r="G51" s="27"/>
      <c r="H51" s="27"/>
      <c r="I51" s="27"/>
      <c r="J51" s="27"/>
      <c r="K51" s="27"/>
      <c r="L51" s="27"/>
      <c r="M51" s="94"/>
    </row>
    <row r="52" spans="1:13">
      <c r="A52" s="36">
        <f t="shared" si="0"/>
        <v>32</v>
      </c>
      <c r="B52" s="26"/>
      <c r="C52" s="26" t="s">
        <v>114</v>
      </c>
      <c r="D52" s="26"/>
      <c r="E52" s="26"/>
      <c r="F52" s="605" t="s">
        <v>136</v>
      </c>
      <c r="G52" s="27" t="e">
        <f>#REF!</f>
        <v>#REF!</v>
      </c>
      <c r="H52" s="27" t="s">
        <v>209</v>
      </c>
      <c r="I52" s="27" t="e">
        <f>-G52</f>
        <v>#REF!</v>
      </c>
      <c r="J52" s="27" t="s">
        <v>115</v>
      </c>
      <c r="K52" s="27" t="e">
        <f>I52+G52</f>
        <v>#REF!</v>
      </c>
      <c r="L52" s="26"/>
      <c r="M52" s="26"/>
    </row>
    <row r="53" spans="1:13">
      <c r="A53" s="36">
        <f t="shared" si="0"/>
        <v>33</v>
      </c>
      <c r="B53" s="26"/>
      <c r="C53" s="26" t="s">
        <v>116</v>
      </c>
      <c r="D53" s="26"/>
      <c r="E53" s="26"/>
      <c r="F53" s="605" t="s">
        <v>136</v>
      </c>
      <c r="G53" s="27">
        <v>0</v>
      </c>
      <c r="H53" s="27"/>
      <c r="I53" s="27">
        <f>'Cap Int Pref'!E50</f>
        <v>532837.77955160511</v>
      </c>
      <c r="J53" s="27" t="s">
        <v>117</v>
      </c>
      <c r="K53" s="27">
        <f>I53+G53</f>
        <v>532837.77955160511</v>
      </c>
      <c r="L53" s="27"/>
      <c r="M53" s="26"/>
    </row>
    <row r="54" spans="1:13">
      <c r="A54" s="36">
        <f t="shared" si="0"/>
        <v>34</v>
      </c>
      <c r="B54" s="26"/>
      <c r="C54" s="26" t="s">
        <v>118</v>
      </c>
      <c r="D54" s="26"/>
      <c r="E54" s="26"/>
      <c r="F54" s="605" t="s">
        <v>136</v>
      </c>
      <c r="G54" s="27" t="e">
        <f>#REF!</f>
        <v>#REF!</v>
      </c>
      <c r="H54" s="27" t="s">
        <v>210</v>
      </c>
      <c r="I54" s="27" t="e">
        <f>'Cap Int Pref'!E42-'Income Statement (2)'!G54</f>
        <v>#REF!</v>
      </c>
      <c r="J54" s="27" t="s">
        <v>119</v>
      </c>
      <c r="K54" s="27" t="e">
        <f>I54+G54</f>
        <v>#REF!</v>
      </c>
      <c r="L54" s="26"/>
      <c r="M54" s="26"/>
    </row>
    <row r="55" spans="1:13">
      <c r="A55" s="36">
        <f t="shared" si="0"/>
        <v>35</v>
      </c>
      <c r="B55" s="26"/>
      <c r="C55" s="26" t="s">
        <v>120</v>
      </c>
      <c r="D55" s="26"/>
      <c r="E55" s="26"/>
      <c r="F55" s="605" t="s">
        <v>136</v>
      </c>
      <c r="G55" s="27" t="e">
        <f>#REF!</f>
        <v>#REF!</v>
      </c>
      <c r="H55" s="27" t="s">
        <v>211</v>
      </c>
      <c r="I55" s="27" t="e">
        <f>-#REF!+'94310000'!V33</f>
        <v>#REF!</v>
      </c>
      <c r="J55" s="149" t="s">
        <v>121</v>
      </c>
      <c r="K55" s="27" t="e">
        <f>I55+G55</f>
        <v>#REF!</v>
      </c>
      <c r="L55" s="26"/>
      <c r="M55" s="26"/>
    </row>
    <row r="56" spans="1:13">
      <c r="A56" s="36">
        <f t="shared" si="0"/>
        <v>36</v>
      </c>
      <c r="B56" s="26"/>
      <c r="C56" s="26" t="s">
        <v>122</v>
      </c>
      <c r="D56" s="26"/>
      <c r="E56" s="26"/>
      <c r="F56" s="605" t="s">
        <v>136</v>
      </c>
      <c r="G56" s="27" t="e">
        <f>#REF!</f>
        <v>#REF!</v>
      </c>
      <c r="H56" s="27" t="s">
        <v>212</v>
      </c>
      <c r="I56" s="27"/>
      <c r="J56" s="27"/>
      <c r="K56" s="27" t="e">
        <f>I56+G56</f>
        <v>#REF!</v>
      </c>
      <c r="L56" s="26"/>
      <c r="M56" s="26"/>
    </row>
    <row r="57" spans="1:13">
      <c r="A57" s="36">
        <f t="shared" si="0"/>
        <v>37</v>
      </c>
      <c r="B57" s="26"/>
      <c r="C57" s="26"/>
      <c r="D57" s="26" t="s">
        <v>123</v>
      </c>
      <c r="E57" s="26"/>
      <c r="F57" s="26"/>
      <c r="G57" s="606" t="e">
        <f>SUM(G52:G56)</f>
        <v>#REF!</v>
      </c>
      <c r="H57" s="27"/>
      <c r="I57" s="606" t="e">
        <f>SUM(I52:I56)</f>
        <v>#REF!</v>
      </c>
      <c r="J57" s="27"/>
      <c r="K57" s="606" t="e">
        <f>SUM(K52:K56)</f>
        <v>#REF!</v>
      </c>
      <c r="L57" s="26"/>
      <c r="M57" s="26"/>
    </row>
    <row r="58" spans="1:13">
      <c r="A58" s="36">
        <f t="shared" si="0"/>
        <v>38</v>
      </c>
      <c r="B58" s="26"/>
      <c r="C58" s="26"/>
      <c r="D58" s="26"/>
      <c r="E58" s="26"/>
      <c r="F58" s="26"/>
      <c r="G58" s="27"/>
      <c r="H58" s="27"/>
      <c r="I58" s="27"/>
      <c r="J58" s="27"/>
      <c r="K58" s="27"/>
      <c r="L58" s="26"/>
      <c r="M58" s="26"/>
    </row>
    <row r="59" spans="1:13">
      <c r="A59" s="36">
        <f t="shared" si="0"/>
        <v>39</v>
      </c>
      <c r="B59" s="7" t="s">
        <v>124</v>
      </c>
      <c r="C59" s="26"/>
      <c r="D59" s="26"/>
      <c r="E59" s="26"/>
      <c r="F59" s="26"/>
      <c r="G59" s="606" t="e">
        <f>(G49-G57)</f>
        <v>#REF!</v>
      </c>
      <c r="H59" s="27"/>
      <c r="I59" s="606" t="e">
        <f>(I49-I57)</f>
        <v>#REF!</v>
      </c>
      <c r="J59" s="27"/>
      <c r="K59" s="606" t="e">
        <f>(K49-K57)</f>
        <v>#REF!</v>
      </c>
      <c r="L59" s="26"/>
      <c r="M59" s="26"/>
    </row>
    <row r="60" spans="1:13">
      <c r="A60" s="36">
        <f t="shared" si="0"/>
        <v>40</v>
      </c>
      <c r="B60" s="26"/>
      <c r="C60" s="26"/>
      <c r="D60" s="26"/>
      <c r="E60" s="26"/>
      <c r="F60" s="26"/>
      <c r="G60" s="27"/>
      <c r="H60" s="27"/>
      <c r="I60" s="27"/>
      <c r="J60" s="27"/>
      <c r="K60" s="27"/>
      <c r="L60" s="26"/>
      <c r="M60" s="26"/>
    </row>
    <row r="61" spans="1:13">
      <c r="A61" s="36">
        <f t="shared" si="0"/>
        <v>41</v>
      </c>
      <c r="B61" s="26"/>
      <c r="C61" s="26" t="s">
        <v>125</v>
      </c>
      <c r="D61" s="26"/>
      <c r="E61" s="26"/>
      <c r="F61" s="605" t="s">
        <v>136</v>
      </c>
      <c r="G61" s="27"/>
      <c r="H61" s="27"/>
      <c r="I61" s="27">
        <f>'Cap Int Pref'!E59</f>
        <v>91031.511312916598</v>
      </c>
      <c r="J61" s="27" t="s">
        <v>126</v>
      </c>
      <c r="K61" s="27">
        <f>I61+G61</f>
        <v>91031.511312916598</v>
      </c>
      <c r="L61" s="26"/>
      <c r="M61" s="26"/>
    </row>
    <row r="62" spans="1:13">
      <c r="A62" s="36">
        <f t="shared" si="0"/>
        <v>42</v>
      </c>
      <c r="B62" s="26"/>
      <c r="C62" s="26" t="s">
        <v>127</v>
      </c>
      <c r="D62" s="26"/>
      <c r="E62" s="26"/>
      <c r="F62" s="605" t="s">
        <v>136</v>
      </c>
      <c r="G62" s="120" t="e">
        <f>+#REF!</f>
        <v>#REF!</v>
      </c>
      <c r="H62" s="27"/>
      <c r="I62" s="120">
        <f>+G125</f>
        <v>0</v>
      </c>
      <c r="J62" s="27" t="s">
        <v>128</v>
      </c>
      <c r="K62" s="120" t="e">
        <f>+G62+I62</f>
        <v>#REF!</v>
      </c>
      <c r="L62" s="26"/>
      <c r="M62" s="26"/>
    </row>
    <row r="63" spans="1:13">
      <c r="A63" s="36">
        <f t="shared" si="0"/>
        <v>43</v>
      </c>
      <c r="B63" s="26"/>
      <c r="C63" s="26"/>
      <c r="D63" s="26"/>
      <c r="E63" s="26"/>
      <c r="F63" s="26"/>
      <c r="G63" s="92"/>
      <c r="H63" s="27"/>
      <c r="I63" s="27"/>
      <c r="J63" s="27"/>
      <c r="K63" s="27"/>
      <c r="L63" s="26"/>
      <c r="M63" s="26"/>
    </row>
    <row r="64" spans="1:13" ht="15.75" thickBot="1">
      <c r="A64" s="36">
        <f t="shared" si="0"/>
        <v>44</v>
      </c>
      <c r="B64" s="7" t="s">
        <v>129</v>
      </c>
      <c r="C64" s="26"/>
      <c r="D64" s="26"/>
      <c r="E64" s="26"/>
      <c r="F64" s="26"/>
      <c r="G64" s="111" t="e">
        <f>G59-G61-G62</f>
        <v>#REF!</v>
      </c>
      <c r="H64" s="27"/>
      <c r="I64" s="111" t="e">
        <f>I59-I61-I62</f>
        <v>#REF!</v>
      </c>
      <c r="J64" s="27"/>
      <c r="K64" s="111" t="e">
        <f>K59-K61-K62</f>
        <v>#REF!</v>
      </c>
      <c r="L64" s="26"/>
      <c r="M64" s="26"/>
    </row>
    <row r="65" spans="1:13" ht="15.75" thickTop="1">
      <c r="A65" s="36"/>
      <c r="B65" s="26"/>
      <c r="C65" s="26"/>
      <c r="D65" s="26"/>
      <c r="E65" s="26"/>
      <c r="F65" s="26"/>
      <c r="G65" s="27"/>
      <c r="H65" s="27"/>
      <c r="I65" s="27"/>
      <c r="J65" s="27"/>
      <c r="K65" s="27"/>
      <c r="L65" s="26"/>
      <c r="M65" s="26"/>
    </row>
    <row r="66" spans="1:13">
      <c r="A66" s="36"/>
      <c r="B66" s="26"/>
      <c r="C66" s="26"/>
      <c r="D66" s="26"/>
      <c r="E66" s="26"/>
      <c r="F66" s="26"/>
      <c r="G66" s="117"/>
      <c r="H66" s="27"/>
      <c r="I66" s="27"/>
      <c r="J66" s="27"/>
      <c r="K66" s="27"/>
      <c r="L66" s="26"/>
      <c r="M66" s="26"/>
    </row>
    <row r="67" spans="1:13">
      <c r="A67" s="26"/>
      <c r="B67" s="26"/>
      <c r="C67" s="26"/>
      <c r="D67" s="26"/>
      <c r="E67" s="26"/>
      <c r="F67" s="26"/>
      <c r="G67" s="117"/>
      <c r="H67" s="27"/>
      <c r="I67" s="27"/>
      <c r="J67" s="27"/>
      <c r="K67" s="27"/>
      <c r="L67" s="26"/>
      <c r="M67" s="26"/>
    </row>
    <row r="68" spans="1:13">
      <c r="A68" s="93" t="s">
        <v>70</v>
      </c>
      <c r="E68" s="26"/>
      <c r="F68" s="26"/>
      <c r="G68" s="27"/>
      <c r="H68" s="27"/>
      <c r="I68" s="27"/>
      <c r="J68" s="27"/>
      <c r="K68" s="27"/>
      <c r="L68" s="26"/>
      <c r="M68" s="26"/>
    </row>
    <row r="69" spans="1:13">
      <c r="A69" s="36" t="str">
        <f>G20</f>
        <v>(a)</v>
      </c>
      <c r="B69" s="26" t="s">
        <v>130</v>
      </c>
      <c r="F69" s="26"/>
      <c r="G69" s="27"/>
      <c r="H69" s="27"/>
      <c r="I69" s="27"/>
      <c r="J69" s="27"/>
      <c r="K69" s="27"/>
      <c r="L69" s="26"/>
      <c r="M69" s="26"/>
    </row>
    <row r="70" spans="1:13">
      <c r="A70" s="36" t="str">
        <f>A21&amp;I20&amp;"-"&amp;A40&amp;I20</f>
        <v>1(b)-20(b)</v>
      </c>
      <c r="B70" s="26" t="str">
        <f>"From "&amp;'Recon of ESM to Annual- IS'!$H$12</f>
        <v>From Page 14 of 15</v>
      </c>
      <c r="F70" s="26"/>
      <c r="G70" s="27"/>
      <c r="H70" s="27"/>
      <c r="I70" s="27"/>
      <c r="J70" s="27"/>
      <c r="K70" s="27"/>
      <c r="L70" s="26"/>
      <c r="M70" s="26"/>
    </row>
    <row r="71" spans="1:13">
      <c r="A71" s="36" t="str">
        <f>K20</f>
        <v>(c)</v>
      </c>
      <c r="B71" s="26" t="str">
        <f>G20&amp;" + "&amp;I20</f>
        <v>(a) + (b)</v>
      </c>
      <c r="F71" s="26"/>
      <c r="G71" s="27"/>
      <c r="H71" s="27"/>
      <c r="I71" s="27"/>
      <c r="J71" s="27"/>
      <c r="K71" s="27"/>
      <c r="L71" s="26"/>
      <c r="M71" s="26"/>
    </row>
    <row r="72" spans="1:13">
      <c r="A72" s="36">
        <f>A24</f>
        <v>4</v>
      </c>
      <c r="B72" s="26" t="str">
        <f>CONCATENATE("From ",'Detail Other Rev'!G12," line ",'Detail Other Rev'!A67)</f>
        <v>From Page 7 of 15 line 36</v>
      </c>
      <c r="E72" s="26"/>
      <c r="F72" s="26"/>
      <c r="G72" s="27"/>
      <c r="H72" s="27"/>
      <c r="I72" s="27"/>
      <c r="J72" s="27"/>
      <c r="K72" s="27"/>
      <c r="L72" s="26"/>
      <c r="M72" s="26"/>
    </row>
    <row r="73" spans="1:13">
      <c r="A73" s="36">
        <f>A44</f>
        <v>24</v>
      </c>
      <c r="B73" s="26" t="str">
        <f>CONCATENATE("From ",'Working Capital'!D12," line ",'Working Capital'!A21, " through ", 'Working Capital'!A23)</f>
        <v>From Page 6 of 15 line 3 through 5</v>
      </c>
      <c r="E73" s="26"/>
      <c r="F73" s="26"/>
      <c r="G73" s="27"/>
      <c r="H73" s="27"/>
      <c r="I73" s="27"/>
      <c r="J73" s="27"/>
      <c r="K73" s="27"/>
      <c r="L73" s="26"/>
      <c r="M73" s="26"/>
    </row>
    <row r="74" spans="1:13">
      <c r="A74" s="36">
        <f>A45</f>
        <v>25</v>
      </c>
      <c r="B74" s="26" t="str">
        <f>CONCATENATE("From ",'Working Capital'!D12," line ",'Working Capital'!A25)</f>
        <v>From Page 6 of 15 line 7</v>
      </c>
      <c r="E74" s="26"/>
      <c r="F74" s="26"/>
      <c r="G74" s="27"/>
      <c r="H74" s="27"/>
      <c r="I74" s="27"/>
      <c r="J74" s="27"/>
      <c r="K74" s="27"/>
      <c r="L74" s="26"/>
      <c r="M74" s="26"/>
    </row>
    <row r="75" spans="1:13">
      <c r="A75" s="36">
        <f>A46</f>
        <v>26</v>
      </c>
      <c r="B75" s="26" t="str">
        <f>CONCATENATE("From ",'FIT Calculation'!D12," line ",'FIT Calculation'!A42)</f>
        <v>From Page 3 of 15 line 24</v>
      </c>
      <c r="E75" s="26"/>
      <c r="F75" s="26"/>
      <c r="G75" s="27"/>
      <c r="H75" s="27"/>
      <c r="I75" s="27"/>
      <c r="J75" s="27"/>
      <c r="K75" s="27"/>
      <c r="L75" s="26"/>
      <c r="M75" s="26"/>
    </row>
    <row r="76" spans="1:13">
      <c r="A76" s="36">
        <f>A52</f>
        <v>32</v>
      </c>
      <c r="B76" s="26" t="str">
        <f>CONCATENATE("From ",'Detail Non-Op Inc'!H12," line ",'Detail Non-Op Inc'!A45)</f>
        <v>From Page 9 of 15 line 25</v>
      </c>
      <c r="E76" s="26"/>
      <c r="F76" s="26"/>
      <c r="G76" s="27"/>
      <c r="H76" s="27"/>
      <c r="I76" s="27"/>
      <c r="J76" s="27"/>
      <c r="K76" s="27"/>
      <c r="L76" s="26"/>
      <c r="M76" s="26"/>
    </row>
    <row r="77" spans="1:13">
      <c r="A77" s="36">
        <f>A53</f>
        <v>33</v>
      </c>
      <c r="B77" s="26" t="str">
        <f>CONCATENATE("From ",'Cap Int Pref'!E12," line ",'Cap Int Pref'!A50, 'Cap Int Pref'!E22)</f>
        <v>From Page 4 of 15 line 27(b)</v>
      </c>
      <c r="E77" s="26"/>
      <c r="F77" s="26"/>
      <c r="G77" s="27"/>
      <c r="H77" s="27"/>
      <c r="I77" s="27"/>
      <c r="J77" s="27"/>
      <c r="K77" s="27"/>
      <c r="L77" s="26"/>
      <c r="M77" s="26"/>
    </row>
    <row r="78" spans="1:13">
      <c r="A78" s="36">
        <f>A54</f>
        <v>34</v>
      </c>
      <c r="B78" s="26" t="str">
        <f>CONCATENATE("From ",'Cap Int Pref'!E12," line ",'Cap Int Pref'!A42, 'Cap Int Pref'!E22)</f>
        <v>From Page 4 of 15 line 19(b)</v>
      </c>
      <c r="E78" s="26"/>
      <c r="F78" s="26"/>
      <c r="G78" s="27"/>
      <c r="H78" s="27"/>
      <c r="I78" s="27"/>
      <c r="J78" s="27"/>
      <c r="K78" s="27"/>
      <c r="L78" s="26"/>
      <c r="M78" s="26"/>
    </row>
    <row r="79" spans="1:13">
      <c r="A79" s="36">
        <f>A55</f>
        <v>35</v>
      </c>
      <c r="B79" s="26" t="str">
        <f>CONCATENATE("From ",'Detail Other Int Exp'!H12," line ",'Detail Other Int Exp'!A24)</f>
        <v>From Page 8 of 15 line 3</v>
      </c>
      <c r="E79" s="26"/>
      <c r="F79" s="26"/>
      <c r="G79" s="27"/>
      <c r="H79" s="27"/>
      <c r="I79" s="27"/>
      <c r="J79" s="27"/>
      <c r="K79" s="27"/>
      <c r="L79" s="26"/>
      <c r="M79" s="26"/>
    </row>
    <row r="80" spans="1:13">
      <c r="A80" s="36">
        <f>A61</f>
        <v>41</v>
      </c>
      <c r="B80" s="26" t="str">
        <f>CONCATENATE("From ",'Cap Int Pref'!E12," line ",'Cap Int Pref'!A59, 'Cap Int Pref'!E22)</f>
        <v>From Page 4 of 15 line 36(b)</v>
      </c>
      <c r="E80" s="26"/>
      <c r="F80" s="26"/>
      <c r="G80" s="27"/>
      <c r="H80" s="27"/>
      <c r="I80" s="27"/>
      <c r="J80" s="27"/>
      <c r="K80" s="27"/>
      <c r="L80" s="26"/>
      <c r="M80" s="26"/>
    </row>
    <row r="81" spans="1:13">
      <c r="A81" s="26"/>
      <c r="B81" s="26"/>
      <c r="C81" s="26"/>
      <c r="D81" s="26"/>
      <c r="E81" s="26"/>
      <c r="F81" s="26"/>
      <c r="G81" s="27"/>
      <c r="H81" s="27"/>
      <c r="I81" s="27"/>
      <c r="J81" s="27"/>
      <c r="K81" s="27"/>
      <c r="L81" s="26"/>
      <c r="M81" s="26"/>
    </row>
    <row r="82" spans="1:13">
      <c r="A82" s="26"/>
      <c r="B82" s="26"/>
      <c r="C82" s="26"/>
      <c r="D82" s="26"/>
      <c r="E82" s="26"/>
      <c r="F82" s="26"/>
      <c r="G82" s="27"/>
      <c r="H82" s="27"/>
      <c r="I82" s="27"/>
      <c r="J82" s="27"/>
      <c r="K82" s="27"/>
      <c r="L82" s="26"/>
      <c r="M82" s="26"/>
    </row>
    <row r="83" spans="1:13">
      <c r="A83" s="26"/>
      <c r="B83" s="26"/>
      <c r="C83" s="26"/>
      <c r="D83" s="26"/>
      <c r="E83" s="26"/>
      <c r="F83" s="26"/>
      <c r="G83" s="27"/>
      <c r="H83" s="27"/>
      <c r="I83" s="27"/>
      <c r="J83" s="27"/>
      <c r="K83" s="27"/>
      <c r="L83" s="26"/>
      <c r="M83" s="26"/>
    </row>
    <row r="84" spans="1:13">
      <c r="A84" s="26"/>
      <c r="B84" s="7" t="s">
        <v>131</v>
      </c>
      <c r="C84" s="26"/>
      <c r="D84" s="26"/>
      <c r="E84" s="26"/>
      <c r="F84" s="26"/>
      <c r="G84" s="27"/>
      <c r="H84" s="27"/>
      <c r="I84" s="27"/>
      <c r="J84" s="27"/>
      <c r="K84" s="27"/>
      <c r="L84" s="26"/>
      <c r="M84" s="26"/>
    </row>
    <row r="85" spans="1:13">
      <c r="A85" s="26"/>
      <c r="B85" s="26"/>
      <c r="C85" s="26"/>
      <c r="D85" s="26"/>
      <c r="E85" s="26"/>
      <c r="F85" s="26"/>
      <c r="G85" s="27"/>
      <c r="H85" s="27"/>
      <c r="I85" s="27"/>
      <c r="J85" s="27"/>
      <c r="K85" s="27"/>
      <c r="L85" s="26"/>
      <c r="M85" s="26"/>
    </row>
    <row r="86" spans="1:13">
      <c r="A86" s="26"/>
      <c r="B86" s="26" t="s">
        <v>132</v>
      </c>
      <c r="C86" s="26"/>
      <c r="D86" s="26"/>
      <c r="E86" s="26"/>
      <c r="F86" s="26"/>
      <c r="G86" s="27" t="e">
        <f>K64</f>
        <v>#REF!</v>
      </c>
      <c r="H86" s="27"/>
      <c r="I86" s="27"/>
      <c r="J86" s="27"/>
      <c r="K86" s="26"/>
      <c r="L86" s="26"/>
      <c r="M86" s="26"/>
    </row>
    <row r="87" spans="1:13">
      <c r="A87" s="26"/>
      <c r="B87" s="26"/>
      <c r="C87" s="26"/>
      <c r="D87" s="26"/>
      <c r="E87" s="26"/>
      <c r="F87" s="26"/>
      <c r="G87" s="27"/>
      <c r="H87" s="27"/>
      <c r="I87" s="27"/>
      <c r="J87" s="27"/>
      <c r="K87" s="27"/>
      <c r="L87" s="26"/>
      <c r="M87" s="26"/>
    </row>
    <row r="88" spans="1:13">
      <c r="A88" s="26"/>
      <c r="B88" s="26"/>
      <c r="C88" s="26"/>
      <c r="D88" s="26"/>
      <c r="E88" s="23" t="s">
        <v>133</v>
      </c>
      <c r="F88" s="26"/>
      <c r="G88" s="27"/>
      <c r="H88" s="605"/>
      <c r="I88" s="27"/>
      <c r="J88" s="27"/>
      <c r="K88" s="27"/>
      <c r="L88" s="26"/>
      <c r="M88" s="26"/>
    </row>
    <row r="89" spans="1:13">
      <c r="A89" s="26"/>
      <c r="B89" s="26"/>
      <c r="C89" s="26"/>
      <c r="D89" s="26"/>
      <c r="E89" s="26" t="s">
        <v>134</v>
      </c>
      <c r="F89" s="183" t="s">
        <v>135</v>
      </c>
      <c r="G89" s="81">
        <v>-8554143</v>
      </c>
      <c r="H89" s="605" t="s">
        <v>136</v>
      </c>
      <c r="I89" s="27"/>
      <c r="J89" s="27"/>
      <c r="K89" s="27"/>
      <c r="L89" s="26"/>
      <c r="M89" s="26"/>
    </row>
    <row r="90" spans="1:13">
      <c r="A90" s="26"/>
      <c r="B90" s="26"/>
      <c r="C90" s="26"/>
      <c r="D90" s="26"/>
      <c r="E90" s="26" t="s">
        <v>137</v>
      </c>
      <c r="F90" s="115" t="s">
        <v>138</v>
      </c>
      <c r="G90" s="81">
        <v>1657525</v>
      </c>
      <c r="H90" s="605" t="s">
        <v>136</v>
      </c>
      <c r="I90" s="27"/>
      <c r="J90" s="27"/>
      <c r="K90" s="27"/>
      <c r="L90" s="26"/>
      <c r="M90" s="26"/>
    </row>
    <row r="91" spans="1:13">
      <c r="A91" s="26"/>
      <c r="B91" s="26"/>
      <c r="C91" s="26"/>
      <c r="D91" s="26"/>
      <c r="E91" s="26" t="s">
        <v>213</v>
      </c>
      <c r="F91" s="714" t="s">
        <v>139</v>
      </c>
      <c r="G91" s="81">
        <f>-9208000-4677529-4809491+3112207+3404189</f>
        <v>-12178624</v>
      </c>
      <c r="H91" s="605" t="s">
        <v>136</v>
      </c>
      <c r="I91" s="90"/>
      <c r="J91" s="27"/>
      <c r="K91" s="27"/>
      <c r="L91" s="26"/>
      <c r="M91" s="26"/>
    </row>
    <row r="92" spans="1:13">
      <c r="A92" s="26"/>
      <c r="B92" s="26"/>
      <c r="C92" s="26"/>
      <c r="D92" s="26"/>
      <c r="E92" s="26" t="s">
        <v>140</v>
      </c>
      <c r="F92" s="714" t="s">
        <v>141</v>
      </c>
      <c r="G92" s="81">
        <v>0</v>
      </c>
      <c r="H92" s="605" t="s">
        <v>136</v>
      </c>
      <c r="I92" s="90"/>
      <c r="J92" s="27"/>
      <c r="K92" s="27"/>
      <c r="L92" s="26"/>
      <c r="M92" s="26"/>
    </row>
    <row r="93" spans="1:13">
      <c r="A93" s="26"/>
      <c r="B93" s="26"/>
      <c r="C93" s="26"/>
      <c r="D93" s="26"/>
      <c r="E93" s="26" t="s">
        <v>142</v>
      </c>
      <c r="F93" s="116" t="s">
        <v>143</v>
      </c>
      <c r="G93" s="81">
        <v>-1062525.56</v>
      </c>
      <c r="H93" s="605" t="s">
        <v>136</v>
      </c>
      <c r="I93" s="27"/>
      <c r="J93" s="27"/>
      <c r="K93" s="27"/>
      <c r="L93" s="26"/>
      <c r="M93" s="26"/>
    </row>
    <row r="94" spans="1:13">
      <c r="A94" s="26"/>
      <c r="B94" s="26"/>
      <c r="C94" s="26"/>
      <c r="D94" s="26"/>
      <c r="E94" s="26" t="s">
        <v>144</v>
      </c>
      <c r="F94" s="116" t="s">
        <v>145</v>
      </c>
      <c r="G94" s="725">
        <f>-'94950000'!G392</f>
        <v>-14239812.23</v>
      </c>
      <c r="H94" s="605"/>
      <c r="I94" s="27" t="s">
        <v>146</v>
      </c>
      <c r="J94" s="27"/>
      <c r="K94" s="27"/>
      <c r="L94" s="42">
        <v>-12448425</v>
      </c>
      <c r="M94" s="26"/>
    </row>
    <row r="95" spans="1:13">
      <c r="A95" s="26"/>
      <c r="B95" s="26"/>
      <c r="C95" s="26"/>
      <c r="D95" s="26"/>
      <c r="E95" s="26" t="s">
        <v>148</v>
      </c>
      <c r="F95" s="116" t="s">
        <v>149</v>
      </c>
      <c r="G95" s="725">
        <f>-'94950000'!G393</f>
        <v>17006672.68</v>
      </c>
      <c r="H95" s="605"/>
      <c r="I95" s="27" t="s">
        <v>146</v>
      </c>
      <c r="J95" s="27"/>
      <c r="K95" s="27"/>
      <c r="L95" s="42">
        <v>12898548</v>
      </c>
      <c r="M95" s="26" t="s">
        <v>147</v>
      </c>
    </row>
    <row r="96" spans="1:13">
      <c r="A96" s="26"/>
      <c r="B96" s="26"/>
      <c r="C96" s="26"/>
      <c r="D96" s="26"/>
      <c r="E96" s="26" t="s">
        <v>150</v>
      </c>
      <c r="F96" s="116" t="s">
        <v>151</v>
      </c>
      <c r="G96" s="725">
        <f>-'94950000'!G391</f>
        <v>-649585.39</v>
      </c>
      <c r="H96" s="605"/>
      <c r="I96" s="27" t="s">
        <v>146</v>
      </c>
      <c r="J96" s="27"/>
      <c r="K96" s="27"/>
      <c r="L96" s="42">
        <v>827833</v>
      </c>
      <c r="M96" s="26"/>
    </row>
    <row r="97" spans="1:13">
      <c r="A97" s="26"/>
      <c r="B97" s="26"/>
      <c r="C97" s="26"/>
      <c r="D97" s="26"/>
      <c r="E97" s="26" t="s">
        <v>152</v>
      </c>
      <c r="F97" s="116" t="s">
        <v>153</v>
      </c>
      <c r="G97" s="720">
        <f>-SUM('94950000'!F352:F354,'94950000'!F364:F369)</f>
        <v>-7233197.1099999994</v>
      </c>
      <c r="H97" s="605"/>
      <c r="I97" s="27"/>
      <c r="J97" s="27"/>
      <c r="K97" s="27"/>
      <c r="L97" s="26"/>
      <c r="M97" s="26"/>
    </row>
    <row r="98" spans="1:13">
      <c r="A98" s="26"/>
      <c r="B98" s="26"/>
      <c r="C98" s="26"/>
      <c r="D98" s="26"/>
      <c r="E98" s="26" t="s">
        <v>154</v>
      </c>
      <c r="F98" s="116" t="s">
        <v>155</v>
      </c>
      <c r="G98" s="720">
        <f>-'94950000'!F349</f>
        <v>-2037038.2000000009</v>
      </c>
      <c r="H98" s="605"/>
      <c r="I98" s="27"/>
      <c r="J98" s="27"/>
      <c r="K98" s="27"/>
      <c r="L98" s="26"/>
      <c r="M98" s="26"/>
    </row>
    <row r="99" spans="1:13">
      <c r="A99" s="26"/>
      <c r="B99" s="26"/>
      <c r="C99" s="26"/>
      <c r="D99" s="26"/>
      <c r="E99" s="26" t="s">
        <v>156</v>
      </c>
      <c r="F99" s="116" t="s">
        <v>157</v>
      </c>
      <c r="G99" s="719" t="e">
        <f>(#REF!+#REF!)*-1</f>
        <v>#REF!</v>
      </c>
      <c r="H99" s="605"/>
      <c r="I99" s="169"/>
      <c r="J99" s="27"/>
      <c r="K99" s="27"/>
      <c r="L99" s="26"/>
      <c r="M99" s="26"/>
    </row>
    <row r="100" spans="1:13">
      <c r="A100" s="26"/>
      <c r="B100" s="26"/>
      <c r="C100" s="26"/>
      <c r="D100" s="26"/>
      <c r="E100" s="26" t="s">
        <v>158</v>
      </c>
      <c r="F100" s="116" t="s">
        <v>159</v>
      </c>
      <c r="G100" s="719" t="e">
        <f>#REF!</f>
        <v>#REF!</v>
      </c>
      <c r="H100" s="605"/>
      <c r="I100" s="27"/>
      <c r="J100" s="27"/>
      <c r="K100" s="27"/>
      <c r="L100" s="26"/>
      <c r="M100" s="26"/>
    </row>
    <row r="101" spans="1:13">
      <c r="A101" s="26"/>
      <c r="B101" s="26"/>
      <c r="C101" s="26"/>
      <c r="D101" s="26"/>
      <c r="E101" s="26" t="s">
        <v>160</v>
      </c>
      <c r="F101" s="116" t="s">
        <v>161</v>
      </c>
      <c r="G101" s="720">
        <f>-'94950000'!G390</f>
        <v>191012.30000000005</v>
      </c>
      <c r="H101" s="605"/>
      <c r="I101" s="27"/>
      <c r="J101" s="27"/>
      <c r="K101" s="27"/>
      <c r="L101" s="26"/>
      <c r="M101" s="26"/>
    </row>
    <row r="102" spans="1:13">
      <c r="A102" s="26"/>
      <c r="B102" s="26"/>
      <c r="C102" s="26"/>
      <c r="D102" s="26"/>
      <c r="E102" s="26" t="s">
        <v>87</v>
      </c>
      <c r="F102" s="116" t="s">
        <v>162</v>
      </c>
      <c r="G102" s="27">
        <v>1263056.7291742233</v>
      </c>
      <c r="H102" s="605" t="s">
        <v>136</v>
      </c>
      <c r="I102" s="27"/>
      <c r="J102" s="27"/>
      <c r="K102" s="27"/>
      <c r="L102" s="26"/>
      <c r="M102" s="26"/>
    </row>
    <row r="103" spans="1:13">
      <c r="A103" s="26"/>
      <c r="B103" s="26"/>
      <c r="C103" s="26"/>
      <c r="D103" s="26"/>
      <c r="E103" s="30" t="s">
        <v>91</v>
      </c>
      <c r="F103" s="26"/>
      <c r="G103" s="27" t="e">
        <f>SUM(G89:G102)</f>
        <v>#REF!</v>
      </c>
      <c r="H103" s="27"/>
      <c r="I103" s="27"/>
      <c r="J103" s="27"/>
      <c r="K103" s="27"/>
      <c r="L103" s="26"/>
      <c r="M103" s="26"/>
    </row>
    <row r="104" spans="1:13">
      <c r="A104" s="26"/>
      <c r="B104" s="26"/>
      <c r="C104" s="26"/>
      <c r="D104" s="26"/>
      <c r="E104" s="26"/>
      <c r="F104" s="26"/>
      <c r="G104" s="27"/>
      <c r="H104" s="27"/>
      <c r="I104" s="27"/>
      <c r="J104" s="27"/>
      <c r="K104" s="27"/>
      <c r="L104" s="26"/>
      <c r="M104" s="26"/>
    </row>
    <row r="105" spans="1:13">
      <c r="A105" s="26"/>
      <c r="B105" s="26"/>
      <c r="C105" s="26"/>
      <c r="D105" s="26"/>
      <c r="E105" s="26"/>
      <c r="F105" s="26"/>
      <c r="G105" s="27"/>
      <c r="H105" s="27"/>
      <c r="I105" s="27"/>
      <c r="J105" s="27"/>
      <c r="K105" s="27"/>
      <c r="L105" s="26"/>
      <c r="M105" s="26"/>
    </row>
    <row r="106" spans="1:13">
      <c r="A106" s="26"/>
      <c r="B106" s="26"/>
      <c r="C106" s="26"/>
      <c r="D106" s="26"/>
      <c r="E106" s="26" t="s">
        <v>163</v>
      </c>
      <c r="F106" s="26"/>
      <c r="G106" s="27"/>
      <c r="H106" s="27"/>
      <c r="I106" s="27"/>
      <c r="J106" s="27"/>
      <c r="K106" s="27"/>
      <c r="L106" s="26"/>
      <c r="M106" s="26"/>
    </row>
    <row r="107" spans="1:13">
      <c r="A107" s="26"/>
      <c r="B107" s="26"/>
      <c r="C107" s="26"/>
      <c r="D107" s="26"/>
      <c r="E107" s="26" t="s">
        <v>164</v>
      </c>
      <c r="F107" s="116" t="s">
        <v>214</v>
      </c>
      <c r="G107" s="723" t="e">
        <v>#REF!</v>
      </c>
      <c r="H107" s="605"/>
      <c r="I107" s="27">
        <v>-1250056.2500000075</v>
      </c>
      <c r="J107" s="27"/>
      <c r="L107" s="26"/>
      <c r="M107" s="26"/>
    </row>
    <row r="108" spans="1:13">
      <c r="A108" s="26"/>
      <c r="B108" s="26"/>
      <c r="C108" s="26"/>
      <c r="D108" s="26"/>
      <c r="E108" s="26" t="s">
        <v>165</v>
      </c>
      <c r="F108" s="116" t="s">
        <v>166</v>
      </c>
      <c r="G108" s="724" t="e">
        <f>#REF!*-1</f>
        <v>#REF!</v>
      </c>
      <c r="H108" s="605"/>
      <c r="I108" s="27">
        <v>-314260</v>
      </c>
      <c r="J108" s="27"/>
      <c r="K108" s="27"/>
      <c r="L108" s="112"/>
      <c r="M108" s="26"/>
    </row>
    <row r="109" spans="1:13">
      <c r="A109" s="26"/>
      <c r="B109" s="26"/>
      <c r="C109" s="26"/>
      <c r="D109" s="26"/>
      <c r="E109" s="26" t="s">
        <v>167</v>
      </c>
      <c r="F109" s="116" t="s">
        <v>168</v>
      </c>
      <c r="G109" s="27">
        <f>-1556334.11-420374.14</f>
        <v>-1976708.25</v>
      </c>
      <c r="H109" s="605" t="s">
        <v>136</v>
      </c>
      <c r="I109" s="27"/>
      <c r="J109" s="27"/>
      <c r="K109" s="27"/>
      <c r="L109" s="112"/>
      <c r="M109" s="26"/>
    </row>
    <row r="110" spans="1:13">
      <c r="A110" s="26"/>
      <c r="B110" s="26"/>
      <c r="C110" s="26"/>
      <c r="D110" s="26"/>
      <c r="E110" s="33" t="s">
        <v>169</v>
      </c>
      <c r="F110" s="116" t="s">
        <v>170</v>
      </c>
      <c r="G110" s="721">
        <v>0</v>
      </c>
      <c r="H110" s="605" t="s">
        <v>136</v>
      </c>
      <c r="I110" s="27" t="s">
        <v>171</v>
      </c>
      <c r="J110" s="27"/>
      <c r="K110" s="27"/>
      <c r="L110" s="112"/>
      <c r="M110" s="26"/>
    </row>
    <row r="111" spans="1:13">
      <c r="A111" s="26"/>
      <c r="B111" s="26"/>
      <c r="C111" s="26"/>
      <c r="D111" s="26"/>
      <c r="E111" s="33" t="s">
        <v>172</v>
      </c>
      <c r="F111" s="116" t="s">
        <v>173</v>
      </c>
      <c r="G111" s="27">
        <f>-23400000*0.269</f>
        <v>-6294600</v>
      </c>
      <c r="H111" s="605" t="s">
        <v>136</v>
      </c>
      <c r="I111" s="27" t="s">
        <v>215</v>
      </c>
      <c r="J111" s="149"/>
      <c r="K111" s="27"/>
      <c r="L111" s="94"/>
      <c r="M111" s="26"/>
    </row>
    <row r="112" spans="1:13">
      <c r="A112" s="26"/>
      <c r="B112" s="26"/>
      <c r="C112" s="26"/>
      <c r="D112" s="26"/>
      <c r="E112" s="33"/>
      <c r="F112" s="36"/>
      <c r="G112" s="27"/>
      <c r="H112" s="118"/>
      <c r="I112" s="27"/>
      <c r="J112" s="149"/>
      <c r="K112" s="27"/>
      <c r="L112" s="26"/>
      <c r="M112" s="26"/>
    </row>
    <row r="113" spans="1:13">
      <c r="A113" s="26"/>
      <c r="B113" s="26"/>
      <c r="C113" s="26"/>
      <c r="D113" s="26"/>
      <c r="E113" s="26" t="s">
        <v>174</v>
      </c>
      <c r="F113" s="36"/>
      <c r="G113" s="27"/>
      <c r="H113" s="118"/>
      <c r="I113" s="27"/>
      <c r="J113" s="27"/>
      <c r="K113" s="27"/>
      <c r="L113" s="26"/>
      <c r="M113" s="26"/>
    </row>
    <row r="114" spans="1:13">
      <c r="A114" s="26"/>
      <c r="B114" s="26"/>
      <c r="C114" s="26"/>
      <c r="D114" s="26"/>
      <c r="E114" s="26" t="s">
        <v>108</v>
      </c>
      <c r="F114" s="116" t="s">
        <v>175</v>
      </c>
      <c r="G114" s="724" t="e">
        <f>I46</f>
        <v>#REF!</v>
      </c>
      <c r="H114" s="605" t="s">
        <v>136</v>
      </c>
      <c r="I114" s="27"/>
      <c r="J114" s="27"/>
      <c r="K114" s="27"/>
      <c r="L114" s="26"/>
      <c r="M114" s="26"/>
    </row>
    <row r="115" spans="1:13">
      <c r="A115" s="26"/>
      <c r="B115" s="26"/>
      <c r="C115" s="26"/>
      <c r="D115" s="26"/>
      <c r="E115" s="26"/>
      <c r="F115" s="36"/>
      <c r="G115" s="27"/>
      <c r="H115" s="118"/>
      <c r="I115" s="27"/>
      <c r="J115" s="27"/>
      <c r="K115" s="27"/>
      <c r="L115" s="26"/>
      <c r="M115" s="26"/>
    </row>
    <row r="116" spans="1:13">
      <c r="A116" s="26"/>
      <c r="B116" s="26"/>
      <c r="C116" s="26"/>
      <c r="D116" s="26"/>
      <c r="E116" s="26"/>
      <c r="F116" s="36"/>
      <c r="G116" s="27"/>
      <c r="H116" s="27"/>
      <c r="I116" s="27"/>
      <c r="J116" s="27"/>
      <c r="K116" s="27"/>
      <c r="L116" s="26"/>
      <c r="M116" s="26"/>
    </row>
    <row r="117" spans="1:13">
      <c r="A117" s="26"/>
      <c r="B117" s="26"/>
      <c r="C117" s="26"/>
      <c r="D117" s="26"/>
      <c r="E117" s="26" t="s">
        <v>176</v>
      </c>
      <c r="F117" s="36"/>
      <c r="G117" s="27"/>
      <c r="H117" s="27"/>
      <c r="I117" s="27"/>
      <c r="J117" s="27"/>
      <c r="K117" s="27"/>
      <c r="L117" s="26"/>
      <c r="M117" s="26"/>
    </row>
    <row r="118" spans="1:13">
      <c r="A118" s="26"/>
      <c r="B118" s="26"/>
      <c r="C118" s="26"/>
      <c r="D118" s="26"/>
      <c r="E118" s="26" t="s">
        <v>177</v>
      </c>
      <c r="F118" s="116" t="s">
        <v>178</v>
      </c>
      <c r="G118" s="717" t="e">
        <f>#REF!*-1</f>
        <v>#REF!</v>
      </c>
      <c r="H118" s="605" t="s">
        <v>136</v>
      </c>
      <c r="I118" s="27"/>
      <c r="J118" s="27"/>
      <c r="K118" s="27"/>
      <c r="L118" s="26"/>
      <c r="M118" s="26"/>
    </row>
    <row r="119" spans="1:13">
      <c r="A119" s="26"/>
      <c r="B119" s="26"/>
      <c r="C119" s="26"/>
      <c r="D119" s="26"/>
      <c r="E119" s="26" t="s">
        <v>116</v>
      </c>
      <c r="F119" s="116" t="s">
        <v>179</v>
      </c>
      <c r="G119" s="717">
        <f>'Cap Int Pref'!E50</f>
        <v>532837.77955160511</v>
      </c>
      <c r="H119" s="605" t="s">
        <v>136</v>
      </c>
      <c r="I119" s="27"/>
      <c r="J119" s="27"/>
      <c r="K119" s="27"/>
      <c r="L119" s="26"/>
      <c r="M119" s="26"/>
    </row>
    <row r="120" spans="1:13">
      <c r="A120" s="26"/>
      <c r="B120" s="26"/>
      <c r="C120" s="26"/>
      <c r="D120" s="26"/>
      <c r="E120" s="26" t="s">
        <v>180</v>
      </c>
      <c r="F120" s="116" t="s">
        <v>181</v>
      </c>
      <c r="G120" s="717" t="e">
        <f>('Cap Int Pref'!E42-G54)</f>
        <v>#REF!</v>
      </c>
      <c r="H120" s="605" t="s">
        <v>136</v>
      </c>
      <c r="I120" s="27"/>
      <c r="J120" s="27"/>
      <c r="K120" s="27"/>
      <c r="L120" s="26"/>
      <c r="M120" s="26"/>
    </row>
    <row r="121" spans="1:13">
      <c r="A121" s="26"/>
      <c r="B121" s="26"/>
      <c r="C121" s="26"/>
      <c r="D121" s="26"/>
      <c r="E121" s="26" t="s">
        <v>120</v>
      </c>
      <c r="F121" s="116" t="s">
        <v>182</v>
      </c>
      <c r="G121" s="717" t="e">
        <f>#REF!*-1</f>
        <v>#REF!</v>
      </c>
      <c r="H121" s="605" t="s">
        <v>136</v>
      </c>
      <c r="I121" s="27"/>
      <c r="J121" s="27"/>
      <c r="K121" s="27"/>
      <c r="L121" s="26"/>
      <c r="M121" s="26"/>
    </row>
    <row r="122" spans="1:13">
      <c r="A122" s="26"/>
      <c r="B122" s="26"/>
      <c r="C122" s="26"/>
      <c r="D122" s="26"/>
      <c r="E122" s="26" t="s">
        <v>183</v>
      </c>
      <c r="F122" s="116" t="s">
        <v>184</v>
      </c>
      <c r="G122" s="722">
        <f>'94310000'!V33</f>
        <v>24563.38863566667</v>
      </c>
      <c r="H122" s="605" t="s">
        <v>136</v>
      </c>
      <c r="I122" s="27"/>
      <c r="J122" s="27"/>
      <c r="K122" s="27"/>
      <c r="L122" s="26"/>
      <c r="M122" s="26"/>
    </row>
    <row r="123" spans="1:13">
      <c r="A123" s="26"/>
      <c r="B123" s="26"/>
      <c r="C123" s="26"/>
      <c r="D123" s="26"/>
      <c r="E123" s="26" t="s">
        <v>185</v>
      </c>
      <c r="F123" s="116"/>
      <c r="G123" s="717">
        <f>I56</f>
        <v>0</v>
      </c>
      <c r="H123" s="605" t="s">
        <v>136</v>
      </c>
      <c r="I123" s="27"/>
      <c r="J123" s="27"/>
      <c r="K123" s="27"/>
      <c r="L123" s="26"/>
      <c r="M123" s="26"/>
    </row>
    <row r="124" spans="1:13">
      <c r="A124" s="26"/>
      <c r="B124" s="26"/>
      <c r="C124" s="26"/>
      <c r="D124" s="26"/>
      <c r="E124" s="26" t="s">
        <v>125</v>
      </c>
      <c r="F124" s="116" t="s">
        <v>186</v>
      </c>
      <c r="G124" s="717">
        <f>'Cap Int Pref'!E59</f>
        <v>91031.511312916598</v>
      </c>
      <c r="H124" s="605" t="s">
        <v>136</v>
      </c>
      <c r="I124" s="27"/>
      <c r="J124" s="27"/>
      <c r="K124" s="27"/>
      <c r="L124" s="26"/>
      <c r="M124" s="26"/>
    </row>
    <row r="125" spans="1:13">
      <c r="A125" s="26"/>
      <c r="B125" s="26"/>
      <c r="C125" s="26"/>
      <c r="D125" s="26"/>
      <c r="E125" s="26" t="s">
        <v>216</v>
      </c>
      <c r="F125" s="116" t="s">
        <v>187</v>
      </c>
      <c r="G125" s="27">
        <v>0</v>
      </c>
      <c r="H125" s="605" t="s">
        <v>136</v>
      </c>
      <c r="I125" s="27"/>
      <c r="J125" s="27"/>
      <c r="K125" s="27"/>
      <c r="L125" s="26"/>
      <c r="M125" s="26"/>
    </row>
    <row r="126" spans="1:13">
      <c r="A126" s="26"/>
      <c r="B126" s="26"/>
      <c r="C126" s="26"/>
      <c r="D126" s="26"/>
      <c r="E126" s="26" t="s">
        <v>188</v>
      </c>
      <c r="F126" s="26"/>
      <c r="G126" s="27" t="e">
        <f>SUM(G103:G125)+G86</f>
        <v>#REF!</v>
      </c>
      <c r="H126" s="27"/>
      <c r="I126" s="27"/>
      <c r="J126" s="27"/>
      <c r="K126" s="27"/>
      <c r="L126" s="26"/>
      <c r="M126" s="26"/>
    </row>
    <row r="127" spans="1:13">
      <c r="A127" s="26"/>
      <c r="B127" s="26"/>
      <c r="C127" s="26"/>
      <c r="D127" s="26"/>
      <c r="E127" s="26"/>
      <c r="F127" s="26"/>
      <c r="G127" s="27"/>
      <c r="H127" s="27"/>
      <c r="I127" s="27"/>
      <c r="J127" s="27"/>
      <c r="K127" s="27"/>
      <c r="L127" s="26"/>
      <c r="M127" s="26"/>
    </row>
    <row r="128" spans="1:13">
      <c r="A128" s="26"/>
      <c r="B128" s="26"/>
      <c r="C128" s="26"/>
      <c r="D128" s="26"/>
      <c r="E128" s="26" t="s">
        <v>189</v>
      </c>
      <c r="F128" s="26"/>
      <c r="G128" s="27" t="e">
        <f>#REF!*-1</f>
        <v>#REF!</v>
      </c>
      <c r="H128" s="27"/>
      <c r="I128" s="27"/>
      <c r="J128" s="27"/>
      <c r="K128" s="27"/>
      <c r="L128" s="26"/>
      <c r="M128" s="26"/>
    </row>
    <row r="129" spans="1:13">
      <c r="A129" s="26"/>
      <c r="B129" s="26"/>
      <c r="C129" s="26"/>
      <c r="D129" s="26"/>
      <c r="E129" s="26"/>
      <c r="F129" s="26"/>
      <c r="G129" s="26"/>
      <c r="H129" s="26"/>
      <c r="I129" s="117"/>
      <c r="J129" s="26"/>
      <c r="K129" s="27"/>
      <c r="L129" s="26"/>
      <c r="M129" s="26"/>
    </row>
    <row r="130" spans="1:13">
      <c r="A130" s="26"/>
      <c r="B130" s="26"/>
      <c r="C130" s="26"/>
      <c r="D130" s="26"/>
      <c r="E130" s="26" t="s">
        <v>190</v>
      </c>
      <c r="F130" s="26"/>
      <c r="G130" s="27" t="e">
        <f>G126-G128</f>
        <v>#REF!</v>
      </c>
      <c r="H130" s="26"/>
      <c r="I130" t="s">
        <v>191</v>
      </c>
      <c r="K130" s="27"/>
      <c r="L130" s="26"/>
      <c r="M130" s="26"/>
    </row>
    <row r="131" spans="1:13">
      <c r="A131" s="26"/>
      <c r="B131" s="26"/>
      <c r="C131" s="26"/>
      <c r="D131" s="26"/>
      <c r="E131" s="26"/>
      <c r="F131" s="26"/>
      <c r="G131" s="26"/>
      <c r="H131" s="26"/>
      <c r="I131" s="171"/>
      <c r="K131" s="26"/>
      <c r="L131" s="26"/>
      <c r="M131" s="26"/>
    </row>
    <row r="132" spans="1:13">
      <c r="A132" s="26"/>
      <c r="B132" s="26"/>
      <c r="C132" s="26"/>
      <c r="D132" s="26"/>
      <c r="E132" s="26"/>
      <c r="F132" s="26"/>
      <c r="G132" s="26"/>
      <c r="H132" s="26"/>
      <c r="I132" s="92"/>
      <c r="J132" s="26"/>
      <c r="K132" s="26"/>
      <c r="L132" s="26"/>
      <c r="M132" s="26"/>
    </row>
    <row r="133" spans="1:13">
      <c r="G133" s="88"/>
      <c r="L133" s="26"/>
      <c r="M133" s="26"/>
    </row>
    <row r="134" spans="1:13">
      <c r="L134" s="26"/>
      <c r="M134" s="26"/>
    </row>
    <row r="135" spans="1:13">
      <c r="L135" s="26"/>
      <c r="M135" s="26"/>
    </row>
    <row r="136" spans="1:13">
      <c r="L136" s="26"/>
      <c r="M136" s="26"/>
    </row>
    <row r="137" spans="1:13">
      <c r="L137" s="26"/>
      <c r="M137" s="26"/>
    </row>
    <row r="138" spans="1:13">
      <c r="L138" s="26"/>
      <c r="M138" s="26"/>
    </row>
    <row r="139" spans="1:13">
      <c r="L139" s="26"/>
      <c r="M139" s="26"/>
    </row>
    <row r="140" spans="1:13">
      <c r="L140" s="26"/>
      <c r="M140" s="26"/>
    </row>
    <row r="141" spans="1:13">
      <c r="L141" s="26"/>
      <c r="M141" s="26"/>
    </row>
    <row r="142" spans="1:13">
      <c r="L142" s="26"/>
      <c r="M142" s="26"/>
    </row>
    <row r="143" spans="1:13">
      <c r="L143" s="26"/>
      <c r="M143" s="26"/>
    </row>
    <row r="144" spans="1:13">
      <c r="L144" s="26"/>
      <c r="M144" s="26"/>
    </row>
    <row r="145" spans="12:13">
      <c r="L145" s="26"/>
      <c r="M145" s="26"/>
    </row>
    <row r="146" spans="12:13">
      <c r="L146" s="26"/>
      <c r="M146" s="26"/>
    </row>
    <row r="147" spans="12:13">
      <c r="L147" s="26"/>
      <c r="M147" s="26"/>
    </row>
    <row r="148" spans="12:13">
      <c r="L148" s="26"/>
      <c r="M148" s="26"/>
    </row>
    <row r="149" spans="12:13">
      <c r="L149" s="26"/>
      <c r="M149" s="26"/>
    </row>
    <row r="150" spans="12:13">
      <c r="L150" s="26"/>
      <c r="M150" s="26"/>
    </row>
    <row r="151" spans="12:13">
      <c r="L151" s="26"/>
      <c r="M151" s="26"/>
    </row>
    <row r="152" spans="12:13">
      <c r="L152" s="26"/>
      <c r="M152" s="26"/>
    </row>
    <row r="153" spans="12:13">
      <c r="L153" s="26"/>
      <c r="M153" s="26"/>
    </row>
    <row r="154" spans="12:13">
      <c r="L154" s="26"/>
      <c r="M154" s="26"/>
    </row>
    <row r="155" spans="12:13">
      <c r="L155" s="26"/>
      <c r="M155" s="26"/>
    </row>
    <row r="156" spans="12:13">
      <c r="L156" s="26"/>
      <c r="M156" s="26"/>
    </row>
    <row r="157" spans="12:13">
      <c r="L157" s="26"/>
      <c r="M157" s="26"/>
    </row>
    <row r="158" spans="12:13">
      <c r="L158" s="26"/>
      <c r="M158" s="26"/>
    </row>
    <row r="159" spans="12:13">
      <c r="L159" s="26"/>
      <c r="M159" s="26"/>
    </row>
    <row r="160" spans="12:13">
      <c r="L160" s="26"/>
      <c r="M160" s="26"/>
    </row>
    <row r="161" spans="12:13">
      <c r="L161" s="26"/>
      <c r="M161" s="26"/>
    </row>
    <row r="162" spans="12:13">
      <c r="L162" s="26"/>
      <c r="M162" s="26"/>
    </row>
    <row r="163" spans="12:13">
      <c r="L163" s="26"/>
      <c r="M163" s="26"/>
    </row>
    <row r="164" spans="12:13">
      <c r="L164" s="26"/>
      <c r="M164" s="26"/>
    </row>
    <row r="165" spans="12:13">
      <c r="L165" s="26"/>
      <c r="M165" s="26"/>
    </row>
    <row r="166" spans="12:13">
      <c r="L166" s="26"/>
      <c r="M166" s="26"/>
    </row>
    <row r="167" spans="12:13">
      <c r="L167" s="26"/>
      <c r="M167" s="26"/>
    </row>
    <row r="168" spans="12:13">
      <c r="L168" s="26"/>
      <c r="M168" s="26"/>
    </row>
    <row r="169" spans="12:13">
      <c r="L169" s="26"/>
      <c r="M169" s="26"/>
    </row>
    <row r="170" spans="12:13">
      <c r="L170" s="26"/>
      <c r="M170" s="26"/>
    </row>
    <row r="171" spans="12:13">
      <c r="L171" s="26"/>
      <c r="M171" s="26"/>
    </row>
    <row r="172" spans="12:13">
      <c r="L172" s="26"/>
      <c r="M172" s="26"/>
    </row>
    <row r="173" spans="12:13">
      <c r="L173" s="26"/>
      <c r="M173" s="26"/>
    </row>
    <row r="174" spans="12:13">
      <c r="L174" s="26"/>
      <c r="M174" s="26"/>
    </row>
    <row r="175" spans="12:13">
      <c r="L175" s="26"/>
      <c r="M175" s="26"/>
    </row>
    <row r="176" spans="12:13">
      <c r="L176" s="26"/>
      <c r="M176" s="26"/>
    </row>
    <row r="177" spans="12:13">
      <c r="L177" s="26"/>
      <c r="M177" s="26"/>
    </row>
    <row r="178" spans="12:13">
      <c r="L178" s="26"/>
      <c r="M178" s="26"/>
    </row>
    <row r="179" spans="12:13">
      <c r="L179" s="26"/>
      <c r="M179" s="26"/>
    </row>
    <row r="180" spans="12:13">
      <c r="L180" s="26"/>
      <c r="M180" s="26"/>
    </row>
    <row r="181" spans="12:13">
      <c r="L181" s="26"/>
      <c r="M181" s="26"/>
    </row>
    <row r="182" spans="12:13">
      <c r="L182" s="26"/>
      <c r="M182" s="26"/>
    </row>
    <row r="183" spans="12:13">
      <c r="L183" s="26"/>
      <c r="M183" s="26"/>
    </row>
    <row r="184" spans="12:13">
      <c r="L184" s="26"/>
      <c r="M184" s="26"/>
    </row>
    <row r="185" spans="12:13">
      <c r="L185" s="26"/>
      <c r="M185" s="26"/>
    </row>
    <row r="186" spans="12:13">
      <c r="L186" s="26"/>
      <c r="M186" s="26"/>
    </row>
    <row r="187" spans="12:13">
      <c r="L187" s="26"/>
      <c r="M187" s="26"/>
    </row>
    <row r="188" spans="12:13">
      <c r="L188" s="26"/>
      <c r="M188" s="26"/>
    </row>
    <row r="189" spans="12:13">
      <c r="L189" s="26"/>
      <c r="M189" s="26"/>
    </row>
    <row r="190" spans="12:13">
      <c r="L190" s="26"/>
      <c r="M190" s="26"/>
    </row>
    <row r="191" spans="12:13">
      <c r="L191" s="26"/>
      <c r="M191" s="26"/>
    </row>
    <row r="192" spans="12:13">
      <c r="L192" s="26"/>
      <c r="M192" s="26"/>
    </row>
    <row r="193" spans="12:13">
      <c r="L193" s="26"/>
      <c r="M193" s="26"/>
    </row>
    <row r="194" spans="12:13">
      <c r="L194" s="26"/>
      <c r="M194" s="26"/>
    </row>
    <row r="195" spans="12:13">
      <c r="L195" s="26"/>
      <c r="M195" s="26"/>
    </row>
    <row r="196" spans="12:13">
      <c r="L196" s="26"/>
      <c r="M196" s="26"/>
    </row>
    <row r="197" spans="12:13">
      <c r="L197" s="26"/>
      <c r="M197" s="26"/>
    </row>
    <row r="198" spans="12:13">
      <c r="L198" s="26"/>
      <c r="M198" s="26"/>
    </row>
    <row r="199" spans="12:13">
      <c r="L199" s="26"/>
      <c r="M199" s="26"/>
    </row>
    <row r="200" spans="12:13">
      <c r="L200" s="26"/>
      <c r="M200" s="26"/>
    </row>
    <row r="201" spans="12:13">
      <c r="L201" s="26"/>
      <c r="M201" s="26"/>
    </row>
    <row r="202" spans="12:13">
      <c r="L202" s="26"/>
      <c r="M202" s="26"/>
    </row>
    <row r="203" spans="12:13">
      <c r="L203" s="26"/>
      <c r="M203" s="26"/>
    </row>
    <row r="204" spans="12:13">
      <c r="L204" s="26"/>
      <c r="M204" s="26"/>
    </row>
    <row r="205" spans="12:13">
      <c r="L205" s="26"/>
      <c r="M205" s="26"/>
    </row>
    <row r="206" spans="12:13">
      <c r="L206" s="26"/>
      <c r="M206" s="26"/>
    </row>
    <row r="207" spans="12:13">
      <c r="L207" s="26"/>
      <c r="M207" s="26"/>
    </row>
  </sheetData>
  <mergeCells count="4">
    <mergeCell ref="A14:K14"/>
    <mergeCell ref="A15:K15"/>
    <mergeCell ref="A16:K16"/>
    <mergeCell ref="A17:K17"/>
  </mergeCells>
  <pageMargins left="0.7" right="0.7" top="0.75" bottom="0.75" header="0.3" footer="0.3"/>
  <pageSetup scale="30" orientation="portrait" horizontalDpi="1200" verticalDpi="1200" r:id="rId1"/>
  <rowBreaks count="1" manualBreakCount="1">
    <brk id="83"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M203"/>
  <sheetViews>
    <sheetView topLeftCell="A6" workbookViewId="0">
      <selection activeCell="A6" sqref="A6"/>
    </sheetView>
  </sheetViews>
  <sheetFormatPr defaultRowHeight="15" outlineLevelRow="1"/>
  <cols>
    <col min="2" max="2" width="9.7109375" customWidth="1"/>
    <col min="3" max="3" width="24.5703125" customWidth="1"/>
    <col min="4" max="4" width="17.7109375" customWidth="1"/>
    <col min="5" max="5" width="12.140625" bestFit="1" customWidth="1"/>
    <col min="6" max="6" width="5.28515625" customWidth="1"/>
    <col min="9" max="9" width="11.28515625" customWidth="1"/>
    <col min="11" max="11" width="11.28515625" customWidth="1"/>
    <col min="12" max="12" width="10.140625" bestFit="1" customWidth="1"/>
  </cols>
  <sheetData>
    <row r="1" spans="1:13" hidden="1" outlineLevel="1">
      <c r="D1" s="2" t="str">
        <f>Contents!B1</f>
        <v>The Narragansett Electric Company</v>
      </c>
    </row>
    <row r="2" spans="1:13" hidden="1" outlineLevel="1">
      <c r="D2" s="2" t="str">
        <f>Contents!B2</f>
        <v>d/b/a National Grid</v>
      </c>
    </row>
    <row r="3" spans="1:13" hidden="1" outlineLevel="1">
      <c r="D3" s="2" t="str">
        <f>Contents!B3</f>
        <v>RIPUC Docket No. 4770</v>
      </c>
    </row>
    <row r="4" spans="1:13" hidden="1" outlineLevel="1">
      <c r="D4" s="2" t="str">
        <f>Contents!B4</f>
        <v>Gas Earnings Sharing Mechanism</v>
      </c>
    </row>
    <row r="5" spans="1:13" hidden="1" outlineLevel="1">
      <c r="D5" s="2"/>
    </row>
    <row r="6" spans="1:13" collapsed="1">
      <c r="A6" s="26"/>
      <c r="B6" s="26"/>
      <c r="C6" s="26"/>
      <c r="D6" s="2" t="str">
        <f>Contents!B6</f>
        <v>The Narragansett Electric Company</v>
      </c>
      <c r="E6" s="26"/>
      <c r="F6" s="26"/>
      <c r="G6" s="26"/>
      <c r="H6" s="26"/>
      <c r="I6" s="26"/>
    </row>
    <row r="7" spans="1:13">
      <c r="A7" s="26"/>
      <c r="B7" s="26"/>
      <c r="C7" s="26"/>
      <c r="D7" s="2" t="str">
        <f>Contents!B7</f>
        <v>d/b/a Rhode Island Energy</v>
      </c>
      <c r="E7" s="26"/>
      <c r="F7" s="26"/>
      <c r="G7" s="26"/>
      <c r="H7" s="26"/>
      <c r="I7" s="26"/>
    </row>
    <row r="8" spans="1:13">
      <c r="A8" s="26"/>
      <c r="B8" s="26"/>
      <c r="C8" s="26"/>
      <c r="D8" s="2" t="str">
        <f>Contents!B8</f>
        <v>RIPUC Docket No. 4770</v>
      </c>
      <c r="E8" s="26"/>
      <c r="F8" s="26"/>
      <c r="G8" s="26"/>
      <c r="H8" s="26"/>
      <c r="I8" s="26"/>
    </row>
    <row r="9" spans="1:13">
      <c r="A9" s="26"/>
      <c r="B9" s="26"/>
      <c r="C9" s="26"/>
      <c r="D9" s="2" t="str">
        <f>Contents!B9</f>
        <v>CY 2025 Gas Earnings Report</v>
      </c>
      <c r="E9" s="26"/>
      <c r="F9" s="26"/>
      <c r="G9" s="26"/>
      <c r="H9" s="26"/>
      <c r="I9" s="26"/>
    </row>
    <row r="10" spans="1:13">
      <c r="A10" s="26"/>
      <c r="B10" s="26"/>
      <c r="C10" s="26"/>
      <c r="D10" s="2" t="str">
        <f>Contents!B10</f>
        <v>Schedule NECO-1</v>
      </c>
      <c r="E10" s="26"/>
      <c r="F10" s="26"/>
      <c r="G10" s="26"/>
      <c r="H10" s="26"/>
      <c r="I10" s="26"/>
    </row>
    <row r="11" spans="1:13">
      <c r="A11" s="26"/>
      <c r="B11" s="26"/>
      <c r="C11" s="26"/>
      <c r="D11" s="2" t="str">
        <f>Contents!B11</f>
        <v>June 15, 2026</v>
      </c>
      <c r="E11" s="26"/>
      <c r="F11" s="26"/>
      <c r="G11" s="26"/>
      <c r="H11" s="26"/>
      <c r="I11" s="26"/>
    </row>
    <row r="12" spans="1:13">
      <c r="A12" s="26"/>
      <c r="B12" s="26"/>
      <c r="C12" s="26"/>
      <c r="D12" s="2" t="str">
        <f>VLOOKUP($A$15,Index!$A:$C,3,FALSE)</f>
        <v>Page 3 of 15</v>
      </c>
      <c r="E12" s="26"/>
      <c r="F12" s="26"/>
      <c r="G12" s="26"/>
      <c r="H12" s="26"/>
      <c r="I12" s="26"/>
    </row>
    <row r="13" spans="1:13">
      <c r="A13" s="26"/>
      <c r="B13" s="26"/>
      <c r="C13" s="26"/>
      <c r="D13" s="26"/>
      <c r="E13" s="26"/>
      <c r="F13" s="26"/>
      <c r="G13" s="26"/>
      <c r="H13" s="26"/>
      <c r="I13" s="26"/>
      <c r="L13" s="26"/>
      <c r="M13" s="26"/>
    </row>
    <row r="14" spans="1:13">
      <c r="A14" s="797" t="str">
        <f>Contents!A13</f>
        <v>Rhode Island Energy - RI Gas</v>
      </c>
      <c r="B14" s="797"/>
      <c r="C14" s="797"/>
      <c r="D14" s="797"/>
      <c r="E14" s="26"/>
      <c r="F14" s="26"/>
      <c r="G14" s="26"/>
      <c r="H14" s="26"/>
      <c r="I14" s="26"/>
      <c r="L14" s="26"/>
      <c r="M14" s="26"/>
    </row>
    <row r="15" spans="1:13">
      <c r="A15" s="797" t="s">
        <v>18</v>
      </c>
      <c r="B15" s="797"/>
      <c r="C15" s="797"/>
      <c r="D15" s="797"/>
      <c r="E15" s="26"/>
      <c r="F15" s="26"/>
      <c r="G15" s="26"/>
      <c r="H15" s="26"/>
      <c r="I15" s="26"/>
      <c r="L15" s="26"/>
      <c r="M15" s="26"/>
    </row>
    <row r="16" spans="1:13">
      <c r="A16" s="797" t="str">
        <f>Contents!A15</f>
        <v>For the Twelve Months ended December 31, 2025</v>
      </c>
      <c r="B16" s="797"/>
      <c r="C16" s="797"/>
      <c r="D16" s="797"/>
      <c r="E16" s="26"/>
      <c r="F16" s="26"/>
      <c r="G16" s="26"/>
      <c r="H16" s="26"/>
      <c r="I16" s="26"/>
      <c r="L16" s="26"/>
      <c r="M16" s="26"/>
    </row>
    <row r="17" spans="1:13">
      <c r="A17" s="797"/>
      <c r="B17" s="797"/>
      <c r="C17" s="797"/>
      <c r="D17" s="797"/>
      <c r="E17" s="26"/>
      <c r="F17" s="26"/>
      <c r="G17" s="26"/>
      <c r="H17" s="26"/>
      <c r="I17" s="26"/>
      <c r="L17" s="26"/>
      <c r="M17" s="26"/>
    </row>
    <row r="18" spans="1:13">
      <c r="A18" s="26"/>
      <c r="B18" s="26"/>
      <c r="C18" s="26"/>
      <c r="D18" s="26"/>
      <c r="E18" s="26"/>
      <c r="F18" s="26"/>
      <c r="G18" s="26"/>
      <c r="H18" s="26"/>
      <c r="I18" s="26"/>
      <c r="L18" s="26"/>
      <c r="M18" s="26"/>
    </row>
    <row r="19" spans="1:13">
      <c r="A19" s="36">
        <v>1</v>
      </c>
      <c r="B19" s="26" t="s">
        <v>76</v>
      </c>
      <c r="C19" s="26"/>
      <c r="D19" s="27">
        <f>'Income Statement'!K30</f>
        <v>608395597.45990157</v>
      </c>
      <c r="E19" s="26"/>
      <c r="F19" s="26"/>
      <c r="G19" s="26"/>
      <c r="H19" s="26"/>
      <c r="I19" s="26"/>
      <c r="L19" s="26"/>
      <c r="M19" s="26"/>
    </row>
    <row r="20" spans="1:13">
      <c r="A20" s="36">
        <f>A19+1</f>
        <v>2</v>
      </c>
      <c r="B20" s="26"/>
      <c r="C20" s="26"/>
      <c r="D20" s="27"/>
      <c r="E20" s="26"/>
      <c r="F20" s="26"/>
      <c r="G20" s="26"/>
      <c r="H20" s="26"/>
      <c r="I20" s="26"/>
      <c r="L20" s="26"/>
      <c r="M20" s="26"/>
    </row>
    <row r="21" spans="1:13">
      <c r="A21" s="36">
        <f t="shared" ref="A21:A42" si="0">A20+1</f>
        <v>3</v>
      </c>
      <c r="B21" s="26" t="s">
        <v>217</v>
      </c>
      <c r="C21" s="26"/>
      <c r="D21" s="27"/>
      <c r="E21" s="26"/>
      <c r="F21" s="26"/>
      <c r="G21" s="26"/>
      <c r="H21" s="26"/>
      <c r="I21" s="26"/>
      <c r="L21" s="26"/>
      <c r="M21" s="26"/>
    </row>
    <row r="22" spans="1:13">
      <c r="A22" s="36">
        <f t="shared" si="0"/>
        <v>4</v>
      </c>
      <c r="B22" s="26"/>
      <c r="C22" s="26"/>
      <c r="D22" s="27"/>
      <c r="E22" s="26"/>
      <c r="F22" s="26"/>
      <c r="G22" s="26"/>
      <c r="H22" s="26"/>
      <c r="I22" s="26"/>
      <c r="L22" s="26"/>
      <c r="M22" s="26"/>
    </row>
    <row r="23" spans="1:13">
      <c r="A23" s="36">
        <f t="shared" si="0"/>
        <v>5</v>
      </c>
      <c r="B23" s="26" t="s">
        <v>92</v>
      </c>
      <c r="C23" s="26"/>
      <c r="D23" s="27">
        <f>'Income Statement'!K40</f>
        <v>375106918.58999997</v>
      </c>
      <c r="E23" s="26"/>
      <c r="F23" s="26"/>
      <c r="G23" s="26"/>
      <c r="H23" s="26"/>
      <c r="I23" s="26"/>
      <c r="L23" s="26"/>
      <c r="M23" s="26"/>
    </row>
    <row r="24" spans="1:13">
      <c r="A24" s="36">
        <f t="shared" si="0"/>
        <v>6</v>
      </c>
      <c r="B24" s="26" t="s">
        <v>105</v>
      </c>
      <c r="C24" s="26"/>
      <c r="D24" s="27">
        <f>'Income Statement'!K43</f>
        <v>66095668</v>
      </c>
      <c r="E24" s="26"/>
      <c r="F24" s="26"/>
      <c r="G24" s="26"/>
      <c r="H24" s="26"/>
      <c r="I24" s="26"/>
      <c r="L24" s="26"/>
      <c r="M24" s="26"/>
    </row>
    <row r="25" spans="1:13">
      <c r="A25" s="36">
        <f t="shared" si="0"/>
        <v>7</v>
      </c>
      <c r="B25" s="26" t="s">
        <v>106</v>
      </c>
      <c r="C25" s="26"/>
      <c r="D25" s="27">
        <f>'Income Statement'!K44</f>
        <v>46234158</v>
      </c>
      <c r="E25" s="26"/>
      <c r="F25" s="26"/>
      <c r="G25" s="26"/>
      <c r="H25" s="26"/>
      <c r="I25" s="26"/>
      <c r="L25" s="26"/>
      <c r="M25" s="26"/>
    </row>
    <row r="26" spans="1:13">
      <c r="A26" s="36">
        <f t="shared" si="0"/>
        <v>8</v>
      </c>
      <c r="B26" s="26" t="s">
        <v>218</v>
      </c>
      <c r="C26" s="26"/>
      <c r="D26" s="27">
        <f>'Income Statement'!K45</f>
        <v>22751824</v>
      </c>
      <c r="E26" s="26"/>
      <c r="F26" s="26"/>
      <c r="G26" s="26"/>
      <c r="H26" s="26"/>
      <c r="I26" s="26"/>
      <c r="L26" s="26"/>
      <c r="M26" s="26"/>
    </row>
    <row r="27" spans="1:13">
      <c r="A27" s="36">
        <f t="shared" si="0"/>
        <v>9</v>
      </c>
      <c r="B27" s="26" t="s">
        <v>219</v>
      </c>
      <c r="C27" s="26"/>
      <c r="D27" s="27">
        <f>'Income Statement'!K53</f>
        <v>532837.77955160511</v>
      </c>
      <c r="E27" s="26"/>
      <c r="F27" s="26"/>
      <c r="G27" s="26"/>
      <c r="H27" s="26"/>
      <c r="I27" s="26"/>
      <c r="L27" s="26"/>
      <c r="M27" s="26"/>
    </row>
    <row r="28" spans="1:13">
      <c r="A28" s="36">
        <f t="shared" si="0"/>
        <v>10</v>
      </c>
      <c r="B28" s="26" t="s">
        <v>220</v>
      </c>
      <c r="C28" s="26"/>
      <c r="D28" s="27">
        <f>'Income Statement'!K54</f>
        <v>43622502.513396993</v>
      </c>
      <c r="E28" s="26"/>
      <c r="F28" s="26"/>
      <c r="G28" s="26"/>
      <c r="H28" s="26"/>
      <c r="I28" s="26"/>
      <c r="L28" s="26"/>
      <c r="M28" s="26"/>
    </row>
    <row r="29" spans="1:13">
      <c r="A29" s="36">
        <f t="shared" si="0"/>
        <v>11</v>
      </c>
      <c r="B29" s="26" t="s">
        <v>221</v>
      </c>
      <c r="C29" s="26"/>
      <c r="D29" s="27">
        <f>'Income Statement'!K55</f>
        <v>58661.429999999702</v>
      </c>
      <c r="E29" s="26"/>
      <c r="F29" s="26"/>
      <c r="G29" s="26"/>
      <c r="H29" s="26"/>
      <c r="I29" s="26"/>
      <c r="L29" s="26"/>
      <c r="M29" s="26"/>
    </row>
    <row r="30" spans="1:13">
      <c r="A30" s="36">
        <f t="shared" si="0"/>
        <v>12</v>
      </c>
      <c r="B30" s="26" t="s">
        <v>122</v>
      </c>
      <c r="C30" s="26"/>
      <c r="D30" s="120">
        <f>'Income Statement'!K56</f>
        <v>-5945730.9900000002</v>
      </c>
      <c r="E30" s="26"/>
      <c r="F30" s="26"/>
      <c r="G30" s="26"/>
      <c r="H30" s="26"/>
      <c r="I30" s="26"/>
      <c r="L30" s="26"/>
      <c r="M30" s="26"/>
    </row>
    <row r="31" spans="1:13">
      <c r="A31" s="36">
        <f t="shared" si="0"/>
        <v>13</v>
      </c>
      <c r="B31" s="26"/>
      <c r="C31" s="26"/>
      <c r="D31" s="27"/>
      <c r="E31" s="26"/>
      <c r="F31" s="26"/>
      <c r="G31" s="26"/>
      <c r="H31" s="26"/>
      <c r="I31" s="26"/>
      <c r="L31" s="26"/>
      <c r="M31" s="26"/>
    </row>
    <row r="32" spans="1:13">
      <c r="A32" s="36">
        <f t="shared" si="0"/>
        <v>14</v>
      </c>
      <c r="B32" s="26" t="s">
        <v>222</v>
      </c>
      <c r="C32" s="26"/>
      <c r="D32" s="120">
        <f>SUM(D23:D31)</f>
        <v>548456839.32294858</v>
      </c>
      <c r="E32" s="26"/>
      <c r="F32" s="26"/>
      <c r="G32" s="26"/>
      <c r="H32" s="26"/>
      <c r="I32" s="26"/>
      <c r="L32" s="26"/>
      <c r="M32" s="26"/>
    </row>
    <row r="33" spans="1:13">
      <c r="A33" s="36">
        <f t="shared" si="0"/>
        <v>15</v>
      </c>
      <c r="B33" s="26"/>
      <c r="C33" s="26"/>
      <c r="D33" s="27"/>
      <c r="E33" s="26"/>
      <c r="F33" s="26"/>
      <c r="G33" s="26"/>
      <c r="H33" s="26"/>
      <c r="I33" s="26"/>
      <c r="L33" s="26"/>
      <c r="M33" s="26"/>
    </row>
    <row r="34" spans="1:13">
      <c r="A34" s="36">
        <f t="shared" si="0"/>
        <v>16</v>
      </c>
      <c r="B34" s="26" t="s">
        <v>223</v>
      </c>
      <c r="C34" s="26"/>
      <c r="D34" s="27">
        <f>D19-D32</f>
        <v>59938758.136952996</v>
      </c>
      <c r="E34" s="26"/>
      <c r="F34" s="26"/>
      <c r="G34" s="26"/>
      <c r="H34" s="26"/>
      <c r="I34" s="26"/>
      <c r="J34" s="26"/>
      <c r="K34" s="26"/>
      <c r="L34" s="26"/>
      <c r="M34" s="26"/>
    </row>
    <row r="35" spans="1:13">
      <c r="A35" s="36">
        <f t="shared" si="0"/>
        <v>17</v>
      </c>
      <c r="B35" s="26"/>
      <c r="C35" s="26"/>
      <c r="D35" s="26"/>
      <c r="E35" s="26"/>
      <c r="F35" s="26"/>
      <c r="G35" s="26"/>
      <c r="H35" s="26"/>
      <c r="I35" s="26"/>
      <c r="J35" s="26"/>
      <c r="K35" s="26"/>
      <c r="L35" s="26"/>
      <c r="M35" s="26"/>
    </row>
    <row r="36" spans="1:13">
      <c r="A36" s="36">
        <f t="shared" si="0"/>
        <v>18</v>
      </c>
      <c r="B36" s="26" t="s">
        <v>224</v>
      </c>
      <c r="C36" s="26"/>
      <c r="D36" s="126">
        <v>0.21</v>
      </c>
      <c r="E36" s="26"/>
      <c r="F36" s="26"/>
      <c r="G36" s="26"/>
      <c r="H36" s="26"/>
      <c r="I36" s="26"/>
      <c r="J36" s="26"/>
      <c r="K36" s="26"/>
      <c r="L36" s="26"/>
      <c r="M36" s="26"/>
    </row>
    <row r="37" spans="1:13">
      <c r="A37" s="36">
        <f t="shared" si="0"/>
        <v>19</v>
      </c>
      <c r="B37" s="26"/>
      <c r="C37" s="26"/>
      <c r="D37" s="26"/>
      <c r="E37" s="26"/>
      <c r="F37" s="26"/>
      <c r="G37" s="26"/>
      <c r="H37" s="26"/>
      <c r="I37" s="26"/>
      <c r="J37" s="26"/>
      <c r="K37" s="26"/>
      <c r="L37" s="26"/>
      <c r="M37" s="26"/>
    </row>
    <row r="38" spans="1:13">
      <c r="A38" s="36">
        <f t="shared" si="0"/>
        <v>20</v>
      </c>
      <c r="B38" s="26" t="s">
        <v>225</v>
      </c>
      <c r="C38" s="26"/>
      <c r="D38" s="27">
        <f>D34*D36</f>
        <v>12587139.208760129</v>
      </c>
      <c r="E38" s="26"/>
      <c r="F38" s="26"/>
      <c r="G38" s="26"/>
      <c r="H38" s="26"/>
      <c r="I38" s="26"/>
      <c r="J38" s="26"/>
      <c r="K38" s="26"/>
      <c r="L38" s="26"/>
      <c r="M38" s="26"/>
    </row>
    <row r="39" spans="1:13">
      <c r="A39" s="36">
        <f t="shared" si="0"/>
        <v>21</v>
      </c>
      <c r="B39" s="26"/>
      <c r="C39" s="26"/>
      <c r="D39" s="27"/>
      <c r="E39" s="26"/>
      <c r="F39" s="26"/>
      <c r="G39" s="26"/>
      <c r="H39" s="26"/>
      <c r="I39" s="26"/>
      <c r="J39" s="26"/>
      <c r="K39" s="26"/>
      <c r="L39" s="26"/>
      <c r="M39" s="26"/>
    </row>
    <row r="40" spans="1:13">
      <c r="A40" s="36">
        <f t="shared" si="0"/>
        <v>22</v>
      </c>
      <c r="B40" s="27" t="s">
        <v>226</v>
      </c>
      <c r="C40" s="27"/>
      <c r="D40" s="27">
        <f>'Rate Base'!K41-'Rate Base'!C41</f>
        <v>-1514251</v>
      </c>
      <c r="E40" s="1"/>
      <c r="F40" s="94"/>
      <c r="G40" s="26"/>
      <c r="H40" s="26"/>
      <c r="I40" s="26"/>
      <c r="J40" s="26"/>
      <c r="K40" s="26"/>
      <c r="L40" s="26"/>
      <c r="M40" s="26"/>
    </row>
    <row r="41" spans="1:13">
      <c r="A41" s="36">
        <f t="shared" si="0"/>
        <v>23</v>
      </c>
      <c r="B41" s="26"/>
      <c r="C41" s="26"/>
      <c r="D41" s="27"/>
      <c r="E41" s="26"/>
      <c r="F41" s="26"/>
      <c r="G41" s="26"/>
      <c r="H41" s="26"/>
      <c r="I41" s="26"/>
      <c r="J41" s="26"/>
      <c r="K41" s="26"/>
      <c r="L41" s="26"/>
      <c r="M41" s="26"/>
    </row>
    <row r="42" spans="1:13" ht="15.75" thickBot="1">
      <c r="A42" s="36">
        <f t="shared" si="0"/>
        <v>24</v>
      </c>
      <c r="B42" s="26" t="s">
        <v>227</v>
      </c>
      <c r="C42" s="26"/>
      <c r="D42" s="111">
        <f>SUM(D38:D41)</f>
        <v>11072888.208760129</v>
      </c>
      <c r="E42" s="26"/>
      <c r="F42" s="26"/>
      <c r="G42" s="26"/>
      <c r="H42" s="26"/>
      <c r="I42" s="26"/>
      <c r="J42" s="26"/>
      <c r="K42" s="26"/>
      <c r="L42" s="26"/>
      <c r="M42" s="26"/>
    </row>
    <row r="43" spans="1:13" ht="15.75" thickTop="1">
      <c r="A43" s="36"/>
      <c r="B43" s="26"/>
      <c r="C43" s="26"/>
      <c r="D43" s="26"/>
      <c r="E43" s="26"/>
      <c r="F43" s="26"/>
      <c r="G43" s="26"/>
      <c r="H43" s="26"/>
      <c r="I43" s="26"/>
      <c r="J43" s="26"/>
      <c r="K43" s="26"/>
      <c r="L43" s="26"/>
      <c r="M43" s="26"/>
    </row>
    <row r="44" spans="1:13">
      <c r="A44" s="26" t="s">
        <v>70</v>
      </c>
      <c r="C44" s="26"/>
      <c r="D44" s="26"/>
      <c r="E44" s="26"/>
      <c r="F44" s="26"/>
      <c r="G44" s="26"/>
      <c r="H44" s="26"/>
      <c r="I44" s="26"/>
      <c r="J44" s="26"/>
      <c r="K44" s="26"/>
      <c r="L44" s="26"/>
      <c r="M44" s="26"/>
    </row>
    <row r="45" spans="1:13">
      <c r="A45" s="36">
        <v>1</v>
      </c>
      <c r="B45" s="26" t="str">
        <f>CONCATENATE("From ",'Income Statement'!$K$12," line ",'Income Statement'!A30)&amp;'Income Statement'!K20</f>
        <v>From Page 2 of 15 line 10(c)</v>
      </c>
      <c r="C45" s="26"/>
      <c r="D45" s="26"/>
      <c r="E45" s="26"/>
      <c r="F45" s="26"/>
      <c r="G45" s="26"/>
      <c r="H45" s="26"/>
      <c r="I45" s="26"/>
      <c r="J45" s="26"/>
      <c r="K45" s="26"/>
      <c r="L45" s="26"/>
      <c r="M45" s="26"/>
    </row>
    <row r="46" spans="1:13">
      <c r="A46" s="36">
        <v>5</v>
      </c>
      <c r="B46" s="26" t="str">
        <f>CONCATENATE("From ",'Income Statement'!$K$12," line ",'Income Statement'!A40)&amp;'Income Statement'!K20</f>
        <v>From Page 2 of 15 line 20(c)</v>
      </c>
      <c r="C46" s="26"/>
      <c r="D46" s="26"/>
      <c r="E46" s="26"/>
      <c r="F46" s="26"/>
      <c r="G46" s="26"/>
      <c r="H46" s="26"/>
      <c r="I46" s="26"/>
      <c r="J46" s="37"/>
      <c r="K46" s="37"/>
      <c r="L46" s="26"/>
      <c r="M46" s="26"/>
    </row>
    <row r="47" spans="1:13">
      <c r="A47" s="36">
        <v>6</v>
      </c>
      <c r="B47" s="26" t="str">
        <f>CONCATENATE("From ",'Income Statement'!$K$12," line ",'Income Statement'!A43)&amp;'Income Statement'!K20</f>
        <v>From Page 2 of 15 line 23(c)</v>
      </c>
      <c r="C47" s="26"/>
      <c r="D47" s="26"/>
      <c r="E47" s="26"/>
      <c r="F47" s="26"/>
      <c r="G47" s="26"/>
      <c r="H47" s="26"/>
      <c r="I47" s="26"/>
      <c r="J47" s="37"/>
      <c r="K47" s="37"/>
      <c r="L47" s="26"/>
      <c r="M47" s="26"/>
    </row>
    <row r="48" spans="1:13">
      <c r="A48" s="36">
        <v>7</v>
      </c>
      <c r="B48" s="26" t="str">
        <f>CONCATENATE("From ",'Income Statement'!$K$12," line ",'Income Statement'!A44)&amp;'Income Statement'!K20</f>
        <v>From Page 2 of 15 line 24(c)</v>
      </c>
      <c r="C48" s="26"/>
      <c r="D48" s="26"/>
      <c r="E48" s="26"/>
      <c r="F48" s="26"/>
      <c r="G48" s="26"/>
      <c r="H48" s="26"/>
      <c r="I48" s="26"/>
      <c r="J48" s="37"/>
      <c r="K48" s="37"/>
      <c r="L48" s="26"/>
      <c r="M48" s="26"/>
    </row>
    <row r="49" spans="1:13">
      <c r="A49" s="36">
        <v>8</v>
      </c>
      <c r="B49" s="26" t="str">
        <f>CONCATENATE("From ",'Income Statement'!$K$12," line ",'Income Statement'!A45)&amp;'Income Statement'!K20</f>
        <v>From Page 2 of 15 line 25(c)</v>
      </c>
      <c r="C49" s="26"/>
      <c r="D49" s="26"/>
      <c r="E49" s="26"/>
      <c r="F49" s="26"/>
      <c r="G49" s="26"/>
      <c r="H49" s="26"/>
      <c r="I49" s="26"/>
      <c r="J49" s="37"/>
      <c r="K49" s="37"/>
      <c r="L49" s="26"/>
      <c r="M49" s="26"/>
    </row>
    <row r="50" spans="1:13">
      <c r="A50" s="36">
        <v>9</v>
      </c>
      <c r="B50" s="26" t="str">
        <f>CONCATENATE("From ",'Income Statement'!$K$12," line ",'Income Statement'!A53)&amp;'Income Statement'!K20</f>
        <v>From Page 2 of 15 line 33(c)</v>
      </c>
      <c r="C50" s="26"/>
      <c r="D50" s="26"/>
      <c r="E50" s="26"/>
      <c r="F50" s="26"/>
      <c r="G50" s="26"/>
      <c r="H50" s="26"/>
      <c r="I50" s="26"/>
      <c r="J50" s="37"/>
      <c r="K50" s="37"/>
      <c r="L50" s="26"/>
      <c r="M50" s="26"/>
    </row>
    <row r="51" spans="1:13">
      <c r="A51" s="36">
        <v>10</v>
      </c>
      <c r="B51" s="26" t="str">
        <f>CONCATENATE("From ",'Income Statement'!$K$12," line ",'Income Statement'!A54)&amp;'Income Statement'!K20</f>
        <v>From Page 2 of 15 line 34(c)</v>
      </c>
      <c r="C51" s="26"/>
      <c r="D51" s="26"/>
      <c r="E51" s="26"/>
      <c r="F51" s="26"/>
      <c r="G51" s="26"/>
      <c r="H51" s="26"/>
      <c r="I51" s="26"/>
      <c r="J51" s="37"/>
      <c r="K51" s="37"/>
      <c r="L51" s="26"/>
      <c r="M51" s="26"/>
    </row>
    <row r="52" spans="1:13">
      <c r="A52" s="36">
        <v>11</v>
      </c>
      <c r="B52" s="26" t="str">
        <f>CONCATENATE("From ",'Income Statement'!$K$12," line ",'Income Statement'!A55)&amp;'Income Statement'!K20</f>
        <v>From Page 2 of 15 line 35(c)</v>
      </c>
      <c r="C52" s="26"/>
      <c r="D52" s="26"/>
      <c r="E52" s="26"/>
      <c r="F52" s="26"/>
      <c r="G52" s="26"/>
      <c r="H52" s="26"/>
      <c r="I52" s="26"/>
      <c r="J52" s="26"/>
      <c r="K52" s="37"/>
      <c r="L52" s="26"/>
      <c r="M52" s="26"/>
    </row>
    <row r="53" spans="1:13">
      <c r="A53" s="36">
        <v>12</v>
      </c>
      <c r="B53" s="26" t="str">
        <f>CONCATENATE("From ",'Income Statement'!$K$12," line ",'Income Statement'!A56)&amp;'Income Statement'!K20</f>
        <v>From Page 2 of 15 line 36(c)</v>
      </c>
      <c r="C53" s="26"/>
      <c r="D53" s="26"/>
      <c r="E53" s="26"/>
      <c r="F53" s="26"/>
      <c r="G53" s="26"/>
      <c r="H53" s="26"/>
      <c r="I53" s="26"/>
      <c r="J53" s="26"/>
      <c r="K53" s="37"/>
      <c r="L53" s="26"/>
      <c r="M53" s="26"/>
    </row>
    <row r="54" spans="1:13">
      <c r="A54" s="36">
        <v>14</v>
      </c>
      <c r="B54" s="26" t="str">
        <f>CONCATENATE("Sum of Line ",A23," through line ",A30)</f>
        <v>Sum of Line 5 through line 12</v>
      </c>
      <c r="C54" s="26"/>
      <c r="D54" s="26"/>
      <c r="E54" s="26"/>
      <c r="F54" s="26"/>
      <c r="G54" s="26"/>
      <c r="H54" s="26"/>
      <c r="I54" s="26"/>
      <c r="L54" s="26"/>
      <c r="M54" s="26"/>
    </row>
    <row r="55" spans="1:13">
      <c r="A55" s="36">
        <v>16</v>
      </c>
      <c r="B55" s="26" t="str">
        <f>CONCATENATE("Line ",A19," minus line ",A32)</f>
        <v>Line 1 minus line 14</v>
      </c>
      <c r="C55" s="26"/>
      <c r="D55" s="26"/>
      <c r="E55" s="26"/>
      <c r="F55" s="26"/>
      <c r="G55" s="26"/>
      <c r="H55" s="26"/>
      <c r="I55" s="26"/>
      <c r="L55" s="26"/>
      <c r="M55" s="26"/>
    </row>
    <row r="56" spans="1:13">
      <c r="A56" s="35">
        <v>18</v>
      </c>
      <c r="B56" s="33" t="s">
        <v>228</v>
      </c>
      <c r="C56" s="94"/>
      <c r="D56" s="94"/>
      <c r="E56" s="94"/>
      <c r="F56" s="94"/>
      <c r="G56" s="94"/>
      <c r="H56" s="26"/>
      <c r="I56" s="26"/>
      <c r="L56" s="26"/>
      <c r="M56" s="26"/>
    </row>
    <row r="57" spans="1:13">
      <c r="A57" s="36">
        <v>20</v>
      </c>
      <c r="B57" s="26" t="str">
        <f>CONCATENATE("Line ",A34," times Line ",A36)</f>
        <v>Line 16 times Line 18</v>
      </c>
      <c r="C57" s="26"/>
      <c r="D57" s="26"/>
      <c r="E57" s="26"/>
      <c r="F57" s="26"/>
      <c r="G57" s="26"/>
      <c r="H57" s="26"/>
      <c r="I57" s="26"/>
      <c r="L57" s="26"/>
      <c r="M57" s="26"/>
    </row>
    <row r="58" spans="1:13">
      <c r="A58" s="188">
        <f>A40</f>
        <v>22</v>
      </c>
      <c r="B58" s="799" t="s">
        <v>6196</v>
      </c>
      <c r="C58" s="799"/>
      <c r="D58" s="799"/>
      <c r="E58" s="799"/>
      <c r="F58" s="799"/>
      <c r="G58" s="192"/>
      <c r="H58" s="26"/>
      <c r="I58" s="26"/>
      <c r="L58" s="26"/>
      <c r="M58" s="26"/>
    </row>
    <row r="59" spans="1:13">
      <c r="A59" s="36">
        <f>A42</f>
        <v>24</v>
      </c>
      <c r="B59" s="26" t="str">
        <f>"Line "&amp;A38&amp;" plus Line "&amp;A40</f>
        <v>Line 20 plus Line 22</v>
      </c>
      <c r="C59" s="26"/>
      <c r="D59" s="26"/>
      <c r="E59" s="26"/>
      <c r="F59" s="26"/>
      <c r="G59" s="26"/>
      <c r="H59" s="26"/>
      <c r="I59" s="26"/>
      <c r="L59" s="26"/>
      <c r="M59" s="26"/>
    </row>
    <row r="60" spans="1:13">
      <c r="A60" s="26"/>
      <c r="B60" s="26"/>
      <c r="C60" s="26"/>
      <c r="D60" s="26"/>
      <c r="E60" s="26"/>
      <c r="F60" s="26"/>
      <c r="G60" s="26"/>
      <c r="H60" s="26"/>
      <c r="I60" s="26"/>
      <c r="L60" s="26"/>
      <c r="M60" s="26"/>
    </row>
    <row r="61" spans="1:13">
      <c r="A61" s="26"/>
      <c r="B61" s="26"/>
      <c r="C61" s="30"/>
      <c r="D61" s="27"/>
      <c r="E61" s="26"/>
      <c r="F61" s="26"/>
      <c r="G61" s="26"/>
      <c r="H61" s="26"/>
      <c r="I61" s="26"/>
      <c r="L61" s="26"/>
      <c r="M61" s="26"/>
    </row>
    <row r="62" spans="1:13">
      <c r="L62" s="26"/>
      <c r="M62" s="26"/>
    </row>
    <row r="63" spans="1:13">
      <c r="L63" s="26"/>
      <c r="M63" s="26"/>
    </row>
    <row r="64" spans="1:13">
      <c r="L64" s="26"/>
      <c r="M64" s="26"/>
    </row>
    <row r="65" spans="12:13">
      <c r="L65" s="26"/>
      <c r="M65" s="26"/>
    </row>
    <row r="66" spans="12:13">
      <c r="L66" s="26"/>
      <c r="M66" s="26"/>
    </row>
    <row r="67" spans="12:13">
      <c r="L67" s="26"/>
      <c r="M67" s="26"/>
    </row>
    <row r="68" spans="12:13">
      <c r="L68" s="26"/>
      <c r="M68" s="26"/>
    </row>
    <row r="69" spans="12:13">
      <c r="L69" s="26"/>
      <c r="M69" s="26"/>
    </row>
    <row r="70" spans="12:13">
      <c r="L70" s="26"/>
      <c r="M70" s="26"/>
    </row>
    <row r="71" spans="12:13">
      <c r="L71" s="26"/>
      <c r="M71" s="26"/>
    </row>
    <row r="72" spans="12:13">
      <c r="L72" s="26"/>
      <c r="M72" s="26"/>
    </row>
    <row r="73" spans="12:13">
      <c r="L73" s="26"/>
      <c r="M73" s="26"/>
    </row>
    <row r="74" spans="12:13">
      <c r="L74" s="26"/>
      <c r="M74" s="26"/>
    </row>
    <row r="75" spans="12:13">
      <c r="L75" s="26"/>
      <c r="M75" s="26"/>
    </row>
    <row r="76" spans="12:13">
      <c r="L76" s="26"/>
      <c r="M76" s="26"/>
    </row>
    <row r="77" spans="12:13">
      <c r="L77" s="26"/>
      <c r="M77" s="26"/>
    </row>
    <row r="78" spans="12:13">
      <c r="L78" s="26"/>
      <c r="M78" s="26"/>
    </row>
    <row r="79" spans="12:13">
      <c r="L79" s="26"/>
      <c r="M79" s="26"/>
    </row>
    <row r="80" spans="12:13">
      <c r="L80" s="26"/>
      <c r="M80" s="26"/>
    </row>
    <row r="81" spans="12:13">
      <c r="L81" s="26"/>
      <c r="M81" s="26"/>
    </row>
    <row r="82" spans="12:13">
      <c r="L82" s="26"/>
      <c r="M82" s="26"/>
    </row>
    <row r="83" spans="12:13">
      <c r="L83" s="26"/>
      <c r="M83" s="26"/>
    </row>
    <row r="84" spans="12:13">
      <c r="L84" s="26"/>
      <c r="M84" s="26"/>
    </row>
    <row r="85" spans="12:13">
      <c r="L85" s="26"/>
      <c r="M85" s="26"/>
    </row>
    <row r="86" spans="12:13">
      <c r="L86" s="26"/>
      <c r="M86" s="26"/>
    </row>
    <row r="87" spans="12:13">
      <c r="L87" s="26"/>
      <c r="M87" s="26"/>
    </row>
    <row r="88" spans="12:13">
      <c r="L88" s="26"/>
      <c r="M88" s="26"/>
    </row>
    <row r="89" spans="12:13">
      <c r="L89" s="26"/>
      <c r="M89" s="26"/>
    </row>
    <row r="90" spans="12:13">
      <c r="L90" s="26"/>
      <c r="M90" s="26"/>
    </row>
    <row r="91" spans="12:13">
      <c r="L91" s="26"/>
      <c r="M91" s="26"/>
    </row>
    <row r="92" spans="12:13">
      <c r="L92" s="26"/>
      <c r="M92" s="26"/>
    </row>
    <row r="93" spans="12:13">
      <c r="L93" s="26"/>
      <c r="M93" s="26"/>
    </row>
    <row r="94" spans="12:13">
      <c r="L94" s="26"/>
      <c r="M94" s="26"/>
    </row>
    <row r="95" spans="12:13">
      <c r="L95" s="26"/>
      <c r="M95" s="26"/>
    </row>
    <row r="96" spans="12:13">
      <c r="L96" s="26"/>
      <c r="M96" s="26"/>
    </row>
    <row r="97" spans="12:13">
      <c r="L97" s="26"/>
      <c r="M97" s="26"/>
    </row>
    <row r="98" spans="12:13">
      <c r="L98" s="26"/>
      <c r="M98" s="26"/>
    </row>
    <row r="99" spans="12:13">
      <c r="L99" s="26"/>
      <c r="M99" s="26"/>
    </row>
    <row r="100" spans="12:13">
      <c r="L100" s="26"/>
      <c r="M100" s="26"/>
    </row>
    <row r="101" spans="12:13">
      <c r="L101" s="26"/>
      <c r="M101" s="26"/>
    </row>
    <row r="102" spans="12:13">
      <c r="L102" s="26"/>
      <c r="M102" s="26"/>
    </row>
    <row r="103" spans="12:13">
      <c r="L103" s="26"/>
      <c r="M103" s="26"/>
    </row>
    <row r="104" spans="12:13">
      <c r="L104" s="26"/>
      <c r="M104" s="26"/>
    </row>
    <row r="105" spans="12:13">
      <c r="L105" s="26"/>
      <c r="M105" s="26"/>
    </row>
    <row r="106" spans="12:13">
      <c r="L106" s="26"/>
      <c r="M106" s="26"/>
    </row>
    <row r="107" spans="12:13">
      <c r="L107" s="26"/>
      <c r="M107" s="26"/>
    </row>
    <row r="108" spans="12:13">
      <c r="L108" s="26"/>
      <c r="M108" s="26"/>
    </row>
    <row r="109" spans="12:13">
      <c r="L109" s="26"/>
      <c r="M109" s="26"/>
    </row>
    <row r="110" spans="12:13">
      <c r="L110" s="26"/>
      <c r="M110" s="26"/>
    </row>
    <row r="111" spans="12:13">
      <c r="L111" s="26"/>
      <c r="M111" s="26"/>
    </row>
    <row r="112" spans="12:13">
      <c r="L112" s="26"/>
      <c r="M112" s="26"/>
    </row>
    <row r="113" spans="12:13">
      <c r="L113" s="26"/>
      <c r="M113" s="26"/>
    </row>
    <row r="114" spans="12:13">
      <c r="L114" s="26"/>
      <c r="M114" s="26"/>
    </row>
    <row r="115" spans="12:13">
      <c r="L115" s="26"/>
      <c r="M115" s="26"/>
    </row>
    <row r="116" spans="12:13">
      <c r="L116" s="26"/>
      <c r="M116" s="26"/>
    </row>
    <row r="117" spans="12:13">
      <c r="L117" s="26"/>
      <c r="M117" s="26"/>
    </row>
    <row r="118" spans="12:13">
      <c r="L118" s="26"/>
      <c r="M118" s="26"/>
    </row>
    <row r="119" spans="12:13">
      <c r="L119" s="26"/>
      <c r="M119" s="26"/>
    </row>
    <row r="120" spans="12:13">
      <c r="L120" s="26"/>
      <c r="M120" s="26"/>
    </row>
    <row r="121" spans="12:13">
      <c r="L121" s="26"/>
      <c r="M121" s="26"/>
    </row>
    <row r="122" spans="12:13">
      <c r="L122" s="26"/>
      <c r="M122" s="26"/>
    </row>
    <row r="123" spans="12:13">
      <c r="L123" s="26"/>
      <c r="M123" s="26"/>
    </row>
    <row r="124" spans="12:13">
      <c r="L124" s="26"/>
      <c r="M124" s="26"/>
    </row>
    <row r="125" spans="12:13">
      <c r="L125" s="26"/>
      <c r="M125" s="26"/>
    </row>
    <row r="126" spans="12:13">
      <c r="L126" s="26"/>
      <c r="M126" s="26"/>
    </row>
    <row r="127" spans="12:13">
      <c r="L127" s="26"/>
      <c r="M127" s="26"/>
    </row>
    <row r="128" spans="12:13">
      <c r="L128" s="26"/>
      <c r="M128" s="26"/>
    </row>
    <row r="129" spans="12:13">
      <c r="L129" s="26"/>
      <c r="M129" s="26"/>
    </row>
    <row r="130" spans="12:13">
      <c r="L130" s="26"/>
      <c r="M130" s="26"/>
    </row>
    <row r="131" spans="12:13">
      <c r="L131" s="26"/>
      <c r="M131" s="26"/>
    </row>
    <row r="132" spans="12:13">
      <c r="L132" s="26"/>
      <c r="M132" s="26"/>
    </row>
    <row r="133" spans="12:13">
      <c r="L133" s="26"/>
      <c r="M133" s="26"/>
    </row>
    <row r="134" spans="12:13">
      <c r="L134" s="26"/>
      <c r="M134" s="26"/>
    </row>
    <row r="135" spans="12:13">
      <c r="L135" s="26"/>
      <c r="M135" s="26"/>
    </row>
    <row r="136" spans="12:13">
      <c r="L136" s="26"/>
      <c r="M136" s="26"/>
    </row>
    <row r="137" spans="12:13">
      <c r="L137" s="26"/>
      <c r="M137" s="26"/>
    </row>
    <row r="138" spans="12:13">
      <c r="L138" s="26"/>
      <c r="M138" s="26"/>
    </row>
    <row r="139" spans="12:13">
      <c r="L139" s="26"/>
      <c r="M139" s="26"/>
    </row>
    <row r="140" spans="12:13">
      <c r="L140" s="26"/>
      <c r="M140" s="26"/>
    </row>
    <row r="141" spans="12:13">
      <c r="L141" s="26"/>
      <c r="M141" s="26"/>
    </row>
    <row r="142" spans="12:13">
      <c r="L142" s="26"/>
      <c r="M142" s="26"/>
    </row>
    <row r="143" spans="12:13">
      <c r="L143" s="26"/>
      <c r="M143" s="26"/>
    </row>
    <row r="144" spans="12:13">
      <c r="L144" s="26"/>
      <c r="M144" s="26"/>
    </row>
    <row r="145" spans="12:13">
      <c r="L145" s="26"/>
      <c r="M145" s="26"/>
    </row>
    <row r="146" spans="12:13">
      <c r="L146" s="26"/>
      <c r="M146" s="26"/>
    </row>
    <row r="147" spans="12:13">
      <c r="L147" s="26"/>
      <c r="M147" s="26"/>
    </row>
    <row r="148" spans="12:13">
      <c r="L148" s="26"/>
      <c r="M148" s="26"/>
    </row>
    <row r="149" spans="12:13">
      <c r="L149" s="26"/>
      <c r="M149" s="26"/>
    </row>
    <row r="150" spans="12:13">
      <c r="L150" s="26"/>
      <c r="M150" s="26"/>
    </row>
    <row r="151" spans="12:13">
      <c r="L151" s="26"/>
      <c r="M151" s="26"/>
    </row>
    <row r="152" spans="12:13">
      <c r="L152" s="26"/>
      <c r="M152" s="26"/>
    </row>
    <row r="153" spans="12:13">
      <c r="L153" s="26"/>
      <c r="M153" s="26"/>
    </row>
    <row r="154" spans="12:13">
      <c r="L154" s="26"/>
      <c r="M154" s="26"/>
    </row>
    <row r="155" spans="12:13">
      <c r="L155" s="26"/>
      <c r="M155" s="26"/>
    </row>
    <row r="156" spans="12:13">
      <c r="L156" s="26"/>
      <c r="M156" s="26"/>
    </row>
    <row r="157" spans="12:13">
      <c r="L157" s="26"/>
      <c r="M157" s="26"/>
    </row>
    <row r="158" spans="12:13">
      <c r="L158" s="26"/>
      <c r="M158" s="26"/>
    </row>
    <row r="159" spans="12:13">
      <c r="L159" s="26"/>
      <c r="M159" s="26"/>
    </row>
    <row r="160" spans="12:13">
      <c r="L160" s="26"/>
      <c r="M160" s="26"/>
    </row>
    <row r="161" spans="12:13">
      <c r="L161" s="26"/>
      <c r="M161" s="26"/>
    </row>
    <row r="162" spans="12:13">
      <c r="L162" s="26"/>
      <c r="M162" s="26"/>
    </row>
    <row r="163" spans="12:13">
      <c r="L163" s="26"/>
      <c r="M163" s="26"/>
    </row>
    <row r="164" spans="12:13">
      <c r="L164" s="26"/>
      <c r="M164" s="26"/>
    </row>
    <row r="165" spans="12:13">
      <c r="L165" s="26"/>
      <c r="M165" s="26"/>
    </row>
    <row r="166" spans="12:13">
      <c r="L166" s="26"/>
      <c r="M166" s="26"/>
    </row>
    <row r="167" spans="12:13">
      <c r="L167" s="26"/>
      <c r="M167" s="26"/>
    </row>
    <row r="168" spans="12:13">
      <c r="L168" s="26"/>
      <c r="M168" s="26"/>
    </row>
    <row r="169" spans="12:13">
      <c r="L169" s="26"/>
      <c r="M169" s="26"/>
    </row>
    <row r="170" spans="12:13">
      <c r="L170" s="26"/>
      <c r="M170" s="26"/>
    </row>
    <row r="171" spans="12:13">
      <c r="L171" s="26"/>
      <c r="M171" s="26"/>
    </row>
    <row r="172" spans="12:13">
      <c r="L172" s="26"/>
      <c r="M172" s="26"/>
    </row>
    <row r="173" spans="12:13">
      <c r="L173" s="26"/>
      <c r="M173" s="26"/>
    </row>
    <row r="174" spans="12:13">
      <c r="L174" s="26"/>
      <c r="M174" s="26"/>
    </row>
    <row r="175" spans="12:13">
      <c r="L175" s="26"/>
      <c r="M175" s="26"/>
    </row>
    <row r="176" spans="12:13">
      <c r="L176" s="26"/>
      <c r="M176" s="26"/>
    </row>
    <row r="177" spans="12:13">
      <c r="L177" s="26"/>
      <c r="M177" s="26"/>
    </row>
    <row r="178" spans="12:13">
      <c r="L178" s="26"/>
      <c r="M178" s="26"/>
    </row>
    <row r="179" spans="12:13">
      <c r="L179" s="26"/>
      <c r="M179" s="26"/>
    </row>
    <row r="180" spans="12:13">
      <c r="L180" s="26"/>
      <c r="M180" s="26"/>
    </row>
    <row r="181" spans="12:13">
      <c r="L181" s="26"/>
      <c r="M181" s="26"/>
    </row>
    <row r="182" spans="12:13">
      <c r="L182" s="26"/>
      <c r="M182" s="26"/>
    </row>
    <row r="183" spans="12:13">
      <c r="L183" s="26"/>
      <c r="M183" s="26"/>
    </row>
    <row r="184" spans="12:13">
      <c r="L184" s="26"/>
      <c r="M184" s="26"/>
    </row>
    <row r="185" spans="12:13">
      <c r="L185" s="26"/>
      <c r="M185" s="26"/>
    </row>
    <row r="186" spans="12:13">
      <c r="L186" s="26"/>
      <c r="M186" s="26"/>
    </row>
    <row r="187" spans="12:13">
      <c r="L187" s="26"/>
      <c r="M187" s="26"/>
    </row>
    <row r="188" spans="12:13">
      <c r="L188" s="26"/>
      <c r="M188" s="26"/>
    </row>
    <row r="189" spans="12:13">
      <c r="L189" s="26"/>
      <c r="M189" s="26"/>
    </row>
    <row r="190" spans="12:13">
      <c r="L190" s="26"/>
      <c r="M190" s="26"/>
    </row>
    <row r="191" spans="12:13">
      <c r="L191" s="26"/>
      <c r="M191" s="26"/>
    </row>
    <row r="192" spans="12:13">
      <c r="L192" s="26"/>
      <c r="M192" s="26"/>
    </row>
    <row r="193" spans="12:13">
      <c r="L193" s="26"/>
      <c r="M193" s="26"/>
    </row>
    <row r="194" spans="12:13">
      <c r="L194" s="26"/>
      <c r="M194" s="26"/>
    </row>
    <row r="195" spans="12:13">
      <c r="L195" s="26"/>
      <c r="M195" s="26"/>
    </row>
    <row r="196" spans="12:13">
      <c r="L196" s="26"/>
      <c r="M196" s="26"/>
    </row>
    <row r="197" spans="12:13">
      <c r="L197" s="26"/>
      <c r="M197" s="26"/>
    </row>
    <row r="198" spans="12:13">
      <c r="L198" s="26"/>
      <c r="M198" s="26"/>
    </row>
    <row r="199" spans="12:13">
      <c r="L199" s="26"/>
      <c r="M199" s="26"/>
    </row>
    <row r="200" spans="12:13">
      <c r="L200" s="26"/>
      <c r="M200" s="26"/>
    </row>
    <row r="201" spans="12:13">
      <c r="L201" s="26"/>
      <c r="M201" s="26"/>
    </row>
    <row r="202" spans="12:13">
      <c r="L202" s="26"/>
      <c r="M202" s="26"/>
    </row>
    <row r="203" spans="12:13">
      <c r="L203" s="26"/>
      <c r="M203" s="26"/>
    </row>
  </sheetData>
  <mergeCells count="5">
    <mergeCell ref="A14:D14"/>
    <mergeCell ref="A15:D15"/>
    <mergeCell ref="A16:D16"/>
    <mergeCell ref="A17:D17"/>
    <mergeCell ref="B58:F58"/>
  </mergeCells>
  <pageMargins left="0.7" right="0.7" top="0.75" bottom="0.75" header="0.3" footer="0.3"/>
  <pageSetup scale="88" orientation="portrait" horizontalDpi="1200" verticalDpi="12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pageSetUpPr fitToPage="1"/>
  </sheetPr>
  <dimension ref="A1:M207"/>
  <sheetViews>
    <sheetView topLeftCell="A6" workbookViewId="0">
      <selection activeCell="A6" sqref="A6:H75"/>
    </sheetView>
  </sheetViews>
  <sheetFormatPr defaultRowHeight="15" outlineLevelRow="1"/>
  <cols>
    <col min="2" max="2" width="20.7109375" customWidth="1"/>
    <col min="4" max="4" width="11.7109375" customWidth="1"/>
    <col min="5" max="5" width="25.7109375" customWidth="1"/>
    <col min="6" max="6" width="13.7109375" bestFit="1" customWidth="1"/>
    <col min="7" max="8" width="10.7109375" customWidth="1"/>
  </cols>
  <sheetData>
    <row r="1" spans="1:13" hidden="1" outlineLevel="1">
      <c r="E1" s="2" t="str">
        <f>Contents!B1</f>
        <v>The Narragansett Electric Company</v>
      </c>
    </row>
    <row r="2" spans="1:13" hidden="1" outlineLevel="1">
      <c r="E2" s="2" t="str">
        <f>Contents!B2</f>
        <v>d/b/a National Grid</v>
      </c>
    </row>
    <row r="3" spans="1:13" hidden="1" outlineLevel="1">
      <c r="E3" s="2" t="str">
        <f>Contents!B3</f>
        <v>RIPUC Docket No. 4770</v>
      </c>
    </row>
    <row r="4" spans="1:13" hidden="1" outlineLevel="1">
      <c r="E4" s="2" t="str">
        <f>Contents!B4</f>
        <v>Gas Earnings Sharing Mechanism</v>
      </c>
    </row>
    <row r="5" spans="1:13" hidden="1" outlineLevel="1">
      <c r="E5" s="2"/>
    </row>
    <row r="6" spans="1:13" collapsed="1">
      <c r="A6" s="36"/>
      <c r="B6" s="26"/>
      <c r="C6" s="26"/>
      <c r="D6" s="26"/>
      <c r="E6" s="2" t="str">
        <f>Contents!B6</f>
        <v>The Narragansett Electric Company</v>
      </c>
    </row>
    <row r="7" spans="1:13">
      <c r="A7" s="36"/>
      <c r="B7" s="26"/>
      <c r="C7" s="26"/>
      <c r="D7" s="26"/>
      <c r="E7" s="2" t="str">
        <f>Contents!B7</f>
        <v>d/b/a Rhode Island Energy</v>
      </c>
    </row>
    <row r="8" spans="1:13">
      <c r="A8" s="36"/>
      <c r="B8" s="26"/>
      <c r="C8" s="26"/>
      <c r="D8" s="26"/>
      <c r="E8" s="2" t="str">
        <f>Contents!B8</f>
        <v>RIPUC Docket No. 4770</v>
      </c>
    </row>
    <row r="9" spans="1:13">
      <c r="A9" s="36"/>
      <c r="B9" s="26"/>
      <c r="C9" s="26"/>
      <c r="D9" s="26"/>
      <c r="E9" s="2" t="str">
        <f>Contents!B9</f>
        <v>CY 2025 Gas Earnings Report</v>
      </c>
    </row>
    <row r="10" spans="1:13">
      <c r="A10" s="36"/>
      <c r="B10" s="26"/>
      <c r="C10" s="26"/>
      <c r="D10" s="26"/>
      <c r="E10" s="2" t="str">
        <f>Contents!B10</f>
        <v>Schedule NECO-1</v>
      </c>
    </row>
    <row r="11" spans="1:13">
      <c r="A11" s="36"/>
      <c r="B11" s="26"/>
      <c r="C11" s="26"/>
      <c r="D11" s="26"/>
      <c r="E11" s="2" t="str">
        <f>Contents!B11</f>
        <v>June 15, 2026</v>
      </c>
    </row>
    <row r="12" spans="1:13">
      <c r="A12" s="36"/>
      <c r="B12" s="26"/>
      <c r="C12" s="26"/>
      <c r="D12" s="26"/>
      <c r="E12" s="2" t="str">
        <f>VLOOKUP($A$15,Index!$A:$C,3,FALSE)</f>
        <v>Page 4 of 15</v>
      </c>
    </row>
    <row r="13" spans="1:13">
      <c r="A13" s="36"/>
      <c r="B13" s="26"/>
      <c r="C13" s="26"/>
      <c r="D13" s="26"/>
      <c r="E13" s="2"/>
      <c r="L13" s="26"/>
      <c r="M13" s="26"/>
    </row>
    <row r="14" spans="1:13">
      <c r="A14" s="797" t="str">
        <f>Contents!A13</f>
        <v>Rhode Island Energy - RI Gas</v>
      </c>
      <c r="B14" s="797"/>
      <c r="C14" s="797"/>
      <c r="D14" s="797"/>
      <c r="E14" s="797"/>
      <c r="L14" s="26"/>
      <c r="M14" s="26"/>
    </row>
    <row r="15" spans="1:13">
      <c r="A15" s="797" t="s">
        <v>20</v>
      </c>
      <c r="B15" s="797"/>
      <c r="C15" s="797"/>
      <c r="D15" s="797"/>
      <c r="E15" s="797"/>
      <c r="L15" s="26"/>
      <c r="M15" s="26"/>
    </row>
    <row r="16" spans="1:13">
      <c r="A16" s="797" t="str">
        <f>Contents!A15</f>
        <v>For the Twelve Months ended December 31, 2025</v>
      </c>
      <c r="B16" s="797"/>
      <c r="C16" s="797"/>
      <c r="D16" s="797"/>
      <c r="E16" s="797"/>
      <c r="L16" s="26"/>
      <c r="M16" s="26"/>
    </row>
    <row r="17" spans="1:13">
      <c r="A17" s="36"/>
      <c r="B17" s="26"/>
      <c r="C17" s="26"/>
      <c r="D17" s="26"/>
      <c r="E17" s="26"/>
      <c r="L17" s="26"/>
      <c r="M17" s="26"/>
    </row>
    <row r="18" spans="1:13">
      <c r="A18" s="797"/>
      <c r="B18" s="797"/>
      <c r="C18" s="797"/>
      <c r="D18" s="797"/>
      <c r="E18" s="797"/>
      <c r="L18" s="26"/>
      <c r="M18" s="26"/>
    </row>
    <row r="19" spans="1:13">
      <c r="A19" s="36"/>
      <c r="B19" s="26"/>
      <c r="C19" s="26"/>
      <c r="D19" s="26"/>
      <c r="E19" s="26"/>
      <c r="L19" s="26"/>
      <c r="M19" s="26"/>
    </row>
    <row r="20" spans="1:13">
      <c r="A20" s="36"/>
      <c r="B20" s="26"/>
      <c r="C20" s="26"/>
      <c r="D20" s="26"/>
      <c r="E20" s="26"/>
      <c r="L20" s="26"/>
      <c r="M20" s="26"/>
    </row>
    <row r="21" spans="1:13">
      <c r="A21" s="36"/>
      <c r="B21" s="26"/>
      <c r="C21" s="26"/>
      <c r="D21" s="608" t="s">
        <v>230</v>
      </c>
      <c r="E21" s="608" t="s">
        <v>231</v>
      </c>
      <c r="L21" s="26"/>
      <c r="M21" s="26"/>
    </row>
    <row r="22" spans="1:13">
      <c r="A22" s="36"/>
      <c r="B22" s="26"/>
      <c r="C22" s="26"/>
      <c r="D22" s="36" t="s">
        <v>73</v>
      </c>
      <c r="E22" s="36" t="s">
        <v>74</v>
      </c>
      <c r="L22" s="26"/>
      <c r="M22" s="26"/>
    </row>
    <row r="23" spans="1:13">
      <c r="A23" s="36"/>
      <c r="B23" s="26"/>
      <c r="C23" s="26"/>
      <c r="D23" s="26"/>
      <c r="E23" s="26"/>
      <c r="L23" s="26"/>
      <c r="M23" s="26"/>
    </row>
    <row r="24" spans="1:13">
      <c r="A24" s="36">
        <v>1</v>
      </c>
      <c r="B24" s="26" t="s">
        <v>22</v>
      </c>
      <c r="C24" s="26"/>
      <c r="D24" s="26"/>
      <c r="E24" s="27">
        <f>'Rate Base'!M47</f>
        <v>1857819011.0243611</v>
      </c>
      <c r="L24" s="26"/>
      <c r="M24" s="26"/>
    </row>
    <row r="25" spans="1:13">
      <c r="A25" s="36">
        <f>+A24+1</f>
        <v>2</v>
      </c>
      <c r="B25" s="26" t="s">
        <v>232</v>
      </c>
      <c r="C25" s="26"/>
      <c r="D25" s="26"/>
      <c r="E25" s="27">
        <f>+'2022 Gas Hold Harmless'!I37</f>
        <v>165103462.59600762</v>
      </c>
      <c r="F25" s="626"/>
      <c r="G25" s="776"/>
      <c r="L25" s="26"/>
      <c r="M25" s="26"/>
    </row>
    <row r="26" spans="1:13" ht="15.75" thickBot="1">
      <c r="A26" s="36">
        <f>+A25+1</f>
        <v>3</v>
      </c>
      <c r="B26" s="26" t="s">
        <v>233</v>
      </c>
      <c r="C26" s="26"/>
      <c r="D26" s="26"/>
      <c r="E26" s="331">
        <f>+E24+E25</f>
        <v>2022922473.6203687</v>
      </c>
      <c r="L26" s="26"/>
      <c r="M26" s="26"/>
    </row>
    <row r="27" spans="1:13" ht="15.75" thickTop="1">
      <c r="A27" s="36">
        <f>+A26+1</f>
        <v>4</v>
      </c>
      <c r="B27" s="26"/>
      <c r="C27" s="26"/>
      <c r="D27" s="26"/>
      <c r="E27" s="26"/>
      <c r="L27" s="26"/>
      <c r="M27" s="26"/>
    </row>
    <row r="28" spans="1:13">
      <c r="A28" s="36">
        <f>+A27+1</f>
        <v>5</v>
      </c>
      <c r="B28" s="109" t="s">
        <v>234</v>
      </c>
      <c r="C28" s="26"/>
      <c r="D28" s="26"/>
      <c r="E28" s="26"/>
      <c r="L28" s="26"/>
      <c r="M28" s="26"/>
    </row>
    <row r="29" spans="1:13">
      <c r="A29" s="36">
        <f>+A28+1</f>
        <v>6</v>
      </c>
      <c r="B29" s="26"/>
      <c r="C29" s="26"/>
      <c r="D29" s="121" t="s">
        <v>235</v>
      </c>
      <c r="E29" s="26"/>
      <c r="L29" s="26"/>
      <c r="M29" s="26"/>
    </row>
    <row r="30" spans="1:13">
      <c r="A30" s="36">
        <f t="shared" ref="A30:A59" si="0">A29+1</f>
        <v>7</v>
      </c>
      <c r="B30" s="26" t="s">
        <v>116</v>
      </c>
      <c r="C30" s="26"/>
      <c r="D30" s="37">
        <v>6.0000000000000001E-3</v>
      </c>
      <c r="E30" s="27">
        <f>D30*$E$26</f>
        <v>12137534.841722213</v>
      </c>
      <c r="F30" s="79"/>
      <c r="H30" s="9"/>
      <c r="L30" s="26"/>
      <c r="M30" s="26"/>
    </row>
    <row r="31" spans="1:13">
      <c r="A31" s="36">
        <f t="shared" si="0"/>
        <v>8</v>
      </c>
      <c r="B31" s="26" t="s">
        <v>118</v>
      </c>
      <c r="C31" s="26"/>
      <c r="D31" s="37">
        <v>0.48349999999999999</v>
      </c>
      <c r="E31" s="27">
        <f>D31*$E$26</f>
        <v>978083015.99544823</v>
      </c>
      <c r="L31" s="26"/>
      <c r="M31" s="26"/>
    </row>
    <row r="32" spans="1:13">
      <c r="A32" s="36">
        <f t="shared" si="0"/>
        <v>9</v>
      </c>
      <c r="B32" s="26" t="s">
        <v>49</v>
      </c>
      <c r="C32" s="26"/>
      <c r="D32" s="37">
        <v>1E-3</v>
      </c>
      <c r="E32" s="27">
        <f>D32*$E$26</f>
        <v>2022922.4736203689</v>
      </c>
      <c r="L32" s="26"/>
      <c r="M32" s="26"/>
    </row>
    <row r="33" spans="1:13">
      <c r="A33" s="36">
        <f t="shared" si="0"/>
        <v>10</v>
      </c>
      <c r="B33" s="26" t="s">
        <v>46</v>
      </c>
      <c r="C33" s="26"/>
      <c r="D33" s="126">
        <v>0.50949999999999995</v>
      </c>
      <c r="E33" s="27">
        <f>D33*$E$26</f>
        <v>1030679000.3095778</v>
      </c>
      <c r="L33" s="26"/>
      <c r="M33" s="26"/>
    </row>
    <row r="34" spans="1:13" ht="15.75" thickBot="1">
      <c r="A34" s="36">
        <f t="shared" si="0"/>
        <v>11</v>
      </c>
      <c r="B34" s="26"/>
      <c r="C34" s="26"/>
      <c r="D34" s="609">
        <f>SUM(D30:D33)</f>
        <v>1</v>
      </c>
      <c r="E34" s="331">
        <f>SUM(E30:E33)</f>
        <v>2022922473.6203687</v>
      </c>
      <c r="L34" s="26"/>
      <c r="M34" s="26"/>
    </row>
    <row r="35" spans="1:13" ht="15.75" thickTop="1">
      <c r="A35" s="36">
        <f t="shared" si="0"/>
        <v>12</v>
      </c>
      <c r="B35" s="109" t="s">
        <v>113</v>
      </c>
      <c r="C35" s="26"/>
      <c r="D35" s="26"/>
      <c r="E35" s="26"/>
      <c r="L35" s="26"/>
      <c r="M35" s="26"/>
    </row>
    <row r="36" spans="1:13">
      <c r="A36" s="36">
        <f t="shared" si="0"/>
        <v>13</v>
      </c>
      <c r="B36" s="26"/>
      <c r="C36" s="26"/>
      <c r="D36" s="26"/>
      <c r="E36" s="26"/>
      <c r="L36" s="26"/>
      <c r="M36" s="26"/>
    </row>
    <row r="37" spans="1:13">
      <c r="A37" s="36">
        <f t="shared" si="0"/>
        <v>14</v>
      </c>
      <c r="B37" s="26"/>
      <c r="C37" s="26"/>
      <c r="D37" s="26"/>
      <c r="E37" s="26"/>
      <c r="L37" s="26"/>
      <c r="M37" s="26"/>
    </row>
    <row r="38" spans="1:13">
      <c r="A38" s="36">
        <f t="shared" si="0"/>
        <v>15</v>
      </c>
      <c r="B38" s="26" t="s">
        <v>236</v>
      </c>
      <c r="C38" s="26"/>
      <c r="D38" s="37">
        <f>D31</f>
        <v>0.48349999999999999</v>
      </c>
      <c r="E38" s="27">
        <f>E31</f>
        <v>978083015.99544823</v>
      </c>
      <c r="L38" s="26"/>
      <c r="M38" s="26"/>
    </row>
    <row r="39" spans="1:13">
      <c r="A39" s="36">
        <f t="shared" si="0"/>
        <v>16</v>
      </c>
      <c r="B39" s="26"/>
      <c r="C39" s="26"/>
      <c r="D39" s="26"/>
      <c r="E39" s="26"/>
      <c r="L39" s="26"/>
      <c r="M39" s="26"/>
    </row>
    <row r="40" spans="1:13">
      <c r="A40" s="36">
        <f t="shared" si="0"/>
        <v>17</v>
      </c>
      <c r="B40" s="26" t="str">
        <f>CONCATENATE("Cost of Long-Term Debt ",Index!F18," ",Index!G18)</f>
        <v>Cost of Long-Term Debt December 2025</v>
      </c>
      <c r="C40" s="26"/>
      <c r="D40" s="26"/>
      <c r="E40" s="37">
        <f>'LTD Interest'!I35</f>
        <v>4.4600000000000001E-2</v>
      </c>
      <c r="F40" s="626"/>
      <c r="L40" s="26"/>
      <c r="M40" s="26"/>
    </row>
    <row r="41" spans="1:13">
      <c r="A41" s="36">
        <f t="shared" si="0"/>
        <v>18</v>
      </c>
      <c r="B41" s="26"/>
      <c r="C41" s="26"/>
      <c r="D41" s="26"/>
      <c r="E41" s="26"/>
      <c r="L41" s="26"/>
      <c r="M41" s="26"/>
    </row>
    <row r="42" spans="1:13" ht="15.75" thickBot="1">
      <c r="A42" s="36">
        <f t="shared" si="0"/>
        <v>19</v>
      </c>
      <c r="B42" s="26" t="str">
        <f>CONCATENATE("Proforma Long-Term Debt Interest",Index!C14)</f>
        <v>Proforma Long-Term Debt Interest</v>
      </c>
      <c r="C42" s="26"/>
      <c r="D42" s="26"/>
      <c r="E42" s="331">
        <f>(+E38*E40)</f>
        <v>43622502.513396993</v>
      </c>
      <c r="F42" s="171"/>
      <c r="L42" s="26"/>
      <c r="M42" s="26"/>
    </row>
    <row r="43" spans="1:13" ht="15.75" thickTop="1">
      <c r="A43" s="36">
        <f t="shared" si="0"/>
        <v>20</v>
      </c>
      <c r="B43" s="26"/>
      <c r="C43" s="26"/>
      <c r="D43" s="26"/>
      <c r="E43" s="26"/>
      <c r="L43" s="26"/>
      <c r="M43" s="26"/>
    </row>
    <row r="44" spans="1:13">
      <c r="A44" s="36">
        <f t="shared" si="0"/>
        <v>21</v>
      </c>
      <c r="B44" s="26"/>
      <c r="C44" s="26"/>
      <c r="D44" s="26"/>
      <c r="E44" s="26"/>
      <c r="L44" s="26"/>
      <c r="M44" s="26"/>
    </row>
    <row r="45" spans="1:13">
      <c r="A45" s="36">
        <f t="shared" si="0"/>
        <v>22</v>
      </c>
      <c r="B45" s="26"/>
      <c r="C45" s="26"/>
      <c r="D45" s="26"/>
      <c r="E45" s="26"/>
      <c r="L45" s="26"/>
      <c r="M45" s="26"/>
    </row>
    <row r="46" spans="1:13">
      <c r="A46" s="36">
        <f t="shared" si="0"/>
        <v>23</v>
      </c>
      <c r="B46" s="26" t="s">
        <v>237</v>
      </c>
      <c r="C46" s="26"/>
      <c r="D46" s="37">
        <f>D30</f>
        <v>6.0000000000000001E-3</v>
      </c>
      <c r="E46" s="27">
        <f>E30</f>
        <v>12137534.841722213</v>
      </c>
      <c r="L46" s="26"/>
      <c r="M46" s="26"/>
    </row>
    <row r="47" spans="1:13">
      <c r="A47" s="36">
        <f t="shared" si="0"/>
        <v>24</v>
      </c>
      <c r="B47" s="26"/>
      <c r="C47" s="26"/>
      <c r="D47" s="37"/>
      <c r="E47" s="26"/>
      <c r="L47" s="26"/>
      <c r="M47" s="26"/>
    </row>
    <row r="48" spans="1:13">
      <c r="A48" s="36">
        <f t="shared" si="0"/>
        <v>25</v>
      </c>
      <c r="B48" s="26" t="str">
        <f>CONCATENATE("Cost of Short-Term Debt ",Index!F18," ",Index!G18)</f>
        <v>Cost of Short-Term Debt December 2025</v>
      </c>
      <c r="C48" s="26"/>
      <c r="D48" s="37"/>
      <c r="E48" s="37">
        <f>'Short-term Interest'!D36</f>
        <v>4.3900000000000002E-2</v>
      </c>
      <c r="F48" s="626"/>
      <c r="L48" s="26"/>
      <c r="M48" s="26"/>
    </row>
    <row r="49" spans="1:13">
      <c r="A49" s="36">
        <f t="shared" si="0"/>
        <v>26</v>
      </c>
      <c r="B49" s="26"/>
      <c r="C49" s="26"/>
      <c r="D49" s="37"/>
      <c r="E49" s="26"/>
      <c r="L49" s="26"/>
      <c r="M49" s="26"/>
    </row>
    <row r="50" spans="1:13" ht="15.75" thickBot="1">
      <c r="A50" s="36">
        <f t="shared" si="0"/>
        <v>27</v>
      </c>
      <c r="B50" s="26" t="str">
        <f>CONCATENATE("Proforma Short-Term Debt Interest ",Index!C14)</f>
        <v xml:space="preserve">Proforma Short-Term Debt Interest </v>
      </c>
      <c r="C50" s="26"/>
      <c r="D50" s="37"/>
      <c r="E50" s="331">
        <f>(+E46*E48)</f>
        <v>532837.77955160511</v>
      </c>
      <c r="L50" s="26"/>
      <c r="M50" s="26"/>
    </row>
    <row r="51" spans="1:13" ht="15.75" thickTop="1">
      <c r="A51" s="36">
        <f t="shared" si="0"/>
        <v>28</v>
      </c>
      <c r="B51" s="26"/>
      <c r="C51" s="26"/>
      <c r="D51" s="37"/>
      <c r="E51" s="26"/>
      <c r="L51" s="26"/>
      <c r="M51" s="26"/>
    </row>
    <row r="52" spans="1:13">
      <c r="A52" s="36">
        <f t="shared" si="0"/>
        <v>29</v>
      </c>
      <c r="B52" s="109" t="s">
        <v>125</v>
      </c>
      <c r="C52" s="26"/>
      <c r="D52" s="37"/>
      <c r="E52" s="26"/>
      <c r="L52" s="26"/>
      <c r="M52" s="26"/>
    </row>
    <row r="53" spans="1:13">
      <c r="A53" s="36">
        <f t="shared" si="0"/>
        <v>30</v>
      </c>
      <c r="B53" s="26"/>
      <c r="C53" s="26"/>
      <c r="D53" s="37"/>
      <c r="E53" s="26"/>
      <c r="L53" s="26"/>
      <c r="M53" s="26"/>
    </row>
    <row r="54" spans="1:13">
      <c r="A54" s="36">
        <f t="shared" si="0"/>
        <v>31</v>
      </c>
      <c r="B54" s="26"/>
      <c r="C54" s="26"/>
      <c r="D54" s="37"/>
      <c r="E54" s="26"/>
      <c r="L54" s="26"/>
      <c r="M54" s="26"/>
    </row>
    <row r="55" spans="1:13">
      <c r="A55" s="36">
        <f t="shared" si="0"/>
        <v>32</v>
      </c>
      <c r="B55" s="26" t="s">
        <v>238</v>
      </c>
      <c r="C55" s="26"/>
      <c r="D55" s="37">
        <f>D32</f>
        <v>1E-3</v>
      </c>
      <c r="E55" s="27">
        <f>E32</f>
        <v>2022922.4736203689</v>
      </c>
      <c r="L55" s="26"/>
      <c r="M55" s="26"/>
    </row>
    <row r="56" spans="1:13">
      <c r="A56" s="36">
        <f t="shared" si="0"/>
        <v>33</v>
      </c>
      <c r="B56" s="26"/>
      <c r="C56" s="26"/>
      <c r="D56" s="26"/>
      <c r="E56" s="26"/>
      <c r="L56" s="26"/>
      <c r="M56" s="26"/>
    </row>
    <row r="57" spans="1:13">
      <c r="A57" s="36">
        <f t="shared" si="0"/>
        <v>34</v>
      </c>
      <c r="B57" s="26" t="s">
        <v>239</v>
      </c>
      <c r="C57" s="26"/>
      <c r="D57" s="26"/>
      <c r="E57" s="37">
        <v>4.4999999999999998E-2</v>
      </c>
      <c r="L57" s="26"/>
      <c r="M57" s="26"/>
    </row>
    <row r="58" spans="1:13">
      <c r="A58" s="36">
        <f t="shared" si="0"/>
        <v>35</v>
      </c>
      <c r="B58" s="26"/>
      <c r="C58" s="26"/>
      <c r="D58" s="26"/>
      <c r="E58" s="26"/>
      <c r="L58" s="26"/>
      <c r="M58" s="26"/>
    </row>
    <row r="59" spans="1:13" ht="15.75" thickBot="1">
      <c r="A59" s="36">
        <f t="shared" si="0"/>
        <v>36</v>
      </c>
      <c r="B59" s="26" t="str">
        <f>CONCATENATE("Proforma Preferred Stock ",Index!C14)</f>
        <v xml:space="preserve">Proforma Preferred Stock </v>
      </c>
      <c r="C59" s="26"/>
      <c r="D59" s="26"/>
      <c r="E59" s="331">
        <f>(+E55*E57)</f>
        <v>91031.511312916598</v>
      </c>
      <c r="L59" s="26"/>
      <c r="M59" s="26"/>
    </row>
    <row r="60" spans="1:13" ht="15.75" thickTop="1">
      <c r="A60" s="36"/>
      <c r="B60" s="26"/>
      <c r="C60" s="26"/>
      <c r="D60" s="26"/>
      <c r="E60" s="26"/>
      <c r="L60" s="26"/>
      <c r="M60" s="26"/>
    </row>
    <row r="61" spans="1:13">
      <c r="A61" s="36"/>
      <c r="B61" s="26"/>
      <c r="C61" s="26"/>
      <c r="D61" s="26"/>
      <c r="E61" s="26"/>
      <c r="L61" s="26"/>
      <c r="M61" s="26"/>
    </row>
    <row r="62" spans="1:13">
      <c r="A62" s="26" t="s">
        <v>70</v>
      </c>
      <c r="C62" s="26"/>
      <c r="D62" s="26"/>
      <c r="E62" s="26"/>
      <c r="L62" s="26"/>
      <c r="M62" s="26"/>
    </row>
    <row r="63" spans="1:13">
      <c r="A63" s="36" t="s">
        <v>240</v>
      </c>
      <c r="B63" s="26" t="str">
        <f>CONCATENATE("From ",'Rate Base'!$M$12," line ",'Rate Base'!A47, 'Rate Base'!M21)</f>
        <v>From Page 5 of 15 line 24(f)</v>
      </c>
      <c r="C63" s="26"/>
      <c r="D63" s="26"/>
      <c r="E63" s="26"/>
      <c r="L63" s="26"/>
      <c r="M63" s="26"/>
    </row>
    <row r="64" spans="1:13" ht="27.75" customHeight="1">
      <c r="A64" s="796">
        <v>2</v>
      </c>
      <c r="B64" s="800" t="s">
        <v>6202</v>
      </c>
      <c r="C64" s="800"/>
      <c r="D64" s="800"/>
      <c r="E64" s="800"/>
      <c r="F64" s="800"/>
      <c r="G64" s="800"/>
      <c r="H64" s="800"/>
      <c r="L64" s="26"/>
      <c r="M64" s="26"/>
    </row>
    <row r="65" spans="1:13">
      <c r="A65" s="36" t="s">
        <v>241</v>
      </c>
      <c r="B65" s="26" t="s">
        <v>242</v>
      </c>
      <c r="C65" s="26"/>
      <c r="D65" s="26"/>
      <c r="E65" s="26"/>
      <c r="L65" s="26"/>
      <c r="M65" s="26"/>
    </row>
    <row r="66" spans="1:13">
      <c r="A66" s="36" t="s">
        <v>243</v>
      </c>
      <c r="B66" s="26" t="str">
        <f>CONCATENATE("Line ",A26,E22, " times line ",A30,D22, " through line ", A33,D22)</f>
        <v>Line 3(b) times line 7(a) through line 10(a)</v>
      </c>
      <c r="C66" s="26"/>
      <c r="D66" s="26"/>
      <c r="E66" s="26"/>
      <c r="L66" s="26"/>
      <c r="M66" s="26"/>
    </row>
    <row r="67" spans="1:13">
      <c r="A67" s="36">
        <v>15</v>
      </c>
      <c r="B67" s="26" t="s">
        <v>6189</v>
      </c>
      <c r="C67" s="26"/>
      <c r="D67" s="26"/>
      <c r="E67" s="26"/>
      <c r="L67" s="26"/>
      <c r="M67" s="26"/>
    </row>
    <row r="68" spans="1:13">
      <c r="A68" s="36">
        <v>17</v>
      </c>
      <c r="B68" s="26" t="str">
        <f>CONCATENATE("From ",'LTD Interest'!$I$12," line ",'LTD Interest'!A35, 'LTD Interest'!I20)</f>
        <v>From Page 10 of 15 line 11(g)</v>
      </c>
      <c r="C68" s="26"/>
      <c r="D68" s="26"/>
      <c r="E68" s="26"/>
      <c r="L68" s="26"/>
      <c r="M68" s="26"/>
    </row>
    <row r="69" spans="1:13">
      <c r="A69" s="36">
        <v>19</v>
      </c>
      <c r="B69" s="26" t="str">
        <f>CONCATENATE("Line ",A38,E22," times line ",A40,E22)</f>
        <v>Line 15(b) times line 17(b)</v>
      </c>
      <c r="C69" s="26"/>
      <c r="D69" s="26"/>
      <c r="E69" s="26"/>
      <c r="L69" s="26"/>
      <c r="M69" s="26"/>
    </row>
    <row r="70" spans="1:13">
      <c r="A70" s="36">
        <v>23</v>
      </c>
      <c r="B70" s="26" t="s">
        <v>6190</v>
      </c>
      <c r="C70" s="26"/>
      <c r="D70" s="26"/>
      <c r="E70" s="26"/>
      <c r="L70" s="26"/>
      <c r="M70" s="26"/>
    </row>
    <row r="71" spans="1:13">
      <c r="A71" s="36">
        <v>25</v>
      </c>
      <c r="B71" s="26" t="str">
        <f>CONCATENATE("From ",'Short-term Interest'!$F$13," line ",'Short-term Interest'!A36, 'Short-term Interest'!D19)</f>
        <v>From Page 11 of 15 line 14(b)</v>
      </c>
      <c r="C71" s="26"/>
      <c r="D71" s="26"/>
      <c r="E71" s="26"/>
      <c r="L71" s="26"/>
      <c r="M71" s="26"/>
    </row>
    <row r="72" spans="1:13">
      <c r="A72" s="36">
        <v>27</v>
      </c>
      <c r="B72" s="26" t="str">
        <f>CONCATENATE("Line ",A46,E22," times line ",A48,E22)</f>
        <v>Line 23(b) times line 25(b)</v>
      </c>
      <c r="C72" s="26"/>
      <c r="D72" s="26"/>
      <c r="E72" s="26"/>
      <c r="L72" s="26"/>
      <c r="M72" s="26"/>
    </row>
    <row r="73" spans="1:13">
      <c r="A73" s="36">
        <v>32</v>
      </c>
      <c r="B73" s="26" t="s">
        <v>6191</v>
      </c>
      <c r="C73" s="26"/>
      <c r="D73" s="26"/>
      <c r="E73" s="26"/>
      <c r="L73" s="26"/>
      <c r="M73" s="26"/>
    </row>
    <row r="74" spans="1:13">
      <c r="A74" s="36">
        <v>34</v>
      </c>
      <c r="B74" s="26" t="s">
        <v>244</v>
      </c>
      <c r="C74" s="26"/>
      <c r="D74" s="26"/>
      <c r="E74" s="26"/>
      <c r="L74" s="26"/>
      <c r="M74" s="26"/>
    </row>
    <row r="75" spans="1:13">
      <c r="A75" s="36">
        <v>36</v>
      </c>
      <c r="B75" s="26" t="str">
        <f>CONCATENATE("Line ",A55,E22, " times line ",A57,E22)</f>
        <v>Line 32(b) times line 34(b)</v>
      </c>
      <c r="C75" s="26"/>
      <c r="D75" s="26"/>
      <c r="E75" s="26"/>
      <c r="L75" s="26"/>
      <c r="M75" s="26"/>
    </row>
    <row r="76" spans="1:13">
      <c r="A76" s="36"/>
      <c r="B76" s="26"/>
      <c r="C76" s="26"/>
      <c r="D76" s="26"/>
      <c r="E76" s="26"/>
      <c r="L76" s="26"/>
      <c r="M76" s="26"/>
    </row>
    <row r="77" spans="1:13">
      <c r="A77" s="36"/>
      <c r="B77" s="26"/>
      <c r="C77" s="26"/>
      <c r="D77" s="26"/>
      <c r="E77" s="27">
        <f>E42+E50+E59-'Income Statement'!K53-'Income Statement'!K54-'Income Statement'!K61</f>
        <v>2.7648638933897018E-10</v>
      </c>
      <c r="L77" s="26"/>
      <c r="M77" s="26"/>
    </row>
    <row r="78" spans="1:13">
      <c r="A78" s="26"/>
      <c r="B78" s="26"/>
      <c r="C78" s="26"/>
      <c r="D78" s="26"/>
      <c r="E78" s="26"/>
      <c r="L78" s="26"/>
      <c r="M78" s="26"/>
    </row>
    <row r="79" spans="1:13">
      <c r="L79" s="26"/>
      <c r="M79" s="26"/>
    </row>
    <row r="80" spans="1:13">
      <c r="L80" s="26"/>
      <c r="M80" s="26"/>
    </row>
    <row r="81" spans="12:13">
      <c r="L81" s="26"/>
      <c r="M81" s="26"/>
    </row>
    <row r="82" spans="12:13">
      <c r="L82" s="26"/>
      <c r="M82" s="26"/>
    </row>
    <row r="83" spans="12:13">
      <c r="L83" s="26"/>
      <c r="M83" s="26"/>
    </row>
    <row r="84" spans="12:13">
      <c r="L84" s="26"/>
      <c r="M84" s="26"/>
    </row>
    <row r="85" spans="12:13">
      <c r="L85" s="26"/>
      <c r="M85" s="26"/>
    </row>
    <row r="86" spans="12:13">
      <c r="L86" s="26"/>
      <c r="M86" s="26"/>
    </row>
    <row r="87" spans="12:13">
      <c r="L87" s="26"/>
      <c r="M87" s="26"/>
    </row>
    <row r="88" spans="12:13">
      <c r="L88" s="26"/>
      <c r="M88" s="26"/>
    </row>
    <row r="89" spans="12:13">
      <c r="L89" s="26"/>
      <c r="M89" s="26"/>
    </row>
    <row r="90" spans="12:13">
      <c r="L90" s="26"/>
      <c r="M90" s="26"/>
    </row>
    <row r="91" spans="12:13">
      <c r="L91" s="26"/>
      <c r="M91" s="26"/>
    </row>
    <row r="92" spans="12:13">
      <c r="L92" s="26"/>
      <c r="M92" s="26"/>
    </row>
    <row r="93" spans="12:13">
      <c r="L93" s="26"/>
      <c r="M93" s="26"/>
    </row>
    <row r="94" spans="12:13">
      <c r="L94" s="26"/>
      <c r="M94" s="26"/>
    </row>
    <row r="95" spans="12:13">
      <c r="L95" s="26"/>
      <c r="M95" s="26"/>
    </row>
    <row r="96" spans="12:13">
      <c r="L96" s="26"/>
      <c r="M96" s="26"/>
    </row>
    <row r="97" spans="12:13">
      <c r="L97" s="26"/>
      <c r="M97" s="26"/>
    </row>
    <row r="98" spans="12:13">
      <c r="L98" s="26"/>
      <c r="M98" s="26"/>
    </row>
    <row r="99" spans="12:13">
      <c r="L99" s="26"/>
      <c r="M99" s="26"/>
    </row>
    <row r="100" spans="12:13">
      <c r="L100" s="26"/>
      <c r="M100" s="26"/>
    </row>
    <row r="101" spans="12:13">
      <c r="L101" s="26"/>
      <c r="M101" s="26"/>
    </row>
    <row r="102" spans="12:13">
      <c r="L102" s="26"/>
      <c r="M102" s="26"/>
    </row>
    <row r="103" spans="12:13">
      <c r="L103" s="26"/>
      <c r="M103" s="26"/>
    </row>
    <row r="104" spans="12:13">
      <c r="L104" s="26"/>
      <c r="M104" s="26"/>
    </row>
    <row r="105" spans="12:13">
      <c r="L105" s="26"/>
      <c r="M105" s="26"/>
    </row>
    <row r="106" spans="12:13">
      <c r="L106" s="26"/>
      <c r="M106" s="26"/>
    </row>
    <row r="107" spans="12:13">
      <c r="L107" s="26"/>
      <c r="M107" s="26"/>
    </row>
    <row r="108" spans="12:13">
      <c r="L108" s="26"/>
      <c r="M108" s="26"/>
    </row>
    <row r="109" spans="12:13">
      <c r="L109" s="26"/>
      <c r="M109" s="26"/>
    </row>
    <row r="110" spans="12:13">
      <c r="L110" s="26"/>
      <c r="M110" s="26"/>
    </row>
    <row r="111" spans="12:13">
      <c r="L111" s="26"/>
      <c r="M111" s="26"/>
    </row>
    <row r="112" spans="12:13">
      <c r="L112" s="26"/>
      <c r="M112" s="26"/>
    </row>
    <row r="113" spans="12:13">
      <c r="L113" s="26"/>
      <c r="M113" s="26"/>
    </row>
    <row r="114" spans="12:13">
      <c r="L114" s="26"/>
      <c r="M114" s="26"/>
    </row>
    <row r="115" spans="12:13">
      <c r="L115" s="26"/>
      <c r="M115" s="26"/>
    </row>
    <row r="116" spans="12:13">
      <c r="L116" s="26"/>
      <c r="M116" s="26"/>
    </row>
    <row r="117" spans="12:13">
      <c r="L117" s="26"/>
      <c r="M117" s="26"/>
    </row>
    <row r="118" spans="12:13">
      <c r="L118" s="26"/>
      <c r="M118" s="26"/>
    </row>
    <row r="119" spans="12:13">
      <c r="L119" s="26"/>
      <c r="M119" s="26"/>
    </row>
    <row r="120" spans="12:13">
      <c r="L120" s="26"/>
      <c r="M120" s="26"/>
    </row>
    <row r="121" spans="12:13">
      <c r="L121" s="26"/>
      <c r="M121" s="26"/>
    </row>
    <row r="122" spans="12:13">
      <c r="L122" s="26"/>
      <c r="M122" s="26"/>
    </row>
    <row r="123" spans="12:13">
      <c r="L123" s="26"/>
      <c r="M123" s="26"/>
    </row>
    <row r="124" spans="12:13">
      <c r="L124" s="26"/>
      <c r="M124" s="26"/>
    </row>
    <row r="125" spans="12:13">
      <c r="L125" s="26"/>
      <c r="M125" s="26"/>
    </row>
    <row r="126" spans="12:13">
      <c r="L126" s="26"/>
      <c r="M126" s="26"/>
    </row>
    <row r="127" spans="12:13">
      <c r="L127" s="26"/>
      <c r="M127" s="26"/>
    </row>
    <row r="128" spans="12:13">
      <c r="L128" s="26"/>
      <c r="M128" s="26"/>
    </row>
    <row r="129" spans="12:13">
      <c r="L129" s="26"/>
      <c r="M129" s="26"/>
    </row>
    <row r="130" spans="12:13">
      <c r="L130" s="26"/>
      <c r="M130" s="26"/>
    </row>
    <row r="131" spans="12:13">
      <c r="L131" s="26"/>
      <c r="M131" s="26"/>
    </row>
    <row r="132" spans="12:13">
      <c r="L132" s="26"/>
      <c r="M132" s="26"/>
    </row>
    <row r="133" spans="12:13">
      <c r="L133" s="26"/>
      <c r="M133" s="26"/>
    </row>
    <row r="134" spans="12:13">
      <c r="L134" s="26"/>
      <c r="M134" s="26"/>
    </row>
    <row r="135" spans="12:13">
      <c r="L135" s="26"/>
      <c r="M135" s="26"/>
    </row>
    <row r="136" spans="12:13">
      <c r="L136" s="26"/>
      <c r="M136" s="26"/>
    </row>
    <row r="137" spans="12:13">
      <c r="L137" s="26"/>
      <c r="M137" s="26"/>
    </row>
    <row r="138" spans="12:13">
      <c r="L138" s="26"/>
      <c r="M138" s="26"/>
    </row>
    <row r="139" spans="12:13">
      <c r="L139" s="26"/>
      <c r="M139" s="26"/>
    </row>
    <row r="140" spans="12:13">
      <c r="L140" s="26"/>
      <c r="M140" s="26"/>
    </row>
    <row r="141" spans="12:13">
      <c r="L141" s="26"/>
      <c r="M141" s="26"/>
    </row>
    <row r="142" spans="12:13">
      <c r="L142" s="26"/>
      <c r="M142" s="26"/>
    </row>
    <row r="143" spans="12:13">
      <c r="L143" s="26"/>
      <c r="M143" s="26"/>
    </row>
    <row r="144" spans="12:13">
      <c r="L144" s="26"/>
      <c r="M144" s="26"/>
    </row>
    <row r="145" spans="12:13">
      <c r="L145" s="26"/>
      <c r="M145" s="26"/>
    </row>
    <row r="146" spans="12:13">
      <c r="L146" s="26"/>
      <c r="M146" s="26"/>
    </row>
    <row r="147" spans="12:13">
      <c r="L147" s="26"/>
      <c r="M147" s="26"/>
    </row>
    <row r="148" spans="12:13">
      <c r="L148" s="26"/>
      <c r="M148" s="26"/>
    </row>
    <row r="149" spans="12:13">
      <c r="L149" s="26"/>
      <c r="M149" s="26"/>
    </row>
    <row r="150" spans="12:13">
      <c r="L150" s="26"/>
      <c r="M150" s="26"/>
    </row>
    <row r="151" spans="12:13">
      <c r="L151" s="26"/>
      <c r="M151" s="26"/>
    </row>
    <row r="152" spans="12:13">
      <c r="L152" s="26"/>
      <c r="M152" s="26"/>
    </row>
    <row r="153" spans="12:13">
      <c r="L153" s="26"/>
      <c r="M153" s="26"/>
    </row>
    <row r="154" spans="12:13">
      <c r="L154" s="26"/>
      <c r="M154" s="26"/>
    </row>
    <row r="155" spans="12:13">
      <c r="L155" s="26"/>
      <c r="M155" s="26"/>
    </row>
    <row r="156" spans="12:13">
      <c r="L156" s="26"/>
      <c r="M156" s="26"/>
    </row>
    <row r="157" spans="12:13">
      <c r="L157" s="26"/>
      <c r="M157" s="26"/>
    </row>
    <row r="158" spans="12:13">
      <c r="L158" s="26"/>
      <c r="M158" s="26"/>
    </row>
    <row r="159" spans="12:13">
      <c r="L159" s="26"/>
      <c r="M159" s="26"/>
    </row>
    <row r="160" spans="12:13">
      <c r="L160" s="26"/>
      <c r="M160" s="26"/>
    </row>
    <row r="161" spans="12:13">
      <c r="L161" s="26"/>
      <c r="M161" s="26"/>
    </row>
    <row r="162" spans="12:13">
      <c r="L162" s="26"/>
      <c r="M162" s="26"/>
    </row>
    <row r="163" spans="12:13">
      <c r="L163" s="26"/>
      <c r="M163" s="26"/>
    </row>
    <row r="164" spans="12:13">
      <c r="L164" s="26"/>
      <c r="M164" s="26"/>
    </row>
    <row r="165" spans="12:13">
      <c r="L165" s="26"/>
      <c r="M165" s="26"/>
    </row>
    <row r="166" spans="12:13">
      <c r="L166" s="26"/>
      <c r="M166" s="26"/>
    </row>
    <row r="167" spans="12:13">
      <c r="L167" s="26"/>
      <c r="M167" s="26"/>
    </row>
    <row r="168" spans="12:13">
      <c r="L168" s="26"/>
      <c r="M168" s="26"/>
    </row>
    <row r="169" spans="12:13">
      <c r="L169" s="26"/>
      <c r="M169" s="26"/>
    </row>
    <row r="170" spans="12:13">
      <c r="L170" s="26"/>
      <c r="M170" s="26"/>
    </row>
    <row r="171" spans="12:13">
      <c r="L171" s="26"/>
      <c r="M171" s="26"/>
    </row>
    <row r="172" spans="12:13">
      <c r="L172" s="26"/>
      <c r="M172" s="26"/>
    </row>
    <row r="173" spans="12:13">
      <c r="L173" s="26"/>
      <c r="M173" s="26"/>
    </row>
    <row r="174" spans="12:13">
      <c r="L174" s="26"/>
      <c r="M174" s="26"/>
    </row>
    <row r="175" spans="12:13">
      <c r="L175" s="26"/>
      <c r="M175" s="26"/>
    </row>
    <row r="176" spans="12:13">
      <c r="L176" s="26"/>
      <c r="M176" s="26"/>
    </row>
    <row r="177" spans="12:13">
      <c r="L177" s="26"/>
      <c r="M177" s="26"/>
    </row>
    <row r="178" spans="12:13">
      <c r="L178" s="26"/>
      <c r="M178" s="26"/>
    </row>
    <row r="179" spans="12:13">
      <c r="L179" s="26"/>
      <c r="M179" s="26"/>
    </row>
    <row r="180" spans="12:13">
      <c r="L180" s="26"/>
      <c r="M180" s="26"/>
    </row>
    <row r="181" spans="12:13">
      <c r="L181" s="26"/>
      <c r="M181" s="26"/>
    </row>
    <row r="182" spans="12:13">
      <c r="L182" s="26"/>
      <c r="M182" s="26"/>
    </row>
    <row r="183" spans="12:13">
      <c r="L183" s="26"/>
      <c r="M183" s="26"/>
    </row>
    <row r="184" spans="12:13">
      <c r="L184" s="26"/>
      <c r="M184" s="26"/>
    </row>
    <row r="185" spans="12:13">
      <c r="L185" s="26"/>
      <c r="M185" s="26"/>
    </row>
    <row r="186" spans="12:13">
      <c r="L186" s="26"/>
      <c r="M186" s="26"/>
    </row>
    <row r="187" spans="12:13">
      <c r="L187" s="26"/>
      <c r="M187" s="26"/>
    </row>
    <row r="188" spans="12:13">
      <c r="L188" s="26"/>
      <c r="M188" s="26"/>
    </row>
    <row r="189" spans="12:13">
      <c r="L189" s="26"/>
      <c r="M189" s="26"/>
    </row>
    <row r="190" spans="12:13">
      <c r="L190" s="26"/>
      <c r="M190" s="26"/>
    </row>
    <row r="191" spans="12:13">
      <c r="L191" s="26"/>
      <c r="M191" s="26"/>
    </row>
    <row r="192" spans="12:13">
      <c r="L192" s="26"/>
      <c r="M192" s="26"/>
    </row>
    <row r="193" spans="12:13">
      <c r="L193" s="26"/>
      <c r="M193" s="26"/>
    </row>
    <row r="194" spans="12:13">
      <c r="L194" s="26"/>
      <c r="M194" s="26"/>
    </row>
    <row r="195" spans="12:13">
      <c r="L195" s="26"/>
      <c r="M195" s="26"/>
    </row>
    <row r="196" spans="12:13">
      <c r="L196" s="26"/>
      <c r="M196" s="26"/>
    </row>
    <row r="197" spans="12:13">
      <c r="L197" s="26"/>
      <c r="M197" s="26"/>
    </row>
    <row r="198" spans="12:13">
      <c r="L198" s="26"/>
      <c r="M198" s="26"/>
    </row>
    <row r="199" spans="12:13">
      <c r="L199" s="26"/>
      <c r="M199" s="26"/>
    </row>
    <row r="200" spans="12:13">
      <c r="L200" s="26"/>
      <c r="M200" s="26"/>
    </row>
    <row r="201" spans="12:13">
      <c r="L201" s="26"/>
      <c r="M201" s="26"/>
    </row>
    <row r="202" spans="12:13">
      <c r="L202" s="26"/>
      <c r="M202" s="26"/>
    </row>
    <row r="203" spans="12:13">
      <c r="L203" s="26"/>
      <c r="M203" s="26"/>
    </row>
    <row r="204" spans="12:13">
      <c r="L204" s="26"/>
      <c r="M204" s="26"/>
    </row>
    <row r="205" spans="12:13">
      <c r="L205" s="26"/>
      <c r="M205" s="26"/>
    </row>
    <row r="206" spans="12:13">
      <c r="L206" s="26"/>
      <c r="M206" s="26"/>
    </row>
    <row r="207" spans="12:13">
      <c r="L207" s="26"/>
      <c r="M207" s="26"/>
    </row>
  </sheetData>
  <mergeCells count="5">
    <mergeCell ref="A14:E14"/>
    <mergeCell ref="A15:E15"/>
    <mergeCell ref="A16:E16"/>
    <mergeCell ref="A18:E18"/>
    <mergeCell ref="B64:H64"/>
  </mergeCells>
  <pageMargins left="0.7" right="0.7" top="0.75" bottom="0.75" header="0.3" footer="0.3"/>
  <pageSetup scale="66" orientation="portrait" horizontalDpi="1200" verticalDpi="12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pageSetUpPr fitToPage="1"/>
  </sheetPr>
  <dimension ref="A1:P204"/>
  <sheetViews>
    <sheetView topLeftCell="A6" workbookViewId="0">
      <selection activeCell="G55" sqref="G55"/>
    </sheetView>
  </sheetViews>
  <sheetFormatPr defaultRowHeight="15" outlineLevelRow="1"/>
  <cols>
    <col min="1" max="1" width="10.42578125" customWidth="1"/>
    <col min="2" max="2" width="44.28515625" customWidth="1"/>
    <col min="3" max="3" width="15.5703125" bestFit="1" customWidth="1"/>
    <col min="4" max="4" width="2.5703125" customWidth="1"/>
    <col min="5" max="5" width="15.5703125" bestFit="1" customWidth="1"/>
    <col min="6" max="6" width="2.5703125" customWidth="1"/>
    <col min="7" max="7" width="15.5703125" bestFit="1" customWidth="1"/>
    <col min="8" max="8" width="2.5703125" customWidth="1"/>
    <col min="9" max="9" width="15.5703125" bestFit="1" customWidth="1"/>
    <col min="10" max="10" width="2.5703125" customWidth="1"/>
    <col min="11" max="11" width="15.5703125" bestFit="1" customWidth="1"/>
    <col min="12" max="12" width="2.5703125" customWidth="1"/>
    <col min="13" max="13" width="15.85546875" customWidth="1"/>
    <col min="15" max="15" width="15.28515625" bestFit="1" customWidth="1"/>
    <col min="16" max="16" width="11.85546875" bestFit="1" customWidth="1"/>
  </cols>
  <sheetData>
    <row r="1" spans="1:13" hidden="1" outlineLevel="1">
      <c r="M1" s="2" t="str">
        <f>Contents!B1</f>
        <v>The Narragansett Electric Company</v>
      </c>
    </row>
    <row r="2" spans="1:13" hidden="1" outlineLevel="1">
      <c r="M2" s="2" t="str">
        <f>Contents!B2</f>
        <v>d/b/a National Grid</v>
      </c>
    </row>
    <row r="3" spans="1:13" hidden="1" outlineLevel="1">
      <c r="M3" s="2" t="str">
        <f>Contents!B3</f>
        <v>RIPUC Docket No. 4770</v>
      </c>
    </row>
    <row r="4" spans="1:13" hidden="1" outlineLevel="1">
      <c r="M4" s="2" t="str">
        <f>Contents!B4</f>
        <v>Gas Earnings Sharing Mechanism</v>
      </c>
    </row>
    <row r="5" spans="1:13" hidden="1" outlineLevel="1">
      <c r="M5" s="2"/>
    </row>
    <row r="6" spans="1:13" collapsed="1">
      <c r="A6" s="26"/>
      <c r="B6" s="26"/>
      <c r="C6" s="26"/>
      <c r="D6" s="26"/>
      <c r="E6" s="26"/>
      <c r="F6" s="26"/>
      <c r="G6" s="26"/>
      <c r="H6" s="26"/>
      <c r="I6" s="26"/>
      <c r="J6" s="26"/>
      <c r="K6" s="26"/>
      <c r="L6" s="26"/>
      <c r="M6" s="2" t="str">
        <f>Contents!B6</f>
        <v>The Narragansett Electric Company</v>
      </c>
    </row>
    <row r="7" spans="1:13">
      <c r="A7" s="26"/>
      <c r="B7" s="26"/>
      <c r="C7" s="26"/>
      <c r="D7" s="26"/>
      <c r="E7" s="26"/>
      <c r="F7" s="26"/>
      <c r="G7" s="26"/>
      <c r="H7" s="26"/>
      <c r="I7" s="26"/>
      <c r="J7" s="26"/>
      <c r="K7" s="26"/>
      <c r="L7" s="26"/>
      <c r="M7" s="2" t="str">
        <f>Contents!B7</f>
        <v>d/b/a Rhode Island Energy</v>
      </c>
    </row>
    <row r="8" spans="1:13">
      <c r="A8" s="26"/>
      <c r="B8" s="26"/>
      <c r="C8" s="26"/>
      <c r="D8" s="26"/>
      <c r="E8" s="26"/>
      <c r="F8" s="26"/>
      <c r="G8" s="26"/>
      <c r="H8" s="26"/>
      <c r="I8" s="26"/>
      <c r="J8" s="26"/>
      <c r="K8" s="26"/>
      <c r="L8" s="26"/>
      <c r="M8" s="2" t="str">
        <f>Contents!B8</f>
        <v>RIPUC Docket No. 4770</v>
      </c>
    </row>
    <row r="9" spans="1:13">
      <c r="A9" s="26"/>
      <c r="B9" s="26"/>
      <c r="C9" s="26"/>
      <c r="D9" s="26"/>
      <c r="E9" s="26"/>
      <c r="F9" s="26"/>
      <c r="G9" s="26"/>
      <c r="H9" s="26"/>
      <c r="I9" s="26"/>
      <c r="J9" s="26"/>
      <c r="K9" s="26"/>
      <c r="L9" s="26"/>
      <c r="M9" s="2" t="str">
        <f>Contents!B9</f>
        <v>CY 2025 Gas Earnings Report</v>
      </c>
    </row>
    <row r="10" spans="1:13">
      <c r="A10" s="26"/>
      <c r="B10" s="26"/>
      <c r="C10" s="26"/>
      <c r="D10" s="26"/>
      <c r="E10" s="26"/>
      <c r="F10" s="26"/>
      <c r="G10" s="26"/>
      <c r="H10" s="26"/>
      <c r="I10" s="26"/>
      <c r="J10" s="26"/>
      <c r="K10" s="26"/>
      <c r="L10" s="26"/>
      <c r="M10" s="2" t="str">
        <f>Contents!B10</f>
        <v>Schedule NECO-1</v>
      </c>
    </row>
    <row r="11" spans="1:13">
      <c r="A11" s="26"/>
      <c r="B11" s="26"/>
      <c r="C11" s="26"/>
      <c r="D11" s="26"/>
      <c r="E11" s="26"/>
      <c r="F11" s="26"/>
      <c r="G11" s="26"/>
      <c r="H11" s="26"/>
      <c r="I11" s="26"/>
      <c r="J11" s="26"/>
      <c r="K11" s="26"/>
      <c r="L11" s="26"/>
      <c r="M11" s="2" t="str">
        <f>Contents!B11</f>
        <v>June 15, 2026</v>
      </c>
    </row>
    <row r="12" spans="1:13">
      <c r="A12" s="26"/>
      <c r="B12" s="26"/>
      <c r="C12" s="26"/>
      <c r="D12" s="26"/>
      <c r="E12" s="26"/>
      <c r="F12" s="26"/>
      <c r="G12" s="26"/>
      <c r="H12" s="26"/>
      <c r="I12" s="26"/>
      <c r="J12" s="26"/>
      <c r="K12" s="26"/>
      <c r="L12" s="26"/>
      <c r="M12" s="2" t="str">
        <f>VLOOKUP($A$15,Index!$A:$C,3,FALSE)</f>
        <v>Page 5 of 15</v>
      </c>
    </row>
    <row r="13" spans="1:13">
      <c r="A13" s="26"/>
      <c r="B13" s="26"/>
      <c r="C13" s="26"/>
      <c r="D13" s="26"/>
      <c r="E13" s="26"/>
      <c r="F13" s="26"/>
      <c r="G13" s="26"/>
      <c r="H13" s="26"/>
      <c r="I13" s="26"/>
      <c r="J13" s="26"/>
      <c r="K13" s="26"/>
      <c r="L13" s="26"/>
      <c r="M13" s="2"/>
    </row>
    <row r="14" spans="1:13">
      <c r="A14" s="797" t="str">
        <f>Contents!A13</f>
        <v>Rhode Island Energy - RI Gas</v>
      </c>
      <c r="B14" s="797"/>
      <c r="C14" s="797"/>
      <c r="D14" s="797"/>
      <c r="E14" s="797"/>
      <c r="F14" s="797"/>
      <c r="G14" s="797"/>
      <c r="H14" s="797"/>
      <c r="I14" s="797"/>
      <c r="J14" s="797"/>
      <c r="K14" s="797"/>
      <c r="L14" s="797"/>
      <c r="M14" s="797"/>
    </row>
    <row r="15" spans="1:13">
      <c r="A15" s="797" t="s">
        <v>22</v>
      </c>
      <c r="B15" s="797"/>
      <c r="C15" s="797"/>
      <c r="D15" s="797"/>
      <c r="E15" s="797"/>
      <c r="F15" s="797"/>
      <c r="G15" s="797"/>
      <c r="H15" s="797"/>
      <c r="I15" s="797"/>
      <c r="J15" s="797"/>
      <c r="K15" s="797"/>
      <c r="L15" s="797"/>
      <c r="M15" s="797"/>
    </row>
    <row r="16" spans="1:13">
      <c r="A16" s="797" t="str">
        <f>Contents!A15</f>
        <v>For the Twelve Months ended December 31, 2025</v>
      </c>
      <c r="B16" s="797"/>
      <c r="C16" s="797"/>
      <c r="D16" s="797"/>
      <c r="E16" s="797"/>
      <c r="F16" s="797"/>
      <c r="G16" s="797"/>
      <c r="H16" s="797"/>
      <c r="I16" s="797"/>
      <c r="J16" s="797"/>
      <c r="K16" s="797"/>
      <c r="L16" s="797"/>
      <c r="M16" s="797"/>
    </row>
    <row r="17" spans="1:16">
      <c r="A17" s="26"/>
      <c r="B17" s="26"/>
      <c r="C17" s="26"/>
      <c r="D17" s="26"/>
      <c r="E17" s="26"/>
      <c r="F17" s="26"/>
      <c r="G17" s="26"/>
      <c r="H17" s="26"/>
      <c r="I17" s="26"/>
      <c r="J17" s="26"/>
      <c r="K17" s="26"/>
      <c r="L17" s="26"/>
      <c r="M17" s="36" t="s">
        <v>245</v>
      </c>
    </row>
    <row r="18" spans="1:16">
      <c r="A18" s="26"/>
      <c r="B18" s="26"/>
      <c r="C18" s="26"/>
      <c r="D18" s="26"/>
      <c r="E18" s="26"/>
      <c r="F18" s="26"/>
      <c r="G18" s="26"/>
      <c r="H18" s="26"/>
      <c r="I18" s="26"/>
      <c r="J18" s="26"/>
      <c r="K18" s="26"/>
      <c r="L18" s="26"/>
      <c r="M18" s="36" t="s">
        <v>246</v>
      </c>
    </row>
    <row r="19" spans="1:16" ht="13.9" customHeight="1">
      <c r="A19" s="26"/>
      <c r="B19" s="26"/>
      <c r="C19" s="36" t="str">
        <f>Index!F14</f>
        <v>December</v>
      </c>
      <c r="D19" s="26"/>
      <c r="E19" s="36" t="str">
        <f>Index!F15</f>
        <v>March</v>
      </c>
      <c r="F19" s="26"/>
      <c r="G19" s="36" t="str">
        <f>Index!F16</f>
        <v>June</v>
      </c>
      <c r="H19" s="26"/>
      <c r="I19" s="36" t="str">
        <f>Index!F17</f>
        <v>September</v>
      </c>
      <c r="J19" s="26"/>
      <c r="K19" s="36" t="str">
        <f>Index!F18</f>
        <v>December</v>
      </c>
      <c r="L19" s="26"/>
      <c r="M19" s="38" t="str">
        <f>K19</f>
        <v>December</v>
      </c>
    </row>
    <row r="20" spans="1:16">
      <c r="A20" s="26"/>
      <c r="B20" s="26"/>
      <c r="C20" s="608">
        <f>Index!$G14</f>
        <v>2024</v>
      </c>
      <c r="D20" s="26"/>
      <c r="E20" s="608">
        <f>Index!$G18</f>
        <v>2025</v>
      </c>
      <c r="F20" s="26"/>
      <c r="G20" s="608">
        <f>+Index!G18</f>
        <v>2025</v>
      </c>
      <c r="H20" s="26"/>
      <c r="I20" s="608">
        <f>Index!$G18</f>
        <v>2025</v>
      </c>
      <c r="J20" s="26"/>
      <c r="K20" s="608">
        <f>Index!$G18</f>
        <v>2025</v>
      </c>
      <c r="L20" s="26"/>
      <c r="M20" s="608">
        <f>K20</f>
        <v>2025</v>
      </c>
    </row>
    <row r="21" spans="1:16">
      <c r="A21" s="26"/>
      <c r="B21" s="26"/>
      <c r="C21" s="36" t="s">
        <v>73</v>
      </c>
      <c r="D21" s="26"/>
      <c r="E21" s="36" t="s">
        <v>74</v>
      </c>
      <c r="F21" s="26"/>
      <c r="G21" s="36" t="s">
        <v>75</v>
      </c>
      <c r="H21" s="26"/>
      <c r="I21" s="36" t="s">
        <v>247</v>
      </c>
      <c r="J21" s="26"/>
      <c r="K21" s="36" t="s">
        <v>248</v>
      </c>
      <c r="L21" s="26"/>
      <c r="M21" s="36" t="s">
        <v>249</v>
      </c>
    </row>
    <row r="22" spans="1:16">
      <c r="A22" s="26"/>
      <c r="B22" s="26"/>
      <c r="C22" s="26"/>
      <c r="D22" s="26"/>
      <c r="E22" s="26"/>
      <c r="F22" s="26"/>
      <c r="G22" s="26"/>
      <c r="H22" s="26"/>
      <c r="I22" s="26"/>
      <c r="J22" s="26"/>
      <c r="K22" s="26"/>
      <c r="L22" s="26"/>
      <c r="M22" s="26"/>
    </row>
    <row r="23" spans="1:16">
      <c r="A23" s="26"/>
      <c r="B23" s="26"/>
      <c r="C23" s="26"/>
      <c r="D23" s="26"/>
      <c r="E23" s="26"/>
      <c r="F23" s="26"/>
      <c r="G23" s="26"/>
      <c r="H23" s="26"/>
      <c r="I23" s="26"/>
      <c r="J23" s="26"/>
      <c r="K23" s="26"/>
      <c r="L23" s="26"/>
      <c r="M23" s="26"/>
    </row>
    <row r="24" spans="1:16">
      <c r="A24" s="36">
        <v>1</v>
      </c>
      <c r="B24" s="26" t="s">
        <v>250</v>
      </c>
      <c r="C24" s="27">
        <v>2209697696.6300001</v>
      </c>
      <c r="D24" s="732"/>
      <c r="E24" s="27">
        <v>2257501375.6300001</v>
      </c>
      <c r="F24" s="732"/>
      <c r="G24" s="27">
        <v>2296282639.6300001</v>
      </c>
      <c r="H24" s="732"/>
      <c r="I24" s="27">
        <v>2340915308.6300001</v>
      </c>
      <c r="J24" s="732"/>
      <c r="K24" s="27">
        <v>2411659469.6300001</v>
      </c>
      <c r="L24" s="732"/>
      <c r="M24" s="27">
        <f>AVERAGE(C24:K24)</f>
        <v>2303211298.0300002</v>
      </c>
      <c r="N24" s="732"/>
      <c r="O24" s="3"/>
      <c r="P24" s="421"/>
    </row>
    <row r="25" spans="1:16">
      <c r="A25" s="36">
        <f t="shared" ref="A25:A39" si="0">A24+1</f>
        <v>2</v>
      </c>
      <c r="B25" s="26" t="s">
        <v>252</v>
      </c>
      <c r="C25" s="27">
        <v>102141192</v>
      </c>
      <c r="D25" s="732"/>
      <c r="E25" s="27">
        <v>102062937</v>
      </c>
      <c r="F25" s="732"/>
      <c r="G25" s="27">
        <v>121872851</v>
      </c>
      <c r="H25" s="732"/>
      <c r="I25" s="27">
        <v>138418035</v>
      </c>
      <c r="J25" s="732"/>
      <c r="K25" s="27">
        <v>130823567</v>
      </c>
      <c r="L25" s="732"/>
      <c r="M25" s="27">
        <f>AVERAGE(C25:K25)</f>
        <v>119063716.40000001</v>
      </c>
      <c r="N25" s="732"/>
      <c r="O25" s="3"/>
      <c r="P25" s="421"/>
    </row>
    <row r="26" spans="1:16">
      <c r="A26" s="36">
        <f t="shared" si="0"/>
        <v>3</v>
      </c>
      <c r="B26" s="26" t="s">
        <v>253</v>
      </c>
      <c r="C26" s="27">
        <v>495254702.48000002</v>
      </c>
      <c r="D26" s="732"/>
      <c r="E26" s="27">
        <v>502251088.86000001</v>
      </c>
      <c r="F26" s="732"/>
      <c r="G26" s="27">
        <v>508985462.26999998</v>
      </c>
      <c r="H26" s="732"/>
      <c r="I26" s="27">
        <v>519905306.68000001</v>
      </c>
      <c r="J26" s="732"/>
      <c r="K26" s="27">
        <v>526987519.06999999</v>
      </c>
      <c r="L26" s="732"/>
      <c r="M26" s="27">
        <f>AVERAGE(C26:K26)</f>
        <v>510676815.87200004</v>
      </c>
      <c r="N26" s="732"/>
      <c r="O26" s="3"/>
      <c r="P26" s="421"/>
    </row>
    <row r="27" spans="1:16">
      <c r="A27" s="36">
        <f t="shared" si="0"/>
        <v>4</v>
      </c>
      <c r="B27" s="26" t="s">
        <v>254</v>
      </c>
      <c r="C27" s="120">
        <v>38</v>
      </c>
      <c r="D27" s="732"/>
      <c r="E27" s="120">
        <v>0</v>
      </c>
      <c r="F27" s="732"/>
      <c r="G27" s="120">
        <v>0</v>
      </c>
      <c r="H27" s="732"/>
      <c r="I27" s="120">
        <v>0</v>
      </c>
      <c r="J27" s="732"/>
      <c r="K27" s="120">
        <v>0</v>
      </c>
      <c r="L27" s="732"/>
      <c r="M27" s="120">
        <f>AVERAGE(C27:K27)</f>
        <v>7.6</v>
      </c>
      <c r="N27" s="732"/>
      <c r="O27" s="3"/>
      <c r="P27" s="421"/>
    </row>
    <row r="28" spans="1:16">
      <c r="A28" s="36">
        <f t="shared" si="0"/>
        <v>5</v>
      </c>
      <c r="B28" s="26"/>
      <c r="C28" s="27"/>
      <c r="D28" s="27"/>
      <c r="E28" s="27"/>
      <c r="F28" s="27"/>
      <c r="G28" s="27"/>
      <c r="H28" s="27"/>
      <c r="I28" s="27"/>
      <c r="J28" s="27"/>
      <c r="K28" s="27"/>
      <c r="L28" s="27"/>
      <c r="M28" s="27"/>
      <c r="N28" s="27"/>
      <c r="O28" s="3"/>
      <c r="P28" s="421"/>
    </row>
    <row r="29" spans="1:16">
      <c r="A29" s="36">
        <f t="shared" si="0"/>
        <v>6</v>
      </c>
      <c r="B29" s="26" t="s">
        <v>255</v>
      </c>
      <c r="C29" s="120">
        <f>C24+C25-C26-C27</f>
        <v>1816584148.1500001</v>
      </c>
      <c r="D29" s="732"/>
      <c r="E29" s="120">
        <f>E24+E25-E26-E27</f>
        <v>1857313223.77</v>
      </c>
      <c r="F29" s="732"/>
      <c r="G29" s="120">
        <f>G24+G25-G26-G27</f>
        <v>1909170028.3600001</v>
      </c>
      <c r="H29" s="732"/>
      <c r="I29" s="120">
        <f>I24+I25-I26-I27</f>
        <v>1959428036.95</v>
      </c>
      <c r="J29" s="732"/>
      <c r="K29" s="120">
        <f>K24+K25-K26-K27</f>
        <v>2015495517.5600002</v>
      </c>
      <c r="L29" s="732"/>
      <c r="M29" s="120">
        <f>AVERAGE(C29:K29)</f>
        <v>1911598190.9580002</v>
      </c>
      <c r="N29" s="732"/>
      <c r="O29" s="3"/>
      <c r="P29" s="421"/>
    </row>
    <row r="30" spans="1:16">
      <c r="A30" s="36">
        <f t="shared" si="0"/>
        <v>7</v>
      </c>
      <c r="B30" s="26"/>
      <c r="C30" s="27"/>
      <c r="D30" s="27"/>
      <c r="E30" s="27"/>
      <c r="F30" s="27"/>
      <c r="G30" s="27"/>
      <c r="H30" s="27"/>
      <c r="I30" s="27"/>
      <c r="J30" s="27"/>
      <c r="K30" s="27"/>
      <c r="L30" s="27"/>
      <c r="M30" s="27"/>
      <c r="N30" s="27"/>
    </row>
    <row r="31" spans="1:16">
      <c r="A31" s="36">
        <f t="shared" si="0"/>
        <v>8</v>
      </c>
      <c r="B31" s="26" t="s">
        <v>256</v>
      </c>
      <c r="C31" s="27">
        <v>12783898</v>
      </c>
      <c r="D31" s="732"/>
      <c r="E31" s="27">
        <v>13211076</v>
      </c>
      <c r="F31" s="732"/>
      <c r="G31" s="27">
        <v>12083175</v>
      </c>
      <c r="H31" s="732"/>
      <c r="I31" s="27">
        <v>11139170</v>
      </c>
      <c r="J31" s="732"/>
      <c r="K31" s="27">
        <v>11459474</v>
      </c>
      <c r="L31" s="732"/>
      <c r="M31" s="27">
        <f>AVERAGE(C31:K31)</f>
        <v>12135358.6</v>
      </c>
      <c r="N31" s="732"/>
    </row>
    <row r="32" spans="1:16">
      <c r="A32" s="36">
        <f t="shared" si="0"/>
        <v>9</v>
      </c>
      <c r="B32" s="26" t="s">
        <v>257</v>
      </c>
      <c r="C32" s="27">
        <v>516123</v>
      </c>
      <c r="D32" s="732"/>
      <c r="E32" s="27">
        <v>810400.2</v>
      </c>
      <c r="F32" s="732"/>
      <c r="G32" s="27">
        <v>1677326</v>
      </c>
      <c r="H32" s="732"/>
      <c r="I32" s="27">
        <v>1632140</v>
      </c>
      <c r="J32" s="732"/>
      <c r="K32" s="27">
        <v>904407</v>
      </c>
      <c r="L32" s="732"/>
      <c r="M32" s="27">
        <f>AVERAGE(C32:K32)</f>
        <v>1108079.24</v>
      </c>
      <c r="N32" s="732"/>
    </row>
    <row r="33" spans="1:16">
      <c r="A33" s="36">
        <f t="shared" si="0"/>
        <v>10</v>
      </c>
      <c r="B33" s="26" t="s">
        <v>258</v>
      </c>
      <c r="C33" s="27">
        <v>0</v>
      </c>
      <c r="D33" s="732"/>
      <c r="E33" s="27">
        <v>0</v>
      </c>
      <c r="F33" s="732"/>
      <c r="G33" s="27">
        <v>0</v>
      </c>
      <c r="H33" s="732"/>
      <c r="I33" s="27">
        <v>0</v>
      </c>
      <c r="J33" s="732"/>
      <c r="K33" s="27">
        <v>0</v>
      </c>
      <c r="L33" s="732"/>
      <c r="M33" s="27">
        <f>AVERAGE(C33:K33)</f>
        <v>0</v>
      </c>
      <c r="N33" s="732"/>
    </row>
    <row r="34" spans="1:16">
      <c r="A34" s="36">
        <f>A33+1</f>
        <v>11</v>
      </c>
      <c r="B34" s="26" t="s">
        <v>259</v>
      </c>
      <c r="C34" s="27">
        <v>2991003.3142776699</v>
      </c>
      <c r="D34" s="732"/>
      <c r="E34" s="27">
        <v>2915551.4248296916</v>
      </c>
      <c r="F34" s="732"/>
      <c r="G34" s="27">
        <v>2838475.9354001433</v>
      </c>
      <c r="H34" s="732"/>
      <c r="I34" s="27">
        <v>2760310.2618974168</v>
      </c>
      <c r="J34" s="732"/>
      <c r="K34" s="27">
        <v>2680519.5677197832</v>
      </c>
      <c r="L34" s="732"/>
      <c r="M34" s="27">
        <f>AVERAGE(C34:K34)</f>
        <v>2837172.1008249409</v>
      </c>
      <c r="N34" s="732"/>
      <c r="O34" s="3"/>
    </row>
    <row r="35" spans="1:16">
      <c r="A35" s="36">
        <f>A34+1</f>
        <v>12</v>
      </c>
      <c r="B35" s="26" t="s">
        <v>260</v>
      </c>
      <c r="C35" s="120">
        <v>33621553.950000003</v>
      </c>
      <c r="D35" s="732"/>
      <c r="E35" s="120">
        <v>40090034.350000001</v>
      </c>
      <c r="F35" s="732"/>
      <c r="G35" s="120">
        <v>40090034.350000001</v>
      </c>
      <c r="H35" s="732"/>
      <c r="I35" s="120">
        <v>40090034.350000001</v>
      </c>
      <c r="J35" s="732"/>
      <c r="K35" s="120">
        <v>40090034.350000001</v>
      </c>
      <c r="L35" s="732"/>
      <c r="M35" s="120">
        <f>AVERAGE(C35:K35)</f>
        <v>38796338.269999996</v>
      </c>
      <c r="N35" s="732"/>
    </row>
    <row r="36" spans="1:16">
      <c r="A36" s="36">
        <f>A35+1</f>
        <v>13</v>
      </c>
      <c r="B36" s="26"/>
      <c r="C36" s="27"/>
      <c r="D36" s="27"/>
      <c r="E36" s="27"/>
      <c r="F36" s="27"/>
      <c r="G36" s="27"/>
      <c r="H36" s="27"/>
      <c r="I36" s="27"/>
      <c r="J36" s="27"/>
      <c r="K36" s="27"/>
      <c r="L36" s="27"/>
      <c r="M36" s="27"/>
      <c r="N36" s="27"/>
    </row>
    <row r="37" spans="1:16">
      <c r="A37" s="36">
        <f>A36+1</f>
        <v>14</v>
      </c>
      <c r="B37" s="26" t="s">
        <v>261</v>
      </c>
      <c r="C37" s="120">
        <f>SUM(C31:C35)</f>
        <v>49912578.264277674</v>
      </c>
      <c r="D37" s="732"/>
      <c r="E37" s="120">
        <f>SUM(E31:E35)</f>
        <v>57027061.974829689</v>
      </c>
      <c r="F37" s="732"/>
      <c r="G37" s="120">
        <f>SUM(G31:G35)</f>
        <v>56689011.285400145</v>
      </c>
      <c r="H37" s="732"/>
      <c r="I37" s="120">
        <f>SUM(I31:I35)</f>
        <v>55621654.611897416</v>
      </c>
      <c r="J37" s="732"/>
      <c r="K37" s="120">
        <f>SUM(K31:K35)</f>
        <v>55134434.917719781</v>
      </c>
      <c r="L37" s="732"/>
      <c r="M37" s="120">
        <f>AVERAGE(C37:K37)</f>
        <v>54876948.210824944</v>
      </c>
      <c r="N37" s="732"/>
    </row>
    <row r="38" spans="1:16">
      <c r="A38" s="36">
        <f t="shared" si="0"/>
        <v>15</v>
      </c>
      <c r="B38" s="26"/>
      <c r="C38" s="27"/>
      <c r="D38" s="27"/>
      <c r="E38" s="27"/>
      <c r="F38" s="27"/>
      <c r="G38" s="27"/>
      <c r="H38" s="27"/>
      <c r="I38" s="27"/>
      <c r="J38" s="27"/>
      <c r="K38" s="27"/>
      <c r="L38" s="27"/>
      <c r="M38" s="27"/>
      <c r="N38" s="27"/>
    </row>
    <row r="39" spans="1:16">
      <c r="A39" s="36">
        <f t="shared" si="0"/>
        <v>16</v>
      </c>
      <c r="B39" s="26" t="s">
        <v>262</v>
      </c>
      <c r="C39" s="27">
        <v>44188472.053870961</v>
      </c>
      <c r="D39" s="732"/>
      <c r="E39" s="27">
        <v>49857370.113870963</v>
      </c>
      <c r="F39" s="732"/>
      <c r="G39" s="27">
        <v>55958786.023870967</v>
      </c>
      <c r="H39" s="732"/>
      <c r="I39" s="27">
        <v>61677779.863870963</v>
      </c>
      <c r="J39" s="732"/>
      <c r="K39" s="27">
        <v>70745730.133870959</v>
      </c>
      <c r="L39" s="732"/>
      <c r="M39" s="27">
        <f>AVERAGE(C39:K39)</f>
        <v>56485627.637870967</v>
      </c>
      <c r="N39" s="732"/>
    </row>
    <row r="40" spans="1:16">
      <c r="A40" s="36">
        <f t="shared" ref="A40:A47" si="1">A39+1</f>
        <v>17</v>
      </c>
      <c r="B40" s="26" t="s">
        <v>263</v>
      </c>
      <c r="C40" s="27">
        <v>59123845</v>
      </c>
      <c r="D40" s="732"/>
      <c r="E40" s="27">
        <v>59123845</v>
      </c>
      <c r="F40" s="732"/>
      <c r="G40" s="27">
        <v>59123845</v>
      </c>
      <c r="H40" s="732"/>
      <c r="I40" s="27">
        <v>59123845</v>
      </c>
      <c r="J40" s="732"/>
      <c r="K40" s="27">
        <v>59123845</v>
      </c>
      <c r="L40" s="732"/>
      <c r="M40" s="27">
        <f>AVERAGE(C40:K40)</f>
        <v>59123845</v>
      </c>
      <c r="N40" s="732"/>
    </row>
    <row r="41" spans="1:16">
      <c r="A41" s="36">
        <f t="shared" si="1"/>
        <v>18</v>
      </c>
      <c r="B41" s="27" t="s">
        <v>264</v>
      </c>
      <c r="C41" s="27">
        <v>-9590254.993870968</v>
      </c>
      <c r="D41" s="732"/>
      <c r="E41" s="27">
        <v>-9968817.743870968</v>
      </c>
      <c r="F41" s="732"/>
      <c r="G41" s="27">
        <v>-10347380.493870966</v>
      </c>
      <c r="H41" s="732"/>
      <c r="I41" s="27">
        <v>-10725943.243870968</v>
      </c>
      <c r="J41" s="732"/>
      <c r="K41" s="27">
        <v>-11104505.993870968</v>
      </c>
      <c r="L41" s="732"/>
      <c r="M41" s="27">
        <f>AVERAGE(C41:K41)</f>
        <v>-10347380.493870968</v>
      </c>
      <c r="N41" s="732"/>
    </row>
    <row r="42" spans="1:16">
      <c r="A42" s="36">
        <f t="shared" si="1"/>
        <v>19</v>
      </c>
      <c r="B42" s="26" t="s">
        <v>265</v>
      </c>
      <c r="C42" s="27">
        <v>2925707.3745462149</v>
      </c>
      <c r="D42" s="732"/>
      <c r="E42" s="27">
        <v>2103961.5674315579</v>
      </c>
      <c r="F42" s="732"/>
      <c r="G42" s="27">
        <v>1282215.7603169009</v>
      </c>
      <c r="H42" s="732"/>
      <c r="I42" s="27">
        <v>460469.95320224389</v>
      </c>
      <c r="J42" s="732"/>
      <c r="K42" s="27">
        <v>-361275.85391241312</v>
      </c>
      <c r="L42" s="732"/>
      <c r="M42" s="27">
        <f>AVERAGE(C42:K42)</f>
        <v>1282215.7603169009</v>
      </c>
      <c r="N42" s="732"/>
    </row>
    <row r="43" spans="1:16">
      <c r="A43" s="36">
        <f t="shared" si="1"/>
        <v>20</v>
      </c>
      <c r="B43" s="26" t="s">
        <v>266</v>
      </c>
      <c r="C43" s="120">
        <v>1605713.18073528</v>
      </c>
      <c r="D43" s="732"/>
      <c r="E43" s="120">
        <v>1679197.44</v>
      </c>
      <c r="F43" s="732"/>
      <c r="G43" s="120">
        <v>2024560.65</v>
      </c>
      <c r="H43" s="732"/>
      <c r="I43" s="120">
        <v>2450622.7999999998</v>
      </c>
      <c r="J43" s="732"/>
      <c r="K43" s="120">
        <v>2799007.13</v>
      </c>
      <c r="L43" s="732"/>
      <c r="M43" s="120">
        <f>AVERAGE(C43:K43)</f>
        <v>2111820.2401470561</v>
      </c>
      <c r="N43" s="732"/>
    </row>
    <row r="44" spans="1:16">
      <c r="A44" s="36">
        <f t="shared" si="1"/>
        <v>21</v>
      </c>
      <c r="B44" s="26"/>
      <c r="C44" s="27"/>
      <c r="D44" s="27"/>
      <c r="E44" s="27"/>
      <c r="F44" s="27"/>
      <c r="G44" s="27"/>
      <c r="H44" s="27"/>
      <c r="I44" s="27"/>
      <c r="J44" s="27"/>
      <c r="K44" s="27"/>
      <c r="L44" s="27"/>
      <c r="M44" s="27"/>
      <c r="N44" s="27"/>
    </row>
    <row r="45" spans="1:16">
      <c r="A45" s="36">
        <f t="shared" si="1"/>
        <v>22</v>
      </c>
      <c r="B45" s="26" t="s">
        <v>261</v>
      </c>
      <c r="C45" s="120">
        <f>SUM(C39:C43)</f>
        <v>98253482.615281478</v>
      </c>
      <c r="D45" s="732"/>
      <c r="E45" s="120">
        <f>SUM(E39:E43)</f>
        <v>102795556.37743154</v>
      </c>
      <c r="F45" s="732"/>
      <c r="G45" s="120">
        <f>SUM(G39:G43)</f>
        <v>108042026.94031692</v>
      </c>
      <c r="H45" s="732"/>
      <c r="I45" s="120">
        <f>SUM(I39:I43)</f>
        <v>112986774.37320223</v>
      </c>
      <c r="J45" s="732"/>
      <c r="K45" s="120">
        <f>SUM(K39:K43)</f>
        <v>121202800.41608757</v>
      </c>
      <c r="L45" s="732"/>
      <c r="M45" s="120">
        <f>AVERAGE(C45:K45)</f>
        <v>108656128.14446397</v>
      </c>
      <c r="N45" s="732"/>
    </row>
    <row r="46" spans="1:16">
      <c r="A46" s="36">
        <f t="shared" si="1"/>
        <v>23</v>
      </c>
      <c r="B46" s="26"/>
      <c r="C46" s="27"/>
      <c r="D46" s="27"/>
      <c r="E46" s="27"/>
      <c r="F46" s="27"/>
      <c r="G46" s="27"/>
      <c r="H46" s="27"/>
      <c r="I46" s="27"/>
      <c r="J46" s="27"/>
      <c r="K46" s="27"/>
      <c r="L46" s="27"/>
      <c r="M46" s="27"/>
      <c r="N46" s="27"/>
    </row>
    <row r="47" spans="1:16" ht="15.75" thickBot="1">
      <c r="A47" s="36">
        <f t="shared" si="1"/>
        <v>24</v>
      </c>
      <c r="B47" s="26" t="s">
        <v>22</v>
      </c>
      <c r="C47" s="111">
        <f>C29+C37-C45</f>
        <v>1768243243.7989962</v>
      </c>
      <c r="D47" s="732"/>
      <c r="E47" s="111">
        <f>E29+E37-E45</f>
        <v>1811544729.367398</v>
      </c>
      <c r="F47" s="732"/>
      <c r="G47" s="111">
        <f>G29+G37-G45</f>
        <v>1857817012.7050834</v>
      </c>
      <c r="H47" s="732"/>
      <c r="I47" s="111">
        <f>I29+I37-I45</f>
        <v>1902062917.1886952</v>
      </c>
      <c r="J47" s="732"/>
      <c r="K47" s="111">
        <f>K29+K37-K45</f>
        <v>1949427152.0616324</v>
      </c>
      <c r="L47" s="732"/>
      <c r="M47" s="111">
        <f>M29+M37-M45</f>
        <v>1857819011.0243611</v>
      </c>
      <c r="N47" s="732"/>
      <c r="P47" s="3"/>
    </row>
    <row r="48" spans="1:16" ht="15.75" thickTop="1">
      <c r="A48" s="26"/>
      <c r="B48" s="26"/>
      <c r="C48" s="26"/>
      <c r="D48" s="26"/>
      <c r="E48" s="26"/>
      <c r="F48" s="26"/>
      <c r="G48" s="26"/>
      <c r="H48" s="26"/>
      <c r="I48" s="26"/>
      <c r="J48" s="26"/>
      <c r="K48" s="26"/>
      <c r="L48" s="26"/>
      <c r="M48" s="26"/>
    </row>
    <row r="49" spans="1:13">
      <c r="A49" s="26"/>
      <c r="B49" s="26"/>
      <c r="C49" s="27">
        <v>1768243244</v>
      </c>
      <c r="D49" s="732"/>
      <c r="F49" s="26"/>
      <c r="G49" s="27"/>
      <c r="H49" s="26"/>
      <c r="I49" s="27"/>
      <c r="J49" s="26"/>
      <c r="K49" s="27"/>
      <c r="L49" s="26"/>
      <c r="M49" s="26"/>
    </row>
    <row r="50" spans="1:13">
      <c r="A50" s="26" t="s">
        <v>70</v>
      </c>
      <c r="C50" s="27">
        <f>+C47-C49</f>
        <v>-0.2010037899017334</v>
      </c>
      <c r="D50" s="732"/>
      <c r="F50" s="26"/>
      <c r="G50" s="26"/>
      <c r="H50" s="26"/>
      <c r="I50" s="26"/>
      <c r="J50" s="26"/>
      <c r="K50" s="27"/>
      <c r="L50" s="26"/>
      <c r="M50" s="26"/>
    </row>
    <row r="51" spans="1:13">
      <c r="A51" s="36" t="s">
        <v>267</v>
      </c>
      <c r="B51" s="26" t="s">
        <v>130</v>
      </c>
      <c r="C51" s="26"/>
      <c r="D51" s="26"/>
      <c r="E51" s="26"/>
      <c r="F51" s="26"/>
      <c r="G51" s="26"/>
      <c r="H51" s="26"/>
      <c r="I51" s="26"/>
      <c r="J51" s="26"/>
      <c r="K51" s="26"/>
      <c r="L51" s="26"/>
      <c r="M51" s="26"/>
    </row>
    <row r="52" spans="1:13">
      <c r="A52" s="36" t="s">
        <v>268</v>
      </c>
      <c r="B52" s="26" t="str">
        <f>CONCATENATE("Average of Column ",C21," through Column ",K21)</f>
        <v>Average of Column (a) through Column (e)</v>
      </c>
      <c r="C52" s="26"/>
      <c r="D52" s="26"/>
      <c r="E52" s="26"/>
      <c r="F52" s="26"/>
      <c r="G52" s="26"/>
      <c r="H52" s="26"/>
      <c r="I52" s="26"/>
      <c r="J52" s="26"/>
      <c r="K52" s="26"/>
      <c r="L52" s="26"/>
      <c r="M52" s="26"/>
    </row>
    <row r="53" spans="1:13">
      <c r="A53" s="36" t="s">
        <v>269</v>
      </c>
      <c r="B53" s="26" t="str">
        <f>CONCATENATE("Line ",A24," + Line ",A25," - Line ",+A26," - Line ",+A27)</f>
        <v>Line 1 + Line 2 - Line 3 - Line 4</v>
      </c>
      <c r="C53" s="26"/>
      <c r="D53" s="26"/>
      <c r="E53" s="26"/>
      <c r="F53" s="26"/>
      <c r="G53" s="26"/>
      <c r="H53" s="26"/>
      <c r="I53" s="26"/>
      <c r="J53" s="26"/>
      <c r="K53" s="26"/>
      <c r="L53" s="26"/>
      <c r="M53" s="26"/>
    </row>
    <row r="54" spans="1:13">
      <c r="A54" s="36" t="s">
        <v>270</v>
      </c>
      <c r="B54" s="26" t="str">
        <f>CONCATENATE("Average of Column ",C21," through Column ",K21)</f>
        <v>Average of Column (a) through Column (e)</v>
      </c>
      <c r="C54" s="26"/>
      <c r="D54" s="26"/>
      <c r="E54" s="26"/>
      <c r="F54" s="26"/>
      <c r="G54" s="26"/>
      <c r="H54" s="26"/>
      <c r="I54" s="26"/>
      <c r="J54" s="26"/>
      <c r="K54" s="26"/>
      <c r="L54" s="26"/>
      <c r="M54" s="26"/>
    </row>
    <row r="55" spans="1:13">
      <c r="A55" s="36" t="s">
        <v>271</v>
      </c>
      <c r="B55" s="26" t="s">
        <v>130</v>
      </c>
      <c r="C55" s="26"/>
      <c r="D55" s="26"/>
      <c r="E55" s="26"/>
      <c r="F55" s="26"/>
      <c r="G55" s="26"/>
      <c r="H55" s="26"/>
      <c r="I55" s="26"/>
      <c r="J55" s="26"/>
      <c r="K55" s="26"/>
      <c r="L55" s="26"/>
      <c r="M55" s="26"/>
    </row>
    <row r="56" spans="1:13">
      <c r="A56" s="36" t="s">
        <v>272</v>
      </c>
      <c r="B56" s="26" t="str">
        <f>CONCATENATE("Average of Column ",C21," through Column ",K21)</f>
        <v>Average of Column (a) through Column (e)</v>
      </c>
      <c r="C56" s="26"/>
      <c r="D56" s="26"/>
      <c r="E56" s="26"/>
      <c r="F56" s="26"/>
      <c r="G56" s="26"/>
      <c r="H56" s="26"/>
      <c r="I56" s="26"/>
      <c r="J56" s="26"/>
      <c r="K56" s="26"/>
      <c r="L56" s="26"/>
      <c r="M56" s="26"/>
    </row>
    <row r="57" spans="1:13">
      <c r="A57" s="36" t="s">
        <v>273</v>
      </c>
      <c r="B57" s="26" t="str">
        <f>CONCATENATE("From ",'Working Capital'!$D$12," Line ",'Working Capital'!A32)</f>
        <v>From Page 6 of 15 Line 14</v>
      </c>
      <c r="C57" s="26"/>
      <c r="D57" s="26"/>
      <c r="E57" s="26"/>
      <c r="F57" s="26"/>
      <c r="G57" s="26"/>
      <c r="H57" s="26"/>
      <c r="I57" s="26"/>
      <c r="J57" s="26"/>
      <c r="K57" s="26"/>
      <c r="L57" s="26"/>
      <c r="M57" s="26"/>
    </row>
    <row r="58" spans="1:13">
      <c r="A58" s="36" t="s">
        <v>274</v>
      </c>
      <c r="B58" s="26" t="str">
        <f>CONCATENATE("Sum of Line ",A31," through Line ",A35)</f>
        <v>Sum of Line 8 through Line 12</v>
      </c>
      <c r="C58" s="26"/>
      <c r="D58" s="26"/>
      <c r="E58" s="26"/>
      <c r="F58" s="26"/>
      <c r="G58" s="26"/>
      <c r="H58" s="26"/>
      <c r="I58" s="26"/>
      <c r="J58" s="26"/>
      <c r="K58" s="26"/>
      <c r="L58" s="26"/>
      <c r="M58" s="26"/>
    </row>
    <row r="59" spans="1:13">
      <c r="A59" s="36" t="s">
        <v>275</v>
      </c>
      <c r="B59" s="26" t="s">
        <v>130</v>
      </c>
      <c r="C59" s="26"/>
      <c r="D59" s="26"/>
      <c r="E59" s="26"/>
      <c r="F59" s="26"/>
      <c r="G59" s="26"/>
      <c r="H59" s="26"/>
      <c r="I59" s="26"/>
      <c r="J59" s="26"/>
      <c r="K59" s="26"/>
      <c r="L59" s="26"/>
      <c r="M59" s="26"/>
    </row>
    <row r="60" spans="1:13">
      <c r="A60" s="36" t="s">
        <v>276</v>
      </c>
      <c r="B60" s="26" t="str">
        <f>CONCATENATE("Average of Column ",C21," through Column ",K21)</f>
        <v>Average of Column (a) through Column (e)</v>
      </c>
      <c r="C60" s="26"/>
      <c r="D60" s="26"/>
      <c r="E60" s="26"/>
      <c r="F60" s="26"/>
      <c r="G60" s="26"/>
      <c r="H60" s="26"/>
      <c r="I60" s="26"/>
      <c r="J60" s="26"/>
      <c r="K60" s="26"/>
      <c r="L60" s="26"/>
      <c r="M60" s="26"/>
    </row>
    <row r="61" spans="1:13">
      <c r="A61" s="36">
        <f>A40</f>
        <v>17</v>
      </c>
      <c r="B61" s="26" t="s">
        <v>277</v>
      </c>
      <c r="C61" s="26"/>
      <c r="D61" s="26"/>
      <c r="E61" s="26"/>
      <c r="F61" s="26"/>
      <c r="G61" s="26"/>
      <c r="H61" s="26"/>
      <c r="I61" s="26"/>
      <c r="J61" s="26"/>
      <c r="K61" s="26"/>
      <c r="L61" s="26"/>
      <c r="M61" s="26"/>
    </row>
    <row r="62" spans="1:13">
      <c r="A62" s="36">
        <f>A41</f>
        <v>18</v>
      </c>
      <c r="B62" s="26" t="s">
        <v>278</v>
      </c>
      <c r="C62" s="26"/>
      <c r="D62" s="26"/>
      <c r="E62" s="26"/>
      <c r="F62" s="26"/>
      <c r="G62" s="26"/>
      <c r="H62" s="26"/>
      <c r="I62" s="26"/>
      <c r="J62" s="26"/>
      <c r="K62" s="26"/>
      <c r="L62" s="26"/>
      <c r="M62" s="26"/>
    </row>
    <row r="63" spans="1:13">
      <c r="A63" s="36">
        <f>A42</f>
        <v>19</v>
      </c>
      <c r="B63" s="26" t="s">
        <v>279</v>
      </c>
      <c r="C63" s="26"/>
      <c r="D63" s="26"/>
      <c r="E63" s="26"/>
      <c r="F63" s="26"/>
      <c r="G63" s="26"/>
      <c r="H63" s="26"/>
      <c r="I63" s="26"/>
      <c r="J63" s="26"/>
      <c r="K63" s="26"/>
      <c r="L63" s="26"/>
      <c r="M63" s="26"/>
    </row>
    <row r="64" spans="1:13">
      <c r="A64" s="36">
        <f>A45</f>
        <v>22</v>
      </c>
      <c r="B64" s="26" t="str">
        <f>CONCATENATE("Sum of Line ",A39," through Line ",A43)</f>
        <v>Sum of Line 16 through Line 20</v>
      </c>
      <c r="C64" s="26"/>
      <c r="D64" s="26"/>
      <c r="E64" s="26"/>
      <c r="F64" s="26"/>
      <c r="G64" s="26"/>
      <c r="H64" s="26"/>
      <c r="I64" s="26"/>
      <c r="J64" s="26"/>
      <c r="K64" s="26"/>
      <c r="L64" s="26"/>
      <c r="M64" s="26"/>
    </row>
    <row r="65" spans="1:13">
      <c r="A65" s="36">
        <f>A47</f>
        <v>24</v>
      </c>
      <c r="B65" s="26" t="str">
        <f>CONCATENATE("Line ",A29," + Line ", A37," - Line ", +A45)</f>
        <v>Line 6 + Line 14 - Line 22</v>
      </c>
      <c r="C65" s="26"/>
      <c r="D65" s="26"/>
      <c r="E65" s="26"/>
      <c r="F65" s="26"/>
      <c r="G65" s="26"/>
      <c r="H65" s="26"/>
      <c r="I65" s="26"/>
      <c r="J65" s="26"/>
      <c r="K65" s="26"/>
      <c r="L65" s="26"/>
      <c r="M65" s="26"/>
    </row>
    <row r="66" spans="1:13">
      <c r="L66" s="26"/>
      <c r="M66" s="26"/>
    </row>
    <row r="67" spans="1:13">
      <c r="L67" s="26"/>
      <c r="M67" s="26"/>
    </row>
    <row r="68" spans="1:13">
      <c r="L68" s="26"/>
      <c r="M68" s="26"/>
    </row>
    <row r="69" spans="1:13">
      <c r="L69" s="26"/>
      <c r="M69" s="26"/>
    </row>
    <row r="70" spans="1:13">
      <c r="L70" s="26"/>
      <c r="M70" s="26"/>
    </row>
    <row r="71" spans="1:13">
      <c r="L71" s="26"/>
      <c r="M71" s="26"/>
    </row>
    <row r="72" spans="1:13">
      <c r="L72" s="26"/>
      <c r="M72" s="26"/>
    </row>
    <row r="73" spans="1:13">
      <c r="L73" s="26"/>
      <c r="M73" s="26"/>
    </row>
    <row r="74" spans="1:13">
      <c r="L74" s="26"/>
      <c r="M74" s="26"/>
    </row>
    <row r="75" spans="1:13">
      <c r="L75" s="26"/>
      <c r="M75" s="26"/>
    </row>
    <row r="76" spans="1:13">
      <c r="L76" s="26"/>
      <c r="M76" s="26"/>
    </row>
    <row r="77" spans="1:13">
      <c r="L77" s="26"/>
      <c r="M77" s="26"/>
    </row>
    <row r="78" spans="1:13">
      <c r="L78" s="26"/>
      <c r="M78" s="26"/>
    </row>
    <row r="79" spans="1:13">
      <c r="L79" s="26"/>
      <c r="M79" s="26"/>
    </row>
    <row r="80" spans="1:13">
      <c r="L80" s="26"/>
      <c r="M80" s="26"/>
    </row>
    <row r="81" spans="12:13">
      <c r="L81" s="26"/>
      <c r="M81" s="26"/>
    </row>
    <row r="82" spans="12:13">
      <c r="L82" s="26"/>
      <c r="M82" s="26"/>
    </row>
    <row r="83" spans="12:13">
      <c r="L83" s="26"/>
      <c r="M83" s="26"/>
    </row>
    <row r="84" spans="12:13">
      <c r="L84" s="26"/>
      <c r="M84" s="26"/>
    </row>
    <row r="85" spans="12:13">
      <c r="L85" s="26"/>
      <c r="M85" s="26"/>
    </row>
    <row r="86" spans="12:13">
      <c r="L86" s="26"/>
      <c r="M86" s="26"/>
    </row>
    <row r="87" spans="12:13">
      <c r="L87" s="26"/>
      <c r="M87" s="26"/>
    </row>
    <row r="88" spans="12:13">
      <c r="L88" s="26"/>
      <c r="M88" s="26"/>
    </row>
    <row r="89" spans="12:13">
      <c r="L89" s="26"/>
      <c r="M89" s="26"/>
    </row>
    <row r="90" spans="12:13">
      <c r="L90" s="26"/>
      <c r="M90" s="26"/>
    </row>
    <row r="91" spans="12:13">
      <c r="L91" s="26"/>
      <c r="M91" s="26"/>
    </row>
    <row r="92" spans="12:13">
      <c r="L92" s="26"/>
      <c r="M92" s="26"/>
    </row>
    <row r="93" spans="12:13">
      <c r="L93" s="26"/>
      <c r="M93" s="26"/>
    </row>
    <row r="94" spans="12:13">
      <c r="L94" s="26"/>
      <c r="M94" s="26"/>
    </row>
    <row r="95" spans="12:13">
      <c r="L95" s="26"/>
      <c r="M95" s="26"/>
    </row>
    <row r="96" spans="12:13">
      <c r="L96" s="26"/>
      <c r="M96" s="26"/>
    </row>
    <row r="97" spans="12:13">
      <c r="L97" s="26"/>
      <c r="M97" s="26"/>
    </row>
    <row r="98" spans="12:13">
      <c r="L98" s="26"/>
      <c r="M98" s="26"/>
    </row>
    <row r="99" spans="12:13">
      <c r="L99" s="26"/>
      <c r="M99" s="26"/>
    </row>
    <row r="100" spans="12:13">
      <c r="L100" s="26"/>
      <c r="M100" s="26"/>
    </row>
    <row r="101" spans="12:13">
      <c r="L101" s="26"/>
      <c r="M101" s="26"/>
    </row>
    <row r="102" spans="12:13">
      <c r="L102" s="26"/>
      <c r="M102" s="26"/>
    </row>
    <row r="103" spans="12:13">
      <c r="L103" s="26"/>
      <c r="M103" s="26"/>
    </row>
    <row r="104" spans="12:13">
      <c r="L104" s="26"/>
      <c r="M104" s="26"/>
    </row>
    <row r="105" spans="12:13">
      <c r="L105" s="26"/>
      <c r="M105" s="26"/>
    </row>
    <row r="106" spans="12:13">
      <c r="L106" s="26"/>
      <c r="M106" s="26"/>
    </row>
    <row r="107" spans="12:13">
      <c r="L107" s="26"/>
      <c r="M107" s="26"/>
    </row>
    <row r="108" spans="12:13">
      <c r="L108" s="26"/>
      <c r="M108" s="26"/>
    </row>
    <row r="109" spans="12:13">
      <c r="L109" s="26"/>
      <c r="M109" s="26"/>
    </row>
    <row r="110" spans="12:13">
      <c r="L110" s="26"/>
      <c r="M110" s="26"/>
    </row>
    <row r="111" spans="12:13">
      <c r="L111" s="26"/>
      <c r="M111" s="26"/>
    </row>
    <row r="112" spans="12:13">
      <c r="L112" s="26"/>
      <c r="M112" s="26"/>
    </row>
    <row r="113" spans="12:13">
      <c r="L113" s="26"/>
      <c r="M113" s="26"/>
    </row>
    <row r="114" spans="12:13">
      <c r="L114" s="26"/>
      <c r="M114" s="26"/>
    </row>
    <row r="115" spans="12:13">
      <c r="L115" s="26"/>
      <c r="M115" s="26"/>
    </row>
    <row r="116" spans="12:13">
      <c r="L116" s="26"/>
      <c r="M116" s="26"/>
    </row>
    <row r="117" spans="12:13">
      <c r="L117" s="26"/>
      <c r="M117" s="26"/>
    </row>
    <row r="118" spans="12:13">
      <c r="L118" s="26"/>
      <c r="M118" s="26"/>
    </row>
    <row r="119" spans="12:13">
      <c r="L119" s="26"/>
      <c r="M119" s="26"/>
    </row>
    <row r="120" spans="12:13">
      <c r="L120" s="26"/>
      <c r="M120" s="26"/>
    </row>
    <row r="121" spans="12:13">
      <c r="L121" s="26"/>
      <c r="M121" s="26"/>
    </row>
    <row r="122" spans="12:13">
      <c r="L122" s="26"/>
      <c r="M122" s="26"/>
    </row>
    <row r="123" spans="12:13">
      <c r="L123" s="26"/>
      <c r="M123" s="26"/>
    </row>
    <row r="124" spans="12:13">
      <c r="L124" s="26"/>
      <c r="M124" s="26"/>
    </row>
    <row r="125" spans="12:13">
      <c r="L125" s="26"/>
      <c r="M125" s="26"/>
    </row>
    <row r="126" spans="12:13">
      <c r="L126" s="26"/>
      <c r="M126" s="26"/>
    </row>
    <row r="127" spans="12:13">
      <c r="L127" s="26"/>
      <c r="M127" s="26"/>
    </row>
    <row r="128" spans="12:13">
      <c r="L128" s="26"/>
      <c r="M128" s="26"/>
    </row>
    <row r="129" spans="12:13">
      <c r="L129" s="26"/>
      <c r="M129" s="26"/>
    </row>
    <row r="130" spans="12:13">
      <c r="L130" s="26"/>
      <c r="M130" s="26"/>
    </row>
    <row r="131" spans="12:13">
      <c r="L131" s="26"/>
      <c r="M131" s="26"/>
    </row>
    <row r="132" spans="12:13">
      <c r="L132" s="26"/>
      <c r="M132" s="26"/>
    </row>
    <row r="133" spans="12:13">
      <c r="L133" s="26"/>
      <c r="M133" s="26"/>
    </row>
    <row r="134" spans="12:13">
      <c r="L134" s="26"/>
      <c r="M134" s="26"/>
    </row>
    <row r="135" spans="12:13">
      <c r="L135" s="26"/>
      <c r="M135" s="26"/>
    </row>
    <row r="136" spans="12:13">
      <c r="L136" s="26"/>
      <c r="M136" s="26"/>
    </row>
    <row r="137" spans="12:13">
      <c r="L137" s="26"/>
      <c r="M137" s="26"/>
    </row>
    <row r="138" spans="12:13">
      <c r="L138" s="26"/>
      <c r="M138" s="26"/>
    </row>
    <row r="139" spans="12:13">
      <c r="L139" s="26"/>
      <c r="M139" s="26"/>
    </row>
    <row r="140" spans="12:13">
      <c r="L140" s="26"/>
      <c r="M140" s="26"/>
    </row>
    <row r="141" spans="12:13">
      <c r="L141" s="26"/>
      <c r="M141" s="26"/>
    </row>
    <row r="142" spans="12:13">
      <c r="L142" s="26"/>
      <c r="M142" s="26"/>
    </row>
    <row r="143" spans="12:13">
      <c r="L143" s="26"/>
      <c r="M143" s="26"/>
    </row>
    <row r="144" spans="12:13">
      <c r="L144" s="26"/>
      <c r="M144" s="26"/>
    </row>
    <row r="145" spans="12:13">
      <c r="L145" s="26"/>
      <c r="M145" s="26"/>
    </row>
    <row r="146" spans="12:13">
      <c r="L146" s="26"/>
      <c r="M146" s="26"/>
    </row>
    <row r="147" spans="12:13">
      <c r="L147" s="26"/>
      <c r="M147" s="26"/>
    </row>
    <row r="148" spans="12:13">
      <c r="L148" s="26"/>
      <c r="M148" s="26"/>
    </row>
    <row r="149" spans="12:13">
      <c r="L149" s="26"/>
      <c r="M149" s="26"/>
    </row>
    <row r="150" spans="12:13">
      <c r="L150" s="26"/>
      <c r="M150" s="26"/>
    </row>
    <row r="151" spans="12:13">
      <c r="L151" s="26"/>
      <c r="M151" s="26"/>
    </row>
    <row r="152" spans="12:13">
      <c r="L152" s="26"/>
      <c r="M152" s="26"/>
    </row>
    <row r="153" spans="12:13">
      <c r="L153" s="26"/>
      <c r="M153" s="26"/>
    </row>
    <row r="154" spans="12:13">
      <c r="L154" s="26"/>
      <c r="M154" s="26"/>
    </row>
    <row r="155" spans="12:13">
      <c r="L155" s="26"/>
      <c r="M155" s="26"/>
    </row>
    <row r="156" spans="12:13">
      <c r="L156" s="26"/>
      <c r="M156" s="26"/>
    </row>
    <row r="157" spans="12:13">
      <c r="L157" s="26"/>
      <c r="M157" s="26"/>
    </row>
    <row r="158" spans="12:13">
      <c r="L158" s="26"/>
      <c r="M158" s="26"/>
    </row>
    <row r="159" spans="12:13">
      <c r="L159" s="26"/>
      <c r="M159" s="26"/>
    </row>
    <row r="160" spans="12:13">
      <c r="L160" s="26"/>
      <c r="M160" s="26"/>
    </row>
    <row r="161" spans="12:13">
      <c r="L161" s="26"/>
      <c r="M161" s="26"/>
    </row>
    <row r="162" spans="12:13">
      <c r="L162" s="26"/>
      <c r="M162" s="26"/>
    </row>
    <row r="163" spans="12:13">
      <c r="L163" s="26"/>
      <c r="M163" s="26"/>
    </row>
    <row r="164" spans="12:13">
      <c r="L164" s="26"/>
      <c r="M164" s="26"/>
    </row>
    <row r="165" spans="12:13">
      <c r="L165" s="26"/>
      <c r="M165" s="26"/>
    </row>
    <row r="166" spans="12:13">
      <c r="L166" s="26"/>
      <c r="M166" s="26"/>
    </row>
    <row r="167" spans="12:13">
      <c r="L167" s="26"/>
      <c r="M167" s="26"/>
    </row>
    <row r="168" spans="12:13">
      <c r="L168" s="26"/>
      <c r="M168" s="26"/>
    </row>
    <row r="169" spans="12:13">
      <c r="L169" s="26"/>
      <c r="M169" s="26"/>
    </row>
    <row r="170" spans="12:13">
      <c r="L170" s="26"/>
      <c r="M170" s="26"/>
    </row>
    <row r="171" spans="12:13">
      <c r="L171" s="26"/>
      <c r="M171" s="26"/>
    </row>
    <row r="172" spans="12:13">
      <c r="L172" s="26"/>
      <c r="M172" s="26"/>
    </row>
    <row r="173" spans="12:13">
      <c r="L173" s="26"/>
      <c r="M173" s="26"/>
    </row>
    <row r="174" spans="12:13">
      <c r="L174" s="26"/>
      <c r="M174" s="26"/>
    </row>
    <row r="175" spans="12:13">
      <c r="L175" s="26"/>
      <c r="M175" s="26"/>
    </row>
    <row r="176" spans="12:13">
      <c r="L176" s="26"/>
      <c r="M176" s="26"/>
    </row>
    <row r="177" spans="12:13">
      <c r="L177" s="26"/>
      <c r="M177" s="26"/>
    </row>
    <row r="178" spans="12:13">
      <c r="L178" s="26"/>
      <c r="M178" s="26"/>
    </row>
    <row r="179" spans="12:13">
      <c r="L179" s="26"/>
      <c r="M179" s="26"/>
    </row>
    <row r="180" spans="12:13">
      <c r="L180" s="26"/>
      <c r="M180" s="26"/>
    </row>
    <row r="181" spans="12:13">
      <c r="L181" s="26"/>
      <c r="M181" s="26"/>
    </row>
    <row r="182" spans="12:13">
      <c r="L182" s="26"/>
      <c r="M182" s="26"/>
    </row>
    <row r="183" spans="12:13">
      <c r="L183" s="26"/>
      <c r="M183" s="26"/>
    </row>
    <row r="184" spans="12:13">
      <c r="L184" s="26"/>
      <c r="M184" s="26"/>
    </row>
    <row r="185" spans="12:13">
      <c r="L185" s="26"/>
      <c r="M185" s="26"/>
    </row>
    <row r="186" spans="12:13">
      <c r="L186" s="26"/>
      <c r="M186" s="26"/>
    </row>
    <row r="187" spans="12:13">
      <c r="L187" s="26"/>
      <c r="M187" s="26"/>
    </row>
    <row r="188" spans="12:13">
      <c r="L188" s="26"/>
      <c r="M188" s="26"/>
    </row>
    <row r="189" spans="12:13">
      <c r="L189" s="26"/>
      <c r="M189" s="26"/>
    </row>
    <row r="190" spans="12:13">
      <c r="L190" s="26"/>
      <c r="M190" s="26"/>
    </row>
    <row r="191" spans="12:13">
      <c r="L191" s="26"/>
      <c r="M191" s="26"/>
    </row>
    <row r="192" spans="12:13">
      <c r="L192" s="26"/>
      <c r="M192" s="26"/>
    </row>
    <row r="193" spans="12:13">
      <c r="L193" s="26"/>
      <c r="M193" s="26"/>
    </row>
    <row r="194" spans="12:13">
      <c r="L194" s="26"/>
      <c r="M194" s="26"/>
    </row>
    <row r="195" spans="12:13">
      <c r="L195" s="26"/>
      <c r="M195" s="26"/>
    </row>
    <row r="196" spans="12:13">
      <c r="L196" s="26"/>
      <c r="M196" s="26"/>
    </row>
    <row r="197" spans="12:13">
      <c r="L197" s="26"/>
      <c r="M197" s="26"/>
    </row>
    <row r="198" spans="12:13">
      <c r="L198" s="26"/>
      <c r="M198" s="26"/>
    </row>
    <row r="199" spans="12:13">
      <c r="L199" s="26"/>
      <c r="M199" s="26"/>
    </row>
    <row r="200" spans="12:13">
      <c r="L200" s="26"/>
      <c r="M200" s="26"/>
    </row>
    <row r="201" spans="12:13">
      <c r="L201" s="26"/>
      <c r="M201" s="26"/>
    </row>
    <row r="202" spans="12:13">
      <c r="L202" s="26"/>
      <c r="M202" s="26"/>
    </row>
    <row r="203" spans="12:13">
      <c r="L203" s="26"/>
      <c r="M203" s="26"/>
    </row>
    <row r="204" spans="12:13">
      <c r="L204" s="26"/>
      <c r="M204" s="26"/>
    </row>
  </sheetData>
  <mergeCells count="3">
    <mergeCell ref="A14:M14"/>
    <mergeCell ref="A15:M15"/>
    <mergeCell ref="A16:M16"/>
  </mergeCells>
  <pageMargins left="0.7" right="0.7" top="0.75" bottom="0.75" header="0.3" footer="0.3"/>
  <pageSetup scale="56" orientation="portrait" horizontalDpi="1200" verticalDpi="12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pageSetUpPr fitToPage="1"/>
  </sheetPr>
  <dimension ref="A1:M205"/>
  <sheetViews>
    <sheetView topLeftCell="A6" workbookViewId="0">
      <selection activeCell="G55" sqref="G55"/>
    </sheetView>
  </sheetViews>
  <sheetFormatPr defaultRowHeight="15" outlineLevelRow="1"/>
  <cols>
    <col min="3" max="3" width="19.85546875" customWidth="1"/>
    <col min="4" max="4" width="20.28515625" customWidth="1"/>
    <col min="5" max="6" width="14.42578125" bestFit="1" customWidth="1"/>
    <col min="8" max="8" width="31.7109375" customWidth="1"/>
  </cols>
  <sheetData>
    <row r="1" spans="1:13" hidden="1" outlineLevel="1">
      <c r="D1" s="2" t="str">
        <f>Contents!B1</f>
        <v>The Narragansett Electric Company</v>
      </c>
    </row>
    <row r="2" spans="1:13" hidden="1" outlineLevel="1">
      <c r="D2" s="2" t="str">
        <f>Contents!B2</f>
        <v>d/b/a National Grid</v>
      </c>
    </row>
    <row r="3" spans="1:13" hidden="1" outlineLevel="1">
      <c r="D3" s="2" t="str">
        <f>Contents!B3</f>
        <v>RIPUC Docket No. 4770</v>
      </c>
    </row>
    <row r="4" spans="1:13" hidden="1" outlineLevel="1">
      <c r="D4" s="2" t="str">
        <f>Contents!B4</f>
        <v>Gas Earnings Sharing Mechanism</v>
      </c>
    </row>
    <row r="5" spans="1:13" hidden="1" outlineLevel="1">
      <c r="D5" s="2"/>
    </row>
    <row r="6" spans="1:13" collapsed="1">
      <c r="A6" s="26"/>
      <c r="B6" s="26"/>
      <c r="C6" s="26"/>
      <c r="D6" s="2" t="str">
        <f>Contents!B6</f>
        <v>The Narragansett Electric Company</v>
      </c>
      <c r="E6" s="26"/>
      <c r="F6" s="26"/>
      <c r="G6" s="26"/>
      <c r="H6" s="26"/>
    </row>
    <row r="7" spans="1:13">
      <c r="A7" s="26"/>
      <c r="B7" s="26"/>
      <c r="C7" s="26"/>
      <c r="D7" s="2" t="str">
        <f>Contents!B7</f>
        <v>d/b/a Rhode Island Energy</v>
      </c>
      <c r="E7" s="26"/>
      <c r="F7" s="26"/>
      <c r="G7" s="26"/>
      <c r="H7" s="26"/>
    </row>
    <row r="8" spans="1:13">
      <c r="A8" s="26"/>
      <c r="B8" s="26"/>
      <c r="C8" s="26"/>
      <c r="D8" s="2" t="str">
        <f>Contents!B8</f>
        <v>RIPUC Docket No. 4770</v>
      </c>
      <c r="E8" s="26"/>
      <c r="F8" s="26"/>
      <c r="G8" s="26"/>
      <c r="H8" s="26"/>
    </row>
    <row r="9" spans="1:13">
      <c r="A9" s="26"/>
      <c r="B9" s="26"/>
      <c r="C9" s="26"/>
      <c r="D9" s="2" t="str">
        <f>Contents!B9</f>
        <v>CY 2025 Gas Earnings Report</v>
      </c>
      <c r="E9" s="26"/>
      <c r="F9" s="26"/>
      <c r="G9" s="26"/>
      <c r="H9" s="26"/>
    </row>
    <row r="10" spans="1:13">
      <c r="A10" s="26"/>
      <c r="B10" s="26"/>
      <c r="C10" s="26"/>
      <c r="D10" s="2" t="str">
        <f>Contents!B10</f>
        <v>Schedule NECO-1</v>
      </c>
      <c r="E10" s="26"/>
      <c r="F10" s="26"/>
      <c r="G10" s="26"/>
      <c r="H10" s="26"/>
    </row>
    <row r="11" spans="1:13">
      <c r="A11" s="26"/>
      <c r="B11" s="26"/>
      <c r="C11" s="26"/>
      <c r="D11" s="2" t="str">
        <f>Contents!B11</f>
        <v>June 15, 2026</v>
      </c>
      <c r="E11" s="26"/>
      <c r="F11" s="26"/>
      <c r="G11" s="26"/>
      <c r="H11" s="26"/>
    </row>
    <row r="12" spans="1:13">
      <c r="A12" s="26"/>
      <c r="B12" s="26"/>
      <c r="C12" s="26"/>
      <c r="D12" s="2" t="str">
        <f>VLOOKUP($A$15,Index!$A:$C,3,FALSE)</f>
        <v>Page 6 of 15</v>
      </c>
      <c r="E12" s="26"/>
      <c r="F12" s="26"/>
      <c r="G12" s="26"/>
      <c r="H12" s="26"/>
    </row>
    <row r="13" spans="1:13">
      <c r="A13" s="26"/>
      <c r="B13" s="26"/>
      <c r="C13" s="26"/>
      <c r="D13" s="2"/>
      <c r="E13" s="26"/>
      <c r="F13" s="26"/>
      <c r="G13" s="26"/>
      <c r="H13" s="26"/>
      <c r="L13" s="26"/>
      <c r="M13" s="26"/>
    </row>
    <row r="14" spans="1:13">
      <c r="A14" s="797" t="str">
        <f>Contents!A13</f>
        <v>Rhode Island Energy - RI Gas</v>
      </c>
      <c r="B14" s="797"/>
      <c r="C14" s="797"/>
      <c r="D14" s="797"/>
      <c r="E14" s="26"/>
      <c r="F14" s="26"/>
      <c r="G14" s="26"/>
      <c r="H14" s="26"/>
      <c r="L14" s="26"/>
      <c r="M14" s="26"/>
    </row>
    <row r="15" spans="1:13">
      <c r="A15" s="797" t="s">
        <v>24</v>
      </c>
      <c r="B15" s="797"/>
      <c r="C15" s="797"/>
      <c r="D15" s="797"/>
      <c r="E15" s="26"/>
      <c r="F15" s="26"/>
      <c r="G15" s="26"/>
      <c r="H15" s="26"/>
      <c r="L15" s="26"/>
      <c r="M15" s="26"/>
    </row>
    <row r="16" spans="1:13">
      <c r="A16" s="797" t="str">
        <f>Contents!A15</f>
        <v>For the Twelve Months ended December 31, 2025</v>
      </c>
      <c r="B16" s="797"/>
      <c r="C16" s="797"/>
      <c r="D16" s="797"/>
      <c r="E16" s="26"/>
      <c r="F16" s="26"/>
      <c r="G16" s="26"/>
      <c r="H16" s="26"/>
      <c r="L16" s="26"/>
      <c r="M16" s="26"/>
    </row>
    <row r="17" spans="1:13">
      <c r="A17" s="26"/>
      <c r="B17" s="26"/>
      <c r="C17" s="26"/>
      <c r="D17" s="26"/>
      <c r="E17" s="26"/>
      <c r="F17" s="26"/>
      <c r="G17" s="26"/>
      <c r="H17" s="26"/>
      <c r="L17" s="26"/>
      <c r="M17" s="26"/>
    </row>
    <row r="18" spans="1:13">
      <c r="A18" s="26"/>
      <c r="B18" s="26"/>
      <c r="C18" s="26"/>
      <c r="D18" s="26"/>
      <c r="E18" s="26"/>
      <c r="F18" s="26"/>
      <c r="G18" s="26"/>
      <c r="H18" s="26"/>
      <c r="L18" s="26"/>
      <c r="M18" s="26"/>
    </row>
    <row r="19" spans="1:13">
      <c r="A19" s="36">
        <v>1</v>
      </c>
      <c r="B19" s="26" t="s">
        <v>280</v>
      </c>
      <c r="C19" s="26"/>
      <c r="D19" s="27">
        <f>'Income Statement'!K33</f>
        <v>216780139</v>
      </c>
      <c r="E19" s="26"/>
      <c r="F19" s="26"/>
      <c r="G19" s="26"/>
      <c r="H19" s="26"/>
      <c r="L19" s="26"/>
      <c r="M19" s="26"/>
    </row>
    <row r="20" spans="1:13">
      <c r="A20" s="36">
        <f>A19+1</f>
        <v>2</v>
      </c>
      <c r="B20" s="26" t="s">
        <v>92</v>
      </c>
      <c r="C20" s="26"/>
      <c r="D20" s="27">
        <f>SUM('Income Statement'!K34:K39)</f>
        <v>158326779.58999997</v>
      </c>
      <c r="E20" s="26"/>
      <c r="F20" s="26"/>
      <c r="G20" s="26"/>
      <c r="H20" s="26"/>
      <c r="L20" s="26"/>
      <c r="M20" s="26"/>
    </row>
    <row r="21" spans="1:13">
      <c r="A21" s="36">
        <f t="shared" ref="A21:A32" si="0">A20+1</f>
        <v>3</v>
      </c>
      <c r="B21" s="26" t="s">
        <v>281</v>
      </c>
      <c r="C21" s="26"/>
      <c r="D21" s="81">
        <v>3434699</v>
      </c>
      <c r="E21" s="626"/>
      <c r="G21" s="26"/>
      <c r="H21" s="26"/>
      <c r="L21" s="26"/>
      <c r="M21" s="26"/>
    </row>
    <row r="22" spans="1:13">
      <c r="A22" s="36">
        <f t="shared" si="0"/>
        <v>4</v>
      </c>
      <c r="B22" s="26" t="s">
        <v>282</v>
      </c>
      <c r="C22" s="26"/>
      <c r="D22" s="81">
        <v>42799459</v>
      </c>
      <c r="E22" s="626"/>
      <c r="G22" s="26"/>
      <c r="H22" s="26"/>
      <c r="L22" s="26"/>
      <c r="M22" s="26"/>
    </row>
    <row r="23" spans="1:13">
      <c r="A23" s="36">
        <f t="shared" si="0"/>
        <v>5</v>
      </c>
      <c r="B23" s="26" t="s">
        <v>283</v>
      </c>
      <c r="C23" s="26"/>
      <c r="D23" s="81">
        <v>0</v>
      </c>
      <c r="E23" s="626"/>
      <c r="G23" s="26"/>
      <c r="H23" s="26"/>
      <c r="L23" s="26"/>
      <c r="M23" s="26"/>
    </row>
    <row r="24" spans="1:13">
      <c r="A24" s="36">
        <f t="shared" si="0"/>
        <v>6</v>
      </c>
      <c r="B24" s="26" t="s">
        <v>284</v>
      </c>
      <c r="C24" s="26"/>
      <c r="D24" s="81">
        <v>0</v>
      </c>
      <c r="E24" s="626"/>
      <c r="G24" s="26"/>
      <c r="H24" s="26"/>
      <c r="L24" s="26"/>
      <c r="M24" s="26"/>
    </row>
    <row r="25" spans="1:13">
      <c r="A25" s="36">
        <f t="shared" si="0"/>
        <v>7</v>
      </c>
      <c r="B25" s="26" t="s">
        <v>218</v>
      </c>
      <c r="C25" s="26"/>
      <c r="D25" s="794">
        <v>22751824</v>
      </c>
      <c r="E25" s="626"/>
      <c r="G25" s="26"/>
      <c r="H25" s="26"/>
      <c r="L25" s="26"/>
      <c r="M25" s="26"/>
    </row>
    <row r="26" spans="1:13">
      <c r="A26" s="36">
        <f t="shared" si="0"/>
        <v>8</v>
      </c>
      <c r="B26" s="26" t="s">
        <v>188</v>
      </c>
      <c r="C26" s="26"/>
      <c r="D26" s="27">
        <f>SUM(D19:D25)</f>
        <v>444092900.58999997</v>
      </c>
      <c r="E26" s="26"/>
      <c r="F26" s="27"/>
      <c r="G26" s="26"/>
      <c r="H26" s="26"/>
      <c r="L26" s="26"/>
      <c r="M26" s="26"/>
    </row>
    <row r="27" spans="1:13">
      <c r="A27" s="36">
        <f t="shared" si="0"/>
        <v>9</v>
      </c>
      <c r="B27" s="26"/>
      <c r="C27" s="26"/>
      <c r="D27" s="26"/>
      <c r="E27" s="26"/>
      <c r="F27" s="27"/>
      <c r="G27" s="26"/>
      <c r="H27" s="26"/>
      <c r="L27" s="26"/>
      <c r="M27" s="26"/>
    </row>
    <row r="28" spans="1:13">
      <c r="A28" s="36">
        <f t="shared" si="0"/>
        <v>10</v>
      </c>
      <c r="B28" s="26" t="s">
        <v>285</v>
      </c>
      <c r="C28" s="26"/>
      <c r="D28" s="27">
        <f>ROUND(D26/365,0)</f>
        <v>1216693</v>
      </c>
      <c r="E28" s="26"/>
      <c r="F28" s="26"/>
      <c r="G28" s="26"/>
      <c r="H28" s="26"/>
      <c r="L28" s="26"/>
      <c r="M28" s="26"/>
    </row>
    <row r="29" spans="1:13">
      <c r="A29" s="36">
        <f t="shared" si="0"/>
        <v>11</v>
      </c>
      <c r="B29" s="26"/>
      <c r="C29" s="26"/>
      <c r="D29" s="26"/>
      <c r="E29" s="26" t="s">
        <v>286</v>
      </c>
      <c r="F29" s="26"/>
      <c r="G29" s="26" t="s">
        <v>287</v>
      </c>
      <c r="H29" s="27"/>
      <c r="L29" s="26"/>
      <c r="M29" s="26"/>
    </row>
    <row r="30" spans="1:13">
      <c r="A30" s="36">
        <f t="shared" si="0"/>
        <v>12</v>
      </c>
      <c r="B30" s="26" t="s">
        <v>288</v>
      </c>
      <c r="C30" s="26"/>
      <c r="D30" s="26">
        <f>49.14-16.19</f>
        <v>32.950000000000003</v>
      </c>
      <c r="E30" s="26"/>
      <c r="F30" s="26"/>
      <c r="G30" s="26"/>
      <c r="H30" s="26"/>
      <c r="L30" s="26"/>
      <c r="M30" s="26"/>
    </row>
    <row r="31" spans="1:13">
      <c r="A31" s="36">
        <f t="shared" si="0"/>
        <v>13</v>
      </c>
      <c r="B31" s="26"/>
      <c r="C31" s="26"/>
      <c r="D31" s="26"/>
      <c r="E31" s="26"/>
      <c r="F31" s="26"/>
      <c r="G31" s="26"/>
      <c r="H31" s="117"/>
      <c r="L31" s="26"/>
      <c r="M31" s="26"/>
    </row>
    <row r="32" spans="1:13" ht="15.75" thickBot="1">
      <c r="A32" s="36">
        <f t="shared" si="0"/>
        <v>14</v>
      </c>
      <c r="B32" s="26" t="s">
        <v>289</v>
      </c>
      <c r="C32" s="26"/>
      <c r="D32" s="331">
        <f>D28*D30</f>
        <v>40090034.350000001</v>
      </c>
      <c r="E32" s="117"/>
      <c r="F32" s="37"/>
      <c r="G32" s="26"/>
      <c r="H32" s="26"/>
      <c r="L32" s="26"/>
      <c r="M32" s="26"/>
    </row>
    <row r="33" spans="1:13" ht="15.75" thickTop="1">
      <c r="A33" s="36"/>
      <c r="B33" s="26"/>
      <c r="C33" s="26"/>
      <c r="D33" s="26"/>
      <c r="E33" s="26"/>
      <c r="F33" s="27"/>
      <c r="G33" s="26"/>
      <c r="H33" s="26"/>
      <c r="L33" s="26"/>
      <c r="M33" s="26"/>
    </row>
    <row r="34" spans="1:13">
      <c r="A34" s="36"/>
      <c r="B34" s="26"/>
      <c r="C34" s="26"/>
      <c r="D34" s="26"/>
      <c r="E34" s="26"/>
      <c r="F34" s="26"/>
      <c r="G34" s="26"/>
      <c r="H34" s="26"/>
      <c r="L34" s="26"/>
      <c r="M34" s="26"/>
    </row>
    <row r="35" spans="1:13">
      <c r="A35" s="26" t="s">
        <v>70</v>
      </c>
      <c r="C35" s="26"/>
      <c r="D35" s="26"/>
      <c r="E35" s="26"/>
      <c r="F35" s="26"/>
      <c r="G35" s="26"/>
      <c r="H35" s="26"/>
      <c r="L35" s="26"/>
      <c r="M35" s="26"/>
    </row>
    <row r="36" spans="1:13">
      <c r="A36" s="36">
        <v>1</v>
      </c>
      <c r="B36" s="26" t="str">
        <f>CONCATENATE("From ",'Income Statement'!$K$12," line ",'Income Statement'!A33)&amp;'Income Statement'!K20</f>
        <v>From Page 2 of 15 line 13(c)</v>
      </c>
      <c r="C36" s="26"/>
      <c r="D36" s="26"/>
      <c r="E36" s="26"/>
      <c r="F36" s="26"/>
      <c r="G36" s="26"/>
      <c r="H36" s="26"/>
      <c r="L36" s="26"/>
      <c r="M36" s="26"/>
    </row>
    <row r="37" spans="1:13">
      <c r="A37" s="36">
        <v>2</v>
      </c>
      <c r="B37" s="26" t="str">
        <f>CONCATENATE("From ",'Income Statement'!$K$12," line ",'Income Statement'!A34,'Income Statement'!K20, " through ",'Income Statement'!A39)&amp;'Income Statement'!K20</f>
        <v>From Page 2 of 15 line 14(c) through 19(c)</v>
      </c>
      <c r="C37" s="26"/>
      <c r="D37" s="26"/>
      <c r="E37" s="26"/>
      <c r="F37" s="26"/>
      <c r="G37" s="26"/>
      <c r="H37" s="26"/>
      <c r="L37" s="26"/>
      <c r="M37" s="26"/>
    </row>
    <row r="38" spans="1:13">
      <c r="A38" s="116" t="s">
        <v>290</v>
      </c>
      <c r="B38" s="26" t="str">
        <f>CONCATENATE("From ",'Income Statement'!$K$12," line ",'Income Statement'!A44)&amp;'Income Statement'!K20</f>
        <v>From Page 2 of 15 line 24(c)</v>
      </c>
      <c r="C38" s="26"/>
      <c r="D38" s="26"/>
      <c r="E38" s="26"/>
      <c r="F38" s="26"/>
      <c r="G38" s="26"/>
      <c r="H38" s="26"/>
      <c r="L38" s="26"/>
      <c r="M38" s="26"/>
    </row>
    <row r="39" spans="1:13">
      <c r="A39" s="36">
        <v>7</v>
      </c>
      <c r="B39" s="26" t="str">
        <f>CONCATENATE("From ",'Income Statement'!$K$12," line ",'Income Statement'!A45)&amp;'Income Statement'!K20</f>
        <v>From Page 2 of 15 line 25(c)</v>
      </c>
      <c r="C39" s="26"/>
      <c r="D39" s="26"/>
      <c r="E39" s="26"/>
      <c r="F39" s="26"/>
      <c r="G39" s="26"/>
      <c r="H39" s="26"/>
      <c r="L39" s="26"/>
      <c r="M39" s="26"/>
    </row>
    <row r="40" spans="1:13">
      <c r="A40" s="36">
        <v>8</v>
      </c>
      <c r="B40" s="26" t="str">
        <f>CONCATENATE("Sum of Line ",A19," through Line ",A25)</f>
        <v>Sum of Line 1 through Line 7</v>
      </c>
      <c r="C40" s="26"/>
      <c r="D40" s="26"/>
      <c r="E40" s="26"/>
      <c r="F40" s="26"/>
      <c r="G40" s="26"/>
      <c r="H40" s="26"/>
      <c r="L40" s="26"/>
      <c r="M40" s="26"/>
    </row>
    <row r="41" spans="1:13">
      <c r="A41" s="36">
        <v>10</v>
      </c>
      <c r="B41" s="26" t="s">
        <v>291</v>
      </c>
      <c r="C41" s="26"/>
      <c r="D41" s="26"/>
      <c r="E41" s="26"/>
      <c r="F41" s="26"/>
      <c r="G41" s="26"/>
      <c r="H41" s="26"/>
      <c r="L41" s="26"/>
      <c r="M41" s="26"/>
    </row>
    <row r="42" spans="1:13">
      <c r="A42" s="36">
        <v>12</v>
      </c>
      <c r="B42" s="26" t="s">
        <v>292</v>
      </c>
      <c r="C42" s="26"/>
      <c r="D42" s="26"/>
      <c r="E42" s="26"/>
      <c r="F42" s="26"/>
      <c r="G42" s="26"/>
      <c r="H42" s="26"/>
      <c r="L42" s="26"/>
      <c r="M42" s="26"/>
    </row>
    <row r="43" spans="1:13">
      <c r="A43" s="36"/>
      <c r="B43" s="119" t="s">
        <v>293</v>
      </c>
      <c r="C43" s="26"/>
      <c r="D43" s="26"/>
      <c r="E43" s="26"/>
      <c r="F43" s="26"/>
      <c r="G43" s="26"/>
      <c r="H43" s="26"/>
      <c r="L43" s="26"/>
      <c r="M43" s="26"/>
    </row>
    <row r="44" spans="1:13">
      <c r="B44" s="119" t="s">
        <v>294</v>
      </c>
      <c r="L44" s="26"/>
      <c r="M44" s="26"/>
    </row>
    <row r="45" spans="1:13">
      <c r="A45" s="36">
        <v>14</v>
      </c>
      <c r="B45" s="26" t="str">
        <f>CONCATENATE("Line ",A28," times line ",A30)</f>
        <v>Line 10 times line 12</v>
      </c>
      <c r="C45" s="26"/>
      <c r="D45" s="26"/>
      <c r="E45" s="26"/>
      <c r="F45" s="26"/>
      <c r="G45" s="26"/>
      <c r="H45" s="26"/>
      <c r="L45" s="26"/>
      <c r="M45" s="26"/>
    </row>
    <row r="46" spans="1:13">
      <c r="L46" s="26"/>
      <c r="M46" s="26"/>
    </row>
    <row r="47" spans="1:13">
      <c r="L47" s="26"/>
      <c r="M47" s="26"/>
    </row>
    <row r="48" spans="1:13">
      <c r="L48" s="26"/>
      <c r="M48" s="26"/>
    </row>
    <row r="49" spans="12:13">
      <c r="L49" s="26"/>
      <c r="M49" s="26"/>
    </row>
    <row r="50" spans="12:13">
      <c r="L50" s="26"/>
      <c r="M50" s="26"/>
    </row>
    <row r="51" spans="12:13">
      <c r="L51" s="26"/>
      <c r="M51" s="26"/>
    </row>
    <row r="52" spans="12:13">
      <c r="L52" s="26"/>
      <c r="M52" s="26"/>
    </row>
    <row r="53" spans="12:13">
      <c r="L53" s="26"/>
      <c r="M53" s="26"/>
    </row>
    <row r="54" spans="12:13">
      <c r="L54" s="26"/>
      <c r="M54" s="26"/>
    </row>
    <row r="55" spans="12:13">
      <c r="L55" s="26"/>
      <c r="M55" s="26"/>
    </row>
    <row r="56" spans="12:13">
      <c r="L56" s="26"/>
      <c r="M56" s="26"/>
    </row>
    <row r="57" spans="12:13">
      <c r="L57" s="26"/>
      <c r="M57" s="26"/>
    </row>
    <row r="58" spans="12:13">
      <c r="L58" s="26"/>
      <c r="M58" s="26"/>
    </row>
    <row r="59" spans="12:13">
      <c r="L59" s="26"/>
      <c r="M59" s="26"/>
    </row>
    <row r="60" spans="12:13">
      <c r="L60" s="26"/>
      <c r="M60" s="26"/>
    </row>
    <row r="61" spans="12:13">
      <c r="L61" s="26"/>
      <c r="M61" s="26"/>
    </row>
    <row r="62" spans="12:13">
      <c r="L62" s="26"/>
      <c r="M62" s="26"/>
    </row>
    <row r="63" spans="12:13">
      <c r="L63" s="26"/>
      <c r="M63" s="26"/>
    </row>
    <row r="64" spans="12:13">
      <c r="L64" s="26"/>
      <c r="M64" s="26"/>
    </row>
    <row r="65" spans="12:13">
      <c r="L65" s="26"/>
      <c r="M65" s="26"/>
    </row>
    <row r="66" spans="12:13">
      <c r="L66" s="26"/>
      <c r="M66" s="26"/>
    </row>
    <row r="67" spans="12:13">
      <c r="L67" s="26"/>
      <c r="M67" s="26"/>
    </row>
    <row r="68" spans="12:13">
      <c r="L68" s="26"/>
      <c r="M68" s="26"/>
    </row>
    <row r="69" spans="12:13">
      <c r="L69" s="26"/>
      <c r="M69" s="26"/>
    </row>
    <row r="70" spans="12:13">
      <c r="L70" s="26"/>
      <c r="M70" s="26"/>
    </row>
    <row r="71" spans="12:13">
      <c r="L71" s="26"/>
      <c r="M71" s="26"/>
    </row>
    <row r="72" spans="12:13">
      <c r="L72" s="26"/>
      <c r="M72" s="26"/>
    </row>
    <row r="73" spans="12:13">
      <c r="L73" s="26"/>
      <c r="M73" s="26"/>
    </row>
    <row r="74" spans="12:13">
      <c r="L74" s="26"/>
      <c r="M74" s="26"/>
    </row>
    <row r="75" spans="12:13">
      <c r="L75" s="26"/>
      <c r="M75" s="26"/>
    </row>
    <row r="76" spans="12:13">
      <c r="L76" s="26"/>
      <c r="M76" s="26"/>
    </row>
    <row r="77" spans="12:13">
      <c r="L77" s="26"/>
      <c r="M77" s="26"/>
    </row>
    <row r="78" spans="12:13">
      <c r="L78" s="26"/>
      <c r="M78" s="26"/>
    </row>
    <row r="79" spans="12:13">
      <c r="L79" s="26"/>
      <c r="M79" s="26"/>
    </row>
    <row r="80" spans="12:13">
      <c r="L80" s="26"/>
      <c r="M80" s="26"/>
    </row>
    <row r="81" spans="12:13">
      <c r="L81" s="26"/>
      <c r="M81" s="26"/>
    </row>
    <row r="82" spans="12:13">
      <c r="L82" s="26"/>
      <c r="M82" s="26"/>
    </row>
    <row r="83" spans="12:13">
      <c r="L83" s="26"/>
      <c r="M83" s="26"/>
    </row>
    <row r="84" spans="12:13">
      <c r="L84" s="26"/>
      <c r="M84" s="26"/>
    </row>
    <row r="85" spans="12:13">
      <c r="L85" s="26"/>
      <c r="M85" s="26"/>
    </row>
    <row r="86" spans="12:13">
      <c r="L86" s="26"/>
      <c r="M86" s="26"/>
    </row>
    <row r="87" spans="12:13">
      <c r="L87" s="26"/>
      <c r="M87" s="26"/>
    </row>
    <row r="88" spans="12:13">
      <c r="L88" s="26"/>
      <c r="M88" s="26"/>
    </row>
    <row r="89" spans="12:13">
      <c r="L89" s="26"/>
      <c r="M89" s="26"/>
    </row>
    <row r="90" spans="12:13">
      <c r="L90" s="26"/>
      <c r="M90" s="26"/>
    </row>
    <row r="91" spans="12:13">
      <c r="L91" s="26"/>
      <c r="M91" s="26"/>
    </row>
    <row r="92" spans="12:13">
      <c r="L92" s="26"/>
      <c r="M92" s="26"/>
    </row>
    <row r="93" spans="12:13">
      <c r="L93" s="26"/>
      <c r="M93" s="26"/>
    </row>
    <row r="94" spans="12:13">
      <c r="L94" s="26"/>
      <c r="M94" s="26"/>
    </row>
    <row r="95" spans="12:13">
      <c r="L95" s="26"/>
      <c r="M95" s="26"/>
    </row>
    <row r="96" spans="12:13">
      <c r="L96" s="26"/>
      <c r="M96" s="26"/>
    </row>
    <row r="97" spans="12:13">
      <c r="L97" s="26"/>
      <c r="M97" s="26"/>
    </row>
    <row r="98" spans="12:13">
      <c r="L98" s="26"/>
      <c r="M98" s="26"/>
    </row>
    <row r="99" spans="12:13">
      <c r="L99" s="26"/>
      <c r="M99" s="26"/>
    </row>
    <row r="100" spans="12:13">
      <c r="L100" s="26"/>
      <c r="M100" s="26"/>
    </row>
    <row r="101" spans="12:13">
      <c r="L101" s="26"/>
      <c r="M101" s="26"/>
    </row>
    <row r="102" spans="12:13">
      <c r="L102" s="26"/>
      <c r="M102" s="26"/>
    </row>
    <row r="103" spans="12:13">
      <c r="L103" s="26"/>
      <c r="M103" s="26"/>
    </row>
    <row r="104" spans="12:13">
      <c r="L104" s="26"/>
      <c r="M104" s="26"/>
    </row>
    <row r="105" spans="12:13">
      <c r="L105" s="26"/>
      <c r="M105" s="26"/>
    </row>
    <row r="106" spans="12:13">
      <c r="L106" s="26"/>
      <c r="M106" s="26"/>
    </row>
    <row r="107" spans="12:13">
      <c r="L107" s="26"/>
      <c r="M107" s="26"/>
    </row>
    <row r="108" spans="12:13">
      <c r="L108" s="26"/>
      <c r="M108" s="26"/>
    </row>
    <row r="109" spans="12:13">
      <c r="L109" s="26"/>
      <c r="M109" s="26"/>
    </row>
    <row r="110" spans="12:13">
      <c r="L110" s="26"/>
      <c r="M110" s="26"/>
    </row>
    <row r="111" spans="12:13">
      <c r="L111" s="26"/>
      <c r="M111" s="26"/>
    </row>
    <row r="112" spans="12:13">
      <c r="L112" s="26"/>
      <c r="M112" s="26"/>
    </row>
    <row r="113" spans="12:13">
      <c r="L113" s="26"/>
      <c r="M113" s="26"/>
    </row>
    <row r="114" spans="12:13">
      <c r="L114" s="26"/>
      <c r="M114" s="26"/>
    </row>
    <row r="115" spans="12:13">
      <c r="L115" s="26"/>
      <c r="M115" s="26"/>
    </row>
    <row r="116" spans="12:13">
      <c r="L116" s="26"/>
      <c r="M116" s="26"/>
    </row>
    <row r="117" spans="12:13">
      <c r="L117" s="26"/>
      <c r="M117" s="26"/>
    </row>
    <row r="118" spans="12:13">
      <c r="L118" s="26"/>
      <c r="M118" s="26"/>
    </row>
    <row r="119" spans="12:13">
      <c r="L119" s="26"/>
      <c r="M119" s="26"/>
    </row>
    <row r="120" spans="12:13">
      <c r="L120" s="26"/>
      <c r="M120" s="26"/>
    </row>
    <row r="121" spans="12:13">
      <c r="L121" s="26"/>
      <c r="M121" s="26"/>
    </row>
    <row r="122" spans="12:13">
      <c r="L122" s="26"/>
      <c r="M122" s="26"/>
    </row>
    <row r="123" spans="12:13">
      <c r="L123" s="26"/>
      <c r="M123" s="26"/>
    </row>
    <row r="124" spans="12:13">
      <c r="L124" s="26"/>
      <c r="M124" s="26"/>
    </row>
    <row r="125" spans="12:13">
      <c r="L125" s="26"/>
      <c r="M125" s="26"/>
    </row>
    <row r="126" spans="12:13">
      <c r="L126" s="26"/>
      <c r="M126" s="26"/>
    </row>
    <row r="127" spans="12:13">
      <c r="L127" s="26"/>
      <c r="M127" s="26"/>
    </row>
    <row r="128" spans="12:13">
      <c r="L128" s="26"/>
      <c r="M128" s="26"/>
    </row>
    <row r="129" spans="12:13">
      <c r="L129" s="26"/>
      <c r="M129" s="26"/>
    </row>
    <row r="130" spans="12:13">
      <c r="L130" s="26"/>
      <c r="M130" s="26"/>
    </row>
    <row r="131" spans="12:13">
      <c r="L131" s="26"/>
      <c r="M131" s="26"/>
    </row>
    <row r="132" spans="12:13">
      <c r="L132" s="26"/>
      <c r="M132" s="26"/>
    </row>
    <row r="133" spans="12:13">
      <c r="L133" s="26"/>
      <c r="M133" s="26"/>
    </row>
    <row r="134" spans="12:13">
      <c r="L134" s="26"/>
      <c r="M134" s="26"/>
    </row>
    <row r="135" spans="12:13">
      <c r="L135" s="26"/>
      <c r="M135" s="26"/>
    </row>
    <row r="136" spans="12:13">
      <c r="L136" s="26"/>
      <c r="M136" s="26"/>
    </row>
    <row r="137" spans="12:13">
      <c r="L137" s="26"/>
      <c r="M137" s="26"/>
    </row>
    <row r="138" spans="12:13">
      <c r="L138" s="26"/>
      <c r="M138" s="26"/>
    </row>
    <row r="139" spans="12:13">
      <c r="L139" s="26"/>
      <c r="M139" s="26"/>
    </row>
    <row r="140" spans="12:13">
      <c r="L140" s="26"/>
      <c r="M140" s="26"/>
    </row>
    <row r="141" spans="12:13">
      <c r="L141" s="26"/>
      <c r="M141" s="26"/>
    </row>
    <row r="142" spans="12:13">
      <c r="L142" s="26"/>
      <c r="M142" s="26"/>
    </row>
    <row r="143" spans="12:13">
      <c r="L143" s="26"/>
      <c r="M143" s="26"/>
    </row>
    <row r="144" spans="12:13">
      <c r="L144" s="26"/>
      <c r="M144" s="26"/>
    </row>
    <row r="145" spans="12:13">
      <c r="L145" s="26"/>
      <c r="M145" s="26"/>
    </row>
    <row r="146" spans="12:13">
      <c r="L146" s="26"/>
      <c r="M146" s="26"/>
    </row>
    <row r="147" spans="12:13">
      <c r="L147" s="26"/>
      <c r="M147" s="26"/>
    </row>
    <row r="148" spans="12:13">
      <c r="L148" s="26"/>
      <c r="M148" s="26"/>
    </row>
    <row r="149" spans="12:13">
      <c r="L149" s="26"/>
      <c r="M149" s="26"/>
    </row>
    <row r="150" spans="12:13">
      <c r="L150" s="26"/>
      <c r="M150" s="26"/>
    </row>
    <row r="151" spans="12:13">
      <c r="L151" s="26"/>
      <c r="M151" s="26"/>
    </row>
    <row r="152" spans="12:13">
      <c r="L152" s="26"/>
      <c r="M152" s="26"/>
    </row>
    <row r="153" spans="12:13">
      <c r="L153" s="26"/>
      <c r="M153" s="26"/>
    </row>
    <row r="154" spans="12:13">
      <c r="L154" s="26"/>
      <c r="M154" s="26"/>
    </row>
    <row r="155" spans="12:13">
      <c r="L155" s="26"/>
      <c r="M155" s="26"/>
    </row>
    <row r="156" spans="12:13">
      <c r="L156" s="26"/>
      <c r="M156" s="26"/>
    </row>
    <row r="157" spans="12:13">
      <c r="L157" s="26"/>
      <c r="M157" s="26"/>
    </row>
    <row r="158" spans="12:13">
      <c r="L158" s="26"/>
      <c r="M158" s="26"/>
    </row>
    <row r="159" spans="12:13">
      <c r="L159" s="26"/>
      <c r="M159" s="26"/>
    </row>
    <row r="160" spans="12:13">
      <c r="L160" s="26"/>
      <c r="M160" s="26"/>
    </row>
    <row r="161" spans="12:13">
      <c r="L161" s="26"/>
      <c r="M161" s="26"/>
    </row>
    <row r="162" spans="12:13">
      <c r="L162" s="26"/>
      <c r="M162" s="26"/>
    </row>
    <row r="163" spans="12:13">
      <c r="L163" s="26"/>
      <c r="M163" s="26"/>
    </row>
    <row r="164" spans="12:13">
      <c r="L164" s="26"/>
      <c r="M164" s="26"/>
    </row>
    <row r="165" spans="12:13">
      <c r="L165" s="26"/>
      <c r="M165" s="26"/>
    </row>
    <row r="166" spans="12:13">
      <c r="L166" s="26"/>
      <c r="M166" s="26"/>
    </row>
    <row r="167" spans="12:13">
      <c r="L167" s="26"/>
      <c r="M167" s="26"/>
    </row>
    <row r="168" spans="12:13">
      <c r="L168" s="26"/>
      <c r="M168" s="26"/>
    </row>
    <row r="169" spans="12:13">
      <c r="L169" s="26"/>
      <c r="M169" s="26"/>
    </row>
    <row r="170" spans="12:13">
      <c r="L170" s="26"/>
      <c r="M170" s="26"/>
    </row>
    <row r="171" spans="12:13">
      <c r="L171" s="26"/>
      <c r="M171" s="26"/>
    </row>
    <row r="172" spans="12:13">
      <c r="L172" s="26"/>
      <c r="M172" s="26"/>
    </row>
    <row r="173" spans="12:13">
      <c r="L173" s="26"/>
      <c r="M173" s="26"/>
    </row>
    <row r="174" spans="12:13">
      <c r="L174" s="26"/>
      <c r="M174" s="26"/>
    </row>
    <row r="175" spans="12:13">
      <c r="L175" s="26"/>
      <c r="M175" s="26"/>
    </row>
    <row r="176" spans="12:13">
      <c r="L176" s="26"/>
      <c r="M176" s="26"/>
    </row>
    <row r="177" spans="12:13">
      <c r="L177" s="26"/>
      <c r="M177" s="26"/>
    </row>
    <row r="178" spans="12:13">
      <c r="L178" s="26"/>
      <c r="M178" s="26"/>
    </row>
    <row r="179" spans="12:13">
      <c r="L179" s="26"/>
      <c r="M179" s="26"/>
    </row>
    <row r="180" spans="12:13">
      <c r="L180" s="26"/>
      <c r="M180" s="26"/>
    </row>
    <row r="181" spans="12:13">
      <c r="L181" s="26"/>
      <c r="M181" s="26"/>
    </row>
    <row r="182" spans="12:13">
      <c r="L182" s="26"/>
      <c r="M182" s="26"/>
    </row>
    <row r="183" spans="12:13">
      <c r="L183" s="26"/>
      <c r="M183" s="26"/>
    </row>
    <row r="184" spans="12:13">
      <c r="L184" s="26"/>
      <c r="M184" s="26"/>
    </row>
    <row r="185" spans="12:13">
      <c r="L185" s="26"/>
      <c r="M185" s="26"/>
    </row>
    <row r="186" spans="12:13">
      <c r="L186" s="26"/>
      <c r="M186" s="26"/>
    </row>
    <row r="187" spans="12:13">
      <c r="L187" s="26"/>
      <c r="M187" s="26"/>
    </row>
    <row r="188" spans="12:13">
      <c r="L188" s="26"/>
      <c r="M188" s="26"/>
    </row>
    <row r="189" spans="12:13">
      <c r="L189" s="26"/>
      <c r="M189" s="26"/>
    </row>
    <row r="190" spans="12:13">
      <c r="L190" s="26"/>
      <c r="M190" s="26"/>
    </row>
    <row r="191" spans="12:13">
      <c r="L191" s="26"/>
      <c r="M191" s="26"/>
    </row>
    <row r="192" spans="12:13">
      <c r="L192" s="26"/>
      <c r="M192" s="26"/>
    </row>
    <row r="193" spans="12:13">
      <c r="L193" s="26"/>
      <c r="M193" s="26"/>
    </row>
    <row r="194" spans="12:13">
      <c r="L194" s="26"/>
      <c r="M194" s="26"/>
    </row>
    <row r="195" spans="12:13">
      <c r="L195" s="26"/>
      <c r="M195" s="26"/>
    </row>
    <row r="196" spans="12:13">
      <c r="L196" s="26"/>
      <c r="M196" s="26"/>
    </row>
    <row r="197" spans="12:13">
      <c r="L197" s="26"/>
      <c r="M197" s="26"/>
    </row>
    <row r="198" spans="12:13">
      <c r="L198" s="26"/>
      <c r="M198" s="26"/>
    </row>
    <row r="199" spans="12:13">
      <c r="L199" s="26"/>
      <c r="M199" s="26"/>
    </row>
    <row r="200" spans="12:13">
      <c r="L200" s="26"/>
      <c r="M200" s="26"/>
    </row>
    <row r="201" spans="12:13">
      <c r="L201" s="26"/>
      <c r="M201" s="26"/>
    </row>
    <row r="202" spans="12:13">
      <c r="L202" s="26"/>
      <c r="M202" s="26"/>
    </row>
    <row r="203" spans="12:13">
      <c r="L203" s="26"/>
      <c r="M203" s="26"/>
    </row>
    <row r="204" spans="12:13">
      <c r="L204" s="26"/>
      <c r="M204" s="26"/>
    </row>
    <row r="205" spans="12:13">
      <c r="L205" s="26"/>
      <c r="M205" s="26"/>
    </row>
  </sheetData>
  <mergeCells count="3">
    <mergeCell ref="A14:D14"/>
    <mergeCell ref="A15:D15"/>
    <mergeCell ref="A16:D16"/>
  </mergeCells>
  <pageMargins left="0.7" right="0.7" top="0.75" bottom="0.75" header="0.3" footer="0.3"/>
  <pageSetup scale="71" orientation="portrait" horizontalDpi="1200" verticalDpi="1200" r:id="rId1"/>
</worksheet>
</file>

<file path=docProps/app.xml><?xml version="1.0" encoding="utf-8"?>
<Properties xmlns="http://schemas.openxmlformats.org/officeDocument/2006/extended-properties" xmlns:vt="http://schemas.openxmlformats.org/officeDocument/2006/docPropsVTypes">
  <DocSecurity>2</DocSecurity>
  <ScaleCrop>false</ScaleCrop>
  <HeadingPairs>
    <vt:vector size="4" baseType="variant">
      <vt:variant>
        <vt:lpstr>Worksheets</vt:lpstr>
      </vt:variant>
      <vt:variant>
        <vt:i4>49</vt:i4>
      </vt:variant>
      <vt:variant>
        <vt:lpstr>Named Ranges</vt:lpstr>
      </vt:variant>
      <vt:variant>
        <vt:i4>2</vt:i4>
      </vt:variant>
    </vt:vector>
  </HeadingPairs>
  <TitlesOfParts>
    <vt:vector size="51" baseType="lpstr">
      <vt:lpstr>Index</vt:lpstr>
      <vt:lpstr>Contents</vt:lpstr>
      <vt:lpstr>ROE Calculation</vt:lpstr>
      <vt:lpstr>Income Statement</vt:lpstr>
      <vt:lpstr>Income Statement (2)</vt:lpstr>
      <vt:lpstr>FIT Calculation</vt:lpstr>
      <vt:lpstr>Cap Int Pref</vt:lpstr>
      <vt:lpstr>Rate Base</vt:lpstr>
      <vt:lpstr>Working Capital</vt:lpstr>
      <vt:lpstr>Detail Other Rev</vt:lpstr>
      <vt:lpstr>Detail Other Int Exp</vt:lpstr>
      <vt:lpstr>Detail Non-Op Inc</vt:lpstr>
      <vt:lpstr>LTD Interest</vt:lpstr>
      <vt:lpstr>Short-term Interest</vt:lpstr>
      <vt:lpstr>2006 Hold Harmless RB Credit</vt:lpstr>
      <vt:lpstr>Projected Defrd. Tax</vt:lpstr>
      <vt:lpstr>Comparison to Finance ROE</vt:lpstr>
      <vt:lpstr>Recon of ESM to Annual- IS</vt:lpstr>
      <vt:lpstr>2022 Gas Hold Harmless</vt:lpstr>
      <vt:lpstr>RIGASD PJ1 FERC IS CY21</vt:lpstr>
      <vt:lpstr>RIGASD PJ1 FERC IS CY20</vt:lpstr>
      <vt:lpstr>94081000</vt:lpstr>
      <vt:lpstr>94171000</vt:lpstr>
      <vt:lpstr>94190000</vt:lpstr>
      <vt:lpstr>94310000</vt:lpstr>
      <vt:lpstr>Customer Deposit</vt:lpstr>
      <vt:lpstr>94800000</vt:lpstr>
      <vt:lpstr>94800000 CY20</vt:lpstr>
      <vt:lpstr>94893000</vt:lpstr>
      <vt:lpstr>94893000 CY20</vt:lpstr>
      <vt:lpstr>94950000</vt:lpstr>
      <vt:lpstr>94950000 CY21</vt:lpstr>
      <vt:lpstr>94950000 CY20</vt:lpstr>
      <vt:lpstr>Unbilled Rollforward CY 2022</vt:lpstr>
      <vt:lpstr>Unbilled revenue (Bal Sht)_CY22</vt:lpstr>
      <vt:lpstr>Unbilled revenue (Bal Sht)_CY21</vt:lpstr>
      <vt:lpstr>Unbilled Rollforward_20</vt:lpstr>
      <vt:lpstr>Unbilled revenue (Bal Sht)_20</vt:lpstr>
      <vt:lpstr>Unbilled revenue entry_Dec 22</vt:lpstr>
      <vt:lpstr>Unbilled revenue entry_Dec 21</vt:lpstr>
      <vt:lpstr>Unbilled revenue entry_20</vt:lpstr>
      <vt:lpstr>Band A Variable Pay_20</vt:lpstr>
      <vt:lpstr>Amort of Excess ADIT_20</vt:lpstr>
      <vt:lpstr>Regulatory GAAP BS Q2.21-Q3.21</vt:lpstr>
      <vt:lpstr>Regulatory GAAP BS Q3.21-Q4.21</vt:lpstr>
      <vt:lpstr>Regulatory GAAP BS Q1.22-Q2.22</vt:lpstr>
      <vt:lpstr>Regulatory GAAP BS Q2.22-Q3.22</vt:lpstr>
      <vt:lpstr>Regulatory GAAP BS Q4.22-Q1.23</vt:lpstr>
      <vt:lpstr>ADIT 2020</vt:lpstr>
      <vt:lpstr>'Cap Int Pref'!Print_Area</vt:lpstr>
      <vt:lpstr>'Unbilled revenue entry_Dec 21'!Print_Area</vt:lpstr>
    </vt:vector>
  </TitlesOfParts>
  <Manager/>
  <Company/>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cp:keywords/>
  <dc:description/>
  <cp:revision>1</cp:revision>
  <cp:category/>
  <cp:contentStatus/>
</cp:coreProperties>
</file>